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ht\Desktop\master\data\祖传数据\DataAnalysed_new\013彭哲\split\"/>
    </mc:Choice>
  </mc:AlternateContent>
  <xr:revisionPtr revIDLastSave="0" documentId="8_{11E8E83B-9563-4D1B-99B5-7FEC0FE7B67B}" xr6:coauthVersionLast="47" xr6:coauthVersionMax="47" xr10:uidLastSave="{00000000-0000-0000-0000-000000000000}"/>
  <bookViews>
    <workbookView xWindow="5050" yWindow="2100" windowWidth="25800" windowHeight="9890"/>
  </bookViews>
  <sheets>
    <sheet name="Testhuanghun_on_with_headDir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</calcChain>
</file>

<file path=xl/sharedStrings.xml><?xml version="1.0" encoding="utf-8"?>
<sst xmlns="http://schemas.openxmlformats.org/spreadsheetml/2006/main" count="9830" uniqueCount="83">
  <si>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</si>
  <si>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</si>
  <si>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</si>
  <si>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</si>
  <si>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</si>
  <si>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</si>
  <si>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</si>
  <si>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</si>
  <si>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</si>
  <si>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</si>
  <si>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</si>
  <si>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</si>
  <si>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</si>
  <si>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</si>
  <si>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</si>
  <si>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</si>
  <si>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</si>
  <si>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</si>
  <si>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</si>
  <si>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</si>
  <si>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</si>
  <si>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</si>
  <si>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</si>
  <si>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</si>
  <si>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</si>
  <si>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</si>
  <si>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</si>
  <si>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</si>
  <si>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</si>
  <si>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</si>
  <si>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</si>
  <si>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</si>
  <si>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</si>
  <si>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</si>
  <si>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</si>
  <si>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</si>
  <si>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</si>
  <si>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</si>
  <si>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</si>
  <si>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</si>
  <si>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Testhuanghun_on</t>
  </si>
  <si>
    <t>Kooper</t>
  </si>
  <si>
    <t>mcp_road_part_02</t>
  </si>
  <si>
    <t>Plane_01</t>
  </si>
  <si>
    <t>Floor 01</t>
  </si>
  <si>
    <t>Pilar Small (27)</t>
  </si>
  <si>
    <t>Building 18 (9)</t>
  </si>
  <si>
    <t>Pilar Small (29)</t>
  </si>
  <si>
    <t>Wall Small 03 (23)</t>
  </si>
  <si>
    <t>Stand 01 (8)</t>
  </si>
  <si>
    <t>Box001</t>
  </si>
  <si>
    <t>Building 07 (13)</t>
  </si>
  <si>
    <t>mcp_roads_turn_01 (1)</t>
  </si>
  <si>
    <t>mcp_roads_T_cross_01</t>
  </si>
  <si>
    <t>Building 18 (4)</t>
  </si>
  <si>
    <t>mcp_road_part_01</t>
  </si>
  <si>
    <t>Tree 04 (3)</t>
  </si>
  <si>
    <t>Building 19</t>
  </si>
  <si>
    <t>Tree 04 (2)</t>
  </si>
  <si>
    <t>mcp_roads_cross_01</t>
  </si>
  <si>
    <t>Building 24</t>
  </si>
  <si>
    <t>Building 24 (1)</t>
  </si>
  <si>
    <t>mcp_roads_cross_02</t>
  </si>
  <si>
    <t>Building 29 (5)</t>
  </si>
  <si>
    <t>Building 01 (1)</t>
  </si>
  <si>
    <t>FAR</t>
  </si>
  <si>
    <t>mcp_roads_turn_01</t>
  </si>
  <si>
    <t>mcp_road_part_02 (1)</t>
  </si>
  <si>
    <t>Building 30 (5)</t>
  </si>
  <si>
    <t>Shurbs (1)</t>
  </si>
  <si>
    <t>Building 01</t>
  </si>
  <si>
    <t>Shurbs</t>
  </si>
  <si>
    <t>mcp_road_part_02 (2)</t>
  </si>
  <si>
    <t>mcp_road_part_02 (3)</t>
  </si>
  <si>
    <t>Building 30 (4)</t>
  </si>
  <si>
    <t>Building 04 (3)</t>
  </si>
  <si>
    <t>Building 07 (14)</t>
  </si>
  <si>
    <t>mcp_road_part_02 (6)</t>
  </si>
  <si>
    <t>mcp_road_part_02 (9)</t>
  </si>
  <si>
    <t>mcp_road_part_02 (8)</t>
  </si>
  <si>
    <t>mcp_road_part_02 (10)</t>
  </si>
  <si>
    <t>mcp_road_part_02 (12)</t>
  </si>
  <si>
    <t>mcp_road_part_02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</si>
</sst>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96"/>
  <sheetViews>
    <sheetView tabSelected="1" workbookViewId="0"/>
  </sheetViews>
  <sheetFormatPr defaultRowHeight="1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tr">
        <f>"20200111153827555"</f>
        <v>20200111153827555</v>
      </c>
      <c r="B2" t="str">
        <f>"1578728307550685"</f>
        <v>1578728307550685</v>
      </c>
      <c r="C2" t="s">
        <v>40</v>
      </c>
      <c r="D2">
        <v>5.423152</v>
      </c>
      <c r="E2">
        <v>0.50858950000000003</v>
      </c>
      <c r="F2" t="s">
        <v>41</v>
      </c>
      <c r="G2">
        <v>-476.36669999999998</v>
      </c>
      <c r="H2">
        <v>1.0414129999999999</v>
      </c>
      <c r="I2">
        <v>367.52789999999999</v>
      </c>
      <c r="J2">
        <v>-477.0915</v>
      </c>
      <c r="K2">
        <v>1.1038079999999999</v>
      </c>
      <c r="L2">
        <v>367.51990000000001</v>
      </c>
      <c r="M2">
        <v>0.99996819999999997</v>
      </c>
      <c r="N2">
        <v>0</v>
      </c>
      <c r="O2" s="1">
        <v>-1.50490799999999E-5</v>
      </c>
      <c r="P2">
        <v>0.99914040000000004</v>
      </c>
      <c r="Q2">
        <v>2.250011E-2</v>
      </c>
      <c r="R2">
        <v>3.4819250000000003E-2</v>
      </c>
      <c r="S2">
        <v>3.0069270000000001</v>
      </c>
      <c r="T2">
        <v>-0.25589859999999998</v>
      </c>
      <c r="U2">
        <v>3.3355709999999997E-2</v>
      </c>
      <c r="V2">
        <v>-3.4833370000000002E-2</v>
      </c>
      <c r="W2">
        <v>3.0485499999999999E-2</v>
      </c>
      <c r="X2">
        <v>0.99892809999999999</v>
      </c>
      <c r="Y2">
        <v>-1.1067270000000001E-2</v>
      </c>
      <c r="Z2">
        <v>4.7134340000000002E-4</v>
      </c>
      <c r="AA2">
        <v>0.99993869999999896</v>
      </c>
      <c r="AB2">
        <v>1</v>
      </c>
      <c r="AC2">
        <v>0.72480000000001599</v>
      </c>
      <c r="AD2">
        <v>-6.2394999999999902E-2</v>
      </c>
      <c r="AE2">
        <v>7.9999999999813502E-3</v>
      </c>
      <c r="AF2">
        <v>-7.9519847843745797E-3</v>
      </c>
      <c r="AG2">
        <v>-6.2394999999999902E-2</v>
      </c>
      <c r="AH2">
        <v>0.71946871339112395</v>
      </c>
      <c r="AI2">
        <v>94.956200543873095</v>
      </c>
      <c r="AJ2">
        <v>90.633240344163397</v>
      </c>
      <c r="AK2">
        <v>0.72221298772293596</v>
      </c>
      <c r="AL2">
        <v>88.253038916522698</v>
      </c>
      <c r="AM2">
        <v>91.997137462796402</v>
      </c>
      <c r="AN2">
        <v>1.0000000391727</v>
      </c>
    </row>
    <row r="3" spans="1:40" x14ac:dyDescent="0.3">
      <c r="A3" t="str">
        <f>"20200111153827577"</f>
        <v>20200111153827577</v>
      </c>
      <c r="B3" t="str">
        <f>"1578728307570204"</f>
        <v>1578728307570204</v>
      </c>
      <c r="C3" t="s">
        <v>40</v>
      </c>
      <c r="D3">
        <v>5.4816989999999999</v>
      </c>
      <c r="E3">
        <v>0.50862870000000004</v>
      </c>
      <c r="F3" t="s">
        <v>41</v>
      </c>
      <c r="G3">
        <v>-476.3526</v>
      </c>
      <c r="H3">
        <v>1.0416639999999999</v>
      </c>
      <c r="I3">
        <v>367.52780000000001</v>
      </c>
      <c r="J3">
        <v>-477.08519999999999</v>
      </c>
      <c r="K3">
        <v>1.1041379999999901</v>
      </c>
      <c r="L3">
        <v>367.51990000000001</v>
      </c>
      <c r="M3">
        <v>0.99996189999999996</v>
      </c>
      <c r="N3">
        <v>0</v>
      </c>
      <c r="O3" s="1">
        <v>-1.286266E-5</v>
      </c>
      <c r="P3">
        <v>0.99915430000000005</v>
      </c>
      <c r="Q3">
        <v>2.1237760000000001E-2</v>
      </c>
      <c r="R3">
        <v>3.5209589999999999E-2</v>
      </c>
      <c r="S3">
        <v>3.0071110000000001</v>
      </c>
      <c r="T3">
        <v>-0.253272</v>
      </c>
      <c r="U3">
        <v>3.3721920000000002E-2</v>
      </c>
      <c r="V3">
        <v>-3.5221160000000001E-2</v>
      </c>
      <c r="W3">
        <v>2.9975990000000001E-2</v>
      </c>
      <c r="X3">
        <v>0.99892990000000004</v>
      </c>
      <c r="Y3">
        <v>-1.118657E-2</v>
      </c>
      <c r="Z3">
        <v>4.7132519999999999E-4</v>
      </c>
      <c r="AA3">
        <v>0.99993730000000003</v>
      </c>
      <c r="AB3">
        <v>1</v>
      </c>
      <c r="AC3">
        <v>0.73259999999999004</v>
      </c>
      <c r="AD3">
        <v>-6.2473999999999898E-2</v>
      </c>
      <c r="AE3">
        <v>7.9000000000064505E-3</v>
      </c>
      <c r="AF3">
        <v>-7.8523266265307402E-3</v>
      </c>
      <c r="AG3">
        <v>-6.2473999999999898E-2</v>
      </c>
      <c r="AH3">
        <v>0.72731137191287099</v>
      </c>
      <c r="AI3">
        <v>94.909210554683199</v>
      </c>
      <c r="AJ3">
        <v>90.618562713413297</v>
      </c>
      <c r="AK3">
        <v>0.73003184274607702</v>
      </c>
      <c r="AL3">
        <v>88.282245000006199</v>
      </c>
      <c r="AM3">
        <v>92.019349084321803</v>
      </c>
      <c r="AN3">
        <v>1.0000000176011099</v>
      </c>
    </row>
    <row r="4" spans="1:40" x14ac:dyDescent="0.3">
      <c r="A4" t="str">
        <f>"20200111153827600"</f>
        <v>20200111153827600</v>
      </c>
      <c r="B4" t="str">
        <f>"1578728307590701"</f>
        <v>1578728307590701</v>
      </c>
      <c r="C4" t="s">
        <v>40</v>
      </c>
      <c r="D4">
        <v>5.5362689999999999</v>
      </c>
      <c r="E4">
        <v>0.51387850000000002</v>
      </c>
      <c r="F4" t="s">
        <v>41</v>
      </c>
      <c r="G4">
        <v>-476.3476</v>
      </c>
      <c r="H4">
        <v>1.041099</v>
      </c>
      <c r="I4">
        <v>367.5283</v>
      </c>
      <c r="J4">
        <v>-477.08</v>
      </c>
      <c r="K4">
        <v>1.104454</v>
      </c>
      <c r="L4">
        <v>367.51990000000001</v>
      </c>
      <c r="M4">
        <v>0.99995299999999998</v>
      </c>
      <c r="N4">
        <v>0</v>
      </c>
      <c r="O4" s="1">
        <v>-1.0538110000000001E-5</v>
      </c>
      <c r="P4">
        <v>0.99915639999999994</v>
      </c>
      <c r="Q4">
        <v>2.0386540000000002E-2</v>
      </c>
      <c r="R4">
        <v>3.5649590000000002E-2</v>
      </c>
      <c r="S4">
        <v>3.0068049999999999</v>
      </c>
      <c r="T4">
        <v>-0.25715789999999999</v>
      </c>
      <c r="U4">
        <v>3.4545899999999997E-2</v>
      </c>
      <c r="V4">
        <v>-3.5658799999999997E-2</v>
      </c>
      <c r="W4">
        <v>3.0074650000000001E-2</v>
      </c>
      <c r="X4">
        <v>0.9989114</v>
      </c>
      <c r="Y4">
        <v>-1.1457159999999999E-2</v>
      </c>
      <c r="Z4">
        <v>4.8992930000000005E-4</v>
      </c>
      <c r="AA4">
        <v>0.99993430000000005</v>
      </c>
      <c r="AB4">
        <v>1</v>
      </c>
      <c r="AC4">
        <v>0.73239999999998395</v>
      </c>
      <c r="AD4">
        <v>-6.3354999999999995E-2</v>
      </c>
      <c r="AE4">
        <v>8.3999999999946305E-3</v>
      </c>
      <c r="AF4">
        <v>-8.3452804812923793E-3</v>
      </c>
      <c r="AG4">
        <v>-6.3354999999999995E-2</v>
      </c>
      <c r="AH4">
        <v>0.72696091148345898</v>
      </c>
      <c r="AI4">
        <v>94.980444222129407</v>
      </c>
      <c r="AJ4">
        <v>90.657708468964103</v>
      </c>
      <c r="AK4">
        <v>0.72976411706535305</v>
      </c>
      <c r="AL4">
        <v>88.276589635302102</v>
      </c>
      <c r="AM4">
        <v>92.044457145622303</v>
      </c>
      <c r="AN4">
        <v>1.0000000098200099</v>
      </c>
    </row>
    <row r="5" spans="1:40" x14ac:dyDescent="0.3">
      <c r="A5" t="str">
        <f>"20200111153827647"</f>
        <v>20200111153827647</v>
      </c>
      <c r="B5" t="str">
        <f>"1578728307640477"</f>
        <v>1578728307640477</v>
      </c>
      <c r="C5" t="s">
        <v>40</v>
      </c>
      <c r="D5">
        <v>5.4994069999999997</v>
      </c>
      <c r="E5">
        <v>0.51683409999999996</v>
      </c>
      <c r="F5" t="s">
        <v>41</v>
      </c>
      <c r="G5">
        <v>-476.36340000000001</v>
      </c>
      <c r="H5">
        <v>0.99152510000000005</v>
      </c>
      <c r="I5">
        <v>367.5138</v>
      </c>
      <c r="J5">
        <v>-477.05380000000002</v>
      </c>
      <c r="K5">
        <v>1.103893</v>
      </c>
      <c r="L5">
        <v>367.51990000000001</v>
      </c>
      <c r="M5">
        <v>0.9999728</v>
      </c>
      <c r="N5">
        <v>0</v>
      </c>
      <c r="O5" s="1">
        <v>-9.2013019999999999E-6</v>
      </c>
      <c r="P5">
        <v>0.99908850000000005</v>
      </c>
      <c r="Q5">
        <v>2.352665E-2</v>
      </c>
      <c r="R5">
        <v>3.5624870000000003E-2</v>
      </c>
      <c r="S5">
        <v>3.0139469999999999</v>
      </c>
      <c r="T5">
        <v>-0.4811684</v>
      </c>
      <c r="U5">
        <v>-2.4871830000000001E-2</v>
      </c>
      <c r="V5">
        <v>-3.5633129999999999E-2</v>
      </c>
      <c r="W5">
        <v>3.090683E-2</v>
      </c>
      <c r="X5">
        <v>0.99888690000000002</v>
      </c>
      <c r="Y5">
        <v>8.1398089999999996E-3</v>
      </c>
      <c r="Z5">
        <v>-6.4419040000000002E-4</v>
      </c>
      <c r="AA5">
        <v>0.99996669999999999</v>
      </c>
      <c r="AB5">
        <v>1</v>
      </c>
      <c r="AC5">
        <v>0.690400000000011</v>
      </c>
      <c r="AD5">
        <v>-0.11236789999999899</v>
      </c>
      <c r="AE5">
        <v>-6.1000000000035401E-3</v>
      </c>
      <c r="AF5">
        <v>5.9364038219961498E-3</v>
      </c>
      <c r="AG5">
        <v>-0.11236789999999899</v>
      </c>
      <c r="AH5">
        <v>0.67258463854327599</v>
      </c>
      <c r="AI5">
        <v>99.484375158940296</v>
      </c>
      <c r="AJ5">
        <v>89.494305946008296</v>
      </c>
      <c r="AK5">
        <v>0.68193246135166297</v>
      </c>
      <c r="AL5">
        <v>88.228887027951203</v>
      </c>
      <c r="AM5">
        <v>92.043036699168397</v>
      </c>
      <c r="AN5">
        <v>0.99999999554292696</v>
      </c>
    </row>
    <row r="6" spans="1:40" x14ac:dyDescent="0.3">
      <c r="A6" t="str">
        <f>"20200111153827668"</f>
        <v>20200111153827668</v>
      </c>
      <c r="B6" t="str">
        <f>"1578728307659999"</f>
        <v>1578728307659999</v>
      </c>
      <c r="C6" t="s">
        <v>40</v>
      </c>
      <c r="D6">
        <v>5.5146100000000002</v>
      </c>
      <c r="E6">
        <v>0.51684679999999905</v>
      </c>
      <c r="F6" t="s">
        <v>41</v>
      </c>
      <c r="G6">
        <v>-476.35270000000003</v>
      </c>
      <c r="H6">
        <v>0.98523590000000005</v>
      </c>
      <c r="I6">
        <v>367.51209999999998</v>
      </c>
      <c r="J6">
        <v>-477.03800000000001</v>
      </c>
      <c r="K6">
        <v>1.1037030000000001</v>
      </c>
      <c r="L6">
        <v>367.51990000000001</v>
      </c>
      <c r="M6">
        <v>0.99997999999999998</v>
      </c>
      <c r="N6">
        <v>0</v>
      </c>
      <c r="O6" s="1">
        <v>-8.9963220000000008E-6</v>
      </c>
      <c r="P6">
        <v>0.99906099999999998</v>
      </c>
      <c r="Q6">
        <v>2.4567820000000001E-2</v>
      </c>
      <c r="R6">
        <v>3.5693000000000003E-2</v>
      </c>
      <c r="S6">
        <v>3.01593</v>
      </c>
      <c r="T6">
        <v>-0.5105847</v>
      </c>
      <c r="U6">
        <v>-3.1677249999999997E-2</v>
      </c>
      <c r="V6">
        <v>-3.5700759999999998E-2</v>
      </c>
      <c r="W6">
        <v>3.0906820000000002E-2</v>
      </c>
      <c r="X6">
        <v>0.99888449999999995</v>
      </c>
      <c r="Y6">
        <v>1.0346650000000001E-2</v>
      </c>
      <c r="Z6">
        <v>-8.6810009999999896E-4</v>
      </c>
      <c r="AA6">
        <v>0.99994609999999995</v>
      </c>
      <c r="AB6">
        <v>1</v>
      </c>
      <c r="AC6">
        <v>0.68529999999998303</v>
      </c>
      <c r="AD6">
        <v>-0.11846710000000001</v>
      </c>
      <c r="AE6">
        <v>-7.8000000000315499E-3</v>
      </c>
      <c r="AF6">
        <v>7.5677128935849498E-3</v>
      </c>
      <c r="AG6">
        <v>-0.11846710000000001</v>
      </c>
      <c r="AH6">
        <v>0.66541752275610599</v>
      </c>
      <c r="AI6">
        <v>100.094201775641</v>
      </c>
      <c r="AJ6">
        <v>89.348410130792303</v>
      </c>
      <c r="AK6">
        <v>0.67592322319307996</v>
      </c>
      <c r="AL6">
        <v>88.2288876269089</v>
      </c>
      <c r="AM6">
        <v>92.046915904999807</v>
      </c>
      <c r="AN6">
        <v>1.0000000100636699</v>
      </c>
    </row>
    <row r="7" spans="1:40" x14ac:dyDescent="0.3">
      <c r="A7" t="str">
        <f>"20200111153827691"</f>
        <v>20200111153827691</v>
      </c>
      <c r="B7" t="str">
        <f>"1578728307680493"</f>
        <v>1578728307680493</v>
      </c>
      <c r="C7" t="s">
        <v>40</v>
      </c>
      <c r="D7">
        <v>5.4831640000000004</v>
      </c>
      <c r="E7">
        <v>0.51699240000000002</v>
      </c>
      <c r="F7" t="s">
        <v>41</v>
      </c>
      <c r="G7">
        <v>-476.33780000000002</v>
      </c>
      <c r="H7">
        <v>0.98365239999999998</v>
      </c>
      <c r="I7">
        <v>367.51240000000001</v>
      </c>
      <c r="J7">
        <v>-477.02030000000002</v>
      </c>
      <c r="K7">
        <v>1.103715</v>
      </c>
      <c r="L7">
        <v>367.51990000000001</v>
      </c>
      <c r="M7">
        <v>0.9999825</v>
      </c>
      <c r="N7">
        <v>0</v>
      </c>
      <c r="O7" s="1">
        <v>-9.2480440000000006E-6</v>
      </c>
      <c r="P7">
        <v>0.99905560000000004</v>
      </c>
      <c r="Q7">
        <v>2.5302270000000002E-2</v>
      </c>
      <c r="R7">
        <v>3.5325820000000001E-2</v>
      </c>
      <c r="S7">
        <v>3.0166930000000001</v>
      </c>
      <c r="T7">
        <v>-0.5173297</v>
      </c>
      <c r="U7">
        <v>-3.1829830000000003E-2</v>
      </c>
      <c r="V7">
        <v>-3.5333660000000003E-2</v>
      </c>
      <c r="W7">
        <v>3.1222340000000001E-2</v>
      </c>
      <c r="X7">
        <v>0.99888770000000005</v>
      </c>
      <c r="Y7">
        <v>1.0389880000000001E-2</v>
      </c>
      <c r="Z7">
        <v>-8.8282170000000002E-4</v>
      </c>
      <c r="AA7">
        <v>0.99994559999999999</v>
      </c>
      <c r="AB7">
        <v>2</v>
      </c>
      <c r="AC7">
        <v>0.68250000000000399</v>
      </c>
      <c r="AD7">
        <v>-0.12006260000000001</v>
      </c>
      <c r="AE7">
        <v>-7.4999999999931797E-3</v>
      </c>
      <c r="AF7">
        <v>7.2687728847826297E-3</v>
      </c>
      <c r="AG7">
        <v>-0.12006260000000001</v>
      </c>
      <c r="AH7">
        <v>0.66201554323634604</v>
      </c>
      <c r="AI7">
        <v>100.278781087612</v>
      </c>
      <c r="AJ7">
        <v>89.370931274753204</v>
      </c>
      <c r="AK7">
        <v>0.67285395329486197</v>
      </c>
      <c r="AL7">
        <v>88.210800861282806</v>
      </c>
      <c r="AM7">
        <v>92.025879239378597</v>
      </c>
      <c r="AN7">
        <v>0.99999996962768001</v>
      </c>
    </row>
    <row r="8" spans="1:40" x14ac:dyDescent="0.3">
      <c r="A8" t="str">
        <f>"20200111153827711"</f>
        <v>20200111153827711</v>
      </c>
      <c r="B8" t="str">
        <f>"1578728307700013"</f>
        <v>1578728307700013</v>
      </c>
      <c r="C8" t="s">
        <v>40</v>
      </c>
      <c r="D8">
        <v>5.499835</v>
      </c>
      <c r="E8">
        <v>0.51677700000000004</v>
      </c>
      <c r="F8" t="s">
        <v>41</v>
      </c>
      <c r="G8">
        <v>-476.32240000000002</v>
      </c>
      <c r="H8">
        <v>0.98357919999999999</v>
      </c>
      <c r="I8">
        <v>367.51179999999999</v>
      </c>
      <c r="J8">
        <v>-477.00700000000001</v>
      </c>
      <c r="K8">
        <v>1.1040460000000001</v>
      </c>
      <c r="L8">
        <v>367.51990000000001</v>
      </c>
      <c r="M8">
        <v>0.999977</v>
      </c>
      <c r="N8">
        <v>0</v>
      </c>
      <c r="O8" s="1">
        <v>-1.0109530000000001E-5</v>
      </c>
      <c r="P8">
        <v>0.99906969999999995</v>
      </c>
      <c r="Q8">
        <v>2.4902850000000001E-2</v>
      </c>
      <c r="R8">
        <v>3.5205300000000002E-2</v>
      </c>
      <c r="S8">
        <v>3.0172119999999998</v>
      </c>
      <c r="T8">
        <v>-0.51950090000000004</v>
      </c>
      <c r="U8">
        <v>-3.3599850000000001E-2</v>
      </c>
      <c r="V8">
        <v>-3.5214059999999998E-2</v>
      </c>
      <c r="W8">
        <v>3.1688460000000002E-2</v>
      </c>
      <c r="X8">
        <v>0.99887729999999997</v>
      </c>
      <c r="Y8">
        <v>1.0964099999999999E-2</v>
      </c>
      <c r="Z8">
        <v>-9.352443E-4</v>
      </c>
      <c r="AA8">
        <v>0.99993940000000003</v>
      </c>
      <c r="AB8">
        <v>2</v>
      </c>
      <c r="AC8">
        <v>0.68459999999993204</v>
      </c>
      <c r="AD8">
        <v>-0.120466799999999</v>
      </c>
      <c r="AE8">
        <v>-8.1000000000130898E-3</v>
      </c>
      <c r="AF8">
        <v>7.8500419957135605E-3</v>
      </c>
      <c r="AG8">
        <v>-0.120466799999999</v>
      </c>
      <c r="AH8">
        <v>0.664041397387649</v>
      </c>
      <c r="AI8">
        <v>100.281757832968</v>
      </c>
      <c r="AJ8">
        <v>89.322702881465801</v>
      </c>
      <c r="AK8">
        <v>0.67492581111268501</v>
      </c>
      <c r="AL8">
        <v>88.184081028949606</v>
      </c>
      <c r="AM8">
        <v>92.019048581783096</v>
      </c>
      <c r="AN8">
        <v>1.0000000244870699</v>
      </c>
    </row>
    <row r="9" spans="1:40" x14ac:dyDescent="0.3">
      <c r="A9" t="str">
        <f>"20200111153827736"</f>
        <v>20200111153827736</v>
      </c>
      <c r="B9" t="str">
        <f>"1578728307730269"</f>
        <v>1578728307730269</v>
      </c>
      <c r="C9" t="s">
        <v>40</v>
      </c>
      <c r="D9">
        <v>5.5325920000000002</v>
      </c>
      <c r="E9">
        <v>0.51705519999999905</v>
      </c>
      <c r="F9" t="s">
        <v>41</v>
      </c>
      <c r="G9">
        <v>-476.30939999999998</v>
      </c>
      <c r="H9">
        <v>0.98486629999999997</v>
      </c>
      <c r="I9">
        <v>367.51240000000001</v>
      </c>
      <c r="J9">
        <v>-476.98739999999998</v>
      </c>
      <c r="K9">
        <v>1.104026</v>
      </c>
      <c r="L9">
        <v>367.51990000000001</v>
      </c>
      <c r="M9">
        <v>0.99997840000000005</v>
      </c>
      <c r="N9">
        <v>0</v>
      </c>
      <c r="O9" s="1">
        <v>-1.1244359999999999E-5</v>
      </c>
      <c r="P9">
        <v>0.99907880000000004</v>
      </c>
      <c r="Q9">
        <v>2.5242629999999999E-2</v>
      </c>
      <c r="R9">
        <v>3.4701170000000003E-2</v>
      </c>
      <c r="S9">
        <v>3.016785</v>
      </c>
      <c r="T9">
        <v>-0.51553149999999903</v>
      </c>
      <c r="U9">
        <v>-3.1951899999999998E-2</v>
      </c>
      <c r="V9">
        <v>-3.4710959999999999E-2</v>
      </c>
      <c r="W9">
        <v>3.1798069999999998E-2</v>
      </c>
      <c r="X9">
        <v>0.99889139999999998</v>
      </c>
      <c r="Y9">
        <v>1.042855E-2</v>
      </c>
      <c r="Z9">
        <v>-8.8271140000000003E-4</v>
      </c>
      <c r="AA9">
        <v>0.99994519999999998</v>
      </c>
      <c r="AB9">
        <v>2</v>
      </c>
      <c r="AC9">
        <v>0.67799999999999705</v>
      </c>
      <c r="AD9">
        <v>-0.11915969999999899</v>
      </c>
      <c r="AE9">
        <v>-7.4999999999931797E-3</v>
      </c>
      <c r="AF9">
        <v>7.2679075228715001E-3</v>
      </c>
      <c r="AG9">
        <v>-0.11915969999999899</v>
      </c>
      <c r="AH9">
        <v>0.65768746906367004</v>
      </c>
      <c r="AI9">
        <v>100.26882405878899</v>
      </c>
      <c r="AJ9">
        <v>89.366867247785606</v>
      </c>
      <c r="AK9">
        <v>0.66843448710193498</v>
      </c>
      <c r="AL9">
        <v>88.177797624870095</v>
      </c>
      <c r="AM9">
        <v>91.9901979175294</v>
      </c>
      <c r="AN9">
        <v>0.99999999849690302</v>
      </c>
    </row>
    <row r="10" spans="1:40" x14ac:dyDescent="0.3">
      <c r="A10" t="str">
        <f>"20200111153827758"</f>
        <v>20200111153827758</v>
      </c>
      <c r="B10" t="str">
        <f>"1578728307750767"</f>
        <v>1578728307750767</v>
      </c>
      <c r="C10" t="s">
        <v>40</v>
      </c>
      <c r="D10">
        <v>5.5429360000000001</v>
      </c>
      <c r="E10">
        <v>0.51697579999999999</v>
      </c>
      <c r="F10" t="s">
        <v>41</v>
      </c>
      <c r="G10">
        <v>-476.27390000000003</v>
      </c>
      <c r="H10">
        <v>0.9830295</v>
      </c>
      <c r="I10">
        <v>367.51170000000002</v>
      </c>
      <c r="J10">
        <v>-476.96440000000001</v>
      </c>
      <c r="K10">
        <v>1.1037539999999999</v>
      </c>
      <c r="L10">
        <v>367.51990000000001</v>
      </c>
      <c r="M10">
        <v>0.99998529999999997</v>
      </c>
      <c r="N10">
        <v>0</v>
      </c>
      <c r="O10" s="1">
        <v>-1.2113779999999999E-5</v>
      </c>
      <c r="P10">
        <v>0.99907060000000003</v>
      </c>
      <c r="Q10">
        <v>2.6332230000000002E-2</v>
      </c>
      <c r="R10">
        <v>3.4125339999999997E-2</v>
      </c>
      <c r="S10">
        <v>3.0169069999999998</v>
      </c>
      <c r="T10">
        <v>-0.51158219999999999</v>
      </c>
      <c r="U10">
        <v>-3.5125730000000001E-2</v>
      </c>
      <c r="V10">
        <v>-3.4136100000000003E-2</v>
      </c>
      <c r="W10">
        <v>3.1753749999999997E-2</v>
      </c>
      <c r="X10">
        <v>0.99891260000000004</v>
      </c>
      <c r="Y10">
        <v>1.1466570000000001E-2</v>
      </c>
      <c r="Z10">
        <v>-9.6324150000000005E-4</v>
      </c>
      <c r="AA10">
        <v>0.99993379999999998</v>
      </c>
      <c r="AB10">
        <v>2</v>
      </c>
      <c r="AC10">
        <v>0.69049999999998501</v>
      </c>
      <c r="AD10">
        <v>-0.1207245</v>
      </c>
      <c r="AE10">
        <v>-8.1999999999879895E-3</v>
      </c>
      <c r="AF10">
        <v>7.9486958296671895E-3</v>
      </c>
      <c r="AG10">
        <v>-0.1207245</v>
      </c>
      <c r="AH10">
        <v>0.67002192492216395</v>
      </c>
      <c r="AI10">
        <v>100.213255262864</v>
      </c>
      <c r="AJ10">
        <v>89.320312749269704</v>
      </c>
      <c r="AK10">
        <v>0.68085752293856905</v>
      </c>
      <c r="AL10">
        <v>88.180338219849901</v>
      </c>
      <c r="AM10">
        <v>91.957221918605796</v>
      </c>
      <c r="AN10">
        <v>0.999999978200516</v>
      </c>
    </row>
    <row r="11" spans="1:40" x14ac:dyDescent="0.3">
      <c r="A11" t="str">
        <f>"20200111153827805"</f>
        <v>20200111153827805</v>
      </c>
      <c r="B11" t="str">
        <f>"1578728307800541"</f>
        <v>1578728307800541</v>
      </c>
      <c r="C11" t="s">
        <v>40</v>
      </c>
      <c r="D11">
        <v>5.5607810000000004</v>
      </c>
      <c r="E11">
        <v>0.5170439</v>
      </c>
      <c r="F11" t="s">
        <v>41</v>
      </c>
      <c r="G11">
        <v>-476.25080000000003</v>
      </c>
      <c r="H11">
        <v>0.98438389999999998</v>
      </c>
      <c r="I11">
        <v>367.51080000000002</v>
      </c>
      <c r="J11">
        <v>-476.91019999999997</v>
      </c>
      <c r="K11">
        <v>1.103577</v>
      </c>
      <c r="L11">
        <v>367.51990000000001</v>
      </c>
      <c r="M11">
        <v>0.99999150000000003</v>
      </c>
      <c r="N11">
        <v>0</v>
      </c>
      <c r="O11" s="1">
        <v>-1.3054580000000001E-5</v>
      </c>
      <c r="P11">
        <v>0.99910469999999896</v>
      </c>
      <c r="Q11">
        <v>2.711599E-2</v>
      </c>
      <c r="R11">
        <v>3.247481E-2</v>
      </c>
      <c r="S11">
        <v>3.017334</v>
      </c>
      <c r="T11">
        <v>-0.50494510000000004</v>
      </c>
      <c r="U11">
        <v>-3.6590579999999998E-2</v>
      </c>
      <c r="V11">
        <v>-3.2486599999999997E-2</v>
      </c>
      <c r="W11">
        <v>3.124617E-2</v>
      </c>
      <c r="X11">
        <v>0.99898359999999997</v>
      </c>
      <c r="Y11">
        <v>1.194692E-2</v>
      </c>
      <c r="Z11">
        <v>-9.9053899999999992E-4</v>
      </c>
      <c r="AA11">
        <v>0.99992809999999999</v>
      </c>
      <c r="AB11">
        <v>2</v>
      </c>
      <c r="AC11">
        <v>0.65939999999994803</v>
      </c>
      <c r="AD11">
        <v>-0.1191931</v>
      </c>
      <c r="AE11">
        <v>-9.0999999999894499E-3</v>
      </c>
      <c r="AF11">
        <v>8.8037901206360798E-3</v>
      </c>
      <c r="AG11">
        <v>-0.1191931</v>
      </c>
      <c r="AH11">
        <v>0.63854032688301599</v>
      </c>
      <c r="AI11">
        <v>100.572446368236</v>
      </c>
      <c r="AJ11">
        <v>89.210092083373397</v>
      </c>
      <c r="AK11">
        <v>0.64962931804527302</v>
      </c>
      <c r="AL11">
        <v>88.209434832857099</v>
      </c>
      <c r="AM11">
        <v>91.862582474170594</v>
      </c>
      <c r="AN11">
        <v>0.99999996769409305</v>
      </c>
    </row>
    <row r="12" spans="1:40" x14ac:dyDescent="0.3">
      <c r="A12" t="str">
        <f>"20200111153827822"</f>
        <v>20200111153827822</v>
      </c>
      <c r="B12" t="str">
        <f>"1578728307820061"</f>
        <v>1578728307820061</v>
      </c>
      <c r="C12" t="s">
        <v>40</v>
      </c>
      <c r="D12">
        <v>5.5346630000000001</v>
      </c>
      <c r="E12">
        <v>0.51731919999999998</v>
      </c>
      <c r="F12" t="s">
        <v>41</v>
      </c>
      <c r="G12">
        <v>-476.20229999999998</v>
      </c>
      <c r="H12">
        <v>0.98722840000000001</v>
      </c>
      <c r="I12">
        <v>367.50979999999998</v>
      </c>
      <c r="J12">
        <v>-476.8877</v>
      </c>
      <c r="K12">
        <v>1.103669</v>
      </c>
      <c r="L12">
        <v>367.51990000000001</v>
      </c>
      <c r="M12">
        <v>0.99999099999999996</v>
      </c>
      <c r="N12">
        <v>0</v>
      </c>
      <c r="O12" s="1">
        <v>-1.207613E-5</v>
      </c>
      <c r="P12">
        <v>0.99913339999999995</v>
      </c>
      <c r="Q12">
        <v>2.6690470000000001E-2</v>
      </c>
      <c r="R12">
        <v>3.1937449999999999E-2</v>
      </c>
      <c r="S12">
        <v>3.017487</v>
      </c>
      <c r="T12">
        <v>-0.49611430000000001</v>
      </c>
      <c r="U12">
        <v>-4.2114260000000001E-2</v>
      </c>
      <c r="V12">
        <v>-3.1948650000000002E-2</v>
      </c>
      <c r="W12">
        <v>3.0922080000000001E-2</v>
      </c>
      <c r="X12">
        <v>0.99901099999999998</v>
      </c>
      <c r="Y12">
        <v>1.375878E-2</v>
      </c>
      <c r="Z12">
        <v>-1.121494E-3</v>
      </c>
      <c r="AA12">
        <v>0.99990469999999998</v>
      </c>
      <c r="AB12">
        <v>3</v>
      </c>
      <c r="AC12">
        <v>0.685400000000015</v>
      </c>
      <c r="AD12">
        <v>-0.11644059999999901</v>
      </c>
      <c r="AE12">
        <v>-1.01000000000226E-2</v>
      </c>
      <c r="AF12">
        <v>9.8086897518885694E-3</v>
      </c>
      <c r="AG12">
        <v>-0.11644059999999901</v>
      </c>
      <c r="AH12">
        <v>0.66617734040718801</v>
      </c>
      <c r="AI12">
        <v>99.913472467239899</v>
      </c>
      <c r="AJ12">
        <v>89.156446963133803</v>
      </c>
      <c r="AK12">
        <v>0.67634818887537795</v>
      </c>
      <c r="AL12">
        <v>88.228012741625406</v>
      </c>
      <c r="AM12">
        <v>91.831710702147504</v>
      </c>
      <c r="AN12">
        <v>0.99999993469467197</v>
      </c>
    </row>
    <row r="13" spans="1:40" x14ac:dyDescent="0.3">
      <c r="A13" t="str">
        <f>"20200111153827845"</f>
        <v>20200111153827845</v>
      </c>
      <c r="B13" t="str">
        <f>"1578728307840557"</f>
        <v>1578728307840557</v>
      </c>
      <c r="C13" t="s">
        <v>40</v>
      </c>
      <c r="D13">
        <v>5.5618720000000001</v>
      </c>
      <c r="E13">
        <v>0.51773729999999996</v>
      </c>
      <c r="F13" t="s">
        <v>41</v>
      </c>
      <c r="G13">
        <v>-476.17660000000001</v>
      </c>
      <c r="H13">
        <v>0.98690310000000003</v>
      </c>
      <c r="I13">
        <v>367.50889999999998</v>
      </c>
      <c r="J13">
        <v>-476.85750000000002</v>
      </c>
      <c r="K13">
        <v>1.103567</v>
      </c>
      <c r="L13">
        <v>367.51990000000001</v>
      </c>
      <c r="M13">
        <v>0.99999320000000003</v>
      </c>
      <c r="N13">
        <v>0</v>
      </c>
      <c r="O13" s="1">
        <v>-1.203915E-5</v>
      </c>
      <c r="P13">
        <v>0.99912630000000002</v>
      </c>
      <c r="Q13">
        <v>2.6771119999999999E-2</v>
      </c>
      <c r="R13">
        <v>3.2095029999999997E-2</v>
      </c>
      <c r="S13">
        <v>3.0173030000000001</v>
      </c>
      <c r="T13">
        <v>-0.4955949</v>
      </c>
      <c r="U13">
        <v>-4.5898439999999999E-2</v>
      </c>
      <c r="V13">
        <v>-3.2105830000000002E-2</v>
      </c>
      <c r="W13">
        <v>3.0447849999999999E-2</v>
      </c>
      <c r="X13">
        <v>0.99902060000000004</v>
      </c>
      <c r="Y13">
        <v>1.49972E-2</v>
      </c>
      <c r="Z13">
        <v>-1.2214210000000001E-3</v>
      </c>
      <c r="AA13">
        <v>0.99988679999999996</v>
      </c>
      <c r="AB13">
        <v>3</v>
      </c>
      <c r="AC13">
        <v>0.68090000000000805</v>
      </c>
      <c r="AD13">
        <v>-0.1166639</v>
      </c>
      <c r="AE13">
        <v>-1.10000000000241E-2</v>
      </c>
      <c r="AF13">
        <v>1.06784022925676E-2</v>
      </c>
      <c r="AG13">
        <v>-0.1166639</v>
      </c>
      <c r="AH13">
        <v>0.66148618879712195</v>
      </c>
      <c r="AI13">
        <v>100.000910554838</v>
      </c>
      <c r="AJ13">
        <v>89.075151900388605</v>
      </c>
      <c r="AK13">
        <v>0.67178007696572395</v>
      </c>
      <c r="AL13">
        <v>88.255197049223895</v>
      </c>
      <c r="AM13">
        <v>91.840698436682104</v>
      </c>
      <c r="AN13">
        <v>1.0000000075569799</v>
      </c>
    </row>
    <row r="14" spans="1:40" x14ac:dyDescent="0.3">
      <c r="A14" t="str">
        <f>"20200111153827866"</f>
        <v>20200111153827866</v>
      </c>
      <c r="B14" t="str">
        <f>"1578728307860076"</f>
        <v>1578728307860076</v>
      </c>
      <c r="C14" t="s">
        <v>40</v>
      </c>
      <c r="D14">
        <v>5.5584870000000004</v>
      </c>
      <c r="E14">
        <v>0.51806179999999902</v>
      </c>
      <c r="F14" t="s">
        <v>41</v>
      </c>
      <c r="G14">
        <v>-476.14789999999999</v>
      </c>
      <c r="H14">
        <v>0.98671410000000004</v>
      </c>
      <c r="I14">
        <v>367.50810000000001</v>
      </c>
      <c r="J14">
        <v>-476.82510000000002</v>
      </c>
      <c r="K14">
        <v>1.1034010000000001</v>
      </c>
      <c r="L14">
        <v>367.51990000000001</v>
      </c>
      <c r="M14">
        <v>0.99999579999999999</v>
      </c>
      <c r="N14">
        <v>0</v>
      </c>
      <c r="O14" s="1">
        <v>-1.274083E-5</v>
      </c>
      <c r="P14">
        <v>0.99909150000000002</v>
      </c>
      <c r="Q14">
        <v>2.7556850000000001E-2</v>
      </c>
      <c r="R14">
        <v>3.2510459999999998E-2</v>
      </c>
      <c r="S14">
        <v>3.017487</v>
      </c>
      <c r="T14">
        <v>-0.49706070000000002</v>
      </c>
      <c r="U14">
        <v>-4.8095699999999998E-2</v>
      </c>
      <c r="V14">
        <v>-3.2522189999999999E-2</v>
      </c>
      <c r="W14">
        <v>3.0436410000000001E-2</v>
      </c>
      <c r="X14">
        <v>0.99900750000000005</v>
      </c>
      <c r="Y14">
        <v>1.57127E-2</v>
      </c>
      <c r="Z14">
        <v>-1.283324E-3</v>
      </c>
      <c r="AA14">
        <v>0.99987570000000003</v>
      </c>
      <c r="AB14">
        <v>3</v>
      </c>
      <c r="AC14">
        <v>0.677200000000027</v>
      </c>
      <c r="AD14">
        <v>-0.1166869</v>
      </c>
      <c r="AE14">
        <v>-1.17999999999938E-2</v>
      </c>
      <c r="AF14">
        <v>1.14514805291107E-2</v>
      </c>
      <c r="AG14">
        <v>-0.1166869</v>
      </c>
      <c r="AH14">
        <v>0.65767956596024002</v>
      </c>
      <c r="AI14">
        <v>100.059349536996</v>
      </c>
      <c r="AJ14">
        <v>89.002469830627305</v>
      </c>
      <c r="AK14">
        <v>0.66804893572220303</v>
      </c>
      <c r="AL14">
        <v>88.255852849872596</v>
      </c>
      <c r="AM14">
        <v>91.864576969691498</v>
      </c>
      <c r="AN14">
        <v>1.0000000264761599</v>
      </c>
    </row>
    <row r="15" spans="1:40" x14ac:dyDescent="0.3">
      <c r="A15" t="str">
        <f>"20200111153827890"</f>
        <v>20200111153827890</v>
      </c>
      <c r="B15" t="str">
        <f>"1578728307880573"</f>
        <v>1578728307880573</v>
      </c>
      <c r="C15" t="s">
        <v>40</v>
      </c>
      <c r="D15">
        <v>5.5483669999999998</v>
      </c>
      <c r="E15">
        <v>0.51831050000000001</v>
      </c>
      <c r="F15" t="s">
        <v>41</v>
      </c>
      <c r="G15">
        <v>-476.11649999999997</v>
      </c>
      <c r="H15">
        <v>0.98688719999999996</v>
      </c>
      <c r="I15">
        <v>367.50819999999999</v>
      </c>
      <c r="J15">
        <v>-476.7867</v>
      </c>
      <c r="K15">
        <v>1.1032630000000001</v>
      </c>
      <c r="L15">
        <v>367.51990000000001</v>
      </c>
      <c r="M15">
        <v>0.9999979</v>
      </c>
      <c r="N15">
        <v>0</v>
      </c>
      <c r="O15" s="1">
        <v>-1.351381E-5</v>
      </c>
      <c r="P15">
        <v>0.99906649999999997</v>
      </c>
      <c r="Q15">
        <v>2.8690810000000001E-2</v>
      </c>
      <c r="R15">
        <v>3.2297609999999997E-2</v>
      </c>
      <c r="S15">
        <v>3.018005</v>
      </c>
      <c r="T15">
        <v>-0.4962626</v>
      </c>
      <c r="U15">
        <v>-4.9163819999999997E-2</v>
      </c>
      <c r="V15">
        <v>-3.2309879999999999E-2</v>
      </c>
      <c r="W15">
        <v>3.0764320000000001E-2</v>
      </c>
      <c r="X15">
        <v>0.99900429999999996</v>
      </c>
      <c r="Y15">
        <v>1.605908E-2</v>
      </c>
      <c r="Z15">
        <v>-1.30923E-3</v>
      </c>
      <c r="AA15">
        <v>0.99987020000000004</v>
      </c>
      <c r="AB15">
        <v>3</v>
      </c>
      <c r="AC15">
        <v>0.670200000000022</v>
      </c>
      <c r="AD15">
        <v>-0.116375799999999</v>
      </c>
      <c r="AE15">
        <v>-1.17000000000189E-2</v>
      </c>
      <c r="AF15">
        <v>1.1348856260729401E-2</v>
      </c>
      <c r="AG15">
        <v>-0.116375799999999</v>
      </c>
      <c r="AH15">
        <v>0.65058954129843705</v>
      </c>
      <c r="AI15">
        <v>100.140152170052</v>
      </c>
      <c r="AJ15">
        <v>89.000636219232803</v>
      </c>
      <c r="AK15">
        <v>0.66101352074747899</v>
      </c>
      <c r="AL15">
        <v>88.237056109549997</v>
      </c>
      <c r="AM15">
        <v>91.852419154121506</v>
      </c>
      <c r="AN15">
        <v>0.99999998157458303</v>
      </c>
    </row>
    <row r="16" spans="1:40" x14ac:dyDescent="0.3">
      <c r="A16" t="str">
        <f>"20200111153827936"</f>
        <v>20200111153827936</v>
      </c>
      <c r="B16" t="str">
        <f>"1578728307930349"</f>
        <v>1578728307930349</v>
      </c>
      <c r="C16" t="s">
        <v>40</v>
      </c>
      <c r="D16">
        <v>5.5049330000000003</v>
      </c>
      <c r="E16">
        <v>0.51874770000000003</v>
      </c>
      <c r="F16" t="s">
        <v>41</v>
      </c>
      <c r="G16">
        <v>-476.08240000000001</v>
      </c>
      <c r="H16">
        <v>0.98822330000000003</v>
      </c>
      <c r="I16">
        <v>367.50740000000002</v>
      </c>
      <c r="J16">
        <v>-476.70429999999999</v>
      </c>
      <c r="K16">
        <v>1.1031340000000001</v>
      </c>
      <c r="L16">
        <v>367.51979999999998</v>
      </c>
      <c r="M16">
        <v>0.99999970000000005</v>
      </c>
      <c r="N16">
        <v>0</v>
      </c>
      <c r="O16" s="1">
        <v>-1.5477379999999899E-5</v>
      </c>
      <c r="P16">
        <v>0.9990348</v>
      </c>
      <c r="Q16">
        <v>3.0786210000000001E-2</v>
      </c>
      <c r="R16">
        <v>3.1338270000000001E-2</v>
      </c>
      <c r="S16">
        <v>3.0186769999999998</v>
      </c>
      <c r="T16">
        <v>-0.49331029999999998</v>
      </c>
      <c r="U16">
        <v>-5.160522E-2</v>
      </c>
      <c r="V16">
        <v>-3.1352909999999998E-2</v>
      </c>
      <c r="W16">
        <v>3.1683219999999998E-2</v>
      </c>
      <c r="X16">
        <v>0.99900610000000001</v>
      </c>
      <c r="Y16">
        <v>1.6854040000000001E-2</v>
      </c>
      <c r="Z16">
        <v>-1.365455E-3</v>
      </c>
      <c r="AA16">
        <v>0.999857</v>
      </c>
      <c r="AB16">
        <v>4</v>
      </c>
      <c r="AC16">
        <v>0.62189999999998202</v>
      </c>
      <c r="AD16">
        <v>-0.1149107</v>
      </c>
      <c r="AE16">
        <v>-1.23999999999568E-2</v>
      </c>
      <c r="AF16">
        <v>1.1981474281054699E-2</v>
      </c>
      <c r="AG16">
        <v>-0.1149107</v>
      </c>
      <c r="AH16">
        <v>0.60137658357632195</v>
      </c>
      <c r="AI16">
        <v>100.81555191381101</v>
      </c>
      <c r="AJ16">
        <v>88.858623503194906</v>
      </c>
      <c r="AK16">
        <v>0.61237392169683902</v>
      </c>
      <c r="AL16">
        <v>88.184381382645697</v>
      </c>
      <c r="AM16">
        <v>91.797586596368603</v>
      </c>
      <c r="AN16">
        <v>1.0000000096161199</v>
      </c>
    </row>
    <row r="17" spans="1:40" x14ac:dyDescent="0.3">
      <c r="A17" t="str">
        <f>"20200111153827956"</f>
        <v>20200111153827956</v>
      </c>
      <c r="B17" t="str">
        <f>"1578728307949868"</f>
        <v>1578728307949868</v>
      </c>
      <c r="C17" t="s">
        <v>40</v>
      </c>
      <c r="D17">
        <v>5.8994429999999998</v>
      </c>
      <c r="E17">
        <v>0.5249009</v>
      </c>
      <c r="F17" t="s">
        <v>41</v>
      </c>
      <c r="G17">
        <v>-475.97039999999998</v>
      </c>
      <c r="H17">
        <v>0.98462989999999995</v>
      </c>
      <c r="I17">
        <v>367.50580000000002</v>
      </c>
      <c r="J17">
        <v>-476.66090000000003</v>
      </c>
      <c r="K17">
        <v>1.1030850000000001</v>
      </c>
      <c r="L17">
        <v>367.51979999999998</v>
      </c>
      <c r="M17">
        <v>0.99999990000000005</v>
      </c>
      <c r="N17">
        <v>0</v>
      </c>
      <c r="O17" s="1">
        <v>-1.6854000000000002E-5</v>
      </c>
      <c r="P17">
        <v>0.99903350000000002</v>
      </c>
      <c r="Q17">
        <v>3.1907709999999999E-2</v>
      </c>
      <c r="R17">
        <v>3.0233369999999999E-2</v>
      </c>
      <c r="S17">
        <v>3.019714</v>
      </c>
      <c r="T17">
        <v>-0.48769020000000002</v>
      </c>
      <c r="U17">
        <v>-5.7495119999999997E-2</v>
      </c>
      <c r="V17">
        <v>-3.0249040000000001E-2</v>
      </c>
      <c r="W17">
        <v>3.229659E-2</v>
      </c>
      <c r="X17">
        <v>0.99902049999999998</v>
      </c>
      <c r="Y17">
        <v>1.8776629999999999E-2</v>
      </c>
      <c r="Z17">
        <v>-1.503634E-3</v>
      </c>
      <c r="AA17">
        <v>0.99982260000000001</v>
      </c>
      <c r="AB17">
        <v>4</v>
      </c>
      <c r="AC17">
        <v>0.69050000000004197</v>
      </c>
      <c r="AD17">
        <v>-0.11845509999999999</v>
      </c>
      <c r="AE17">
        <v>-1.39999999999531E-2</v>
      </c>
      <c r="AF17">
        <v>1.3588622768354101E-2</v>
      </c>
      <c r="AG17">
        <v>-0.11845509999999999</v>
      </c>
      <c r="AH17">
        <v>0.67076810127791497</v>
      </c>
      <c r="AI17">
        <v>100.01294664769399</v>
      </c>
      <c r="AJ17">
        <v>88.839443541526705</v>
      </c>
      <c r="AK17">
        <v>0.68128269248288598</v>
      </c>
      <c r="AL17">
        <v>88.149219887479802</v>
      </c>
      <c r="AM17">
        <v>91.734311727781801</v>
      </c>
      <c r="AN17">
        <v>1.00000001678339</v>
      </c>
    </row>
    <row r="18" spans="1:40" x14ac:dyDescent="0.3">
      <c r="A18" t="str">
        <f>"20200111153828069"</f>
        <v>20200111153828069</v>
      </c>
      <c r="B18" t="str">
        <f>"1578728308059963"</f>
        <v>1578728308059963</v>
      </c>
      <c r="C18" t="s">
        <v>40</v>
      </c>
      <c r="D18">
        <v>5.124994</v>
      </c>
      <c r="E18">
        <v>0.54254159999999996</v>
      </c>
      <c r="F18" t="s">
        <v>41</v>
      </c>
      <c r="G18">
        <v>-475.9221</v>
      </c>
      <c r="H18">
        <v>0.99735689999999999</v>
      </c>
      <c r="I18">
        <v>367.49299999999999</v>
      </c>
      <c r="J18">
        <v>-476.3877</v>
      </c>
      <c r="K18">
        <v>1.102878</v>
      </c>
      <c r="L18">
        <v>367.51979999999998</v>
      </c>
      <c r="M18">
        <v>0.99999850000000001</v>
      </c>
      <c r="N18">
        <v>0</v>
      </c>
      <c r="O18" s="1">
        <v>-2.575936E-5</v>
      </c>
      <c r="P18">
        <v>0.99911660000000002</v>
      </c>
      <c r="Q18">
        <v>3.2981839999999998E-2</v>
      </c>
      <c r="R18">
        <v>2.6037890000000001E-2</v>
      </c>
      <c r="S18">
        <v>3.0200809999999998</v>
      </c>
      <c r="T18">
        <v>-0.43228879999999997</v>
      </c>
      <c r="U18">
        <v>-0.1091003</v>
      </c>
      <c r="V18">
        <v>-2.6062370000000001E-2</v>
      </c>
      <c r="W18">
        <v>3.12395E-2</v>
      </c>
      <c r="X18">
        <v>0.99917210000000001</v>
      </c>
      <c r="Y18">
        <v>3.5712430000000003E-2</v>
      </c>
      <c r="Z18">
        <v>-2.538462E-3</v>
      </c>
      <c r="AA18">
        <v>0.99935890000000005</v>
      </c>
      <c r="AB18">
        <v>6</v>
      </c>
      <c r="AC18">
        <v>0.46559999999999402</v>
      </c>
      <c r="AD18">
        <v>-0.10552110000000001</v>
      </c>
      <c r="AE18">
        <v>-2.6799999999923298E-2</v>
      </c>
      <c r="AF18">
        <v>2.5483417074272499E-2</v>
      </c>
      <c r="AG18">
        <v>-0.10552110000000001</v>
      </c>
      <c r="AH18">
        <v>0.44292570318755398</v>
      </c>
      <c r="AI18">
        <v>103.378833189853</v>
      </c>
      <c r="AJ18">
        <v>86.707157962675893</v>
      </c>
      <c r="AK18">
        <v>0.456034303134293</v>
      </c>
      <c r="AL18">
        <v>88.209817275063301</v>
      </c>
      <c r="AM18">
        <v>91.494162301355203</v>
      </c>
      <c r="AN18">
        <v>1.0000000194543299</v>
      </c>
    </row>
    <row r="19" spans="1:40" x14ac:dyDescent="0.3">
      <c r="A19" t="str">
        <f>"20200111153828090"</f>
        <v>20200111153828090</v>
      </c>
      <c r="B19" t="str">
        <f>"1578728308079998"</f>
        <v>1578728308079998</v>
      </c>
      <c r="C19" t="s">
        <v>40</v>
      </c>
      <c r="D19">
        <v>5.4603719999999996</v>
      </c>
      <c r="E19">
        <v>0.54270390000000002</v>
      </c>
      <c r="F19" t="s">
        <v>41</v>
      </c>
      <c r="G19">
        <v>-475.73899999999998</v>
      </c>
      <c r="H19">
        <v>0.84695699999999996</v>
      </c>
      <c r="I19">
        <v>367.46440000000001</v>
      </c>
      <c r="J19">
        <v>-476.327</v>
      </c>
      <c r="K19">
        <v>1.1028450000000001</v>
      </c>
      <c r="L19">
        <v>367.51979999999998</v>
      </c>
      <c r="M19">
        <v>0.9999981</v>
      </c>
      <c r="N19">
        <v>0</v>
      </c>
      <c r="O19" s="1">
        <v>-2.80558E-5</v>
      </c>
      <c r="P19">
        <v>0.99915180000000003</v>
      </c>
      <c r="Q19">
        <v>3.2169749999999997E-2</v>
      </c>
      <c r="R19">
        <v>2.5712200000000001E-2</v>
      </c>
      <c r="S19">
        <v>3.0491329999999999</v>
      </c>
      <c r="T19">
        <v>-1.2026619999999999</v>
      </c>
      <c r="U19">
        <v>-0.26043699999999997</v>
      </c>
      <c r="V19">
        <v>-2.573926E-2</v>
      </c>
      <c r="W19">
        <v>3.0135660000000002E-2</v>
      </c>
      <c r="X19">
        <v>0.99921439999999995</v>
      </c>
      <c r="Y19">
        <v>7.9182459999999996E-2</v>
      </c>
      <c r="Z19">
        <v>-1.5016430000000001E-2</v>
      </c>
      <c r="AA19">
        <v>0.99674700000000005</v>
      </c>
      <c r="AB19">
        <v>6</v>
      </c>
      <c r="AC19">
        <v>0.587999999999965</v>
      </c>
      <c r="AD19">
        <v>-0.255888</v>
      </c>
      <c r="AE19">
        <v>-5.5399999999963201E-2</v>
      </c>
      <c r="AF19">
        <v>4.6630161180775502E-2</v>
      </c>
      <c r="AG19">
        <v>-0.255888</v>
      </c>
      <c r="AH19">
        <v>0.49506812837312902</v>
      </c>
      <c r="AI19">
        <v>117.23020086248501</v>
      </c>
      <c r="AJ19">
        <v>84.619220564134295</v>
      </c>
      <c r="AK19">
        <v>0.55923652617351205</v>
      </c>
      <c r="AL19">
        <v>88.273092490849393</v>
      </c>
      <c r="AM19">
        <v>91.475584123327906</v>
      </c>
      <c r="AN19">
        <v>1.0000000423381701</v>
      </c>
    </row>
    <row r="20" spans="1:40" x14ac:dyDescent="0.3">
      <c r="A20" t="str">
        <f>"20200111153828116"</f>
        <v>20200111153828116</v>
      </c>
      <c r="B20" t="str">
        <f>"1578728308110254"</f>
        <v>1578728308110254</v>
      </c>
      <c r="C20" t="s">
        <v>40</v>
      </c>
      <c r="D20">
        <v>8.4147090000000002</v>
      </c>
      <c r="E20">
        <v>0.53421229999999997</v>
      </c>
      <c r="F20" t="s">
        <v>41</v>
      </c>
      <c r="G20">
        <v>-475.67180000000002</v>
      </c>
      <c r="H20">
        <v>0.87398619999999905</v>
      </c>
      <c r="I20">
        <v>367.46269999999998</v>
      </c>
      <c r="J20">
        <v>-476.25549999999998</v>
      </c>
      <c r="K20">
        <v>1.1028100000000001</v>
      </c>
      <c r="L20">
        <v>367.51979999999998</v>
      </c>
      <c r="M20">
        <v>0.99999729999999998</v>
      </c>
      <c r="N20">
        <v>0</v>
      </c>
      <c r="O20" s="1">
        <v>-3.064449E-5</v>
      </c>
      <c r="P20">
        <v>0.99914990000000004</v>
      </c>
      <c r="Q20">
        <v>3.2259299999999998E-2</v>
      </c>
      <c r="R20">
        <v>2.5669190000000001E-2</v>
      </c>
      <c r="S20">
        <v>3.0435180000000002</v>
      </c>
      <c r="T20">
        <v>-1.063161</v>
      </c>
      <c r="U20">
        <v>-0.26251219999999997</v>
      </c>
      <c r="V20">
        <v>-2.5698450000000001E-2</v>
      </c>
      <c r="W20">
        <v>2.9924039999999999E-2</v>
      </c>
      <c r="X20">
        <v>0.99922169999999999</v>
      </c>
      <c r="Y20">
        <v>8.1132010000000004E-2</v>
      </c>
      <c r="Z20">
        <v>-1.372897E-2</v>
      </c>
      <c r="AA20">
        <v>0.99660879999999996</v>
      </c>
      <c r="AB20">
        <v>6</v>
      </c>
      <c r="AC20">
        <v>0.58369999999996403</v>
      </c>
      <c r="AD20">
        <v>-0.22882379999999999</v>
      </c>
      <c r="AE20">
        <v>-5.7099999999991199E-2</v>
      </c>
      <c r="AF20">
        <v>4.95407576676926E-2</v>
      </c>
      <c r="AG20">
        <v>-0.22882379999999999</v>
      </c>
      <c r="AH20">
        <v>0.50658648633804804</v>
      </c>
      <c r="AI20">
        <v>114.206436878208</v>
      </c>
      <c r="AJ20">
        <v>84.414617524365497</v>
      </c>
      <c r="AK20">
        <v>0.55807211564192905</v>
      </c>
      <c r="AL20">
        <v>88.285222704957405</v>
      </c>
      <c r="AM20">
        <v>91.473234835149896</v>
      </c>
      <c r="AN20">
        <v>0.99999993212660399</v>
      </c>
    </row>
    <row r="21" spans="1:40" x14ac:dyDescent="0.3">
      <c r="A21" t="str">
        <f>"20200111153828138"</f>
        <v>20200111153828138</v>
      </c>
      <c r="B21" t="str">
        <f>"1578728308130752"</f>
        <v>1578728308130752</v>
      </c>
      <c r="C21" t="s">
        <v>40</v>
      </c>
      <c r="D21">
        <v>5.4584890000000001</v>
      </c>
      <c r="E21">
        <v>0.5326611</v>
      </c>
      <c r="F21" t="s">
        <v>41</v>
      </c>
      <c r="G21">
        <v>-475.54379999999998</v>
      </c>
      <c r="H21">
        <v>0.89137639999999996</v>
      </c>
      <c r="I21">
        <v>367.47399999999999</v>
      </c>
      <c r="J21">
        <v>-476.18290000000002</v>
      </c>
      <c r="K21">
        <v>1.1027819999999999</v>
      </c>
      <c r="L21">
        <v>367.51979999999998</v>
      </c>
      <c r="M21">
        <v>0.99999660000000001</v>
      </c>
      <c r="N21">
        <v>0</v>
      </c>
      <c r="O21" s="1">
        <v>-3.3106599999999999E-5</v>
      </c>
      <c r="P21">
        <v>0.99915069999999995</v>
      </c>
      <c r="Q21">
        <v>3.2503820000000003E-2</v>
      </c>
      <c r="R21">
        <v>2.5325110000000001E-2</v>
      </c>
      <c r="S21">
        <v>3.036591</v>
      </c>
      <c r="T21">
        <v>-0.90216419999999997</v>
      </c>
      <c r="U21">
        <v>-0.1940308</v>
      </c>
      <c r="V21">
        <v>-2.535683E-2</v>
      </c>
      <c r="W21">
        <v>2.990831E-2</v>
      </c>
      <c r="X21">
        <v>0.99923099999999998</v>
      </c>
      <c r="Y21">
        <v>6.1106590000000002E-2</v>
      </c>
      <c r="Z21">
        <v>-8.8672760000000003E-3</v>
      </c>
      <c r="AA21">
        <v>0.99809190000000003</v>
      </c>
      <c r="AB21">
        <v>7</v>
      </c>
      <c r="AC21">
        <v>0.63910000000004097</v>
      </c>
      <c r="AD21">
        <v>-0.211405599999999</v>
      </c>
      <c r="AE21">
        <v>-4.5799999999985602E-2</v>
      </c>
      <c r="AF21">
        <v>4.1284578056197598E-2</v>
      </c>
      <c r="AG21">
        <v>-0.211405599999999</v>
      </c>
      <c r="AH21">
        <v>0.57635876248664497</v>
      </c>
      <c r="AI21">
        <v>110.09543900862499</v>
      </c>
      <c r="AJ21">
        <v>85.902900971281397</v>
      </c>
      <c r="AK21">
        <v>0.61529356179938599</v>
      </c>
      <c r="AL21">
        <v>88.286124545167198</v>
      </c>
      <c r="AM21">
        <v>91.453645458373302</v>
      </c>
      <c r="AN21">
        <v>1.0000000335978501</v>
      </c>
    </row>
    <row r="22" spans="1:40" x14ac:dyDescent="0.3">
      <c r="A22" t="str">
        <f>"20200111153828158"</f>
        <v>20200111153828158</v>
      </c>
      <c r="B22" t="str">
        <f>"1578728308150270"</f>
        <v>1578728308150270</v>
      </c>
      <c r="C22" t="s">
        <v>40</v>
      </c>
      <c r="D22">
        <v>5.7209820000000002</v>
      </c>
      <c r="E22">
        <v>0.50238209999999905</v>
      </c>
      <c r="F22" t="s">
        <v>41</v>
      </c>
      <c r="G22">
        <v>-475.47579999999999</v>
      </c>
      <c r="H22">
        <v>0.90045259999999905</v>
      </c>
      <c r="I22">
        <v>367.47739999999999</v>
      </c>
      <c r="J22">
        <v>-476.12009999999998</v>
      </c>
      <c r="K22">
        <v>1.10276</v>
      </c>
      <c r="L22">
        <v>367.51979999999998</v>
      </c>
      <c r="M22">
        <v>0.99999610000000005</v>
      </c>
      <c r="N22">
        <v>0</v>
      </c>
      <c r="O22" s="1">
        <v>-3.5398519999999998E-5</v>
      </c>
      <c r="P22">
        <v>0.99914150000000002</v>
      </c>
      <c r="Q22">
        <v>3.2867420000000001E-2</v>
      </c>
      <c r="R22">
        <v>2.5225029999999999E-2</v>
      </c>
      <c r="S22">
        <v>3.0353699999999999</v>
      </c>
      <c r="T22">
        <v>-0.8686064</v>
      </c>
      <c r="U22">
        <v>-0.18212890000000001</v>
      </c>
      <c r="V22">
        <v>-2.5259509999999999E-2</v>
      </c>
      <c r="W22">
        <v>3.0072270000000002E-2</v>
      </c>
      <c r="X22">
        <v>0.99922849999999996</v>
      </c>
      <c r="Y22">
        <v>5.7558390000000001E-2</v>
      </c>
      <c r="Z22">
        <v>-8.0567119999999902E-3</v>
      </c>
      <c r="AA22">
        <v>0.99830960000000002</v>
      </c>
      <c r="AB22">
        <v>7</v>
      </c>
      <c r="AC22">
        <v>0.64429999999998699</v>
      </c>
      <c r="AD22">
        <v>-0.2023074</v>
      </c>
      <c r="AE22">
        <v>-4.23999999999864E-2</v>
      </c>
      <c r="AF22">
        <v>3.8588983965075298E-2</v>
      </c>
      <c r="AG22">
        <v>-0.2023074</v>
      </c>
      <c r="AH22">
        <v>0.58670569557397101</v>
      </c>
      <c r="AI22">
        <v>108.98709979098</v>
      </c>
      <c r="AJ22">
        <v>86.236944783461695</v>
      </c>
      <c r="AK22">
        <v>0.62180460515917202</v>
      </c>
      <c r="AL22">
        <v>88.276726026349294</v>
      </c>
      <c r="AM22">
        <v>91.448072340696996</v>
      </c>
      <c r="AN22">
        <v>0.999999989740321</v>
      </c>
    </row>
    <row r="23" spans="1:40" x14ac:dyDescent="0.3">
      <c r="A23" t="str">
        <f>"20200111153828180"</f>
        <v>20200111153828180</v>
      </c>
      <c r="B23" t="str">
        <f>"1578728308170165"</f>
        <v>1578728308170165</v>
      </c>
      <c r="C23" t="s">
        <v>40</v>
      </c>
      <c r="D23">
        <v>5.4384790000000001</v>
      </c>
      <c r="E23">
        <v>0.50613180000000002</v>
      </c>
      <c r="F23" t="s">
        <v>41</v>
      </c>
      <c r="G23">
        <v>-475.37020000000001</v>
      </c>
      <c r="H23">
        <v>0.98418510000000003</v>
      </c>
      <c r="I23">
        <v>367.53370000000001</v>
      </c>
      <c r="J23">
        <v>-476.04360000000003</v>
      </c>
      <c r="K23">
        <v>1.102735</v>
      </c>
      <c r="L23">
        <v>367.51979999999998</v>
      </c>
      <c r="M23">
        <v>0.99999559999999998</v>
      </c>
      <c r="N23">
        <v>0</v>
      </c>
      <c r="O23" s="1">
        <v>-3.8090560000000001E-5</v>
      </c>
      <c r="P23">
        <v>0.99911729999999999</v>
      </c>
      <c r="Q23">
        <v>3.3422540000000001E-2</v>
      </c>
      <c r="R23">
        <v>2.5446659999999999E-2</v>
      </c>
      <c r="S23">
        <v>3.0168460000000001</v>
      </c>
      <c r="T23">
        <v>-0.47723779999999999</v>
      </c>
      <c r="U23">
        <v>5.825806E-2</v>
      </c>
      <c r="V23">
        <v>-2.5483189999999999E-2</v>
      </c>
      <c r="W23">
        <v>3.0413059999999999E-2</v>
      </c>
      <c r="X23">
        <v>0.99921249999999995</v>
      </c>
      <c r="Y23">
        <v>-1.9107409999999998E-2</v>
      </c>
      <c r="Z23">
        <v>1.507822E-3</v>
      </c>
      <c r="AA23">
        <v>0.99981629999999999</v>
      </c>
      <c r="AB23">
        <v>7</v>
      </c>
      <c r="AC23">
        <v>0.67340000000001499</v>
      </c>
      <c r="AD23">
        <v>-0.1185499</v>
      </c>
      <c r="AE23">
        <v>1.39000000000351E-2</v>
      </c>
      <c r="AF23">
        <v>-1.3507206897097199E-2</v>
      </c>
      <c r="AG23">
        <v>-0.1185499</v>
      </c>
      <c r="AH23">
        <v>0.65316489927777999</v>
      </c>
      <c r="AI23">
        <v>100.28508635253399</v>
      </c>
      <c r="AJ23">
        <v>91.184686528392106</v>
      </c>
      <c r="AK23">
        <v>0.66397357558619996</v>
      </c>
      <c r="AL23">
        <v>88.257191251302601</v>
      </c>
      <c r="AM23">
        <v>91.460913274771201</v>
      </c>
      <c r="AN23">
        <v>0.99999998367369403</v>
      </c>
    </row>
    <row r="24" spans="1:40" x14ac:dyDescent="0.3">
      <c r="A24" t="str">
        <f>"20200111153828205"</f>
        <v>20200111153828205</v>
      </c>
      <c r="B24" t="str">
        <f>"1578728308200421"</f>
        <v>1578728308200421</v>
      </c>
      <c r="C24" t="s">
        <v>40</v>
      </c>
      <c r="D24">
        <v>5.4961989999999998</v>
      </c>
      <c r="E24">
        <v>0.50471080000000001</v>
      </c>
      <c r="F24" t="s">
        <v>41</v>
      </c>
      <c r="G24">
        <v>-475.29570000000001</v>
      </c>
      <c r="H24">
        <v>0.99669580000000002</v>
      </c>
      <c r="I24">
        <v>367.52670000000001</v>
      </c>
      <c r="J24">
        <v>-475.95920000000001</v>
      </c>
      <c r="K24">
        <v>1.1027089999999999</v>
      </c>
      <c r="L24">
        <v>367.51979999999998</v>
      </c>
      <c r="M24">
        <v>0.99999479999999996</v>
      </c>
      <c r="N24">
        <v>0</v>
      </c>
      <c r="O24" s="1">
        <v>-4.0797519999999998E-5</v>
      </c>
      <c r="P24">
        <v>0.99910710000000003</v>
      </c>
      <c r="Q24">
        <v>3.3916630000000003E-2</v>
      </c>
      <c r="R24">
        <v>2.5200699999999999E-2</v>
      </c>
      <c r="S24">
        <v>3.016235</v>
      </c>
      <c r="T24">
        <v>-0.42770239999999998</v>
      </c>
      <c r="U24">
        <v>2.8839110000000001E-2</v>
      </c>
      <c r="V24">
        <v>-2.5240439999999999E-2</v>
      </c>
      <c r="W24">
        <v>3.0697120000000001E-2</v>
      </c>
      <c r="X24">
        <v>0.99921000000000004</v>
      </c>
      <c r="Y24">
        <v>-9.5061569999999995E-3</v>
      </c>
      <c r="Z24">
        <v>6.7637359999999996E-4</v>
      </c>
      <c r="AA24">
        <v>0.99995460000000003</v>
      </c>
      <c r="AB24">
        <v>7</v>
      </c>
      <c r="AC24">
        <v>0.66349999999999898</v>
      </c>
      <c r="AD24">
        <v>-0.106013199999999</v>
      </c>
      <c r="AE24">
        <v>6.9000000000300999E-3</v>
      </c>
      <c r="AF24">
        <v>-6.7546468769240104E-3</v>
      </c>
      <c r="AG24">
        <v>-0.106013199999999</v>
      </c>
      <c r="AH24">
        <v>0.64698447645249602</v>
      </c>
      <c r="AI24">
        <v>99.305144613672894</v>
      </c>
      <c r="AJ24">
        <v>90.598157625072702</v>
      </c>
      <c r="AK24">
        <v>0.65564726537916895</v>
      </c>
      <c r="AL24">
        <v>88.240908252806605</v>
      </c>
      <c r="AM24">
        <v>91.447006343250905</v>
      </c>
      <c r="AN24">
        <v>1.0000000085438401</v>
      </c>
    </row>
    <row r="25" spans="1:40" x14ac:dyDescent="0.3">
      <c r="A25" t="str">
        <f>"20200111153828226"</f>
        <v>20200111153828226</v>
      </c>
      <c r="B25" t="str">
        <f>"1578728308219940"</f>
        <v>1578728308219940</v>
      </c>
      <c r="C25" t="s">
        <v>40</v>
      </c>
      <c r="D25">
        <v>5.4363109999999999</v>
      </c>
      <c r="E25">
        <v>0.50312100000000004</v>
      </c>
      <c r="F25" t="s">
        <v>41</v>
      </c>
      <c r="G25">
        <v>-475.21640000000002</v>
      </c>
      <c r="H25">
        <v>1.013512</v>
      </c>
      <c r="I25">
        <v>367.52910000000003</v>
      </c>
      <c r="J25">
        <v>-475.8809</v>
      </c>
      <c r="K25">
        <v>1.1026849999999999</v>
      </c>
      <c r="L25">
        <v>367.51979999999998</v>
      </c>
      <c r="M25">
        <v>0.99999420000000006</v>
      </c>
      <c r="N25">
        <v>0</v>
      </c>
      <c r="O25" s="1">
        <v>-4.310798E-5</v>
      </c>
      <c r="P25">
        <v>0.99910069999999995</v>
      </c>
      <c r="Q25">
        <v>3.4172180000000003E-2</v>
      </c>
      <c r="R25">
        <v>2.5100620000000001E-2</v>
      </c>
      <c r="S25">
        <v>3.0139469999999999</v>
      </c>
      <c r="T25">
        <v>-0.36212109999999997</v>
      </c>
      <c r="U25">
        <v>3.924561E-2</v>
      </c>
      <c r="V25">
        <v>-2.5142230000000002E-2</v>
      </c>
      <c r="W25">
        <v>3.0779569999999999E-2</v>
      </c>
      <c r="X25">
        <v>0.99920989999999998</v>
      </c>
      <c r="Y25">
        <v>-1.296976E-2</v>
      </c>
      <c r="Z25">
        <v>7.8148490000000002E-4</v>
      </c>
      <c r="AA25">
        <v>0.99991560000000002</v>
      </c>
      <c r="AB25">
        <v>8</v>
      </c>
      <c r="AC25">
        <v>0.664499999999975</v>
      </c>
      <c r="AD25">
        <v>-8.9172999999999905E-2</v>
      </c>
      <c r="AE25">
        <v>9.3000000000529204E-3</v>
      </c>
      <c r="AF25">
        <v>-9.1636543454316592E-3</v>
      </c>
      <c r="AG25">
        <v>-8.9172999999999905E-2</v>
      </c>
      <c r="AH25">
        <v>0.65274692791185895</v>
      </c>
      <c r="AI25">
        <v>97.778373437396795</v>
      </c>
      <c r="AJ25">
        <v>90.804299811434106</v>
      </c>
      <c r="AK25">
        <v>0.65887354506637497</v>
      </c>
      <c r="AL25">
        <v>88.236181912655098</v>
      </c>
      <c r="AM25">
        <v>91.441378597208896</v>
      </c>
      <c r="AN25">
        <v>0.99999996895838295</v>
      </c>
    </row>
    <row r="26" spans="1:40" x14ac:dyDescent="0.3">
      <c r="A26" t="str">
        <f>"20200111153828249"</f>
        <v>20200111153828249</v>
      </c>
      <c r="B26" t="str">
        <f>"1578728308240437"</f>
        <v>1578728308240437</v>
      </c>
      <c r="C26" t="s">
        <v>40</v>
      </c>
      <c r="D26">
        <v>5.365729</v>
      </c>
      <c r="E26">
        <v>0.50485849999999999</v>
      </c>
      <c r="F26" t="s">
        <v>41</v>
      </c>
      <c r="G26">
        <v>-475.13799999999998</v>
      </c>
      <c r="H26">
        <v>1.02301</v>
      </c>
      <c r="I26">
        <v>367.53250000000003</v>
      </c>
      <c r="J26">
        <v>-475.79579999999999</v>
      </c>
      <c r="K26">
        <v>1.10266</v>
      </c>
      <c r="L26">
        <v>367.51979999999998</v>
      </c>
      <c r="M26">
        <v>0.99999380000000004</v>
      </c>
      <c r="N26">
        <v>0</v>
      </c>
      <c r="O26" s="1">
        <v>-4.5425569999999999E-5</v>
      </c>
      <c r="P26">
        <v>0.99909179999999997</v>
      </c>
      <c r="Q26">
        <v>3.4563249999999997E-2</v>
      </c>
      <c r="R26">
        <v>2.492405E-2</v>
      </c>
      <c r="S26">
        <v>3.012451</v>
      </c>
      <c r="T26">
        <v>-0.32320549999999998</v>
      </c>
      <c r="U26">
        <v>5.1696779999999998E-2</v>
      </c>
      <c r="V26">
        <v>-2.4968150000000001E-2</v>
      </c>
      <c r="W26">
        <v>3.1001190000000001E-2</v>
      </c>
      <c r="X26">
        <v>0.99920739999999997</v>
      </c>
      <c r="Y26">
        <v>-1.7105530000000001E-2</v>
      </c>
      <c r="Z26">
        <v>9.1979170000000001E-4</v>
      </c>
      <c r="AA26">
        <v>0.99985329999999994</v>
      </c>
      <c r="AB26">
        <v>8</v>
      </c>
      <c r="AC26">
        <v>0.65779999999995198</v>
      </c>
      <c r="AD26">
        <v>-7.9649999999999999E-2</v>
      </c>
      <c r="AE26">
        <v>1.27000000000521E-2</v>
      </c>
      <c r="AF26">
        <v>-1.25460041187415E-2</v>
      </c>
      <c r="AG26">
        <v>-7.9649999999999999E-2</v>
      </c>
      <c r="AH26">
        <v>0.64829782699516103</v>
      </c>
      <c r="AI26">
        <v>97.002971146106304</v>
      </c>
      <c r="AJ26">
        <v>91.108662314776694</v>
      </c>
      <c r="AK26">
        <v>0.65329288776627203</v>
      </c>
      <c r="AL26">
        <v>88.223477934625294</v>
      </c>
      <c r="AM26">
        <v>91.431406513320198</v>
      </c>
      <c r="AN26">
        <v>0.99999995525529795</v>
      </c>
    </row>
    <row r="27" spans="1:40" x14ac:dyDescent="0.3">
      <c r="A27" t="str">
        <f>"20200111153828270"</f>
        <v>20200111153828270</v>
      </c>
      <c r="B27" t="str">
        <f>"1578728308259957"</f>
        <v>1578728308259957</v>
      </c>
      <c r="C27" t="s">
        <v>40</v>
      </c>
      <c r="D27">
        <v>5.6406039999999997</v>
      </c>
      <c r="E27">
        <v>0.50351950000000001</v>
      </c>
      <c r="F27" t="s">
        <v>42</v>
      </c>
      <c r="G27">
        <v>-382.67880000000002</v>
      </c>
      <c r="H27" s="1">
        <v>-3.2940679999999999E-6</v>
      </c>
      <c r="I27">
        <v>368.6524</v>
      </c>
      <c r="J27">
        <v>-475.71210000000002</v>
      </c>
      <c r="K27">
        <v>1.1026320000000001</v>
      </c>
      <c r="L27">
        <v>367.51979999999998</v>
      </c>
      <c r="M27">
        <v>0.99999300000000002</v>
      </c>
      <c r="N27">
        <v>0</v>
      </c>
      <c r="O27" s="1">
        <v>-4.7482930000000001E-5</v>
      </c>
      <c r="P27">
        <v>0.99907860000000004</v>
      </c>
      <c r="Q27">
        <v>3.4888019999999999E-2</v>
      </c>
      <c r="R27">
        <v>2.49967E-2</v>
      </c>
      <c r="S27">
        <v>3.003082</v>
      </c>
      <c r="T27">
        <v>-3.5561559999999999E-2</v>
      </c>
      <c r="U27">
        <v>3.6529539999999999E-2</v>
      </c>
      <c r="V27">
        <v>-2.504282E-2</v>
      </c>
      <c r="W27">
        <v>3.1176590000000001E-2</v>
      </c>
      <c r="X27">
        <v>0.99920010000000004</v>
      </c>
      <c r="Y27">
        <v>-1.220974E-2</v>
      </c>
      <c r="Z27" s="1">
        <v>7.2848990000000006E-5</v>
      </c>
      <c r="AA27">
        <v>0.99992539999999996</v>
      </c>
      <c r="AB27">
        <v>8</v>
      </c>
      <c r="AC27">
        <v>93.033299999999997</v>
      </c>
      <c r="AD27">
        <v>-1.102635294068</v>
      </c>
      <c r="AE27">
        <v>1.13260000000002</v>
      </c>
      <c r="AF27">
        <v>-1.1368578513251999</v>
      </c>
      <c r="AG27">
        <v>-1.102635294068</v>
      </c>
      <c r="AH27">
        <v>93.020181406384793</v>
      </c>
      <c r="AI27">
        <v>90.6790856771796</v>
      </c>
      <c r="AJ27">
        <v>90.700212716794297</v>
      </c>
      <c r="AK27">
        <v>93.033662720773194</v>
      </c>
      <c r="AL27">
        <v>88.213423440709306</v>
      </c>
      <c r="AM27">
        <v>91.435695987541493</v>
      </c>
      <c r="AN27">
        <v>0.99999998121879496</v>
      </c>
    </row>
    <row r="28" spans="1:40" x14ac:dyDescent="0.3">
      <c r="A28" t="str">
        <f>"20200111153828292"</f>
        <v>20200111153828292</v>
      </c>
      <c r="B28" t="str">
        <f>"1578728308290770"</f>
        <v>1578728308290770</v>
      </c>
      <c r="C28" t="s">
        <v>40</v>
      </c>
      <c r="D28">
        <v>4.6871999999999998</v>
      </c>
      <c r="E28">
        <v>0.51764259999999995</v>
      </c>
      <c r="F28" t="s">
        <v>43</v>
      </c>
      <c r="G28">
        <v>-412.26010000000002</v>
      </c>
      <c r="H28">
        <v>-0.05</v>
      </c>
      <c r="I28">
        <v>368.5256</v>
      </c>
      <c r="J28">
        <v>-475.6234</v>
      </c>
      <c r="K28">
        <v>1.102609</v>
      </c>
      <c r="L28">
        <v>367.51979999999998</v>
      </c>
      <c r="M28">
        <v>0.99999249999999995</v>
      </c>
      <c r="N28">
        <v>0</v>
      </c>
      <c r="O28" s="1">
        <v>-5.0015390000000002E-5</v>
      </c>
      <c r="P28">
        <v>0.99907769999999996</v>
      </c>
      <c r="Q28">
        <v>3.4907019999999997E-2</v>
      </c>
      <c r="R28">
        <v>2.5003310000000001E-2</v>
      </c>
      <c r="S28">
        <v>3.003479</v>
      </c>
      <c r="T28">
        <v>-5.4559469999999999E-2</v>
      </c>
      <c r="U28">
        <v>4.7607419999999998E-2</v>
      </c>
      <c r="V28">
        <v>-2.505197E-2</v>
      </c>
      <c r="W28">
        <v>3.105219E-2</v>
      </c>
      <c r="X28">
        <v>0.99920370000000003</v>
      </c>
      <c r="Y28">
        <v>-1.5896150000000001E-2</v>
      </c>
      <c r="Z28">
        <v>1.4526759999999999E-4</v>
      </c>
      <c r="AA28">
        <v>0.99987360000000003</v>
      </c>
      <c r="AB28">
        <v>9</v>
      </c>
      <c r="AC28">
        <v>63.363299999999903</v>
      </c>
      <c r="AD28">
        <v>-1.152609</v>
      </c>
      <c r="AE28">
        <v>1.00580000000002</v>
      </c>
      <c r="AF28">
        <v>-1.00863549565737</v>
      </c>
      <c r="AG28">
        <v>-1.152609</v>
      </c>
      <c r="AH28">
        <v>63.342295331190201</v>
      </c>
      <c r="AI28">
        <v>91.042336328717795</v>
      </c>
      <c r="AJ28">
        <v>90.912276275266393</v>
      </c>
      <c r="AK28">
        <v>63.3608098977097</v>
      </c>
      <c r="AL28">
        <v>88.220554409567896</v>
      </c>
      <c r="AM28">
        <v>91.436215161778804</v>
      </c>
      <c r="AN28">
        <v>0.99999993689918099</v>
      </c>
    </row>
    <row r="29" spans="1:40" x14ac:dyDescent="0.3">
      <c r="A29" t="str">
        <f>"20200111153828315"</f>
        <v>20200111153828315</v>
      </c>
      <c r="B29" t="str">
        <f>"1578728308310290"</f>
        <v>1578728308310290</v>
      </c>
      <c r="C29" t="s">
        <v>40</v>
      </c>
      <c r="D29">
        <v>5.0514640000000002</v>
      </c>
      <c r="E29">
        <v>0.5137022</v>
      </c>
      <c r="F29" t="s">
        <v>41</v>
      </c>
      <c r="G29">
        <v>-474.9203</v>
      </c>
      <c r="H29">
        <v>0.98363330000000004</v>
      </c>
      <c r="I29">
        <v>367.50459999999998</v>
      </c>
      <c r="J29">
        <v>-475.52969999999999</v>
      </c>
      <c r="K29">
        <v>1.1025849999999999</v>
      </c>
      <c r="L29">
        <v>367.51979999999998</v>
      </c>
      <c r="M29">
        <v>0.99999210000000005</v>
      </c>
      <c r="N29">
        <v>0</v>
      </c>
      <c r="O29" s="1">
        <v>-5.2542910000000002E-5</v>
      </c>
      <c r="P29">
        <v>0.99908070000000004</v>
      </c>
      <c r="Q29">
        <v>3.5168430000000001E-2</v>
      </c>
      <c r="R29">
        <v>2.4516639999999999E-2</v>
      </c>
      <c r="S29">
        <v>3.0222470000000001</v>
      </c>
      <c r="T29">
        <v>-0.51156999999999997</v>
      </c>
      <c r="U29">
        <v>-6.3476560000000001E-2</v>
      </c>
      <c r="V29">
        <v>-2.4568260000000001E-2</v>
      </c>
      <c r="W29">
        <v>3.117849E-2</v>
      </c>
      <c r="X29">
        <v>0.99921179999999998</v>
      </c>
      <c r="Y29">
        <v>2.0653029999999999E-2</v>
      </c>
      <c r="Z29">
        <v>-1.7265879999999901E-3</v>
      </c>
      <c r="AA29">
        <v>0.99978520000000004</v>
      </c>
      <c r="AB29">
        <v>9</v>
      </c>
      <c r="AC29">
        <v>0.60939999999999295</v>
      </c>
      <c r="AD29">
        <v>-0.11895169999999899</v>
      </c>
      <c r="AE29">
        <v>-1.51999999999929E-2</v>
      </c>
      <c r="AF29">
        <v>1.46116092474386E-2</v>
      </c>
      <c r="AG29">
        <v>-0.11895169999999899</v>
      </c>
      <c r="AH29">
        <v>0.58704760210204099</v>
      </c>
      <c r="AI29">
        <v>101.451133767965</v>
      </c>
      <c r="AJ29">
        <v>88.574202975427994</v>
      </c>
      <c r="AK29">
        <v>0.59915598402373105</v>
      </c>
      <c r="AL29">
        <v>88.213314486869606</v>
      </c>
      <c r="AM29">
        <v>91.408484210659495</v>
      </c>
      <c r="AN29">
        <v>0.99999995944867204</v>
      </c>
    </row>
    <row r="30" spans="1:40" x14ac:dyDescent="0.3">
      <c r="A30" t="str">
        <f>"20200111153828335"</f>
        <v>20200111153828335</v>
      </c>
      <c r="B30" t="str">
        <f>"1578728308330786"</f>
        <v>1578728308330786</v>
      </c>
      <c r="C30" t="s">
        <v>40</v>
      </c>
      <c r="D30">
        <v>5.0356639999999997</v>
      </c>
      <c r="E30">
        <v>0.51923909999999995</v>
      </c>
      <c r="F30" t="s">
        <v>41</v>
      </c>
      <c r="G30">
        <v>-474.77080000000001</v>
      </c>
      <c r="H30">
        <v>0.93723140000000005</v>
      </c>
      <c r="I30">
        <v>367.51130000000001</v>
      </c>
      <c r="J30">
        <v>-475.43990000000002</v>
      </c>
      <c r="K30">
        <v>1.102562</v>
      </c>
      <c r="L30">
        <v>367.51979999999998</v>
      </c>
      <c r="M30">
        <v>0.99999170000000004</v>
      </c>
      <c r="N30">
        <v>0</v>
      </c>
      <c r="O30" s="1">
        <v>-5.503698E-5</v>
      </c>
      <c r="P30">
        <v>0.99907140000000005</v>
      </c>
      <c r="Q30">
        <v>3.5326570000000002E-2</v>
      </c>
      <c r="R30">
        <v>2.4678490000000001E-2</v>
      </c>
      <c r="S30">
        <v>3.026764</v>
      </c>
      <c r="T30">
        <v>-0.65955940000000002</v>
      </c>
      <c r="U30">
        <v>-3.3081050000000001E-2</v>
      </c>
      <c r="V30">
        <v>-2.4732130000000001E-2</v>
      </c>
      <c r="W30">
        <v>3.1222819999999998E-2</v>
      </c>
      <c r="X30">
        <v>0.99920640000000005</v>
      </c>
      <c r="Y30">
        <v>1.062579E-2</v>
      </c>
      <c r="Z30">
        <v>-1.1324149999999999E-3</v>
      </c>
      <c r="AA30">
        <v>0.99994289999999997</v>
      </c>
      <c r="AB30">
        <v>9</v>
      </c>
      <c r="AC30">
        <v>0.66910000000001402</v>
      </c>
      <c r="AD30">
        <v>-0.16533059999999999</v>
      </c>
      <c r="AE30">
        <v>-8.4999999999695302E-3</v>
      </c>
      <c r="AF30">
        <v>7.9762589521527004E-3</v>
      </c>
      <c r="AG30">
        <v>-0.16533059999999999</v>
      </c>
      <c r="AH30">
        <v>0.63060481941199098</v>
      </c>
      <c r="AI30">
        <v>104.689909009017</v>
      </c>
      <c r="AJ30">
        <v>89.275328080430697</v>
      </c>
      <c r="AK30">
        <v>0.651966460999997</v>
      </c>
      <c r="AL30">
        <v>88.210773375683004</v>
      </c>
      <c r="AM30">
        <v>91.417882620672003</v>
      </c>
      <c r="AN30">
        <v>0.99999998627202402</v>
      </c>
    </row>
    <row r="31" spans="1:40" x14ac:dyDescent="0.3">
      <c r="A31" t="str">
        <f>"20200111153828450"</f>
        <v>20200111153828450</v>
      </c>
      <c r="B31" t="str">
        <f>"1578728308439878"</f>
        <v>1578728308439878</v>
      </c>
      <c r="C31" t="s">
        <v>40</v>
      </c>
      <c r="D31">
        <v>5.4627239999999997</v>
      </c>
      <c r="E31">
        <v>0.54433679999999995</v>
      </c>
      <c r="F31" t="s">
        <v>41</v>
      </c>
      <c r="G31">
        <v>-474.68520000000001</v>
      </c>
      <c r="H31">
        <v>0.93057599999999996</v>
      </c>
      <c r="I31">
        <v>367.50069999999999</v>
      </c>
      <c r="J31">
        <v>-474.8947</v>
      </c>
      <c r="K31">
        <v>1.102495</v>
      </c>
      <c r="L31">
        <v>367.51979999999998</v>
      </c>
      <c r="M31">
        <v>0.99998989999999999</v>
      </c>
      <c r="N31">
        <v>0</v>
      </c>
      <c r="O31" s="1">
        <v>-6.1761110000000001E-5</v>
      </c>
      <c r="P31">
        <v>0.99899289999999996</v>
      </c>
      <c r="Q31">
        <v>3.6829319999999999E-2</v>
      </c>
      <c r="R31">
        <v>2.5634580000000001E-2</v>
      </c>
      <c r="S31">
        <v>3.0291139999999999</v>
      </c>
      <c r="T31">
        <v>-0.690384</v>
      </c>
      <c r="U31">
        <v>-7.6843259999999997E-2</v>
      </c>
      <c r="V31">
        <v>-2.5695099999999998E-2</v>
      </c>
      <c r="W31">
        <v>3.2314700000000002E-2</v>
      </c>
      <c r="X31">
        <v>0.99914740000000002</v>
      </c>
      <c r="Y31">
        <v>2.466774E-2</v>
      </c>
      <c r="Z31">
        <v>-2.7611739999999999E-3</v>
      </c>
      <c r="AA31">
        <v>0.99969189999999997</v>
      </c>
      <c r="AB31">
        <v>11</v>
      </c>
      <c r="AC31">
        <v>0.209499999999991</v>
      </c>
      <c r="AD31">
        <v>-0.17191899999999899</v>
      </c>
      <c r="AE31">
        <v>-1.9099999999980299E-2</v>
      </c>
      <c r="AF31">
        <v>1.14440490762262E-2</v>
      </c>
      <c r="AG31">
        <v>-0.17191899999999899</v>
      </c>
      <c r="AH31">
        <v>0.12561084139086101</v>
      </c>
      <c r="AI31">
        <v>143.73377888688199</v>
      </c>
      <c r="AJ31">
        <v>84.794314862893302</v>
      </c>
      <c r="AK31">
        <v>0.21322568394820299</v>
      </c>
      <c r="AL31">
        <v>88.1481816925169</v>
      </c>
      <c r="AM31">
        <v>91.473152363951698</v>
      </c>
      <c r="AN31">
        <v>1.0000000024634299</v>
      </c>
    </row>
    <row r="32" spans="1:40" x14ac:dyDescent="0.3">
      <c r="A32" t="str">
        <f>"20200111153828472"</f>
        <v>20200111153828472</v>
      </c>
      <c r="B32" t="str">
        <f>"1578728308460373"</f>
        <v>1578728308460373</v>
      </c>
      <c r="C32" t="s">
        <v>40</v>
      </c>
      <c r="D32">
        <v>5.6096199999999996</v>
      </c>
      <c r="E32">
        <v>0.5442342</v>
      </c>
      <c r="F32" t="s">
        <v>44</v>
      </c>
      <c r="G32">
        <v>-267.7876</v>
      </c>
      <c r="H32">
        <v>2.0700970000000001</v>
      </c>
      <c r="I32">
        <v>348.51170000000002</v>
      </c>
      <c r="J32">
        <v>-474.78410000000002</v>
      </c>
      <c r="K32">
        <v>1.10249</v>
      </c>
      <c r="L32">
        <v>367.51979999999998</v>
      </c>
      <c r="M32">
        <v>0.99998980000000004</v>
      </c>
      <c r="N32">
        <v>0</v>
      </c>
      <c r="O32" s="1">
        <v>-6.168844E-5</v>
      </c>
      <c r="P32">
        <v>0.99897329999999995</v>
      </c>
      <c r="Q32">
        <v>3.7039160000000002E-2</v>
      </c>
      <c r="R32">
        <v>2.6084360000000001E-2</v>
      </c>
      <c r="S32">
        <v>3.0095519999999998</v>
      </c>
      <c r="T32">
        <v>1.406169E-2</v>
      </c>
      <c r="U32">
        <v>-0.27621459999999998</v>
      </c>
      <c r="V32">
        <v>-2.6144690000000002E-2</v>
      </c>
      <c r="W32">
        <v>3.2503899999999898E-2</v>
      </c>
      <c r="X32">
        <v>0.99912959999999995</v>
      </c>
      <c r="Y32">
        <v>9.1332769999999994E-2</v>
      </c>
      <c r="Z32">
        <v>2.1263320000000001E-4</v>
      </c>
      <c r="AA32">
        <v>0.99582040000000005</v>
      </c>
      <c r="AB32">
        <v>11</v>
      </c>
      <c r="AC32">
        <v>206.9965</v>
      </c>
      <c r="AD32">
        <v>0.96760699999999999</v>
      </c>
      <c r="AE32">
        <v>-19.008099999999899</v>
      </c>
      <c r="AF32">
        <v>18.994918954488099</v>
      </c>
      <c r="AG32">
        <v>0.96760699999999999</v>
      </c>
      <c r="AH32">
        <v>206.99318700387099</v>
      </c>
      <c r="AI32">
        <v>89.733288643109503</v>
      </c>
      <c r="AJ32">
        <v>84.756884926319202</v>
      </c>
      <c r="AK32">
        <v>207.86515502943999</v>
      </c>
      <c r="AL32">
        <v>88.137335634330299</v>
      </c>
      <c r="AM32">
        <v>91.498943307156694</v>
      </c>
      <c r="AN32">
        <v>1.0000000029632801</v>
      </c>
    </row>
    <row r="33" spans="1:40" x14ac:dyDescent="0.3">
      <c r="A33" t="str">
        <f>"20200111153828495"</f>
        <v>20200111153828495</v>
      </c>
      <c r="B33" t="str">
        <f>"1578728308490630"</f>
        <v>1578728308490630</v>
      </c>
      <c r="C33" t="s">
        <v>40</v>
      </c>
      <c r="D33">
        <v>5.6251040000000003</v>
      </c>
      <c r="E33">
        <v>0.5428946</v>
      </c>
      <c r="F33" t="s">
        <v>44</v>
      </c>
      <c r="G33">
        <v>-266.10289999999998</v>
      </c>
      <c r="H33">
        <v>2.2986219999999999</v>
      </c>
      <c r="I33">
        <v>348.51170000000002</v>
      </c>
      <c r="J33">
        <v>-474.66329999999999</v>
      </c>
      <c r="K33">
        <v>1.10249</v>
      </c>
      <c r="L33">
        <v>367.51979999999998</v>
      </c>
      <c r="M33">
        <v>0.99998969999999998</v>
      </c>
      <c r="N33">
        <v>0</v>
      </c>
      <c r="O33" s="1">
        <v>-6.0967249999999998E-5</v>
      </c>
      <c r="P33">
        <v>0.99897420000000003</v>
      </c>
      <c r="Q33">
        <v>3.6844710000000003E-2</v>
      </c>
      <c r="R33">
        <v>2.632468E-2</v>
      </c>
      <c r="S33">
        <v>3.0096440000000002</v>
      </c>
      <c r="T33">
        <v>1.7251969999999998E-2</v>
      </c>
      <c r="U33">
        <v>-0.27413939999999998</v>
      </c>
      <c r="V33">
        <v>-2.6384020000000001E-2</v>
      </c>
      <c r="W33">
        <v>3.2312319999999999E-2</v>
      </c>
      <c r="X33">
        <v>0.9991295</v>
      </c>
      <c r="Y33">
        <v>9.0649270000000004E-2</v>
      </c>
      <c r="Z33">
        <v>2.5892370000000001E-4</v>
      </c>
      <c r="AA33">
        <v>0.99588290000000002</v>
      </c>
      <c r="AB33">
        <v>11</v>
      </c>
      <c r="AC33">
        <v>208.56039999999999</v>
      </c>
      <c r="AD33">
        <v>1.196132</v>
      </c>
      <c r="AE33">
        <v>-19.008099999999899</v>
      </c>
      <c r="AF33">
        <v>18.994764844728799</v>
      </c>
      <c r="AG33">
        <v>1.196132</v>
      </c>
      <c r="AH33">
        <v>208.554755157372</v>
      </c>
      <c r="AI33">
        <v>89.672747427355702</v>
      </c>
      <c r="AJ33">
        <v>84.795968739180196</v>
      </c>
      <c r="AK33">
        <v>209.421387928787</v>
      </c>
      <c r="AL33">
        <v>88.1483180863939</v>
      </c>
      <c r="AM33">
        <v>91.512658525804596</v>
      </c>
      <c r="AN33">
        <v>0.99999998015269598</v>
      </c>
    </row>
    <row r="34" spans="1:40" x14ac:dyDescent="0.3">
      <c r="A34" t="str">
        <f>"20200111153828516"</f>
        <v>20200111153828516</v>
      </c>
      <c r="B34" t="str">
        <f>"1578728308510149"</f>
        <v>1578728308510149</v>
      </c>
      <c r="C34" t="s">
        <v>40</v>
      </c>
      <c r="D34">
        <v>5.9760269999999904</v>
      </c>
      <c r="E34">
        <v>0.54173139999999997</v>
      </c>
      <c r="F34" t="s">
        <v>45</v>
      </c>
      <c r="G34">
        <v>-244.0324</v>
      </c>
      <c r="H34">
        <v>4.1394159999999998</v>
      </c>
      <c r="I34">
        <v>347.3843</v>
      </c>
      <c r="J34">
        <v>-474.54860000000002</v>
      </c>
      <c r="K34">
        <v>1.1024910000000001</v>
      </c>
      <c r="L34">
        <v>367.51979999999998</v>
      </c>
      <c r="M34">
        <v>0.99998989999999999</v>
      </c>
      <c r="N34">
        <v>0</v>
      </c>
      <c r="O34" s="1">
        <v>-5.9949219999999898E-5</v>
      </c>
      <c r="P34">
        <v>0.9989846</v>
      </c>
      <c r="Q34">
        <v>3.6544050000000002E-2</v>
      </c>
      <c r="R34">
        <v>2.635527E-2</v>
      </c>
      <c r="S34">
        <v>3.0085449999999998</v>
      </c>
      <c r="T34">
        <v>3.9617180000000002E-2</v>
      </c>
      <c r="U34">
        <v>-0.26266479999999998</v>
      </c>
      <c r="V34">
        <v>-2.6414259999999998E-2</v>
      </c>
      <c r="W34">
        <v>3.2041140000000003E-2</v>
      </c>
      <c r="X34">
        <v>0.99913750000000001</v>
      </c>
      <c r="Y34">
        <v>8.690821E-2</v>
      </c>
      <c r="Z34">
        <v>5.7031439999999996E-4</v>
      </c>
      <c r="AA34">
        <v>0.9962162</v>
      </c>
      <c r="AB34">
        <v>12</v>
      </c>
      <c r="AC34">
        <v>230.5162</v>
      </c>
      <c r="AD34">
        <v>3.0369250000000001</v>
      </c>
      <c r="AE34">
        <v>-20.135499999999901</v>
      </c>
      <c r="AF34">
        <v>20.118215155980302</v>
      </c>
      <c r="AG34">
        <v>3.0369250000000001</v>
      </c>
      <c r="AH34">
        <v>230.47770646988101</v>
      </c>
      <c r="AI34">
        <v>89.247936396101196</v>
      </c>
      <c r="AJ34">
        <v>85.011341669475399</v>
      </c>
      <c r="AK34">
        <v>231.37402333480401</v>
      </c>
      <c r="AL34">
        <v>88.163863726448497</v>
      </c>
      <c r="AM34">
        <v>91.514379329991598</v>
      </c>
      <c r="AN34">
        <v>1.00000004584504</v>
      </c>
    </row>
    <row r="35" spans="1:40" x14ac:dyDescent="0.3">
      <c r="A35" t="str">
        <f>"20200111153828537"</f>
        <v>20200111153828537</v>
      </c>
      <c r="B35" t="str">
        <f>"1578728308530645"</f>
        <v>1578728308530645</v>
      </c>
      <c r="C35" t="s">
        <v>40</v>
      </c>
      <c r="D35">
        <v>5.4407030000000001</v>
      </c>
      <c r="E35">
        <v>0.54115809999999998</v>
      </c>
      <c r="F35" t="s">
        <v>46</v>
      </c>
      <c r="G35">
        <v>-168.98410000000001</v>
      </c>
      <c r="H35">
        <v>6.2785669999999998</v>
      </c>
      <c r="I35">
        <v>341.77859999999998</v>
      </c>
      <c r="J35">
        <v>-474.42829999999998</v>
      </c>
      <c r="K35">
        <v>1.1024940000000001</v>
      </c>
      <c r="L35">
        <v>367.51979999999998</v>
      </c>
      <c r="M35">
        <v>0.99999020000000005</v>
      </c>
      <c r="N35">
        <v>0</v>
      </c>
      <c r="O35" s="1">
        <v>-5.8638260000000001E-5</v>
      </c>
      <c r="P35">
        <v>0.99900420000000001</v>
      </c>
      <c r="Q35">
        <v>3.612597E-2</v>
      </c>
      <c r="R35">
        <v>2.6189540000000001E-2</v>
      </c>
      <c r="S35">
        <v>3.0078740000000002</v>
      </c>
      <c r="T35">
        <v>5.09516E-2</v>
      </c>
      <c r="U35">
        <v>-0.25338749999999999</v>
      </c>
      <c r="V35">
        <v>-2.624686E-2</v>
      </c>
      <c r="W35">
        <v>3.1676540000000003E-2</v>
      </c>
      <c r="X35">
        <v>0.99915350000000003</v>
      </c>
      <c r="Y35">
        <v>8.3873699999999995E-2</v>
      </c>
      <c r="Z35">
        <v>7.0808759999999905E-4</v>
      </c>
      <c r="AA35">
        <v>0.99647609999999998</v>
      </c>
      <c r="AB35">
        <v>12</v>
      </c>
      <c r="AC35">
        <v>305.44420000000002</v>
      </c>
      <c r="AD35">
        <v>5.1760729999999997</v>
      </c>
      <c r="AE35">
        <v>-25.7411999999999</v>
      </c>
      <c r="AF35">
        <v>25.715956326166101</v>
      </c>
      <c r="AG35">
        <v>5.1760729999999997</v>
      </c>
      <c r="AH35">
        <v>305.35863787956202</v>
      </c>
      <c r="AI35">
        <v>89.032308585094896</v>
      </c>
      <c r="AJ35">
        <v>85.186161305635906</v>
      </c>
      <c r="AK35">
        <v>306.48327828632398</v>
      </c>
      <c r="AL35">
        <v>88.1847643089977</v>
      </c>
      <c r="AM35">
        <v>91.504762313224006</v>
      </c>
      <c r="AN35">
        <v>1.00000000870424</v>
      </c>
    </row>
    <row r="36" spans="1:40" x14ac:dyDescent="0.3">
      <c r="A36" t="str">
        <f>"20200111153828559"</f>
        <v>20200111153828559</v>
      </c>
      <c r="B36" t="str">
        <f>"1578728308550165"</f>
        <v>1578728308550165</v>
      </c>
      <c r="C36" t="s">
        <v>40</v>
      </c>
      <c r="D36">
        <v>5.5798949999999996</v>
      </c>
      <c r="E36">
        <v>0.56066329999999998</v>
      </c>
      <c r="F36" t="s">
        <v>47</v>
      </c>
      <c r="G36">
        <v>-232.2724</v>
      </c>
      <c r="H36">
        <v>3.915251</v>
      </c>
      <c r="I36">
        <v>347.45949999999999</v>
      </c>
      <c r="J36">
        <v>-474.3023</v>
      </c>
      <c r="K36">
        <v>1.102498</v>
      </c>
      <c r="L36">
        <v>367.51979999999998</v>
      </c>
      <c r="M36">
        <v>0.99999039999999995</v>
      </c>
      <c r="N36">
        <v>0</v>
      </c>
      <c r="O36" s="1">
        <v>-5.6800469999999997E-5</v>
      </c>
      <c r="P36">
        <v>0.99901989999999996</v>
      </c>
      <c r="Q36">
        <v>3.5329989999999999E-2</v>
      </c>
      <c r="R36">
        <v>2.6661150000000002E-2</v>
      </c>
      <c r="S36">
        <v>3.00827</v>
      </c>
      <c r="T36">
        <v>3.4943460000000003E-2</v>
      </c>
      <c r="U36">
        <v>-0.2492065</v>
      </c>
      <c r="V36">
        <v>-2.6716750000000001E-2</v>
      </c>
      <c r="W36">
        <v>3.0958300000000001E-2</v>
      </c>
      <c r="X36">
        <v>0.99916360000000004</v>
      </c>
      <c r="Y36">
        <v>8.2495559999999996E-2</v>
      </c>
      <c r="Z36">
        <v>4.7763200000000002E-4</v>
      </c>
      <c r="AA36">
        <v>0.99659129999999996</v>
      </c>
      <c r="AB36">
        <v>12</v>
      </c>
      <c r="AC36">
        <v>242.0299</v>
      </c>
      <c r="AD36">
        <v>2.8127529999999998</v>
      </c>
      <c r="AE36">
        <v>-20.060299999999899</v>
      </c>
      <c r="AF36">
        <v>20.0438637794486</v>
      </c>
      <c r="AG36">
        <v>2.8127529999999998</v>
      </c>
      <c r="AH36">
        <v>241.99857784535499</v>
      </c>
      <c r="AI36">
        <v>89.336352589730893</v>
      </c>
      <c r="AJ36">
        <v>85.265206045986901</v>
      </c>
      <c r="AK36">
        <v>242.84352932252901</v>
      </c>
      <c r="AL36">
        <v>88.225936699514094</v>
      </c>
      <c r="AM36">
        <v>91.531673445054594</v>
      </c>
      <c r="AN36">
        <v>1.0000000503172</v>
      </c>
    </row>
    <row r="37" spans="1:40" x14ac:dyDescent="0.3">
      <c r="A37" t="str">
        <f>"20200111153828582"</f>
        <v>20200111153828582</v>
      </c>
      <c r="B37" t="str">
        <f>"1578728308570660"</f>
        <v>1578728308570660</v>
      </c>
      <c r="C37" t="s">
        <v>40</v>
      </c>
      <c r="D37">
        <v>5.5775030000000001</v>
      </c>
      <c r="E37">
        <v>0.56662309999999905</v>
      </c>
      <c r="F37" t="s">
        <v>41</v>
      </c>
      <c r="G37">
        <v>-473.49310000000003</v>
      </c>
      <c r="H37">
        <v>1.04749</v>
      </c>
      <c r="I37">
        <v>367.4119</v>
      </c>
      <c r="J37">
        <v>-474.1705</v>
      </c>
      <c r="K37">
        <v>1.102508</v>
      </c>
      <c r="L37">
        <v>367.51979999999998</v>
      </c>
      <c r="M37">
        <v>0.99999090000000002</v>
      </c>
      <c r="N37">
        <v>0</v>
      </c>
      <c r="O37" s="1">
        <v>-5.5398859999999898E-5</v>
      </c>
      <c r="P37">
        <v>0.99903200000000003</v>
      </c>
      <c r="Q37">
        <v>3.5081500000000002E-2</v>
      </c>
      <c r="R37">
        <v>2.6544999999999999E-2</v>
      </c>
      <c r="S37">
        <v>3.0209350000000001</v>
      </c>
      <c r="T37">
        <v>-0.20542659999999999</v>
      </c>
      <c r="U37">
        <v>-0.40231319999999998</v>
      </c>
      <c r="V37">
        <v>-2.6599190000000002E-2</v>
      </c>
      <c r="W37">
        <v>3.0807210000000002E-2</v>
      </c>
      <c r="X37">
        <v>0.99917140000000004</v>
      </c>
      <c r="Y37">
        <v>0.131656</v>
      </c>
      <c r="Z37">
        <v>-4.4478779999999997E-3</v>
      </c>
      <c r="AA37">
        <v>0.99128550000000004</v>
      </c>
      <c r="AB37">
        <v>13</v>
      </c>
      <c r="AC37">
        <v>0.67739999999997702</v>
      </c>
      <c r="AD37">
        <v>-5.5017999999999997E-2</v>
      </c>
      <c r="AE37">
        <v>-0.107899999999972</v>
      </c>
      <c r="AF37">
        <v>0.107172989943148</v>
      </c>
      <c r="AG37">
        <v>-5.5017999999999997E-2</v>
      </c>
      <c r="AH37">
        <v>0.67307583778542002</v>
      </c>
      <c r="AI37">
        <v>94.615150524755293</v>
      </c>
      <c r="AJ37">
        <v>80.952817467773897</v>
      </c>
      <c r="AK37">
        <v>0.68377197478976803</v>
      </c>
      <c r="AL37">
        <v>88.234597638121897</v>
      </c>
      <c r="AM37">
        <v>91.524925011342305</v>
      </c>
      <c r="AN37">
        <v>1.00000004383729</v>
      </c>
    </row>
    <row r="38" spans="1:40" x14ac:dyDescent="0.3">
      <c r="A38" t="str">
        <f>"20200111153828604"</f>
        <v>20200111153828604</v>
      </c>
      <c r="B38" t="str">
        <f>"1578728308599941"</f>
        <v>1578728308599941</v>
      </c>
      <c r="C38" t="s">
        <v>40</v>
      </c>
      <c r="D38">
        <v>5.6083350000000003</v>
      </c>
      <c r="E38">
        <v>0.56834849999999904</v>
      </c>
      <c r="F38" t="s">
        <v>41</v>
      </c>
      <c r="G38">
        <v>-473.37419999999997</v>
      </c>
      <c r="H38">
        <v>1.049328</v>
      </c>
      <c r="I38">
        <v>367.40120000000002</v>
      </c>
      <c r="J38">
        <v>-474.03960000000001</v>
      </c>
      <c r="K38">
        <v>1.1025229999999999</v>
      </c>
      <c r="L38">
        <v>367.51979999999998</v>
      </c>
      <c r="M38">
        <v>0.99999139999999997</v>
      </c>
      <c r="N38">
        <v>0</v>
      </c>
      <c r="O38" s="1">
        <v>-5.3981689999999998E-5</v>
      </c>
      <c r="P38">
        <v>0.99902919999999995</v>
      </c>
      <c r="Q38">
        <v>3.5003220000000002E-2</v>
      </c>
      <c r="R38">
        <v>2.6752789999999999E-2</v>
      </c>
      <c r="S38">
        <v>3.0220030000000002</v>
      </c>
      <c r="T38">
        <v>-0.20182249999999999</v>
      </c>
      <c r="U38">
        <v>-0.45001219999999997</v>
      </c>
      <c r="V38">
        <v>-2.6805949999999999E-2</v>
      </c>
      <c r="W38">
        <v>3.0836760000000001E-2</v>
      </c>
      <c r="X38">
        <v>0.99916490000000002</v>
      </c>
      <c r="Y38">
        <v>0.1469144</v>
      </c>
      <c r="Z38">
        <v>-4.8699679999999997E-3</v>
      </c>
      <c r="AA38">
        <v>0.98913720000000005</v>
      </c>
      <c r="AB38">
        <v>13</v>
      </c>
      <c r="AC38">
        <v>0.66540000000003297</v>
      </c>
      <c r="AD38">
        <v>-5.3194999999999798E-2</v>
      </c>
      <c r="AE38">
        <v>-0.118599999999958</v>
      </c>
      <c r="AF38">
        <v>0.117834177643903</v>
      </c>
      <c r="AG38">
        <v>-5.3194999999999798E-2</v>
      </c>
      <c r="AH38">
        <v>0.66131003614689698</v>
      </c>
      <c r="AI38">
        <v>94.527889956018598</v>
      </c>
      <c r="AJ38">
        <v>79.896899765130698</v>
      </c>
      <c r="AK38">
        <v>0.673829032733546</v>
      </c>
      <c r="AL38">
        <v>88.232903632151306</v>
      </c>
      <c r="AM38">
        <v>91.536782841532002</v>
      </c>
      <c r="AN38">
        <v>0.99999998105735499</v>
      </c>
    </row>
    <row r="39" spans="1:40" x14ac:dyDescent="0.3">
      <c r="A39" t="str">
        <f>"20200111153828626"</f>
        <v>20200111153828626</v>
      </c>
      <c r="B39" t="str">
        <f>"1578728308620436"</f>
        <v>1578728308620436</v>
      </c>
      <c r="C39" t="s">
        <v>40</v>
      </c>
      <c r="D39">
        <v>5.559628</v>
      </c>
      <c r="E39">
        <v>0.56803789999999998</v>
      </c>
      <c r="F39" t="s">
        <v>41</v>
      </c>
      <c r="G39">
        <v>-473.25630000000001</v>
      </c>
      <c r="H39">
        <v>1.0465450000000001</v>
      </c>
      <c r="I39">
        <v>367.39949999999999</v>
      </c>
      <c r="J39">
        <v>-473.91109999999998</v>
      </c>
      <c r="K39">
        <v>1.102538</v>
      </c>
      <c r="L39">
        <v>367.51979999999998</v>
      </c>
      <c r="M39">
        <v>0.99999179999999999</v>
      </c>
      <c r="N39">
        <v>0</v>
      </c>
      <c r="O39" s="1">
        <v>-5.3042659999999997E-5</v>
      </c>
      <c r="P39">
        <v>0.99904459999999995</v>
      </c>
      <c r="Q39">
        <v>3.4616519999999998E-2</v>
      </c>
      <c r="R39">
        <v>2.667655E-2</v>
      </c>
      <c r="S39">
        <v>3.0228579999999998</v>
      </c>
      <c r="T39">
        <v>-0.21627840000000001</v>
      </c>
      <c r="U39">
        <v>-0.46292109999999898</v>
      </c>
      <c r="V39">
        <v>-2.672851E-2</v>
      </c>
      <c r="W39">
        <v>3.055985E-2</v>
      </c>
      <c r="X39">
        <v>0.99917549999999999</v>
      </c>
      <c r="Y39">
        <v>0.1509462</v>
      </c>
      <c r="Z39">
        <v>-5.3581260000000004E-3</v>
      </c>
      <c r="AA39">
        <v>0.9885275</v>
      </c>
      <c r="AB39">
        <v>13</v>
      </c>
      <c r="AC39">
        <v>0.65479999999996596</v>
      </c>
      <c r="AD39">
        <v>-5.5992999999999897E-2</v>
      </c>
      <c r="AE39">
        <v>-0.120299999999986</v>
      </c>
      <c r="AF39">
        <v>0.11942054802503101</v>
      </c>
      <c r="AG39">
        <v>-5.5992999999999897E-2</v>
      </c>
      <c r="AH39">
        <v>0.65020715109190497</v>
      </c>
      <c r="AI39">
        <v>94.8413349207256</v>
      </c>
      <c r="AJ39">
        <v>79.592736662927507</v>
      </c>
      <c r="AK39">
        <v>0.66344993983770195</v>
      </c>
      <c r="AL39">
        <v>88.248776918912498</v>
      </c>
      <c r="AM39">
        <v>91.532329084155904</v>
      </c>
      <c r="AN39">
        <v>0.99999999873954604</v>
      </c>
    </row>
    <row r="40" spans="1:40" x14ac:dyDescent="0.3">
      <c r="A40" t="str">
        <f>"20200111153828648"</f>
        <v>20200111153828648</v>
      </c>
      <c r="B40" t="str">
        <f>"1578728308639957"</f>
        <v>1578728308639957</v>
      </c>
      <c r="C40" t="s">
        <v>40</v>
      </c>
      <c r="D40">
        <v>5.5454819999999998</v>
      </c>
      <c r="E40">
        <v>0.56836589999999998</v>
      </c>
      <c r="F40" t="s">
        <v>41</v>
      </c>
      <c r="G40">
        <v>-473.13350000000003</v>
      </c>
      <c r="H40">
        <v>1.048249</v>
      </c>
      <c r="I40">
        <v>367.40109999999999</v>
      </c>
      <c r="J40">
        <v>-473.77019999999999</v>
      </c>
      <c r="K40">
        <v>1.1025469999999999</v>
      </c>
      <c r="L40">
        <v>367.51979999999998</v>
      </c>
      <c r="M40">
        <v>0.99999229999999995</v>
      </c>
      <c r="N40">
        <v>0</v>
      </c>
      <c r="O40" s="1">
        <v>-5.2687179999999998E-5</v>
      </c>
      <c r="P40">
        <v>0.99902610000000003</v>
      </c>
      <c r="Q40">
        <v>3.5108439999999998E-2</v>
      </c>
      <c r="R40">
        <v>2.6731359999999999E-2</v>
      </c>
      <c r="S40">
        <v>3.022491</v>
      </c>
      <c r="T40">
        <v>-0.2110648</v>
      </c>
      <c r="U40">
        <v>-0.46084589999999998</v>
      </c>
      <c r="V40">
        <v>-2.6782799999999999E-2</v>
      </c>
      <c r="W40">
        <v>3.1170389999999999E-2</v>
      </c>
      <c r="X40">
        <v>0.99915520000000002</v>
      </c>
      <c r="Y40">
        <v>0.1503205</v>
      </c>
      <c r="Z40">
        <v>-5.2085009999999999E-3</v>
      </c>
      <c r="AA40">
        <v>0.98862360000000005</v>
      </c>
      <c r="AB40">
        <v>13</v>
      </c>
      <c r="AC40">
        <v>0.63669999999996196</v>
      </c>
      <c r="AD40">
        <v>-5.4297999999999902E-2</v>
      </c>
      <c r="AE40">
        <v>-0.11869999999998899</v>
      </c>
      <c r="AF40">
        <v>0.117838232781972</v>
      </c>
      <c r="AG40">
        <v>-5.4297999999999902E-2</v>
      </c>
      <c r="AH40">
        <v>0.63226242432430402</v>
      </c>
      <c r="AI40">
        <v>94.825759743538896</v>
      </c>
      <c r="AJ40">
        <v>79.442597684327595</v>
      </c>
      <c r="AK40">
        <v>0.64543775464534503</v>
      </c>
      <c r="AL40">
        <v>88.213778903420106</v>
      </c>
      <c r="AM40">
        <v>91.535471188994606</v>
      </c>
      <c r="AN40">
        <v>1.0000000126378099</v>
      </c>
    </row>
    <row r="41" spans="1:40" x14ac:dyDescent="0.3">
      <c r="A41" t="str">
        <f>"20200111153828673"</f>
        <v>20200111153828673</v>
      </c>
      <c r="B41" t="str">
        <f>"1578728308670085"</f>
        <v>1578728308670085</v>
      </c>
      <c r="C41" t="s">
        <v>40</v>
      </c>
      <c r="D41">
        <v>5.5459480000000001</v>
      </c>
      <c r="E41">
        <v>0.5686021</v>
      </c>
      <c r="F41" t="s">
        <v>41</v>
      </c>
      <c r="G41">
        <v>-473.00670000000002</v>
      </c>
      <c r="H41">
        <v>1.0517540000000001</v>
      </c>
      <c r="I41">
        <v>367.40230000000003</v>
      </c>
      <c r="J41">
        <v>-473.6173</v>
      </c>
      <c r="K41">
        <v>1.102562</v>
      </c>
      <c r="L41">
        <v>367.51979999999998</v>
      </c>
      <c r="M41">
        <v>0.99999280000000002</v>
      </c>
      <c r="N41">
        <v>0</v>
      </c>
      <c r="O41" s="1">
        <v>-5.2809300000000003E-5</v>
      </c>
      <c r="P41">
        <v>0.99902519999999995</v>
      </c>
      <c r="Q41">
        <v>3.5360709999999997E-2</v>
      </c>
      <c r="R41">
        <v>2.6430970000000002E-2</v>
      </c>
      <c r="S41">
        <v>3.0224000000000002</v>
      </c>
      <c r="T41">
        <v>-0.2013461</v>
      </c>
      <c r="U41">
        <v>-0.46340940000000003</v>
      </c>
      <c r="V41">
        <v>-2.6482809999999999E-2</v>
      </c>
      <c r="W41">
        <v>3.1545480000000001E-2</v>
      </c>
      <c r="X41">
        <v>0.99915140000000002</v>
      </c>
      <c r="Y41">
        <v>0.15117449999999999</v>
      </c>
      <c r="Z41">
        <v>-4.9972749999999998E-3</v>
      </c>
      <c r="AA41">
        <v>0.98849450000000005</v>
      </c>
      <c r="AB41">
        <v>14</v>
      </c>
      <c r="AC41">
        <v>0.61059999999997605</v>
      </c>
      <c r="AD41">
        <v>-5.0807999999999902E-2</v>
      </c>
      <c r="AE41">
        <v>-0.11749999999994901</v>
      </c>
      <c r="AF41">
        <v>0.116688664214961</v>
      </c>
      <c r="AG41">
        <v>-5.0807999999999902E-2</v>
      </c>
      <c r="AH41">
        <v>0.60655643582532703</v>
      </c>
      <c r="AI41">
        <v>94.702355781063005</v>
      </c>
      <c r="AJ41">
        <v>79.110538207970393</v>
      </c>
      <c r="AK41">
        <v>0.61976479979214305</v>
      </c>
      <c r="AL41">
        <v>88.192277211566605</v>
      </c>
      <c r="AM41">
        <v>91.518286480999095</v>
      </c>
      <c r="AN41">
        <v>0.99999998832794301</v>
      </c>
    </row>
    <row r="42" spans="1:40" x14ac:dyDescent="0.3">
      <c r="A42" t="str">
        <f>"20200111153828696"</f>
        <v>20200111153828696</v>
      </c>
      <c r="B42" t="str">
        <f>"1578728308690581"</f>
        <v>1578728308690581</v>
      </c>
      <c r="C42" t="s">
        <v>40</v>
      </c>
      <c r="D42">
        <v>5.5580850000000002</v>
      </c>
      <c r="E42">
        <v>0.56861539999999999</v>
      </c>
      <c r="F42" t="s">
        <v>41</v>
      </c>
      <c r="G42">
        <v>-472.87810000000002</v>
      </c>
      <c r="H42">
        <v>1.0549710000000001</v>
      </c>
      <c r="I42">
        <v>367.40550000000002</v>
      </c>
      <c r="J42">
        <v>-473.47719999999998</v>
      </c>
      <c r="K42">
        <v>1.1025689999999999</v>
      </c>
      <c r="L42">
        <v>367.51979999999998</v>
      </c>
      <c r="M42">
        <v>0.99999320000000003</v>
      </c>
      <c r="N42">
        <v>0</v>
      </c>
      <c r="O42" s="1">
        <v>-5.3214770000000002E-5</v>
      </c>
      <c r="P42">
        <v>0.99902650000000004</v>
      </c>
      <c r="Q42">
        <v>3.5392060000000003E-2</v>
      </c>
      <c r="R42">
        <v>2.6341320000000001E-2</v>
      </c>
      <c r="S42">
        <v>3.022186</v>
      </c>
      <c r="T42">
        <v>-0.19484199999999999</v>
      </c>
      <c r="U42">
        <v>-0.46597290000000002</v>
      </c>
      <c r="V42">
        <v>-2.6393130000000001E-2</v>
      </c>
      <c r="W42">
        <v>3.167797E-2</v>
      </c>
      <c r="X42">
        <v>0.99914959999999997</v>
      </c>
      <c r="Y42">
        <v>0.15202260000000001</v>
      </c>
      <c r="Z42">
        <v>-4.863338E-3</v>
      </c>
      <c r="AA42">
        <v>0.9883651</v>
      </c>
      <c r="AB42">
        <v>14</v>
      </c>
      <c r="AC42">
        <v>0.59909999999996399</v>
      </c>
      <c r="AD42">
        <v>-4.7598000000000203E-2</v>
      </c>
      <c r="AE42">
        <v>-0.11429999999995701</v>
      </c>
      <c r="AF42">
        <v>0.113576383783483</v>
      </c>
      <c r="AG42">
        <v>-4.7598000000000203E-2</v>
      </c>
      <c r="AH42">
        <v>0.59547932579810203</v>
      </c>
      <c r="AI42">
        <v>94.489473408423706</v>
      </c>
      <c r="AJ42">
        <v>79.201612893454396</v>
      </c>
      <c r="AK42">
        <v>0.60807959348287199</v>
      </c>
      <c r="AL42">
        <v>88.184682332049604</v>
      </c>
      <c r="AM42">
        <v>91.513150154287302</v>
      </c>
      <c r="AN42">
        <v>1.0000000071373301</v>
      </c>
    </row>
    <row r="43" spans="1:40" x14ac:dyDescent="0.3">
      <c r="A43" t="str">
        <f>"20200111153828716"</f>
        <v>20200111153828716</v>
      </c>
      <c r="B43" t="str">
        <f>"1578728308710100"</f>
        <v>1578728308710100</v>
      </c>
      <c r="C43" t="s">
        <v>40</v>
      </c>
      <c r="D43">
        <v>7.803191</v>
      </c>
      <c r="E43">
        <v>0.56845279999999998</v>
      </c>
      <c r="F43" t="s">
        <v>41</v>
      </c>
      <c r="G43">
        <v>-472.62279999999998</v>
      </c>
      <c r="H43">
        <v>1.04793799999999</v>
      </c>
      <c r="I43">
        <v>367.38780000000003</v>
      </c>
      <c r="J43">
        <v>-473.33749999999998</v>
      </c>
      <c r="K43">
        <v>1.1025750000000001</v>
      </c>
      <c r="L43">
        <v>367.51979999999998</v>
      </c>
      <c r="M43">
        <v>0.99999340000000003</v>
      </c>
      <c r="N43">
        <v>0</v>
      </c>
      <c r="O43" s="1">
        <v>-5.3766990000000001E-5</v>
      </c>
      <c r="P43">
        <v>0.99900109999999998</v>
      </c>
      <c r="Q43">
        <v>3.6042339999999999E-2</v>
      </c>
      <c r="R43">
        <v>2.641193E-2</v>
      </c>
      <c r="S43">
        <v>3.0220639999999999</v>
      </c>
      <c r="T43">
        <v>-0.193244</v>
      </c>
      <c r="U43">
        <v>-0.4663696</v>
      </c>
      <c r="V43">
        <v>-2.6464439999999999E-2</v>
      </c>
      <c r="W43">
        <v>3.2417170000000002E-2</v>
      </c>
      <c r="X43">
        <v>0.99912400000000001</v>
      </c>
      <c r="Y43">
        <v>0.15215960000000001</v>
      </c>
      <c r="Z43">
        <v>-4.8279899999999999E-3</v>
      </c>
      <c r="AA43">
        <v>0.98834409999999895</v>
      </c>
      <c r="AB43">
        <v>14</v>
      </c>
      <c r="AC43">
        <v>0.71469999999999301</v>
      </c>
      <c r="AD43">
        <v>-5.4637000000000199E-2</v>
      </c>
      <c r="AE43">
        <v>-0.13199999999994799</v>
      </c>
      <c r="AF43">
        <v>0.131219990972397</v>
      </c>
      <c r="AG43">
        <v>-5.4637000000000199E-2</v>
      </c>
      <c r="AH43">
        <v>0.71069067375251305</v>
      </c>
      <c r="AI43">
        <v>94.323387252029406</v>
      </c>
      <c r="AJ43">
        <v>79.538877898869004</v>
      </c>
      <c r="AK43">
        <v>0.72476556317101404</v>
      </c>
      <c r="AL43">
        <v>88.142307518245104</v>
      </c>
      <c r="AM43">
        <v>91.517275391831703</v>
      </c>
      <c r="AN43">
        <v>1.00000000343566</v>
      </c>
    </row>
    <row r="44" spans="1:40" x14ac:dyDescent="0.3">
      <c r="A44" t="str">
        <f>"20200111153828739"</f>
        <v>20200111153828739</v>
      </c>
      <c r="B44" t="str">
        <f>"1578728308730597"</f>
        <v>1578728308730597</v>
      </c>
      <c r="C44" t="s">
        <v>40</v>
      </c>
      <c r="D44">
        <v>5.577102</v>
      </c>
      <c r="E44">
        <v>0.56796440000000004</v>
      </c>
      <c r="F44" t="s">
        <v>41</v>
      </c>
      <c r="G44">
        <v>-472.48910000000001</v>
      </c>
      <c r="H44">
        <v>1.04914</v>
      </c>
      <c r="I44">
        <v>367.38900000000001</v>
      </c>
      <c r="J44">
        <v>-473.1832</v>
      </c>
      <c r="K44">
        <v>1.1025689999999999</v>
      </c>
      <c r="L44">
        <v>367.51979999999998</v>
      </c>
      <c r="M44">
        <v>0.99999380000000004</v>
      </c>
      <c r="N44">
        <v>0</v>
      </c>
      <c r="O44" s="1">
        <v>-5.4806609999999999E-5</v>
      </c>
      <c r="P44">
        <v>0.99899110000000002</v>
      </c>
      <c r="Q44">
        <v>3.6355760000000001E-2</v>
      </c>
      <c r="R44">
        <v>2.6371370000000002E-2</v>
      </c>
      <c r="S44">
        <v>3.022186</v>
      </c>
      <c r="T44">
        <v>-0.19039449999999999</v>
      </c>
      <c r="U44">
        <v>-0.46502690000000002</v>
      </c>
      <c r="V44">
        <v>-2.642504E-2</v>
      </c>
      <c r="W44">
        <v>3.2816060000000001E-2</v>
      </c>
      <c r="X44">
        <v>0.999112</v>
      </c>
      <c r="Y44">
        <v>0.15173329999999999</v>
      </c>
      <c r="Z44">
        <v>-4.7435039999999999E-3</v>
      </c>
      <c r="AA44">
        <v>0.98841009999999996</v>
      </c>
      <c r="AB44">
        <v>15</v>
      </c>
      <c r="AC44">
        <v>0.69409999999999095</v>
      </c>
      <c r="AD44">
        <v>-5.3429000000000101E-2</v>
      </c>
      <c r="AE44">
        <v>-0.130799999999965</v>
      </c>
      <c r="AF44">
        <v>0.13001798316660301</v>
      </c>
      <c r="AG44">
        <v>-5.3429000000000101E-2</v>
      </c>
      <c r="AH44">
        <v>0.69015801858700598</v>
      </c>
      <c r="AI44">
        <v>94.350531823240004</v>
      </c>
      <c r="AJ44">
        <v>79.331162307895198</v>
      </c>
      <c r="AK44">
        <v>0.70432764009916105</v>
      </c>
      <c r="AL44">
        <v>88.119440598740496</v>
      </c>
      <c r="AM44">
        <v>91.515035728484193</v>
      </c>
      <c r="AN44">
        <v>0.99999998253846201</v>
      </c>
    </row>
    <row r="45" spans="1:40" x14ac:dyDescent="0.3">
      <c r="A45" t="str">
        <f>"20200111153828762"</f>
        <v>20200111153828762</v>
      </c>
      <c r="B45" t="str">
        <f>"1578728308750117"</f>
        <v>1578728308750117</v>
      </c>
      <c r="C45" t="s">
        <v>40</v>
      </c>
      <c r="D45">
        <v>5.5798360000000002</v>
      </c>
      <c r="E45">
        <v>0.56784590000000001</v>
      </c>
      <c r="F45" t="s">
        <v>41</v>
      </c>
      <c r="G45">
        <v>-472.35180000000003</v>
      </c>
      <c r="H45">
        <v>1.0523480000000001</v>
      </c>
      <c r="I45">
        <v>367.39260000000002</v>
      </c>
      <c r="J45">
        <v>-473.0317</v>
      </c>
      <c r="K45">
        <v>1.102565</v>
      </c>
      <c r="L45">
        <v>367.51979999999998</v>
      </c>
      <c r="M45">
        <v>0.99999400000000005</v>
      </c>
      <c r="N45">
        <v>0</v>
      </c>
      <c r="O45" s="1">
        <v>-5.5635930000000002E-5</v>
      </c>
      <c r="P45">
        <v>0.99900149999999999</v>
      </c>
      <c r="Q45">
        <v>3.5963879999999997E-2</v>
      </c>
      <c r="R45">
        <v>2.651336E-2</v>
      </c>
      <c r="S45">
        <v>3.021881</v>
      </c>
      <c r="T45">
        <v>-0.18261859999999999</v>
      </c>
      <c r="U45">
        <v>-0.46118160000000002</v>
      </c>
      <c r="V45">
        <v>-2.656824E-2</v>
      </c>
      <c r="W45">
        <v>3.2495320000000001E-2</v>
      </c>
      <c r="X45">
        <v>0.99911870000000003</v>
      </c>
      <c r="Y45">
        <v>0.15054400000000001</v>
      </c>
      <c r="Z45">
        <v>-4.51527E-3</v>
      </c>
      <c r="AA45">
        <v>0.98859300000000006</v>
      </c>
      <c r="AB45">
        <v>15</v>
      </c>
      <c r="AC45">
        <v>0.67989999999997497</v>
      </c>
      <c r="AD45">
        <v>-5.0216999999999901E-2</v>
      </c>
      <c r="AE45">
        <v>-0.12719999999995901</v>
      </c>
      <c r="AF45">
        <v>0.12649544968021101</v>
      </c>
      <c r="AG45">
        <v>-5.0216999999999901E-2</v>
      </c>
      <c r="AH45">
        <v>0.67634226022674604</v>
      </c>
      <c r="AI45">
        <v>94.174184472719105</v>
      </c>
      <c r="AJ45">
        <v>79.406430403794801</v>
      </c>
      <c r="AK45">
        <v>0.68989977449439899</v>
      </c>
      <c r="AL45">
        <v>88.137827480729101</v>
      </c>
      <c r="AM45">
        <v>91.523231794841607</v>
      </c>
      <c r="AN45">
        <v>0.99999999694414499</v>
      </c>
    </row>
    <row r="46" spans="1:40" x14ac:dyDescent="0.3">
      <c r="A46" t="str">
        <f>"20200111153828783"</f>
        <v>20200111153828783</v>
      </c>
      <c r="B46" t="str">
        <f>"1578728308779931"</f>
        <v>1578728308779931</v>
      </c>
      <c r="C46" t="s">
        <v>40</v>
      </c>
      <c r="D46">
        <v>5.5549869999999997</v>
      </c>
      <c r="E46">
        <v>0.56771479999999996</v>
      </c>
      <c r="F46" t="s">
        <v>41</v>
      </c>
      <c r="G46">
        <v>-472.21449999999999</v>
      </c>
      <c r="H46">
        <v>1.052907</v>
      </c>
      <c r="I46">
        <v>367.39499999999998</v>
      </c>
      <c r="J46">
        <v>-472.8818</v>
      </c>
      <c r="K46">
        <v>1.1025590000000001</v>
      </c>
      <c r="L46">
        <v>367.51979999999998</v>
      </c>
      <c r="M46">
        <v>0.99999420000000006</v>
      </c>
      <c r="N46">
        <v>0</v>
      </c>
      <c r="O46" s="1">
        <v>-5.6726550000000003E-5</v>
      </c>
      <c r="P46">
        <v>0.99903359999999997</v>
      </c>
      <c r="Q46">
        <v>3.5162029999999997E-2</v>
      </c>
      <c r="R46">
        <v>2.6370279999999999E-2</v>
      </c>
      <c r="S46">
        <v>3.021881</v>
      </c>
      <c r="T46">
        <v>-0.1840135</v>
      </c>
      <c r="U46">
        <v>-0.45953369999999999</v>
      </c>
      <c r="V46">
        <v>-2.642547E-2</v>
      </c>
      <c r="W46">
        <v>3.1752799999999998E-2</v>
      </c>
      <c r="X46">
        <v>0.99914630000000004</v>
      </c>
      <c r="Y46">
        <v>0.1500128</v>
      </c>
      <c r="Z46">
        <v>-4.5337509999999999E-3</v>
      </c>
      <c r="AA46">
        <v>0.98867369999999999</v>
      </c>
      <c r="AB46">
        <v>15</v>
      </c>
      <c r="AC46">
        <v>0.667300000000011</v>
      </c>
      <c r="AD46">
        <v>-4.9652000000000002E-2</v>
      </c>
      <c r="AE46">
        <v>-0.124799999999993</v>
      </c>
      <c r="AF46">
        <v>0.124098301645351</v>
      </c>
      <c r="AG46">
        <v>-4.9652000000000002E-2</v>
      </c>
      <c r="AH46">
        <v>0.66375641808614205</v>
      </c>
      <c r="AI46">
        <v>94.205415909198607</v>
      </c>
      <c r="AJ46">
        <v>79.410036267189497</v>
      </c>
      <c r="AK46">
        <v>0.67708071315450002</v>
      </c>
      <c r="AL46">
        <v>88.180392603833397</v>
      </c>
      <c r="AM46">
        <v>91.515008383596495</v>
      </c>
      <c r="AN46">
        <v>0.99999993728812298</v>
      </c>
    </row>
    <row r="47" spans="1:40" x14ac:dyDescent="0.3">
      <c r="A47" t="str">
        <f>"20200111153828806"</f>
        <v>20200111153828806</v>
      </c>
      <c r="B47" t="str">
        <f>"1578728308800427"</f>
        <v>1578728308800427</v>
      </c>
      <c r="C47" t="s">
        <v>40</v>
      </c>
      <c r="D47">
        <v>5.5884179999999999</v>
      </c>
      <c r="E47">
        <v>0.56763739999999996</v>
      </c>
      <c r="F47" t="s">
        <v>41</v>
      </c>
      <c r="G47">
        <v>-472.07580000000002</v>
      </c>
      <c r="H47">
        <v>1.0524979999999999</v>
      </c>
      <c r="I47">
        <v>367.39729999999997</v>
      </c>
      <c r="J47">
        <v>-472.72570000000002</v>
      </c>
      <c r="K47">
        <v>1.102555</v>
      </c>
      <c r="L47">
        <v>367.51979999999998</v>
      </c>
      <c r="M47">
        <v>0.99999439999999995</v>
      </c>
      <c r="N47">
        <v>0</v>
      </c>
      <c r="O47" s="1">
        <v>-5.7831899999999998E-5</v>
      </c>
      <c r="P47">
        <v>0.99904789999999999</v>
      </c>
      <c r="Q47">
        <v>3.4885260000000001E-2</v>
      </c>
      <c r="R47">
        <v>2.619434E-2</v>
      </c>
      <c r="S47">
        <v>3.0216370000000001</v>
      </c>
      <c r="T47">
        <v>-0.18769369999999999</v>
      </c>
      <c r="U47">
        <v>-0.4588623</v>
      </c>
      <c r="V47">
        <v>-2.6250800000000001E-2</v>
      </c>
      <c r="W47">
        <v>3.1527359999999997E-2</v>
      </c>
      <c r="X47">
        <v>0.99915810000000005</v>
      </c>
      <c r="Y47">
        <v>0.1497983</v>
      </c>
      <c r="Z47">
        <v>-4.6180120000000003E-3</v>
      </c>
      <c r="AA47">
        <v>0.98870579999999997</v>
      </c>
      <c r="AB47">
        <v>15</v>
      </c>
      <c r="AC47">
        <v>0.64990000000000203</v>
      </c>
      <c r="AD47">
        <v>-5.0056999999999997E-2</v>
      </c>
      <c r="AE47">
        <v>-0.122500000000002</v>
      </c>
      <c r="AF47">
        <v>0.12176483097216199</v>
      </c>
      <c r="AG47">
        <v>-5.0056999999999997E-2</v>
      </c>
      <c r="AH47">
        <v>0.64620501229067395</v>
      </c>
      <c r="AI47">
        <v>94.353153838053501</v>
      </c>
      <c r="AJ47">
        <v>79.3288420084737</v>
      </c>
      <c r="AK47">
        <v>0.65947956391405305</v>
      </c>
      <c r="AL47">
        <v>88.193315937759806</v>
      </c>
      <c r="AM47">
        <v>91.504981168431698</v>
      </c>
      <c r="AN47">
        <v>0.99999999386240901</v>
      </c>
    </row>
    <row r="48" spans="1:40" x14ac:dyDescent="0.3">
      <c r="A48" t="str">
        <f>"20200111153828827"</f>
        <v>20200111153828827</v>
      </c>
      <c r="B48" t="str">
        <f>"1578728308819946"</f>
        <v>1578728308819946</v>
      </c>
      <c r="C48" t="s">
        <v>40</v>
      </c>
      <c r="D48">
        <v>5.5581559999999897</v>
      </c>
      <c r="E48">
        <v>0.56768969999999996</v>
      </c>
      <c r="F48" t="s">
        <v>41</v>
      </c>
      <c r="G48">
        <v>-471.93389999999999</v>
      </c>
      <c r="H48">
        <v>1.0530729999999999</v>
      </c>
      <c r="I48">
        <v>367.399</v>
      </c>
      <c r="J48">
        <v>-472.56830000000002</v>
      </c>
      <c r="K48">
        <v>1.1025450000000001</v>
      </c>
      <c r="L48">
        <v>367.51979999999998</v>
      </c>
      <c r="M48">
        <v>0.99999459999999996</v>
      </c>
      <c r="N48">
        <v>0</v>
      </c>
      <c r="O48" s="1">
        <v>-5.9070909999999903E-5</v>
      </c>
      <c r="P48">
        <v>0.99905010000000005</v>
      </c>
      <c r="Q48">
        <v>3.4564980000000002E-2</v>
      </c>
      <c r="R48">
        <v>2.653991E-2</v>
      </c>
      <c r="S48">
        <v>3.021515</v>
      </c>
      <c r="T48">
        <v>-0.18916549999999999</v>
      </c>
      <c r="U48">
        <v>-0.45880130000000002</v>
      </c>
      <c r="V48">
        <v>-2.6597869999999999E-2</v>
      </c>
      <c r="W48">
        <v>3.1250460000000001E-2</v>
      </c>
      <c r="X48">
        <v>0.99915759999999998</v>
      </c>
      <c r="Y48">
        <v>0.149779</v>
      </c>
      <c r="Z48">
        <v>-4.6536729999999997E-3</v>
      </c>
      <c r="AA48">
        <v>0.98870860000000005</v>
      </c>
      <c r="AB48">
        <v>16</v>
      </c>
      <c r="AC48">
        <v>0.63440000000002705</v>
      </c>
      <c r="AD48">
        <v>-4.9472000000000099E-2</v>
      </c>
      <c r="AE48">
        <v>-0.120799999999974</v>
      </c>
      <c r="AF48">
        <v>0.120057968942385</v>
      </c>
      <c r="AG48">
        <v>-4.9472000000000099E-2</v>
      </c>
      <c r="AH48">
        <v>0.63070585906795196</v>
      </c>
      <c r="AI48">
        <v>94.406246226088101</v>
      </c>
      <c r="AJ48">
        <v>79.222406811702299</v>
      </c>
      <c r="AK48">
        <v>0.64393421663490902</v>
      </c>
      <c r="AL48">
        <v>88.209188924778104</v>
      </c>
      <c r="AM48">
        <v>91.524870422515804</v>
      </c>
      <c r="AN48">
        <v>0.999999973788253</v>
      </c>
    </row>
    <row r="49" spans="1:40" x14ac:dyDescent="0.3">
      <c r="A49" t="str">
        <f>"20200111153828850"</f>
        <v>20200111153828850</v>
      </c>
      <c r="B49" t="str">
        <f>"1578728308840443"</f>
        <v>1578728308840443</v>
      </c>
      <c r="C49" t="s">
        <v>40</v>
      </c>
      <c r="D49">
        <v>5.5844559999999897</v>
      </c>
      <c r="E49">
        <v>0.56773909999999905</v>
      </c>
      <c r="F49" t="s">
        <v>41</v>
      </c>
      <c r="G49">
        <v>-471.7901</v>
      </c>
      <c r="H49">
        <v>1.053515</v>
      </c>
      <c r="I49">
        <v>367.40159999999997</v>
      </c>
      <c r="J49">
        <v>-472.40530000000001</v>
      </c>
      <c r="K49">
        <v>1.1025389999999999</v>
      </c>
      <c r="L49">
        <v>367.51979999999998</v>
      </c>
      <c r="M49">
        <v>0.99999479999999996</v>
      </c>
      <c r="N49">
        <v>0</v>
      </c>
      <c r="O49" s="1">
        <v>-6.0200859999999897E-5</v>
      </c>
      <c r="P49">
        <v>0.99906410000000001</v>
      </c>
      <c r="Q49">
        <v>3.4156199999999998E-2</v>
      </c>
      <c r="R49">
        <v>2.654484E-2</v>
      </c>
      <c r="S49">
        <v>3.0216059999999998</v>
      </c>
      <c r="T49">
        <v>-0.19046080000000001</v>
      </c>
      <c r="U49">
        <v>-0.45843509999999998</v>
      </c>
      <c r="V49">
        <v>-2.66039E-2</v>
      </c>
      <c r="W49">
        <v>3.087966E-2</v>
      </c>
      <c r="X49">
        <v>0.99916899999999997</v>
      </c>
      <c r="Y49">
        <v>0.1496526</v>
      </c>
      <c r="Z49">
        <v>-4.6813509999999899E-3</v>
      </c>
      <c r="AA49">
        <v>0.98872760000000004</v>
      </c>
      <c r="AB49">
        <v>16</v>
      </c>
      <c r="AC49">
        <v>0.61520000000001496</v>
      </c>
      <c r="AD49">
        <v>-4.9023999999999901E-2</v>
      </c>
      <c r="AE49">
        <v>-0.118200000000001</v>
      </c>
      <c r="AF49">
        <v>0.11744372784545801</v>
      </c>
      <c r="AG49">
        <v>-4.9023999999999901E-2</v>
      </c>
      <c r="AH49">
        <v>0.61146246236986002</v>
      </c>
      <c r="AI49">
        <v>94.501942938396198</v>
      </c>
      <c r="AJ49">
        <v>79.127594607636098</v>
      </c>
      <c r="AK49">
        <v>0.62456602907430903</v>
      </c>
      <c r="AL49">
        <v>88.230444515714197</v>
      </c>
      <c r="AM49">
        <v>91.525198568733103</v>
      </c>
      <c r="AN49">
        <v>1.00000000572896</v>
      </c>
    </row>
    <row r="50" spans="1:40" x14ac:dyDescent="0.3">
      <c r="A50" t="str">
        <f>"20200111153828874"</f>
        <v>20200111153828874</v>
      </c>
      <c r="B50" t="str">
        <f>"1578728308870256"</f>
        <v>1578728308870256</v>
      </c>
      <c r="C50" t="s">
        <v>40</v>
      </c>
      <c r="D50">
        <v>5.5535249999999996</v>
      </c>
      <c r="E50">
        <v>0.56786020000000004</v>
      </c>
      <c r="F50" t="s">
        <v>41</v>
      </c>
      <c r="G50">
        <v>-471.64400000000001</v>
      </c>
      <c r="H50">
        <v>1.0540350000000001</v>
      </c>
      <c r="I50">
        <v>367.40370000000001</v>
      </c>
      <c r="J50">
        <v>-472.23020000000002</v>
      </c>
      <c r="K50">
        <v>1.1025370000000001</v>
      </c>
      <c r="L50">
        <v>367.51979999999998</v>
      </c>
      <c r="M50">
        <v>0.99999479999999996</v>
      </c>
      <c r="N50">
        <v>0</v>
      </c>
      <c r="O50" s="1">
        <v>-6.1574780000000004E-5</v>
      </c>
      <c r="P50">
        <v>0.99907319999999999</v>
      </c>
      <c r="Q50">
        <v>3.3792870000000003E-2</v>
      </c>
      <c r="R50">
        <v>2.666201E-2</v>
      </c>
      <c r="S50">
        <v>3.0216059999999998</v>
      </c>
      <c r="T50">
        <v>-0.19288</v>
      </c>
      <c r="U50">
        <v>-0.45861819999999998</v>
      </c>
      <c r="V50">
        <v>-2.6722329999999999E-2</v>
      </c>
      <c r="W50">
        <v>3.055128E-2</v>
      </c>
      <c r="X50">
        <v>0.99917590000000001</v>
      </c>
      <c r="Y50">
        <v>0.14970240000000001</v>
      </c>
      <c r="Z50">
        <v>-4.7421629999999998E-3</v>
      </c>
      <c r="AA50">
        <v>0.98871980000000004</v>
      </c>
      <c r="AB50">
        <v>16</v>
      </c>
      <c r="AC50">
        <v>0.58620000000001904</v>
      </c>
      <c r="AD50">
        <v>-4.8502000000000003E-2</v>
      </c>
      <c r="AE50">
        <v>-0.11609999999996</v>
      </c>
      <c r="AF50">
        <v>0.11530434220840501</v>
      </c>
      <c r="AG50">
        <v>-4.8502000000000003E-2</v>
      </c>
      <c r="AH50">
        <v>0.58237080586576395</v>
      </c>
      <c r="AI50">
        <v>94.670566354563405</v>
      </c>
      <c r="AJ50">
        <v>78.800774660917</v>
      </c>
      <c r="AK50">
        <v>0.59565366687434496</v>
      </c>
      <c r="AL50">
        <v>88.249268125220496</v>
      </c>
      <c r="AM50">
        <v>91.531974344400894</v>
      </c>
      <c r="AN50">
        <v>0.99999997138553798</v>
      </c>
    </row>
    <row r="51" spans="1:40" x14ac:dyDescent="0.3">
      <c r="A51" t="str">
        <f>"20200111153828896"</f>
        <v>20200111153828896</v>
      </c>
      <c r="B51" t="str">
        <f>"1578728308890751"</f>
        <v>1578728308890751</v>
      </c>
      <c r="C51" t="s">
        <v>40</v>
      </c>
      <c r="D51">
        <v>5.5639890000000003</v>
      </c>
      <c r="E51">
        <v>0.56788319999999903</v>
      </c>
      <c r="F51" t="s">
        <v>41</v>
      </c>
      <c r="G51">
        <v>-471.49520000000001</v>
      </c>
      <c r="H51">
        <v>1.0554250000000001</v>
      </c>
      <c r="I51">
        <v>367.40820000000002</v>
      </c>
      <c r="J51">
        <v>-472.07170000000002</v>
      </c>
      <c r="K51">
        <v>1.102538</v>
      </c>
      <c r="L51">
        <v>367.51979999999998</v>
      </c>
      <c r="M51">
        <v>0.99999490000000002</v>
      </c>
      <c r="N51">
        <v>0</v>
      </c>
      <c r="O51" s="1">
        <v>-6.2483970000000005E-5</v>
      </c>
      <c r="P51">
        <v>0.9990578</v>
      </c>
      <c r="Q51">
        <v>3.4173149999999999E-2</v>
      </c>
      <c r="R51">
        <v>2.675075E-2</v>
      </c>
      <c r="S51">
        <v>3.0215450000000001</v>
      </c>
      <c r="T51">
        <v>-0.19366649999999999</v>
      </c>
      <c r="U51">
        <v>-0.45913700000000002</v>
      </c>
      <c r="V51">
        <v>-2.6812039999999999E-2</v>
      </c>
      <c r="W51">
        <v>3.0959730000000001E-2</v>
      </c>
      <c r="X51">
        <v>0.99916090000000002</v>
      </c>
      <c r="Y51">
        <v>0.14986759999999999</v>
      </c>
      <c r="Z51">
        <v>-4.766696E-3</v>
      </c>
      <c r="AA51">
        <v>0.98869459999999998</v>
      </c>
      <c r="AB51">
        <v>16</v>
      </c>
      <c r="AC51">
        <v>0.57650000000001</v>
      </c>
      <c r="AD51">
        <v>-4.7112999999999898E-2</v>
      </c>
      <c r="AE51">
        <v>-0.111599999999953</v>
      </c>
      <c r="AF51">
        <v>0.110850397148373</v>
      </c>
      <c r="AG51">
        <v>-4.7112999999999898E-2</v>
      </c>
      <c r="AH51">
        <v>0.57281954443613503</v>
      </c>
      <c r="AI51">
        <v>94.616586021481695</v>
      </c>
      <c r="AJ51">
        <v>79.047663320289502</v>
      </c>
      <c r="AK51">
        <v>0.58534577456830905</v>
      </c>
      <c r="AL51">
        <v>88.225854544309797</v>
      </c>
      <c r="AM51">
        <v>91.537137963970693</v>
      </c>
      <c r="AN51">
        <v>0.99999994722971997</v>
      </c>
    </row>
    <row r="52" spans="1:40" x14ac:dyDescent="0.3">
      <c r="A52" t="str">
        <f>"20200111153828917"</f>
        <v>20200111153828917</v>
      </c>
      <c r="B52" t="str">
        <f>"1578728308910272"</f>
        <v>1578728308910272</v>
      </c>
      <c r="C52" t="s">
        <v>40</v>
      </c>
      <c r="D52">
        <v>5.5106809999999999</v>
      </c>
      <c r="E52">
        <v>0.56797129999999996</v>
      </c>
      <c r="F52" t="s">
        <v>41</v>
      </c>
      <c r="G52">
        <v>-471.19639999999998</v>
      </c>
      <c r="H52">
        <v>1.0471569999999999</v>
      </c>
      <c r="I52">
        <v>367.38659999999999</v>
      </c>
      <c r="J52">
        <v>-471.90499999999997</v>
      </c>
      <c r="K52">
        <v>1.102536</v>
      </c>
      <c r="L52">
        <v>367.51979999999998</v>
      </c>
      <c r="M52">
        <v>0.99999490000000002</v>
      </c>
      <c r="N52">
        <v>0</v>
      </c>
      <c r="O52" s="1">
        <v>-6.3634140000000004E-5</v>
      </c>
      <c r="P52">
        <v>0.99903960000000003</v>
      </c>
      <c r="Q52">
        <v>3.4646870000000003E-2</v>
      </c>
      <c r="R52">
        <v>2.6826900000000001E-2</v>
      </c>
      <c r="S52">
        <v>3.0216669999999999</v>
      </c>
      <c r="T52">
        <v>-0.19132579999999999</v>
      </c>
      <c r="U52">
        <v>-0.4590149</v>
      </c>
      <c r="V52">
        <v>-2.6889280000000002E-2</v>
      </c>
      <c r="W52">
        <v>3.1460170000000003E-2</v>
      </c>
      <c r="X52">
        <v>0.99914320000000001</v>
      </c>
      <c r="Y52">
        <v>0.14982879999999901</v>
      </c>
      <c r="Z52">
        <v>-4.7077330000000004E-3</v>
      </c>
      <c r="AA52">
        <v>0.98870069999999999</v>
      </c>
      <c r="AB52">
        <v>17</v>
      </c>
      <c r="AC52">
        <v>0.70859999999998902</v>
      </c>
      <c r="AD52">
        <v>-5.5378999999999998E-2</v>
      </c>
      <c r="AE52">
        <v>-0.13319999999998799</v>
      </c>
      <c r="AF52">
        <v>0.13237398280889101</v>
      </c>
      <c r="AG52">
        <v>-5.5378999999999998E-2</v>
      </c>
      <c r="AH52">
        <v>0.70445263496605104</v>
      </c>
      <c r="AI52">
        <v>94.417929373052601</v>
      </c>
      <c r="AJ52">
        <v>79.357630318553802</v>
      </c>
      <c r="AK52">
        <v>0.71891808982407801</v>
      </c>
      <c r="AL52">
        <v>88.197167481526705</v>
      </c>
      <c r="AM52">
        <v>91.541591306104095</v>
      </c>
      <c r="AN52">
        <v>0.99999995489079196</v>
      </c>
    </row>
    <row r="53" spans="1:40" x14ac:dyDescent="0.3">
      <c r="A53" t="str">
        <f>"20200111153828939"</f>
        <v>20200111153828939</v>
      </c>
      <c r="B53" t="str">
        <f>"1578728308930768"</f>
        <v>1578728308930768</v>
      </c>
      <c r="C53" t="s">
        <v>40</v>
      </c>
      <c r="D53">
        <v>5.4696540000000002</v>
      </c>
      <c r="E53">
        <v>0.56800439999999996</v>
      </c>
      <c r="F53" t="s">
        <v>41</v>
      </c>
      <c r="G53">
        <v>-471.04079999999999</v>
      </c>
      <c r="H53">
        <v>1.048416</v>
      </c>
      <c r="I53">
        <v>367.38799999999998</v>
      </c>
      <c r="J53">
        <v>-471.72570000000002</v>
      </c>
      <c r="K53">
        <v>1.1025430000000001</v>
      </c>
      <c r="L53">
        <v>367.51979999999998</v>
      </c>
      <c r="M53">
        <v>0.99999499999999997</v>
      </c>
      <c r="N53">
        <v>0</v>
      </c>
      <c r="O53" s="1">
        <v>-6.478426E-5</v>
      </c>
      <c r="P53">
        <v>0.99904839999999995</v>
      </c>
      <c r="Q53">
        <v>3.4595609999999999E-2</v>
      </c>
      <c r="R53">
        <v>2.6560520000000001E-2</v>
      </c>
      <c r="S53">
        <v>3.0217290000000001</v>
      </c>
      <c r="T53">
        <v>-0.189418</v>
      </c>
      <c r="U53">
        <v>-0.45956419999999998</v>
      </c>
      <c r="V53">
        <v>-2.6623919999999999E-2</v>
      </c>
      <c r="W53">
        <v>3.1435369999999997E-2</v>
      </c>
      <c r="X53">
        <v>0.99915109999999996</v>
      </c>
      <c r="Y53">
        <v>0.1500059</v>
      </c>
      <c r="Z53">
        <v>-4.6661659999999898E-3</v>
      </c>
      <c r="AA53">
        <v>0.9886741</v>
      </c>
      <c r="AB53">
        <v>17</v>
      </c>
      <c r="AC53">
        <v>0.68490000000002704</v>
      </c>
      <c r="AD53">
        <v>-5.4127000000000002E-2</v>
      </c>
      <c r="AE53">
        <v>-0.13179999999994099</v>
      </c>
      <c r="AF53">
        <v>0.130966872347583</v>
      </c>
      <c r="AG53">
        <v>-5.4127000000000002E-2</v>
      </c>
      <c r="AH53">
        <v>0.68080832523304702</v>
      </c>
      <c r="AI53">
        <v>94.464172947551802</v>
      </c>
      <c r="AJ53">
        <v>79.111048608621303</v>
      </c>
      <c r="AK53">
        <v>0.69540062517094003</v>
      </c>
      <c r="AL53">
        <v>88.198589143904201</v>
      </c>
      <c r="AM53">
        <v>91.526373102191002</v>
      </c>
      <c r="AN53">
        <v>0.99999996811720604</v>
      </c>
    </row>
    <row r="54" spans="1:40" x14ac:dyDescent="0.3">
      <c r="A54" t="str">
        <f>"20200111153828961"</f>
        <v>20200111153828961</v>
      </c>
      <c r="B54" t="str">
        <f>"1578728308950290"</f>
        <v>1578728308950290</v>
      </c>
      <c r="C54" t="s">
        <v>40</v>
      </c>
      <c r="D54">
        <v>5.4704420000000002</v>
      </c>
      <c r="E54">
        <v>0.56808530000000002</v>
      </c>
      <c r="F54" t="s">
        <v>41</v>
      </c>
      <c r="G54">
        <v>-470.88279999999997</v>
      </c>
      <c r="H54">
        <v>1.0501210000000001</v>
      </c>
      <c r="I54">
        <v>367.39109999999999</v>
      </c>
      <c r="J54">
        <v>-471.55900000000003</v>
      </c>
      <c r="K54">
        <v>1.1025419999999999</v>
      </c>
      <c r="L54">
        <v>367.51979999999998</v>
      </c>
      <c r="M54">
        <v>0.99999519999999997</v>
      </c>
      <c r="N54">
        <v>0</v>
      </c>
      <c r="O54" s="1">
        <v>-6.5938849999999996E-5</v>
      </c>
      <c r="P54">
        <v>0.99905440000000001</v>
      </c>
      <c r="Q54">
        <v>3.4644599999999998E-2</v>
      </c>
      <c r="R54">
        <v>2.6271940000000001E-2</v>
      </c>
      <c r="S54">
        <v>3.0216059999999998</v>
      </c>
      <c r="T54">
        <v>-0.1880656</v>
      </c>
      <c r="U54">
        <v>-0.4604492</v>
      </c>
      <c r="V54">
        <v>-2.633657E-2</v>
      </c>
      <c r="W54">
        <v>3.1509250000000003E-2</v>
      </c>
      <c r="X54">
        <v>0.99915639999999994</v>
      </c>
      <c r="Y54">
        <v>0.15029719999999999</v>
      </c>
      <c r="Z54">
        <v>-4.641933E-3</v>
      </c>
      <c r="AA54">
        <v>0.98862989999999995</v>
      </c>
      <c r="AB54">
        <v>17</v>
      </c>
      <c r="AC54">
        <v>0.67620000000005098</v>
      </c>
      <c r="AD54">
        <v>-5.2421000000000002E-2</v>
      </c>
      <c r="AE54">
        <v>-0.12869999999998</v>
      </c>
      <c r="AF54">
        <v>0.12791355018889999</v>
      </c>
      <c r="AG54">
        <v>-5.2421000000000002E-2</v>
      </c>
      <c r="AH54">
        <v>0.672309286163988</v>
      </c>
      <c r="AI54">
        <v>94.380160855504897</v>
      </c>
      <c r="AJ54">
        <v>79.227656936042706</v>
      </c>
      <c r="AK54">
        <v>0.68637425201216595</v>
      </c>
      <c r="AL54">
        <v>88.194354054542003</v>
      </c>
      <c r="AM54">
        <v>91.509898732289798</v>
      </c>
      <c r="AN54">
        <v>0.99999997970794297</v>
      </c>
    </row>
    <row r="55" spans="1:40" x14ac:dyDescent="0.3">
      <c r="A55" t="str">
        <f>"20200111153828984"</f>
        <v>20200111153828984</v>
      </c>
      <c r="B55" t="str">
        <f>"1578728308980218"</f>
        <v>1578728308980218</v>
      </c>
      <c r="C55" t="s">
        <v>40</v>
      </c>
      <c r="D55">
        <v>5.4366729999999999</v>
      </c>
      <c r="E55">
        <v>0.56808329999999996</v>
      </c>
      <c r="F55" t="s">
        <v>41</v>
      </c>
      <c r="G55">
        <v>-470.72329999999999</v>
      </c>
      <c r="H55">
        <v>1.0505660000000001</v>
      </c>
      <c r="I55">
        <v>367.39170000000001</v>
      </c>
      <c r="J55">
        <v>-471.37700000000001</v>
      </c>
      <c r="K55">
        <v>1.1025430000000001</v>
      </c>
      <c r="L55">
        <v>367.51979999999998</v>
      </c>
      <c r="M55">
        <v>0.99999519999999997</v>
      </c>
      <c r="N55">
        <v>0</v>
      </c>
      <c r="O55" s="1">
        <v>-6.7090779999999997E-5</v>
      </c>
      <c r="P55">
        <v>0.9990521</v>
      </c>
      <c r="Q55">
        <v>3.4824000000000001E-2</v>
      </c>
      <c r="R55">
        <v>2.611956E-2</v>
      </c>
      <c r="S55">
        <v>3.021515</v>
      </c>
      <c r="T55">
        <v>-0.18818119999999999</v>
      </c>
      <c r="U55">
        <v>-0.4618835</v>
      </c>
      <c r="V55">
        <v>-2.6184900000000001E-2</v>
      </c>
      <c r="W55">
        <v>3.171467E-2</v>
      </c>
      <c r="X55">
        <v>0.99915390000000004</v>
      </c>
      <c r="Y55">
        <v>0.150758</v>
      </c>
      <c r="Z55">
        <v>-4.6589329999999997E-3</v>
      </c>
      <c r="AA55">
        <v>0.98855970000000004</v>
      </c>
      <c r="AB55">
        <v>18</v>
      </c>
      <c r="AC55">
        <v>0.65369999999995798</v>
      </c>
      <c r="AD55">
        <v>-5.19770000000001E-2</v>
      </c>
      <c r="AE55">
        <v>-0.12809999999996</v>
      </c>
      <c r="AF55">
        <v>0.127281208310523</v>
      </c>
      <c r="AG55">
        <v>-5.19770000000001E-2</v>
      </c>
      <c r="AH55">
        <v>0.649752664103184</v>
      </c>
      <c r="AI55">
        <v>94.488685564386998</v>
      </c>
      <c r="AJ55">
        <v>78.916575545229605</v>
      </c>
      <c r="AK55">
        <v>0.66413902085871501</v>
      </c>
      <c r="AL55">
        <v>88.182578493426504</v>
      </c>
      <c r="AM55">
        <v>91.501211102720603</v>
      </c>
      <c r="AN55">
        <v>0.99999999258321404</v>
      </c>
    </row>
    <row r="56" spans="1:40" x14ac:dyDescent="0.3">
      <c r="A56" t="str">
        <f>"20200111153829006"</f>
        <v>20200111153829006</v>
      </c>
      <c r="B56" t="str">
        <f>"1578728309000714"</f>
        <v>1578728309000714</v>
      </c>
      <c r="C56" t="s">
        <v>40</v>
      </c>
      <c r="D56">
        <v>5.4914899999999998</v>
      </c>
      <c r="E56">
        <v>0.56808579999999997</v>
      </c>
      <c r="F56" t="s">
        <v>41</v>
      </c>
      <c r="G56">
        <v>-470.5609</v>
      </c>
      <c r="H56">
        <v>1.052273</v>
      </c>
      <c r="I56">
        <v>367.39510000000001</v>
      </c>
      <c r="J56">
        <v>-471.19470000000001</v>
      </c>
      <c r="K56">
        <v>1.1025370000000001</v>
      </c>
      <c r="L56">
        <v>367.51979999999998</v>
      </c>
      <c r="M56">
        <v>0.99999510000000003</v>
      </c>
      <c r="N56">
        <v>0</v>
      </c>
      <c r="O56" s="1">
        <v>-6.8242250000000005E-5</v>
      </c>
      <c r="P56">
        <v>0.99905169999999999</v>
      </c>
      <c r="Q56">
        <v>3.4730259999999999E-2</v>
      </c>
      <c r="R56">
        <v>2.6255230000000001E-2</v>
      </c>
      <c r="S56">
        <v>3.021423</v>
      </c>
      <c r="T56">
        <v>-0.1860385</v>
      </c>
      <c r="U56">
        <v>-0.46218870000000001</v>
      </c>
      <c r="V56">
        <v>-2.6322169999999999E-2</v>
      </c>
      <c r="W56">
        <v>3.164699E-2</v>
      </c>
      <c r="X56">
        <v>0.99915240000000005</v>
      </c>
      <c r="Y56">
        <v>0.1508651</v>
      </c>
      <c r="Z56">
        <v>-4.6092920000000001E-3</v>
      </c>
      <c r="AA56">
        <v>0.98854359999999997</v>
      </c>
      <c r="AB56">
        <v>18</v>
      </c>
      <c r="AC56">
        <v>0.63380000000000702</v>
      </c>
      <c r="AD56">
        <v>-5.0264000000000003E-2</v>
      </c>
      <c r="AE56">
        <v>-0.12469999999996099</v>
      </c>
      <c r="AF56">
        <v>0.123906492079231</v>
      </c>
      <c r="AG56">
        <v>-5.0264000000000003E-2</v>
      </c>
      <c r="AH56">
        <v>0.62999388689353197</v>
      </c>
      <c r="AI56">
        <v>94.476278163944897</v>
      </c>
      <c r="AJ56">
        <v>78.873151295601701</v>
      </c>
      <c r="AK56">
        <v>0.64402762828825999</v>
      </c>
      <c r="AL56">
        <v>88.186458148423498</v>
      </c>
      <c r="AM56">
        <v>91.509079588091097</v>
      </c>
      <c r="AN56">
        <v>0.99999995351766302</v>
      </c>
    </row>
    <row r="57" spans="1:40" x14ac:dyDescent="0.3">
      <c r="A57" t="str">
        <f>"20200111153829029"</f>
        <v>20200111153829029</v>
      </c>
      <c r="B57" t="str">
        <f>"1578728309020235"</f>
        <v>1578728309020235</v>
      </c>
      <c r="C57" t="s">
        <v>40</v>
      </c>
      <c r="D57">
        <v>5.2342050000000002</v>
      </c>
      <c r="E57">
        <v>0.52918619999999905</v>
      </c>
      <c r="F57" t="s">
        <v>41</v>
      </c>
      <c r="G57">
        <v>-470.39659999999998</v>
      </c>
      <c r="H57">
        <v>1.0534159999999999</v>
      </c>
      <c r="I57">
        <v>367.3972</v>
      </c>
      <c r="J57">
        <v>-471.01049999999998</v>
      </c>
      <c r="K57">
        <v>1.1025419999999999</v>
      </c>
      <c r="L57">
        <v>367.51979999999998</v>
      </c>
      <c r="M57">
        <v>0.99999550000000004</v>
      </c>
      <c r="N57">
        <v>0</v>
      </c>
      <c r="O57" s="1">
        <v>-6.9867790000000001E-5</v>
      </c>
      <c r="P57">
        <v>0.99905690000000003</v>
      </c>
      <c r="Q57">
        <v>3.4295970000000002E-2</v>
      </c>
      <c r="R57">
        <v>2.6635499999999999E-2</v>
      </c>
      <c r="S57">
        <v>3.021423</v>
      </c>
      <c r="T57">
        <v>-0.1863042</v>
      </c>
      <c r="U57">
        <v>-0.46209719999999999</v>
      </c>
      <c r="V57">
        <v>-2.6703649999999999E-2</v>
      </c>
      <c r="W57">
        <v>3.1241410000000001E-2</v>
      </c>
      <c r="X57">
        <v>0.99915509999999996</v>
      </c>
      <c r="Y57">
        <v>0.15083350000000001</v>
      </c>
      <c r="Z57">
        <v>-4.6148070000000003E-3</v>
      </c>
      <c r="AA57">
        <v>0.98854839999999999</v>
      </c>
      <c r="AB57">
        <v>18</v>
      </c>
      <c r="AC57">
        <v>0.613900000000001</v>
      </c>
      <c r="AD57">
        <v>-4.9125999999999899E-2</v>
      </c>
      <c r="AE57">
        <v>-0.12259999999997701</v>
      </c>
      <c r="AF57">
        <v>0.121807014102253</v>
      </c>
      <c r="AG57">
        <v>-4.9125999999999899E-2</v>
      </c>
      <c r="AH57">
        <v>0.61015122316193005</v>
      </c>
      <c r="AI57">
        <v>94.5145072755315</v>
      </c>
      <c r="AJ57">
        <v>78.710224992015299</v>
      </c>
      <c r="AK57">
        <v>0.624127252799064</v>
      </c>
      <c r="AL57">
        <v>88.209707773763398</v>
      </c>
      <c r="AM57">
        <v>91.530935796134898</v>
      </c>
      <c r="AN57">
        <v>1.00000001223906</v>
      </c>
    </row>
    <row r="58" spans="1:40" x14ac:dyDescent="0.3">
      <c r="A58" t="str">
        <f>"20200111153829051"</f>
        <v>20200111153829051</v>
      </c>
      <c r="B58" t="str">
        <f>"1578728309040730"</f>
        <v>1578728309040730</v>
      </c>
      <c r="C58" t="s">
        <v>40</v>
      </c>
      <c r="D58">
        <v>5.2490839999999999</v>
      </c>
      <c r="E58">
        <v>0.46146549999999997</v>
      </c>
      <c r="F58" t="s">
        <v>41</v>
      </c>
      <c r="G58">
        <v>-470.22980000000001</v>
      </c>
      <c r="H58">
        <v>1.0577669999999999</v>
      </c>
      <c r="I58">
        <v>367.48050000000001</v>
      </c>
      <c r="J58">
        <v>-470.8227</v>
      </c>
      <c r="K58">
        <v>1.1025450000000001</v>
      </c>
      <c r="L58">
        <v>367.51979999999998</v>
      </c>
      <c r="M58">
        <v>0.99999559999999998</v>
      </c>
      <c r="N58">
        <v>0</v>
      </c>
      <c r="O58" s="1">
        <v>-7.1130499999999999E-5</v>
      </c>
      <c r="P58">
        <v>0.99905310000000003</v>
      </c>
      <c r="Q58">
        <v>3.4188709999999997E-2</v>
      </c>
      <c r="R58">
        <v>2.6918399999999999E-2</v>
      </c>
      <c r="S58">
        <v>3.0128170000000001</v>
      </c>
      <c r="T58">
        <v>-0.17289260000000001</v>
      </c>
      <c r="U58">
        <v>-0.1511536</v>
      </c>
      <c r="V58">
        <v>-2.6988140000000001E-2</v>
      </c>
      <c r="W58">
        <v>3.1166579999999999E-2</v>
      </c>
      <c r="X58">
        <v>0.99914979999999998</v>
      </c>
      <c r="Y58">
        <v>4.9954249999999999E-2</v>
      </c>
      <c r="Z58">
        <v>-1.427177E-3</v>
      </c>
      <c r="AA58">
        <v>0.99875049999999999</v>
      </c>
      <c r="AB58">
        <v>18</v>
      </c>
      <c r="AC58">
        <v>0.59289999999998599</v>
      </c>
      <c r="AD58">
        <v>-4.47780000000002E-2</v>
      </c>
      <c r="AE58">
        <v>-3.9299999999968797E-2</v>
      </c>
      <c r="AF58">
        <v>3.9036144936729897E-2</v>
      </c>
      <c r="AG58">
        <v>-4.47780000000002E-2</v>
      </c>
      <c r="AH58">
        <v>0.58955478424357399</v>
      </c>
      <c r="AI58">
        <v>94.333949310085799</v>
      </c>
      <c r="AJ58">
        <v>86.211808564644301</v>
      </c>
      <c r="AK58">
        <v>0.59254006912613799</v>
      </c>
      <c r="AL58">
        <v>88.213997318039105</v>
      </c>
      <c r="AM58">
        <v>91.547246090438705</v>
      </c>
      <c r="AN58">
        <v>1.00000001912479</v>
      </c>
    </row>
    <row r="59" spans="1:40" x14ac:dyDescent="0.3">
      <c r="A59" t="str">
        <f>"20200111153829075"</f>
        <v>20200111153829075</v>
      </c>
      <c r="B59" t="str">
        <f>"1578728309070011"</f>
        <v>1578728309070011</v>
      </c>
      <c r="C59" t="s">
        <v>40</v>
      </c>
      <c r="D59">
        <v>5.1086970000000003</v>
      </c>
      <c r="E59">
        <v>0.45258159999999997</v>
      </c>
      <c r="F59" t="s">
        <v>42</v>
      </c>
      <c r="G59">
        <v>-452.178</v>
      </c>
      <c r="H59" s="1">
        <v>-3.4250479999999999E-6</v>
      </c>
      <c r="I59">
        <v>369.94380000000001</v>
      </c>
      <c r="J59">
        <v>-470.61430000000001</v>
      </c>
      <c r="K59">
        <v>1.1025510000000001</v>
      </c>
      <c r="L59">
        <v>367.51979999999998</v>
      </c>
      <c r="M59">
        <v>0.99999570000000004</v>
      </c>
      <c r="N59">
        <v>0</v>
      </c>
      <c r="O59" s="1">
        <v>-7.2619119999999999E-5</v>
      </c>
      <c r="P59">
        <v>0.99904309999999996</v>
      </c>
      <c r="Q59">
        <v>3.4210249999999998E-2</v>
      </c>
      <c r="R59">
        <v>2.7253690000000001E-2</v>
      </c>
      <c r="S59">
        <v>2.9984440000000001</v>
      </c>
      <c r="T59">
        <v>-0.17731089999999999</v>
      </c>
      <c r="U59">
        <v>0.3898315</v>
      </c>
      <c r="V59">
        <v>-2.7324930000000001E-2</v>
      </c>
      <c r="W59">
        <v>3.1229489999999999E-2</v>
      </c>
      <c r="X59">
        <v>0.99913870000000005</v>
      </c>
      <c r="Y59">
        <v>-0.1287769</v>
      </c>
      <c r="Z59">
        <v>3.792616E-3</v>
      </c>
      <c r="AA59">
        <v>0.9916663</v>
      </c>
      <c r="AB59">
        <v>19</v>
      </c>
      <c r="AC59">
        <v>18.4362999999999</v>
      </c>
      <c r="AD59">
        <v>-1.1025544250479999</v>
      </c>
      <c r="AE59">
        <v>2.4240000000000301</v>
      </c>
      <c r="AF59">
        <v>-2.4168419892828301</v>
      </c>
      <c r="AG59">
        <v>-1.1025544250479999</v>
      </c>
      <c r="AH59">
        <v>18.371535520529001</v>
      </c>
      <c r="AI59">
        <v>93.405176180160495</v>
      </c>
      <c r="AJ59">
        <v>97.494431138900794</v>
      </c>
      <c r="AK59">
        <v>18.5625986554527</v>
      </c>
      <c r="AL59">
        <v>88.210391117797698</v>
      </c>
      <c r="AM59">
        <v>91.566562294106106</v>
      </c>
      <c r="AN59">
        <v>1.00000003734142</v>
      </c>
    </row>
    <row r="60" spans="1:40" x14ac:dyDescent="0.3">
      <c r="A60" t="str">
        <f>"20200111153829118"</f>
        <v>20200111153829118</v>
      </c>
      <c r="B60" t="str">
        <f>"1578728309110027"</f>
        <v>1578728309110027</v>
      </c>
      <c r="C60" t="s">
        <v>40</v>
      </c>
      <c r="D60">
        <v>5.019272</v>
      </c>
      <c r="E60">
        <v>0.45189990000000002</v>
      </c>
      <c r="F60" t="s">
        <v>42</v>
      </c>
      <c r="G60">
        <v>-454.34879999999998</v>
      </c>
      <c r="H60" s="1">
        <v>-2.5158749999999999E-6</v>
      </c>
      <c r="I60">
        <v>370.02679999999998</v>
      </c>
      <c r="J60">
        <v>-470.24579999999997</v>
      </c>
      <c r="K60">
        <v>1.1025609999999999</v>
      </c>
      <c r="L60">
        <v>367.51979999999998</v>
      </c>
      <c r="M60">
        <v>0.99999579999999999</v>
      </c>
      <c r="N60">
        <v>0</v>
      </c>
      <c r="O60" s="1">
        <v>-7.4996700000000007E-5</v>
      </c>
      <c r="P60">
        <v>0.99902199999999997</v>
      </c>
      <c r="Q60">
        <v>3.4430530000000001E-2</v>
      </c>
      <c r="R60">
        <v>2.774159E-2</v>
      </c>
      <c r="S60">
        <v>2.9971920000000001</v>
      </c>
      <c r="T60">
        <v>-0.20316290000000001</v>
      </c>
      <c r="U60">
        <v>0.46197510000000003</v>
      </c>
      <c r="V60">
        <v>-2.7815380000000001E-2</v>
      </c>
      <c r="W60">
        <v>3.15369E-2</v>
      </c>
      <c r="X60">
        <v>0.99911550000000005</v>
      </c>
      <c r="Y60">
        <v>-0.15207010000000001</v>
      </c>
      <c r="Z60">
        <v>5.1230149999999999E-3</v>
      </c>
      <c r="AA60">
        <v>0.98835640000000002</v>
      </c>
      <c r="AB60">
        <v>19</v>
      </c>
      <c r="AC60">
        <v>15.896999999999901</v>
      </c>
      <c r="AD60">
        <v>-1.102563515875</v>
      </c>
      <c r="AE60">
        <v>2.5070000000000001</v>
      </c>
      <c r="AF60">
        <v>-2.4964747136502701</v>
      </c>
      <c r="AG60">
        <v>-1.102563515875</v>
      </c>
      <c r="AH60">
        <v>15.8225468949527</v>
      </c>
      <c r="AI60">
        <v>93.937547799954402</v>
      </c>
      <c r="AJ60">
        <v>98.966188673733996</v>
      </c>
      <c r="AK60">
        <v>16.056183311902402</v>
      </c>
      <c r="AL60">
        <v>88.192769123776799</v>
      </c>
      <c r="AM60">
        <v>91.594702843771003</v>
      </c>
      <c r="AN60">
        <v>1.0000000268832001</v>
      </c>
    </row>
    <row r="61" spans="1:40" x14ac:dyDescent="0.3">
      <c r="A61" t="str">
        <f>"20200111153829141"</f>
        <v>20200111153829141</v>
      </c>
      <c r="B61" t="str">
        <f>"1578728309130523"</f>
        <v>1578728309130523</v>
      </c>
      <c r="C61" t="s">
        <v>40</v>
      </c>
      <c r="D61">
        <v>5.0074420000000002</v>
      </c>
      <c r="E61">
        <v>0.45180989999999999</v>
      </c>
      <c r="F61" t="s">
        <v>42</v>
      </c>
      <c r="G61">
        <v>-454.19630000000001</v>
      </c>
      <c r="H61" s="1">
        <v>-2.5820290000000002E-6</v>
      </c>
      <c r="I61">
        <v>370.02960000000002</v>
      </c>
      <c r="J61">
        <v>-470.04169999999999</v>
      </c>
      <c r="K61">
        <v>1.1025659999999999</v>
      </c>
      <c r="L61">
        <v>367.51979999999998</v>
      </c>
      <c r="M61">
        <v>0.99999610000000005</v>
      </c>
      <c r="N61">
        <v>0</v>
      </c>
      <c r="O61" s="1">
        <v>-7.6948480000000002E-5</v>
      </c>
      <c r="P61">
        <v>0.99901740000000006</v>
      </c>
      <c r="Q61">
        <v>3.4490970000000003E-2</v>
      </c>
      <c r="R61">
        <v>2.783267E-2</v>
      </c>
      <c r="S61">
        <v>2.9970089999999998</v>
      </c>
      <c r="T61">
        <v>-0.20588699999999999</v>
      </c>
      <c r="U61">
        <v>0.46868900000000002</v>
      </c>
      <c r="V61">
        <v>-2.790817E-2</v>
      </c>
      <c r="W61">
        <v>3.16508E-2</v>
      </c>
      <c r="X61">
        <v>0.99910929999999998</v>
      </c>
      <c r="Y61">
        <v>-0.15422859999999999</v>
      </c>
      <c r="Z61">
        <v>5.2647220000000003E-3</v>
      </c>
      <c r="AA61">
        <v>0.98802109999999999</v>
      </c>
      <c r="AB61">
        <v>19</v>
      </c>
      <c r="AC61">
        <v>15.8453999999999</v>
      </c>
      <c r="AD61">
        <v>-1.1025685820290001</v>
      </c>
      <c r="AE61">
        <v>2.5098000000000402</v>
      </c>
      <c r="AF61">
        <v>-2.4992147901670898</v>
      </c>
      <c r="AG61">
        <v>-1.1025685820290001</v>
      </c>
      <c r="AH61">
        <v>15.7707173424795</v>
      </c>
      <c r="AI61">
        <v>93.950044973663907</v>
      </c>
      <c r="AJ61">
        <v>99.004885711390003</v>
      </c>
      <c r="AK61">
        <v>16.005538339645199</v>
      </c>
      <c r="AL61">
        <v>88.186239855847205</v>
      </c>
      <c r="AM61">
        <v>91.600029814718795</v>
      </c>
      <c r="AN61">
        <v>1.0000000162199301</v>
      </c>
    </row>
    <row r="62" spans="1:40" x14ac:dyDescent="0.3">
      <c r="A62" t="str">
        <f>"20200111153829163"</f>
        <v>20200111153829163</v>
      </c>
      <c r="B62" t="str">
        <f>"1578728309160779"</f>
        <v>1578728309160779</v>
      </c>
      <c r="C62" t="s">
        <v>40</v>
      </c>
      <c r="D62">
        <v>4.9929329999999998</v>
      </c>
      <c r="E62">
        <v>0.45233679999999898</v>
      </c>
      <c r="F62" t="s">
        <v>42</v>
      </c>
      <c r="G62">
        <v>-454.02120000000002</v>
      </c>
      <c r="H62" s="1">
        <v>-2.6569419999999998E-6</v>
      </c>
      <c r="I62">
        <v>370.02879999999999</v>
      </c>
      <c r="J62">
        <v>-469.8365</v>
      </c>
      <c r="K62">
        <v>1.1025750000000001</v>
      </c>
      <c r="L62">
        <v>367.5197</v>
      </c>
      <c r="M62">
        <v>0.99999610000000005</v>
      </c>
      <c r="N62">
        <v>0</v>
      </c>
      <c r="O62" s="1">
        <v>-7.842061E-5</v>
      </c>
      <c r="P62">
        <v>0.99903109999999995</v>
      </c>
      <c r="Q62">
        <v>3.4261699999999999E-2</v>
      </c>
      <c r="R62">
        <v>2.7626290000000001E-2</v>
      </c>
      <c r="S62">
        <v>2.9970089999999998</v>
      </c>
      <c r="T62">
        <v>-0.20626</v>
      </c>
      <c r="U62">
        <v>0.4693909</v>
      </c>
      <c r="V62">
        <v>-2.7703470000000001E-2</v>
      </c>
      <c r="W62">
        <v>3.1477320000000003E-2</v>
      </c>
      <c r="X62">
        <v>0.99912049999999997</v>
      </c>
      <c r="Y62">
        <v>-0.15445410000000001</v>
      </c>
      <c r="Z62">
        <v>5.2819470000000004E-3</v>
      </c>
      <c r="AA62">
        <v>0.98798580000000003</v>
      </c>
      <c r="AB62">
        <v>20</v>
      </c>
      <c r="AC62">
        <v>15.815299999999899</v>
      </c>
      <c r="AD62">
        <v>-1.1025776569420001</v>
      </c>
      <c r="AE62">
        <v>2.5090999999999801</v>
      </c>
      <c r="AF62">
        <v>-2.49849494040987</v>
      </c>
      <c r="AG62">
        <v>-1.1025776569420001</v>
      </c>
      <c r="AH62">
        <v>15.740477972069501</v>
      </c>
      <c r="AI62">
        <v>93.957483970608195</v>
      </c>
      <c r="AJ62">
        <v>99.019345060637704</v>
      </c>
      <c r="AK62">
        <v>15.975631481917899</v>
      </c>
      <c r="AL62">
        <v>88.196184523231906</v>
      </c>
      <c r="AM62">
        <v>91.588282202598904</v>
      </c>
      <c r="AN62">
        <v>1.00000003872233</v>
      </c>
    </row>
    <row r="63" spans="1:40" x14ac:dyDescent="0.3">
      <c r="A63" t="str">
        <f>"20200111153829185"</f>
        <v>20200111153829185</v>
      </c>
      <c r="B63" t="str">
        <f>"1578728309180300"</f>
        <v>1578728309180300</v>
      </c>
      <c r="C63" t="s">
        <v>40</v>
      </c>
      <c r="D63">
        <v>4.9424859999999997</v>
      </c>
      <c r="E63">
        <v>0.45263819999999999</v>
      </c>
      <c r="F63" t="s">
        <v>42</v>
      </c>
      <c r="G63">
        <v>-453.70389999999998</v>
      </c>
      <c r="H63" s="1">
        <v>-2.7911919999999998E-6</v>
      </c>
      <c r="I63">
        <v>370.02179999999998</v>
      </c>
      <c r="J63">
        <v>-469.64980000000003</v>
      </c>
      <c r="K63">
        <v>1.102582</v>
      </c>
      <c r="L63">
        <v>367.5197</v>
      </c>
      <c r="M63">
        <v>0.99999640000000001</v>
      </c>
      <c r="N63">
        <v>0</v>
      </c>
      <c r="O63" s="1">
        <v>-7.9899840000000006E-5</v>
      </c>
      <c r="P63">
        <v>0.99901249999999997</v>
      </c>
      <c r="Q63">
        <v>3.4598009999999998E-2</v>
      </c>
      <c r="R63">
        <v>2.788125E-2</v>
      </c>
      <c r="S63">
        <v>2.9970699999999999</v>
      </c>
      <c r="T63">
        <v>-0.2048333</v>
      </c>
      <c r="U63">
        <v>0.46484379999999997</v>
      </c>
      <c r="V63">
        <v>-2.7959910000000001E-2</v>
      </c>
      <c r="W63">
        <v>3.1864799999999999E-2</v>
      </c>
      <c r="X63">
        <v>0.99910100000000002</v>
      </c>
      <c r="Y63">
        <v>-0.1529971</v>
      </c>
      <c r="Z63">
        <v>5.196661E-3</v>
      </c>
      <c r="AA63">
        <v>0.98821289999999995</v>
      </c>
      <c r="AB63">
        <v>20</v>
      </c>
      <c r="AC63">
        <v>15.9459</v>
      </c>
      <c r="AD63">
        <v>-1.1025847911919999</v>
      </c>
      <c r="AE63">
        <v>2.50209999999998</v>
      </c>
      <c r="AF63">
        <v>-2.4917471028865399</v>
      </c>
      <c r="AG63">
        <v>-1.1025847911919999</v>
      </c>
      <c r="AH63">
        <v>15.8716399234078</v>
      </c>
      <c r="AI63">
        <v>93.925954452867501</v>
      </c>
      <c r="AJ63">
        <v>98.922248468161897</v>
      </c>
      <c r="AK63">
        <v>16.1038334164516</v>
      </c>
      <c r="AL63">
        <v>88.173972278077599</v>
      </c>
      <c r="AM63">
        <v>91.6030079334503</v>
      </c>
      <c r="AN63">
        <v>0.99999996512362299</v>
      </c>
    </row>
    <row r="64" spans="1:40" x14ac:dyDescent="0.3">
      <c r="A64" t="str">
        <f>"20200111153829207"</f>
        <v>20200111153829207</v>
      </c>
      <c r="B64" t="str">
        <f>"1578728309200795"</f>
        <v>1578728309200795</v>
      </c>
      <c r="C64" t="s">
        <v>40</v>
      </c>
      <c r="D64">
        <v>4.9316740000000001</v>
      </c>
      <c r="E64">
        <v>0.45287840000000001</v>
      </c>
      <c r="F64" t="s">
        <v>42</v>
      </c>
      <c r="G64">
        <v>-453.41</v>
      </c>
      <c r="H64" s="1">
        <v>-2.9189440000000001E-6</v>
      </c>
      <c r="I64">
        <v>370.02809999999999</v>
      </c>
      <c r="J64">
        <v>-469.44040000000001</v>
      </c>
      <c r="K64">
        <v>1.1025879999999999</v>
      </c>
      <c r="L64">
        <v>367.5197</v>
      </c>
      <c r="M64">
        <v>0.99999640000000001</v>
      </c>
      <c r="N64">
        <v>0</v>
      </c>
      <c r="O64" s="1">
        <v>-8.1133219999999904E-5</v>
      </c>
      <c r="P64">
        <v>0.99899680000000002</v>
      </c>
      <c r="Q64">
        <v>3.4987560000000001E-2</v>
      </c>
      <c r="R64">
        <v>2.7956769999999999E-2</v>
      </c>
      <c r="S64">
        <v>2.9971009999999998</v>
      </c>
      <c r="T64">
        <v>-0.2034839</v>
      </c>
      <c r="U64">
        <v>0.46295170000000002</v>
      </c>
      <c r="V64">
        <v>-2.803669E-2</v>
      </c>
      <c r="W64">
        <v>3.2312319999999999E-2</v>
      </c>
      <c r="X64">
        <v>0.99908450000000004</v>
      </c>
      <c r="Y64">
        <v>-0.15239339999999901</v>
      </c>
      <c r="Z64">
        <v>5.1424319999999997E-3</v>
      </c>
      <c r="AA64">
        <v>0.98830649999999998</v>
      </c>
      <c r="AB64">
        <v>20</v>
      </c>
      <c r="AC64">
        <v>16.030399999999901</v>
      </c>
      <c r="AD64">
        <v>-1.102590918944</v>
      </c>
      <c r="AE64">
        <v>2.5083999999999902</v>
      </c>
      <c r="AF64">
        <v>-2.4981645894255098</v>
      </c>
      <c r="AG64">
        <v>-1.102590918944</v>
      </c>
      <c r="AH64">
        <v>15.956512572571</v>
      </c>
      <c r="AI64">
        <v>93.905416597007402</v>
      </c>
      <c r="AJ64">
        <v>98.898042217828703</v>
      </c>
      <c r="AK64">
        <v>16.188478203000201</v>
      </c>
      <c r="AL64">
        <v>88.148318104773494</v>
      </c>
      <c r="AM64">
        <v>91.607434139278595</v>
      </c>
      <c r="AN64">
        <v>0.99999999007509399</v>
      </c>
    </row>
    <row r="65" spans="1:40" x14ac:dyDescent="0.3">
      <c r="A65" t="str">
        <f>"20200111153829230"</f>
        <v>20200111153829230</v>
      </c>
      <c r="B65" t="str">
        <f>"1578728309220314"</f>
        <v>1578728309220314</v>
      </c>
      <c r="C65" t="s">
        <v>40</v>
      </c>
      <c r="D65">
        <v>4.9188619999999998</v>
      </c>
      <c r="E65">
        <v>0.45294459999999998</v>
      </c>
      <c r="F65" t="s">
        <v>42</v>
      </c>
      <c r="G65">
        <v>-453.1053</v>
      </c>
      <c r="H65" s="1">
        <v>-3.050936E-6</v>
      </c>
      <c r="I65">
        <v>370.03280000000001</v>
      </c>
      <c r="J65">
        <v>-469.22739999999999</v>
      </c>
      <c r="K65">
        <v>1.1025929999999999</v>
      </c>
      <c r="L65">
        <v>367.51960000000003</v>
      </c>
      <c r="M65">
        <v>0.99999649999999995</v>
      </c>
      <c r="N65">
        <v>0</v>
      </c>
      <c r="O65" s="1">
        <v>-8.2605440000000003E-5</v>
      </c>
      <c r="P65">
        <v>0.99899210000000005</v>
      </c>
      <c r="Q65">
        <v>3.4783729999999999E-2</v>
      </c>
      <c r="R65">
        <v>2.8368549999999999E-2</v>
      </c>
      <c r="S65">
        <v>2.9971920000000001</v>
      </c>
      <c r="T65">
        <v>-0.20230329999999999</v>
      </c>
      <c r="U65">
        <v>0.46112059999999999</v>
      </c>
      <c r="V65">
        <v>-2.844938E-2</v>
      </c>
      <c r="W65">
        <v>3.2167429999999997E-2</v>
      </c>
      <c r="X65">
        <v>0.99907749999999995</v>
      </c>
      <c r="Y65">
        <v>-0.15180579999999999</v>
      </c>
      <c r="Z65">
        <v>5.0931479999999996E-3</v>
      </c>
      <c r="AA65">
        <v>0.98839719999999998</v>
      </c>
      <c r="AB65">
        <v>20</v>
      </c>
      <c r="AC65">
        <v>16.1220999999999</v>
      </c>
      <c r="AD65">
        <v>-1.102596050936</v>
      </c>
      <c r="AE65">
        <v>2.5131999999999799</v>
      </c>
      <c r="AF65">
        <v>-2.5031019097001801</v>
      </c>
      <c r="AG65">
        <v>-1.102596050936</v>
      </c>
      <c r="AH65">
        <v>16.048609923517802</v>
      </c>
      <c r="AI65">
        <v>93.8834404506715</v>
      </c>
      <c r="AJ65">
        <v>98.864998766323893</v>
      </c>
      <c r="AK65">
        <v>16.280022042341301</v>
      </c>
      <c r="AL65">
        <v>88.1566239911606</v>
      </c>
      <c r="AM65">
        <v>91.631093725337095</v>
      </c>
      <c r="AN65">
        <v>0.99999998089071895</v>
      </c>
    </row>
    <row r="66" spans="1:40" x14ac:dyDescent="0.3">
      <c r="A66" t="str">
        <f>"20200111153829251"</f>
        <v>20200111153829251</v>
      </c>
      <c r="B66" t="str">
        <f>"1578728309239837"</f>
        <v>1578728309239837</v>
      </c>
      <c r="C66" t="s">
        <v>40</v>
      </c>
      <c r="D66">
        <v>4.8952770000000001</v>
      </c>
      <c r="E66">
        <v>0.45304050000000001</v>
      </c>
      <c r="F66" t="s">
        <v>42</v>
      </c>
      <c r="G66">
        <v>-452.9323</v>
      </c>
      <c r="H66" s="1">
        <v>-3.1248940000000002E-6</v>
      </c>
      <c r="I66">
        <v>370.03190000000001</v>
      </c>
      <c r="J66">
        <v>-469.02429999999998</v>
      </c>
      <c r="K66">
        <v>1.1025830000000001</v>
      </c>
      <c r="L66">
        <v>367.51960000000003</v>
      </c>
      <c r="M66">
        <v>0.99999680000000002</v>
      </c>
      <c r="N66">
        <v>0</v>
      </c>
      <c r="O66" s="1">
        <v>-8.4202469999999997E-5</v>
      </c>
      <c r="P66">
        <v>0.99899470000000001</v>
      </c>
      <c r="Q66">
        <v>3.4657250000000001E-2</v>
      </c>
      <c r="R66">
        <v>2.84382E-2</v>
      </c>
      <c r="S66">
        <v>2.9969790000000001</v>
      </c>
      <c r="T66">
        <v>-0.20278669999999999</v>
      </c>
      <c r="U66">
        <v>0.4620667</v>
      </c>
      <c r="V66">
        <v>-2.8520899999999998E-2</v>
      </c>
      <c r="W66">
        <v>3.209737E-2</v>
      </c>
      <c r="X66">
        <v>0.99907769999999996</v>
      </c>
      <c r="Y66">
        <v>-0.15212030000000001</v>
      </c>
      <c r="Z66">
        <v>5.1162050000000004E-3</v>
      </c>
      <c r="AA66">
        <v>0.98834869999999997</v>
      </c>
      <c r="AB66">
        <v>21</v>
      </c>
      <c r="AC66">
        <v>16.091999999999899</v>
      </c>
      <c r="AD66">
        <v>-1.1025861248940001</v>
      </c>
      <c r="AE66">
        <v>2.5122999999999802</v>
      </c>
      <c r="AF66">
        <v>-2.5021875435735201</v>
      </c>
      <c r="AG66">
        <v>-1.1025861248940001</v>
      </c>
      <c r="AH66">
        <v>16.0183767400516</v>
      </c>
      <c r="AI66">
        <v>93.890572423780398</v>
      </c>
      <c r="AJ66">
        <v>98.878271479263105</v>
      </c>
      <c r="AK66">
        <v>16.250077909113202</v>
      </c>
      <c r="AL66">
        <v>88.160640181453601</v>
      </c>
      <c r="AM66">
        <v>91.635191644555107</v>
      </c>
      <c r="AN66">
        <v>0.99999996676750702</v>
      </c>
    </row>
    <row r="67" spans="1:40" x14ac:dyDescent="0.3">
      <c r="A67" t="str">
        <f>"20200111153829275"</f>
        <v>20200111153829275</v>
      </c>
      <c r="B67" t="str">
        <f>"1578728309270091"</f>
        <v>1578728309270091</v>
      </c>
      <c r="C67" t="s">
        <v>40</v>
      </c>
      <c r="D67">
        <v>4.8832300000000002</v>
      </c>
      <c r="E67">
        <v>0.45302900000000002</v>
      </c>
      <c r="F67" t="s">
        <v>42</v>
      </c>
      <c r="G67">
        <v>-452.70030000000003</v>
      </c>
      <c r="H67" s="1">
        <v>-3.22506E-6</v>
      </c>
      <c r="I67">
        <v>370.0342</v>
      </c>
      <c r="J67">
        <v>-468.80270000000002</v>
      </c>
      <c r="K67">
        <v>1.1025879999999999</v>
      </c>
      <c r="L67">
        <v>367.51960000000003</v>
      </c>
      <c r="M67">
        <v>0.99999700000000002</v>
      </c>
      <c r="N67">
        <v>0</v>
      </c>
      <c r="O67" s="1">
        <v>-8.5795479999999994E-5</v>
      </c>
      <c r="P67">
        <v>0.99899780000000005</v>
      </c>
      <c r="Q67">
        <v>3.4540519999999998E-2</v>
      </c>
      <c r="R67">
        <v>2.8471550000000002E-2</v>
      </c>
      <c r="S67">
        <v>2.996918</v>
      </c>
      <c r="T67">
        <v>-0.20242189999999999</v>
      </c>
      <c r="U67">
        <v>0.46166990000000002</v>
      </c>
      <c r="V67">
        <v>-2.8556209999999999E-2</v>
      </c>
      <c r="W67">
        <v>3.2041609999999998E-2</v>
      </c>
      <c r="X67">
        <v>0.99907849999999998</v>
      </c>
      <c r="Y67">
        <v>-0.15199860000000001</v>
      </c>
      <c r="Z67">
        <v>5.1031999999999996E-3</v>
      </c>
      <c r="AA67">
        <v>0.98836760000000001</v>
      </c>
      <c r="AB67">
        <v>21</v>
      </c>
      <c r="AC67">
        <v>16.1023999999999</v>
      </c>
      <c r="AD67">
        <v>-1.1025912250599901</v>
      </c>
      <c r="AE67">
        <v>2.51459999999997</v>
      </c>
      <c r="AF67">
        <v>-2.50451825108102</v>
      </c>
      <c r="AG67">
        <v>-1.1025912250599901</v>
      </c>
      <c r="AH67">
        <v>16.028819798366001</v>
      </c>
      <c r="AI67">
        <v>93.888037559293807</v>
      </c>
      <c r="AJ67">
        <v>98.880712040760798</v>
      </c>
      <c r="AK67">
        <v>16.260731324515199</v>
      </c>
      <c r="AL67">
        <v>88.163836672816103</v>
      </c>
      <c r="AM67">
        <v>91.637213664959702</v>
      </c>
      <c r="AN67">
        <v>0.99999998553160296</v>
      </c>
    </row>
    <row r="68" spans="1:40" x14ac:dyDescent="0.3">
      <c r="A68" t="str">
        <f>"20200111153829298"</f>
        <v>20200111153829298</v>
      </c>
      <c r="B68" t="str">
        <f>"1578728309290587"</f>
        <v>1578728309290587</v>
      </c>
      <c r="C68" t="s">
        <v>40</v>
      </c>
      <c r="D68">
        <v>4.8703010000000004</v>
      </c>
      <c r="E68">
        <v>0.45299240000000002</v>
      </c>
      <c r="F68" t="s">
        <v>42</v>
      </c>
      <c r="G68">
        <v>-452.38580000000002</v>
      </c>
      <c r="H68" s="1">
        <v>-3.3641180000000002E-6</v>
      </c>
      <c r="I68">
        <v>370.04989999999998</v>
      </c>
      <c r="J68">
        <v>-468.58240000000001</v>
      </c>
      <c r="K68">
        <v>1.102589</v>
      </c>
      <c r="L68">
        <v>367.51949999999999</v>
      </c>
      <c r="M68">
        <v>0.99999709999999997</v>
      </c>
      <c r="N68">
        <v>0</v>
      </c>
      <c r="O68" s="1">
        <v>-8.7510910000000003E-5</v>
      </c>
      <c r="P68">
        <v>0.99900160000000005</v>
      </c>
      <c r="Q68">
        <v>3.4429210000000002E-2</v>
      </c>
      <c r="R68">
        <v>2.8470220000000001E-2</v>
      </c>
      <c r="S68">
        <v>2.9967959999999998</v>
      </c>
      <c r="T68">
        <v>-0.20127020000000001</v>
      </c>
      <c r="U68">
        <v>0.46191409999999999</v>
      </c>
      <c r="V68">
        <v>-2.8556729999999999E-2</v>
      </c>
      <c r="W68">
        <v>3.1989660000000003E-2</v>
      </c>
      <c r="X68">
        <v>0.99908019999999997</v>
      </c>
      <c r="Y68">
        <v>-0.15208859999999999</v>
      </c>
      <c r="Z68">
        <v>5.0775150000000003E-3</v>
      </c>
      <c r="AA68">
        <v>0.98835379999999995</v>
      </c>
      <c r="AB68">
        <v>21</v>
      </c>
      <c r="AC68">
        <v>16.196599999999901</v>
      </c>
      <c r="AD68">
        <v>-1.102592364118</v>
      </c>
      <c r="AE68">
        <v>2.5303999999999802</v>
      </c>
      <c r="AF68">
        <v>-2.5204153630000601</v>
      </c>
      <c r="AG68">
        <v>-1.102592364118</v>
      </c>
      <c r="AH68">
        <v>16.123438294174399</v>
      </c>
      <c r="AI68">
        <v>93.865253839730102</v>
      </c>
      <c r="AJ68">
        <v>98.884572456216702</v>
      </c>
      <c r="AK68">
        <v>16.356450285728499</v>
      </c>
      <c r="AL68">
        <v>88.166814807067297</v>
      </c>
      <c r="AM68">
        <v>91.637240677541897</v>
      </c>
      <c r="AN68">
        <v>1.0000000356036201</v>
      </c>
    </row>
    <row r="69" spans="1:40" x14ac:dyDescent="0.3">
      <c r="A69" t="str">
        <f>"20200111153829320"</f>
        <v>20200111153829320</v>
      </c>
      <c r="B69" t="str">
        <f>"1578728309310106"</f>
        <v>1578728309310106</v>
      </c>
      <c r="C69" t="s">
        <v>40</v>
      </c>
      <c r="D69">
        <v>4.8691649999999997</v>
      </c>
      <c r="E69">
        <v>0.45291340000000002</v>
      </c>
      <c r="F69" t="s">
        <v>42</v>
      </c>
      <c r="G69">
        <v>-452.10969999999998</v>
      </c>
      <c r="H69" s="1">
        <v>-3.4858569999999998E-6</v>
      </c>
      <c r="I69">
        <v>370.06220000000002</v>
      </c>
      <c r="J69">
        <v>-468.3612</v>
      </c>
      <c r="K69">
        <v>1.1025910000000001</v>
      </c>
      <c r="L69">
        <v>367.51949999999999</v>
      </c>
      <c r="M69">
        <v>0.99999729999999998</v>
      </c>
      <c r="N69">
        <v>0</v>
      </c>
      <c r="O69" s="1">
        <v>-8.9227990000000006E-5</v>
      </c>
      <c r="P69">
        <v>0.99901419999999996</v>
      </c>
      <c r="Q69">
        <v>3.4170520000000003E-2</v>
      </c>
      <c r="R69">
        <v>2.834528E-2</v>
      </c>
      <c r="S69">
        <v>2.9967649999999999</v>
      </c>
      <c r="T69">
        <v>-0.20058580000000001</v>
      </c>
      <c r="U69">
        <v>0.46258539999999998</v>
      </c>
      <c r="V69">
        <v>-2.8433529999999999E-2</v>
      </c>
      <c r="W69">
        <v>3.1790930000000002E-2</v>
      </c>
      <c r="X69">
        <v>0.99909000000000003</v>
      </c>
      <c r="Y69">
        <v>-0.1523099</v>
      </c>
      <c r="Z69">
        <v>5.0677220000000002E-3</v>
      </c>
      <c r="AA69">
        <v>0.98831979999999997</v>
      </c>
      <c r="AB69">
        <v>22</v>
      </c>
      <c r="AC69">
        <v>16.2515</v>
      </c>
      <c r="AD69">
        <v>-1.10259448585699</v>
      </c>
      <c r="AE69">
        <v>2.5427000000000199</v>
      </c>
      <c r="AF69">
        <v>-2.5327702144108</v>
      </c>
      <c r="AG69">
        <v>-1.10259448585699</v>
      </c>
      <c r="AH69">
        <v>16.1785818465742</v>
      </c>
      <c r="AI69">
        <v>93.851991140147106</v>
      </c>
      <c r="AJ69">
        <v>98.897483190440894</v>
      </c>
      <c r="AK69">
        <v>16.4127130641326</v>
      </c>
      <c r="AL69">
        <v>88.178206887186505</v>
      </c>
      <c r="AM69">
        <v>91.630165099875398</v>
      </c>
      <c r="AN69">
        <v>0.99999997847926203</v>
      </c>
    </row>
    <row r="70" spans="1:40" x14ac:dyDescent="0.3">
      <c r="A70" t="str">
        <f>"20200111153829342"</f>
        <v>20200111153829342</v>
      </c>
      <c r="B70" t="str">
        <f>"1578728309330603"</f>
        <v>1578728309330603</v>
      </c>
      <c r="C70" t="s">
        <v>40</v>
      </c>
      <c r="D70">
        <v>4.845294</v>
      </c>
      <c r="E70">
        <v>0.452849</v>
      </c>
      <c r="F70" t="s">
        <v>42</v>
      </c>
      <c r="G70">
        <v>-451.94850000000002</v>
      </c>
      <c r="H70" s="1">
        <v>-3.5527019999999999E-6</v>
      </c>
      <c r="I70">
        <v>370.05349999999999</v>
      </c>
      <c r="J70">
        <v>-468.14490000000001</v>
      </c>
      <c r="K70">
        <v>1.102598</v>
      </c>
      <c r="L70">
        <v>367.51949999999999</v>
      </c>
      <c r="M70">
        <v>0.99999729999999998</v>
      </c>
      <c r="N70">
        <v>0</v>
      </c>
      <c r="O70" s="1">
        <v>-9.0591030000000003E-5</v>
      </c>
      <c r="P70">
        <v>0.99902040000000003</v>
      </c>
      <c r="Q70">
        <v>3.4394790000000001E-2</v>
      </c>
      <c r="R70">
        <v>2.7845350000000001E-2</v>
      </c>
      <c r="S70">
        <v>2.9966740000000001</v>
      </c>
      <c r="T70">
        <v>-0.2013132</v>
      </c>
      <c r="U70">
        <v>0.462677</v>
      </c>
      <c r="V70">
        <v>-2.7934480000000001E-2</v>
      </c>
      <c r="W70">
        <v>3.2073549999999999E-2</v>
      </c>
      <c r="X70">
        <v>0.99909510000000001</v>
      </c>
      <c r="Y70">
        <v>-0.1523428</v>
      </c>
      <c r="Z70">
        <v>5.0873899999999998E-3</v>
      </c>
      <c r="AA70">
        <v>0.98831460000000004</v>
      </c>
      <c r="AB70">
        <v>22</v>
      </c>
      <c r="AC70">
        <v>16.196399999999901</v>
      </c>
      <c r="AD70">
        <v>-1.1026015527020001</v>
      </c>
      <c r="AE70">
        <v>2.53399999999999</v>
      </c>
      <c r="AF70">
        <v>-2.52404910202883</v>
      </c>
      <c r="AG70">
        <v>-1.1026015527020001</v>
      </c>
      <c r="AH70">
        <v>16.123233072356101</v>
      </c>
      <c r="AI70">
        <v>93.865201217222406</v>
      </c>
      <c r="AJ70">
        <v>98.897288197297399</v>
      </c>
      <c r="AK70">
        <v>16.3568089418136</v>
      </c>
      <c r="AL70">
        <v>88.162005792370095</v>
      </c>
      <c r="AM70">
        <v>91.601560183700101</v>
      </c>
      <c r="AN70">
        <v>1.0000000333132399</v>
      </c>
    </row>
    <row r="71" spans="1:40" x14ac:dyDescent="0.3">
      <c r="A71" t="str">
        <f>"20200111153829363"</f>
        <v>20200111153829363</v>
      </c>
      <c r="B71" t="str">
        <f>"1578728309360859"</f>
        <v>1578728309360859</v>
      </c>
      <c r="C71" t="s">
        <v>40</v>
      </c>
      <c r="D71">
        <v>4.8270010000000001</v>
      </c>
      <c r="E71">
        <v>0.45279360000000002</v>
      </c>
      <c r="F71" t="s">
        <v>42</v>
      </c>
      <c r="G71">
        <v>-451.5933</v>
      </c>
      <c r="H71" s="1">
        <v>-3.7087880000000001E-6</v>
      </c>
      <c r="I71">
        <v>370.0675</v>
      </c>
      <c r="J71">
        <v>-467.92899999999997</v>
      </c>
      <c r="K71">
        <v>1.1026</v>
      </c>
      <c r="L71">
        <v>367.51940000000002</v>
      </c>
      <c r="M71">
        <v>0.99999740000000004</v>
      </c>
      <c r="N71">
        <v>0</v>
      </c>
      <c r="O71" s="1">
        <v>-9.2194570000000005E-5</v>
      </c>
      <c r="P71">
        <v>0.99902579999999996</v>
      </c>
      <c r="Q71">
        <v>3.4146990000000002E-2</v>
      </c>
      <c r="R71">
        <v>2.7950829999999999E-2</v>
      </c>
      <c r="S71">
        <v>2.996918</v>
      </c>
      <c r="T71">
        <v>-0.1996416</v>
      </c>
      <c r="U71">
        <v>0.46136470000000002</v>
      </c>
      <c r="V71">
        <v>-2.8041839999999998E-2</v>
      </c>
      <c r="W71">
        <v>3.1883389999999998E-2</v>
      </c>
      <c r="X71">
        <v>0.99909809999999999</v>
      </c>
      <c r="Y71">
        <v>-0.151916</v>
      </c>
      <c r="Z71">
        <v>5.0309880000000001E-3</v>
      </c>
      <c r="AA71">
        <v>0.98838060000000005</v>
      </c>
      <c r="AB71">
        <v>22</v>
      </c>
      <c r="AC71">
        <v>16.335699999999999</v>
      </c>
      <c r="AD71">
        <v>-1.1026037087880001</v>
      </c>
      <c r="AE71">
        <v>2.5480999999999701</v>
      </c>
      <c r="AF71">
        <v>-2.53831670555887</v>
      </c>
      <c r="AG71">
        <v>-1.1026037087880001</v>
      </c>
      <c r="AH71">
        <v>16.263133525720701</v>
      </c>
      <c r="AI71">
        <v>93.832332176790601</v>
      </c>
      <c r="AJ71">
        <v>98.871036656059005</v>
      </c>
      <c r="AK71">
        <v>16.496917854913701</v>
      </c>
      <c r="AL71">
        <v>88.172906588398504</v>
      </c>
      <c r="AM71">
        <v>91.607707377118103</v>
      </c>
      <c r="AN71">
        <v>0.99999995438604194</v>
      </c>
    </row>
    <row r="72" spans="1:40" x14ac:dyDescent="0.3">
      <c r="A72" t="str">
        <f>"20200111153829386"</f>
        <v>20200111153829386</v>
      </c>
      <c r="B72" t="str">
        <f>"1578728309380378"</f>
        <v>1578728309380378</v>
      </c>
      <c r="C72" t="s">
        <v>40</v>
      </c>
      <c r="D72">
        <v>4.7618320000000001</v>
      </c>
      <c r="E72">
        <v>0.4527349</v>
      </c>
      <c r="F72" t="s">
        <v>42</v>
      </c>
      <c r="G72">
        <v>-451.3793</v>
      </c>
      <c r="H72" s="1">
        <v>-3.8018580000000001E-6</v>
      </c>
      <c r="I72">
        <v>370.07229999999998</v>
      </c>
      <c r="J72">
        <v>-467.70600000000002</v>
      </c>
      <c r="K72">
        <v>1.1026020000000001</v>
      </c>
      <c r="L72">
        <v>367.51940000000002</v>
      </c>
      <c r="M72">
        <v>0.99999769999999999</v>
      </c>
      <c r="N72">
        <v>0</v>
      </c>
      <c r="O72" s="1">
        <v>-9.4036279999999998E-5</v>
      </c>
      <c r="P72">
        <v>0.99903379999999997</v>
      </c>
      <c r="Q72">
        <v>3.4057850000000001E-2</v>
      </c>
      <c r="R72">
        <v>2.778133E-2</v>
      </c>
      <c r="S72">
        <v>2.996826</v>
      </c>
      <c r="T72">
        <v>-0.19965930000000001</v>
      </c>
      <c r="U72">
        <v>0.46228029999999998</v>
      </c>
      <c r="V72">
        <v>-2.787417E-2</v>
      </c>
      <c r="W72">
        <v>3.1853840000000001E-2</v>
      </c>
      <c r="X72">
        <v>0.99910379999999999</v>
      </c>
      <c r="Y72">
        <v>-0.15221660000000001</v>
      </c>
      <c r="Z72">
        <v>5.0415369999999996E-3</v>
      </c>
      <c r="AA72">
        <v>0.9883343</v>
      </c>
      <c r="AB72">
        <v>22</v>
      </c>
      <c r="AC72">
        <v>16.326699999999899</v>
      </c>
      <c r="AD72">
        <v>-1.1026058018580001</v>
      </c>
      <c r="AE72">
        <v>2.5528999999999602</v>
      </c>
      <c r="AF72">
        <v>-2.5431134058417602</v>
      </c>
      <c r="AG72">
        <v>-1.1026058018580001</v>
      </c>
      <c r="AH72">
        <v>16.254096957012202</v>
      </c>
      <c r="AI72">
        <v>93.834240991573196</v>
      </c>
      <c r="AJ72">
        <v>98.892395175899495</v>
      </c>
      <c r="AK72">
        <v>16.488748686216798</v>
      </c>
      <c r="AL72">
        <v>88.174600658667501</v>
      </c>
      <c r="AM72">
        <v>91.598090332605807</v>
      </c>
      <c r="AN72">
        <v>1.0000000198251799</v>
      </c>
    </row>
    <row r="73" spans="1:40" x14ac:dyDescent="0.3">
      <c r="A73" t="str">
        <f>"20200111153829408"</f>
        <v>20200111153829408</v>
      </c>
      <c r="B73" t="str">
        <f>"1578728309400875"</f>
        <v>1578728309400875</v>
      </c>
      <c r="C73" t="s">
        <v>40</v>
      </c>
      <c r="D73">
        <v>4.733841</v>
      </c>
      <c r="E73">
        <v>0.4526559</v>
      </c>
      <c r="F73" t="s">
        <v>42</v>
      </c>
      <c r="G73">
        <v>-451.11689999999999</v>
      </c>
      <c r="H73" s="1">
        <v>-3.9159979999999998E-6</v>
      </c>
      <c r="I73">
        <v>370.07819999999998</v>
      </c>
      <c r="J73">
        <v>-467.4717</v>
      </c>
      <c r="K73">
        <v>1.102606</v>
      </c>
      <c r="L73">
        <v>367.51940000000002</v>
      </c>
      <c r="M73">
        <v>0.99999769999999999</v>
      </c>
      <c r="N73">
        <v>0</v>
      </c>
      <c r="O73" s="1">
        <v>-9.5518820000000006E-5</v>
      </c>
      <c r="P73">
        <v>0.99904510000000002</v>
      </c>
      <c r="Q73">
        <v>3.3360420000000002E-2</v>
      </c>
      <c r="R73">
        <v>2.8205979999999999E-2</v>
      </c>
      <c r="S73">
        <v>2.9967959999999998</v>
      </c>
      <c r="T73">
        <v>-0.1991832</v>
      </c>
      <c r="U73">
        <v>0.46224979999999899</v>
      </c>
      <c r="V73">
        <v>-2.8299689999999999E-2</v>
      </c>
      <c r="W73">
        <v>3.1219480000000001E-2</v>
      </c>
      <c r="X73">
        <v>0.99911179999999999</v>
      </c>
      <c r="Y73">
        <v>-0.15221129999999999</v>
      </c>
      <c r="Z73">
        <v>5.0295189999999997E-3</v>
      </c>
      <c r="AA73">
        <v>0.98833519999999997</v>
      </c>
      <c r="AB73">
        <v>23</v>
      </c>
      <c r="AC73">
        <v>16.354800000000001</v>
      </c>
      <c r="AD73">
        <v>-1.1026099159980001</v>
      </c>
      <c r="AE73">
        <v>2.5587999999999602</v>
      </c>
      <c r="AF73">
        <v>-2.5490530478212801</v>
      </c>
      <c r="AG73">
        <v>-1.1026099159980001</v>
      </c>
      <c r="AH73">
        <v>16.282317340405299</v>
      </c>
      <c r="AI73">
        <v>93.827574949483903</v>
      </c>
      <c r="AJ73">
        <v>98.8976307356875</v>
      </c>
      <c r="AK73">
        <v>16.5174840106212</v>
      </c>
      <c r="AL73">
        <v>88.210964787479895</v>
      </c>
      <c r="AM73">
        <v>91.6224604476011</v>
      </c>
      <c r="AN73">
        <v>0.99999995864240199</v>
      </c>
    </row>
    <row r="74" spans="1:40" x14ac:dyDescent="0.3">
      <c r="A74" t="str">
        <f>"20200111153829430"</f>
        <v>20200111153829430</v>
      </c>
      <c r="B74" t="str">
        <f>"1578728309420395"</f>
        <v>1578728309420395</v>
      </c>
      <c r="C74" t="s">
        <v>40</v>
      </c>
      <c r="D74">
        <v>4.7806139999999999</v>
      </c>
      <c r="E74">
        <v>0.45259500000000003</v>
      </c>
      <c r="F74" t="s">
        <v>42</v>
      </c>
      <c r="G74">
        <v>-451.01609999999999</v>
      </c>
      <c r="H74" s="1">
        <v>-3.9568620000000004E-6</v>
      </c>
      <c r="I74">
        <v>370.06920000000002</v>
      </c>
      <c r="J74">
        <v>-467.24740000000003</v>
      </c>
      <c r="K74">
        <v>1.102609</v>
      </c>
      <c r="L74">
        <v>367.51929999999999</v>
      </c>
      <c r="M74">
        <v>0.9999979</v>
      </c>
      <c r="N74">
        <v>0</v>
      </c>
      <c r="O74" s="1">
        <v>-9.7244370000000005E-5</v>
      </c>
      <c r="P74">
        <v>0.99902159999999995</v>
      </c>
      <c r="Q74">
        <v>3.3358720000000001E-2</v>
      </c>
      <c r="R74">
        <v>2.9032889999999999E-2</v>
      </c>
      <c r="S74">
        <v>2.9964900000000001</v>
      </c>
      <c r="T74">
        <v>-0.20077890000000001</v>
      </c>
      <c r="U74">
        <v>0.46432499999999999</v>
      </c>
      <c r="V74">
        <v>-2.9129059999999998E-2</v>
      </c>
      <c r="W74">
        <v>3.127858E-2</v>
      </c>
      <c r="X74">
        <v>0.99908609999999998</v>
      </c>
      <c r="Y74">
        <v>-0.15288979999999999</v>
      </c>
      <c r="Z74">
        <v>5.0926519999999996E-3</v>
      </c>
      <c r="AA74">
        <v>0.9882301</v>
      </c>
      <c r="AB74">
        <v>23</v>
      </c>
      <c r="AC74">
        <v>16.231300000000001</v>
      </c>
      <c r="AD74">
        <v>-1.102612956862</v>
      </c>
      <c r="AE74">
        <v>2.5499000000000298</v>
      </c>
      <c r="AF74">
        <v>-2.54003929316004</v>
      </c>
      <c r="AG74">
        <v>-1.102612956862</v>
      </c>
      <c r="AH74">
        <v>16.158282917963</v>
      </c>
      <c r="AI74">
        <v>93.856499428708304</v>
      </c>
      <c r="AJ74">
        <v>98.933637175365703</v>
      </c>
      <c r="AK74">
        <v>16.393829991810101</v>
      </c>
      <c r="AL74">
        <v>88.207576925026999</v>
      </c>
      <c r="AM74">
        <v>91.670025770644699</v>
      </c>
      <c r="AN74">
        <v>0.99999994345825305</v>
      </c>
    </row>
    <row r="75" spans="1:40" x14ac:dyDescent="0.3">
      <c r="A75" t="str">
        <f>"20200111153829453"</f>
        <v>20200111153829453</v>
      </c>
      <c r="B75" t="str">
        <f>"1578728309450651"</f>
        <v>1578728309450651</v>
      </c>
      <c r="C75" t="s">
        <v>40</v>
      </c>
      <c r="D75">
        <v>4.7781599999999997</v>
      </c>
      <c r="E75">
        <v>0.45235249999999999</v>
      </c>
      <c r="F75" t="s">
        <v>42</v>
      </c>
      <c r="G75">
        <v>-450.78140000000002</v>
      </c>
      <c r="H75" s="1">
        <v>-4.062091E-6</v>
      </c>
      <c r="I75">
        <v>370.08620000000002</v>
      </c>
      <c r="J75">
        <v>-467.00990000000002</v>
      </c>
      <c r="K75">
        <v>1.1026129999999901</v>
      </c>
      <c r="L75">
        <v>367.51929999999999</v>
      </c>
      <c r="M75">
        <v>0.9999981</v>
      </c>
      <c r="N75">
        <v>0</v>
      </c>
      <c r="O75" s="1">
        <v>-9.9086770000000006E-5</v>
      </c>
      <c r="P75">
        <v>0.99900160000000005</v>
      </c>
      <c r="Q75">
        <v>3.3751730000000001E-2</v>
      </c>
      <c r="R75">
        <v>2.9271789999999999E-2</v>
      </c>
      <c r="S75">
        <v>2.9960629999999999</v>
      </c>
      <c r="T75">
        <v>-0.20062360000000001</v>
      </c>
      <c r="U75">
        <v>0.46707149999999997</v>
      </c>
      <c r="V75">
        <v>-2.9369699999999999E-2</v>
      </c>
      <c r="W75">
        <v>3.1736590000000002E-2</v>
      </c>
      <c r="X75">
        <v>0.99906470000000003</v>
      </c>
      <c r="Y75">
        <v>-0.15379599999999999</v>
      </c>
      <c r="Z75">
        <v>5.1193289999999997E-3</v>
      </c>
      <c r="AA75">
        <v>0.98808940000000001</v>
      </c>
      <c r="AB75">
        <v>23</v>
      </c>
      <c r="AC75">
        <v>16.228499999999901</v>
      </c>
      <c r="AD75">
        <v>-1.1026170620910001</v>
      </c>
      <c r="AE75">
        <v>2.5669000000000302</v>
      </c>
      <c r="AF75">
        <v>-2.5569923190914801</v>
      </c>
      <c r="AG75">
        <v>-1.1026170620910001</v>
      </c>
      <c r="AH75">
        <v>16.155487528357401</v>
      </c>
      <c r="AI75">
        <v>93.856541907714998</v>
      </c>
      <c r="AJ75">
        <v>98.993822435477696</v>
      </c>
      <c r="AK75">
        <v>16.393710726507901</v>
      </c>
      <c r="AL75">
        <v>88.181322010209698</v>
      </c>
      <c r="AM75">
        <v>91.683850267648097</v>
      </c>
      <c r="AN75">
        <v>1.0000000326045</v>
      </c>
    </row>
    <row r="76" spans="1:40" x14ac:dyDescent="0.3">
      <c r="A76" t="str">
        <f>"20200111153829476"</f>
        <v>20200111153829476</v>
      </c>
      <c r="B76" t="str">
        <f>"1578728309470171"</f>
        <v>1578728309470171</v>
      </c>
      <c r="C76" t="s">
        <v>40</v>
      </c>
      <c r="D76">
        <v>4.7448739999999896</v>
      </c>
      <c r="E76">
        <v>0.45226110000000003</v>
      </c>
      <c r="F76" t="s">
        <v>42</v>
      </c>
      <c r="G76">
        <v>-450.4008</v>
      </c>
      <c r="H76" s="1">
        <v>-4.2296610000000003E-6</v>
      </c>
      <c r="I76">
        <v>370.12389999999999</v>
      </c>
      <c r="J76">
        <v>-466.7758</v>
      </c>
      <c r="K76">
        <v>1.102616</v>
      </c>
      <c r="L76">
        <v>367.51929999999999</v>
      </c>
      <c r="M76">
        <v>0.99999819999999995</v>
      </c>
      <c r="N76">
        <v>0</v>
      </c>
      <c r="O76">
        <v>-1.005742E-4</v>
      </c>
      <c r="P76">
        <v>0.99898489999999995</v>
      </c>
      <c r="Q76">
        <v>3.4024510000000001E-2</v>
      </c>
      <c r="R76">
        <v>2.952308E-2</v>
      </c>
      <c r="S76">
        <v>2.9960019999999998</v>
      </c>
      <c r="T76">
        <v>-0.19889290000000001</v>
      </c>
      <c r="U76">
        <v>0.46984860000000001</v>
      </c>
      <c r="V76">
        <v>-2.9621870000000002E-2</v>
      </c>
      <c r="W76">
        <v>3.2073539999999998E-2</v>
      </c>
      <c r="X76">
        <v>0.9990464</v>
      </c>
      <c r="Y76">
        <v>-0.15469840000000001</v>
      </c>
      <c r="Z76">
        <v>5.1048420000000001E-3</v>
      </c>
      <c r="AA76">
        <v>0.98794850000000001</v>
      </c>
      <c r="AB76">
        <v>23</v>
      </c>
      <c r="AC76">
        <v>16.375</v>
      </c>
      <c r="AD76">
        <v>-1.1026202296609999</v>
      </c>
      <c r="AE76">
        <v>2.6046</v>
      </c>
      <c r="AF76">
        <v>-2.59477229071459</v>
      </c>
      <c r="AG76">
        <v>-1.1026202296609999</v>
      </c>
      <c r="AH76">
        <v>16.3026444097463</v>
      </c>
      <c r="AI76">
        <v>93.821320894925407</v>
      </c>
      <c r="AJ76">
        <v>99.043492443766098</v>
      </c>
      <c r="AK76">
        <v>16.544631436274098</v>
      </c>
      <c r="AL76">
        <v>88.162006190840302</v>
      </c>
      <c r="AM76">
        <v>91.698330566364305</v>
      </c>
      <c r="AN76">
        <v>0.99999993825169198</v>
      </c>
    </row>
    <row r="77" spans="1:40" x14ac:dyDescent="0.3">
      <c r="A77" t="str">
        <f>"20200111153829498"</f>
        <v>20200111153829498</v>
      </c>
      <c r="B77" t="str">
        <f>"1578728309490667"</f>
        <v>1578728309490667</v>
      </c>
      <c r="C77" t="s">
        <v>40</v>
      </c>
      <c r="D77">
        <v>4.7510579999999996</v>
      </c>
      <c r="E77">
        <v>0.45218249999999999</v>
      </c>
      <c r="F77" t="s">
        <v>42</v>
      </c>
      <c r="G77">
        <v>-450.13709999999998</v>
      </c>
      <c r="H77" s="1">
        <v>-4.3214849999999998E-6</v>
      </c>
      <c r="I77">
        <v>370.13580000000002</v>
      </c>
      <c r="J77">
        <v>-466.53339999999997</v>
      </c>
      <c r="K77">
        <v>1.1026199999999999</v>
      </c>
      <c r="L77">
        <v>367.51920000000001</v>
      </c>
      <c r="M77">
        <v>0.99999819999999995</v>
      </c>
      <c r="N77">
        <v>0</v>
      </c>
      <c r="O77">
        <v>-1.021804E-4</v>
      </c>
      <c r="P77">
        <v>0.99896949999999995</v>
      </c>
      <c r="Q77">
        <v>3.4460999999999999E-2</v>
      </c>
      <c r="R77">
        <v>2.953658E-2</v>
      </c>
      <c r="S77">
        <v>2.9958800000000001</v>
      </c>
      <c r="T77">
        <v>-0.1985316</v>
      </c>
      <c r="U77">
        <v>0.4711304</v>
      </c>
      <c r="V77">
        <v>-2.963758E-2</v>
      </c>
      <c r="W77">
        <v>3.2576340000000002E-2</v>
      </c>
      <c r="X77">
        <v>0.99902979999999997</v>
      </c>
      <c r="Y77">
        <v>-0.155118899999999</v>
      </c>
      <c r="Z77">
        <v>5.1095639999999996E-3</v>
      </c>
      <c r="AA77">
        <v>0.98788260000000006</v>
      </c>
      <c r="AB77">
        <v>24</v>
      </c>
      <c r="AC77">
        <v>16.396299999999901</v>
      </c>
      <c r="AD77">
        <v>-1.102624321485</v>
      </c>
      <c r="AE77">
        <v>2.6166</v>
      </c>
      <c r="AF77">
        <v>-2.6067793928629999</v>
      </c>
      <c r="AG77">
        <v>-1.102624321485</v>
      </c>
      <c r="AH77">
        <v>16.3240430189175</v>
      </c>
      <c r="AI77">
        <v>93.816028893803306</v>
      </c>
      <c r="AJ77">
        <v>99.0729336572699</v>
      </c>
      <c r="AK77">
        <v>16.567602713755999</v>
      </c>
      <c r="AL77">
        <v>88.133183059124093</v>
      </c>
      <c r="AM77">
        <v>91.699258968501894</v>
      </c>
      <c r="AN77">
        <v>1.0000000726820399</v>
      </c>
    </row>
    <row r="78" spans="1:40" x14ac:dyDescent="0.3">
      <c r="A78" t="str">
        <f>"20200111153829520"</f>
        <v>20200111153829520</v>
      </c>
      <c r="B78" t="str">
        <f>"1578728309510187"</f>
        <v>1578728309510187</v>
      </c>
      <c r="C78" t="s">
        <v>40</v>
      </c>
      <c r="D78">
        <v>4.7301489999999999</v>
      </c>
      <c r="E78">
        <v>0.45207059999999999</v>
      </c>
      <c r="F78" t="s">
        <v>42</v>
      </c>
      <c r="G78">
        <v>-449.77080000000001</v>
      </c>
      <c r="H78" s="1">
        <v>-2.3322479999999999E-7</v>
      </c>
      <c r="I78">
        <v>370.15910000000002</v>
      </c>
      <c r="J78">
        <v>-466.29320000000001</v>
      </c>
      <c r="K78">
        <v>1.1026309999999999</v>
      </c>
      <c r="L78">
        <v>367.51920000000001</v>
      </c>
      <c r="M78">
        <v>0.99999850000000001</v>
      </c>
      <c r="N78">
        <v>0</v>
      </c>
      <c r="O78">
        <v>-1.039083E-4</v>
      </c>
      <c r="P78">
        <v>0.99894740000000004</v>
      </c>
      <c r="Q78">
        <v>3.5087140000000003E-2</v>
      </c>
      <c r="R78">
        <v>2.9552990000000001E-2</v>
      </c>
      <c r="S78">
        <v>2.9960019999999998</v>
      </c>
      <c r="T78">
        <v>-0.19707330000000001</v>
      </c>
      <c r="U78">
        <v>0.47183229999999998</v>
      </c>
      <c r="V78">
        <v>-2.9655480000000001E-2</v>
      </c>
      <c r="W78">
        <v>3.3268819999999998E-2</v>
      </c>
      <c r="X78">
        <v>0.99900639999999996</v>
      </c>
      <c r="Y78">
        <v>-0.1553447</v>
      </c>
      <c r="Z78">
        <v>5.0793039999999998E-3</v>
      </c>
      <c r="AA78">
        <v>0.98784729999999998</v>
      </c>
      <c r="AB78">
        <v>24</v>
      </c>
      <c r="AC78">
        <v>16.522400000000001</v>
      </c>
      <c r="AD78">
        <v>-1.1026312332247901</v>
      </c>
      <c r="AE78">
        <v>2.6399000000000101</v>
      </c>
      <c r="AF78">
        <v>-2.6301944818341898</v>
      </c>
      <c r="AG78">
        <v>-1.1026312332247901</v>
      </c>
      <c r="AH78">
        <v>16.450684119897399</v>
      </c>
      <c r="AI78">
        <v>93.786647564370696</v>
      </c>
      <c r="AJ78">
        <v>99.083773644858496</v>
      </c>
      <c r="AK78">
        <v>16.696069197909999</v>
      </c>
      <c r="AL78">
        <v>88.093485268110499</v>
      </c>
      <c r="AM78">
        <v>91.700324458561596</v>
      </c>
      <c r="AN78">
        <v>1.0000000245595899</v>
      </c>
    </row>
    <row r="79" spans="1:40" x14ac:dyDescent="0.3">
      <c r="A79" t="str">
        <f>"20200111153829542"</f>
        <v>20200111153829542</v>
      </c>
      <c r="B79" t="str">
        <f>"1578728309530685"</f>
        <v>1578728309530685</v>
      </c>
      <c r="C79" t="s">
        <v>40</v>
      </c>
      <c r="D79">
        <v>4.7293260000000004</v>
      </c>
      <c r="E79">
        <v>0.45202730000000002</v>
      </c>
      <c r="F79" t="s">
        <v>42</v>
      </c>
      <c r="G79">
        <v>-449.37670000000003</v>
      </c>
      <c r="H79" s="1">
        <v>-4.2725719999999998E-7</v>
      </c>
      <c r="I79">
        <v>370.18810000000002</v>
      </c>
      <c r="J79">
        <v>-466.05369999999999</v>
      </c>
      <c r="K79">
        <v>1.1026370000000001</v>
      </c>
      <c r="L79">
        <v>367.51909999999998</v>
      </c>
      <c r="M79">
        <v>0.99999850000000001</v>
      </c>
      <c r="N79">
        <v>0</v>
      </c>
      <c r="O79">
        <v>-1.0539910000000001E-4</v>
      </c>
      <c r="P79">
        <v>0.99893169999999998</v>
      </c>
      <c r="Q79">
        <v>3.5267300000000001E-2</v>
      </c>
      <c r="R79">
        <v>2.9860100000000001E-2</v>
      </c>
      <c r="S79">
        <v>2.9960330000000002</v>
      </c>
      <c r="T79">
        <v>-0.19528419999999999</v>
      </c>
      <c r="U79">
        <v>0.47268680000000002</v>
      </c>
      <c r="V79">
        <v>-2.996391E-2</v>
      </c>
      <c r="W79">
        <v>3.3516150000000001E-2</v>
      </c>
      <c r="X79">
        <v>0.99898889999999996</v>
      </c>
      <c r="Y79">
        <v>-0.15562490000000001</v>
      </c>
      <c r="Z79">
        <v>5.0422890000000001E-3</v>
      </c>
      <c r="AA79">
        <v>0.98780330000000005</v>
      </c>
      <c r="AB79">
        <v>24</v>
      </c>
      <c r="AC79">
        <v>16.6769999999999</v>
      </c>
      <c r="AD79">
        <v>-1.1026374272571999</v>
      </c>
      <c r="AE79">
        <v>2.66900000000004</v>
      </c>
      <c r="AF79">
        <v>-2.65942241890991</v>
      </c>
      <c r="AG79">
        <v>-1.1026374272571999</v>
      </c>
      <c r="AH79">
        <v>16.605938769825201</v>
      </c>
      <c r="AI79">
        <v>93.751212644816505</v>
      </c>
      <c r="AJ79">
        <v>99.098593743942502</v>
      </c>
      <c r="AK79">
        <v>16.8536506230957</v>
      </c>
      <c r="AL79">
        <v>88.079306339657094</v>
      </c>
      <c r="AM79">
        <v>91.718028112845005</v>
      </c>
      <c r="AN79">
        <v>0.99999999526826</v>
      </c>
    </row>
    <row r="80" spans="1:40" x14ac:dyDescent="0.3">
      <c r="A80" t="str">
        <f>"20200111153829564"</f>
        <v>20200111153829564</v>
      </c>
      <c r="B80" t="str">
        <f>"1578728309559962"</f>
        <v>1578728309559962</v>
      </c>
      <c r="C80" t="s">
        <v>40</v>
      </c>
      <c r="D80">
        <v>4.7479170000000002</v>
      </c>
      <c r="E80">
        <v>0.4519532</v>
      </c>
      <c r="F80" t="s">
        <v>42</v>
      </c>
      <c r="G80">
        <v>-449.08600000000001</v>
      </c>
      <c r="H80" s="1">
        <v>-5.6896140000000003E-7</v>
      </c>
      <c r="I80">
        <v>370.20420000000001</v>
      </c>
      <c r="J80">
        <v>-465.81380000000001</v>
      </c>
      <c r="K80">
        <v>1.102641</v>
      </c>
      <c r="L80">
        <v>367.51909999999998</v>
      </c>
      <c r="M80">
        <v>0.99999859999999896</v>
      </c>
      <c r="N80">
        <v>0</v>
      </c>
      <c r="O80">
        <v>-1.066532E-4</v>
      </c>
      <c r="P80">
        <v>0.99894139999999998</v>
      </c>
      <c r="Q80">
        <v>3.4994619999999997E-2</v>
      </c>
      <c r="R80">
        <v>2.9864379999999999E-2</v>
      </c>
      <c r="S80">
        <v>2.9959410000000002</v>
      </c>
      <c r="T80">
        <v>-0.19468869999999999</v>
      </c>
      <c r="U80">
        <v>0.47409059999999997</v>
      </c>
      <c r="V80">
        <v>-2.9969840000000001E-2</v>
      </c>
      <c r="W80">
        <v>3.331075E-2</v>
      </c>
      <c r="X80">
        <v>0.99899559999999998</v>
      </c>
      <c r="Y80">
        <v>-0.15608339999999901</v>
      </c>
      <c r="Z80">
        <v>5.0417830000000002E-3</v>
      </c>
      <c r="AA80">
        <v>0.98773100000000003</v>
      </c>
      <c r="AB80">
        <v>24</v>
      </c>
      <c r="AC80">
        <v>16.727799999999998</v>
      </c>
      <c r="AD80">
        <v>-1.1026415689614</v>
      </c>
      <c r="AE80">
        <v>2.68510000000003</v>
      </c>
      <c r="AF80">
        <v>-2.6755507691607798</v>
      </c>
      <c r="AG80">
        <v>-1.1026415689614</v>
      </c>
      <c r="AH80">
        <v>16.6569567876967</v>
      </c>
      <c r="AI80">
        <v>93.739491275603896</v>
      </c>
      <c r="AJ80">
        <v>99.125280347499</v>
      </c>
      <c r="AK80">
        <v>16.906466211930699</v>
      </c>
      <c r="AL80">
        <v>88.091081482853696</v>
      </c>
      <c r="AM80">
        <v>91.718356397204602</v>
      </c>
      <c r="AN80">
        <v>1.00000000309727</v>
      </c>
    </row>
    <row r="81" spans="1:40" x14ac:dyDescent="0.3">
      <c r="A81" t="str">
        <f>"20200111153829586"</f>
        <v>20200111153829586</v>
      </c>
      <c r="B81" t="str">
        <f>"1578728309580458"</f>
        <v>1578728309580458</v>
      </c>
      <c r="C81" t="s">
        <v>40</v>
      </c>
      <c r="D81">
        <v>4.7087139999999996</v>
      </c>
      <c r="E81">
        <v>0.45187109999999903</v>
      </c>
      <c r="F81" t="s">
        <v>42</v>
      </c>
      <c r="G81">
        <v>-448.84500000000003</v>
      </c>
      <c r="H81" s="1">
        <v>-6.8411229999999998E-7</v>
      </c>
      <c r="I81">
        <v>370.209</v>
      </c>
      <c r="J81">
        <v>-465.57080000000002</v>
      </c>
      <c r="K81">
        <v>1.1026450000000001</v>
      </c>
      <c r="L81">
        <v>367.51909999999998</v>
      </c>
      <c r="M81">
        <v>0.99999870000000002</v>
      </c>
      <c r="N81">
        <v>0</v>
      </c>
      <c r="O81">
        <v>-1.082666E-4</v>
      </c>
      <c r="P81">
        <v>0.99895979999999995</v>
      </c>
      <c r="Q81">
        <v>3.4411200000000003E-2</v>
      </c>
      <c r="R81">
        <v>2.992061E-2</v>
      </c>
      <c r="S81">
        <v>2.995819</v>
      </c>
      <c r="T81">
        <v>-0.19466990000000001</v>
      </c>
      <c r="U81">
        <v>0.47488399999999997</v>
      </c>
      <c r="V81">
        <v>-3.002751E-2</v>
      </c>
      <c r="W81">
        <v>3.2796529999999997E-2</v>
      </c>
      <c r="X81">
        <v>0.99901090000000003</v>
      </c>
      <c r="Y81">
        <v>-0.15634589999999901</v>
      </c>
      <c r="Z81">
        <v>5.0499689999999996E-3</v>
      </c>
      <c r="AA81">
        <v>0.98768940000000005</v>
      </c>
      <c r="AB81">
        <v>24</v>
      </c>
      <c r="AC81">
        <v>16.7257999999999</v>
      </c>
      <c r="AD81">
        <v>-1.1026456841123</v>
      </c>
      <c r="AE81">
        <v>2.6899000000000202</v>
      </c>
      <c r="AF81">
        <v>-2.6803554774754001</v>
      </c>
      <c r="AG81">
        <v>-1.1026456841123</v>
      </c>
      <c r="AH81">
        <v>16.6549498025873</v>
      </c>
      <c r="AI81">
        <v>93.739774610182195</v>
      </c>
      <c r="AJ81">
        <v>99.142473902074599</v>
      </c>
      <c r="AK81">
        <v>16.9052502470986</v>
      </c>
      <c r="AL81">
        <v>88.120560260341193</v>
      </c>
      <c r="AM81">
        <v>91.721634635455601</v>
      </c>
      <c r="AN81">
        <v>1.0000000210278199</v>
      </c>
    </row>
    <row r="82" spans="1:40" x14ac:dyDescent="0.3">
      <c r="A82" t="str">
        <f>"20200111153829609"</f>
        <v>20200111153829609</v>
      </c>
      <c r="B82" t="str">
        <f>"1578728309599979"</f>
        <v>1578728309599979</v>
      </c>
      <c r="C82" t="s">
        <v>40</v>
      </c>
      <c r="D82">
        <v>4.7555639999999997</v>
      </c>
      <c r="E82">
        <v>0.45176539999999998</v>
      </c>
      <c r="F82" t="s">
        <v>42</v>
      </c>
      <c r="G82">
        <v>-448.74889999999999</v>
      </c>
      <c r="H82" s="1">
        <v>-7.2472840000000002E-7</v>
      </c>
      <c r="I82">
        <v>370.1909</v>
      </c>
      <c r="J82">
        <v>-465.30189999999999</v>
      </c>
      <c r="K82">
        <v>1.102646</v>
      </c>
      <c r="L82">
        <v>367.51900000000001</v>
      </c>
      <c r="M82">
        <v>0.99999890000000002</v>
      </c>
      <c r="N82">
        <v>0</v>
      </c>
      <c r="O82">
        <v>-1.101148E-4</v>
      </c>
      <c r="P82">
        <v>0.99897749999999996</v>
      </c>
      <c r="Q82">
        <v>3.4111219999999998E-2</v>
      </c>
      <c r="R82">
        <v>2.9672299999999999E-2</v>
      </c>
      <c r="S82">
        <v>2.9956670000000001</v>
      </c>
      <c r="T82">
        <v>-0.19636139999999999</v>
      </c>
      <c r="U82">
        <v>0.47579959999999999</v>
      </c>
      <c r="V82">
        <v>-2.978097E-2</v>
      </c>
      <c r="W82">
        <v>3.2572530000000002E-2</v>
      </c>
      <c r="X82">
        <v>0.99902559999999996</v>
      </c>
      <c r="Y82">
        <v>-0.1566437</v>
      </c>
      <c r="Z82">
        <v>5.1036980000000003E-3</v>
      </c>
      <c r="AA82">
        <v>0.98764200000000002</v>
      </c>
      <c r="AB82">
        <v>25</v>
      </c>
      <c r="AC82">
        <v>16.552999999999901</v>
      </c>
      <c r="AD82">
        <v>-1.1026467247284</v>
      </c>
      <c r="AE82">
        <v>2.6718999999999902</v>
      </c>
      <c r="AF82">
        <v>-2.66220964807941</v>
      </c>
      <c r="AG82">
        <v>-1.1026467247284</v>
      </c>
      <c r="AH82">
        <v>16.4814296215742</v>
      </c>
      <c r="AI82">
        <v>93.778686511640302</v>
      </c>
      <c r="AJ82">
        <v>99.175609979629201</v>
      </c>
      <c r="AK82">
        <v>16.731428880427</v>
      </c>
      <c r="AL82">
        <v>88.133401359879201</v>
      </c>
      <c r="AM82">
        <v>91.7074824968266</v>
      </c>
      <c r="AN82">
        <v>1.0000000126700499</v>
      </c>
    </row>
    <row r="83" spans="1:40" x14ac:dyDescent="0.3">
      <c r="A83" t="str">
        <f>"20200111153829632"</f>
        <v>20200111153829632</v>
      </c>
      <c r="B83" t="str">
        <f>"1578728309620474"</f>
        <v>1578728309620474</v>
      </c>
      <c r="C83" t="s">
        <v>40</v>
      </c>
      <c r="D83">
        <v>4.7467199999999998</v>
      </c>
      <c r="E83">
        <v>0.47989920000000003</v>
      </c>
      <c r="F83" t="s">
        <v>42</v>
      </c>
      <c r="G83">
        <v>-448.5247</v>
      </c>
      <c r="H83" s="1">
        <v>-8.2862430000000005E-7</v>
      </c>
      <c r="I83">
        <v>370.18290000000002</v>
      </c>
      <c r="J83">
        <v>-465.0557</v>
      </c>
      <c r="K83">
        <v>1.1026450000000001</v>
      </c>
      <c r="L83">
        <v>367.51900000000001</v>
      </c>
      <c r="M83">
        <v>0.99999890000000002</v>
      </c>
      <c r="N83">
        <v>0</v>
      </c>
      <c r="O83">
        <v>-1.116128E-4</v>
      </c>
      <c r="P83">
        <v>0.99898560000000003</v>
      </c>
      <c r="Q83">
        <v>3.3641530000000003E-2</v>
      </c>
      <c r="R83">
        <v>2.993554E-2</v>
      </c>
      <c r="S83">
        <v>2.9956670000000001</v>
      </c>
      <c r="T83">
        <v>-0.19688369999999999</v>
      </c>
      <c r="U83">
        <v>0.47564699999999999</v>
      </c>
      <c r="V83">
        <v>-3.004575E-2</v>
      </c>
      <c r="W83">
        <v>3.2174109999999999E-2</v>
      </c>
      <c r="X83">
        <v>0.99903059999999999</v>
      </c>
      <c r="Y83">
        <v>-0.15659439999999999</v>
      </c>
      <c r="Z83">
        <v>5.1157590000000001E-3</v>
      </c>
      <c r="AA83">
        <v>0.98764969999999996</v>
      </c>
      <c r="AB83">
        <v>25</v>
      </c>
      <c r="AC83">
        <v>16.530999999999999</v>
      </c>
      <c r="AD83">
        <v>-1.1026458286242999</v>
      </c>
      <c r="AE83">
        <v>2.6639000000000101</v>
      </c>
      <c r="AF83">
        <v>-2.6542349486624102</v>
      </c>
      <c r="AG83">
        <v>-1.1026458286242999</v>
      </c>
      <c r="AH83">
        <v>16.4593265893437</v>
      </c>
      <c r="AI83">
        <v>93.783901873528507</v>
      </c>
      <c r="AJ83">
        <v>99.160667109802901</v>
      </c>
      <c r="AK83">
        <v>16.7083877965757</v>
      </c>
      <c r="AL83">
        <v>88.156241147880806</v>
      </c>
      <c r="AM83">
        <v>91.722645851111594</v>
      </c>
      <c r="AN83">
        <v>1.0000000300918499</v>
      </c>
    </row>
    <row r="84" spans="1:40" x14ac:dyDescent="0.3">
      <c r="A84" t="str">
        <f>"20200111153829654"</f>
        <v>20200111153829654</v>
      </c>
      <c r="B84" t="str">
        <f>"1578728309650731"</f>
        <v>1578728309650731</v>
      </c>
      <c r="C84" t="s">
        <v>40</v>
      </c>
      <c r="D84">
        <v>4.749771</v>
      </c>
      <c r="E84">
        <v>0.49412440000000002</v>
      </c>
      <c r="F84" t="s">
        <v>42</v>
      </c>
      <c r="G84">
        <v>-447.32470000000001</v>
      </c>
      <c r="H84" s="1">
        <v>-1.3529950000000001E-6</v>
      </c>
      <c r="I84">
        <v>369.00819999999999</v>
      </c>
      <c r="J84">
        <v>-464.79599999999999</v>
      </c>
      <c r="K84">
        <v>1.1026419999999999</v>
      </c>
      <c r="L84">
        <v>367.51900000000001</v>
      </c>
      <c r="M84">
        <v>0.99999899999999997</v>
      </c>
      <c r="N84">
        <v>0</v>
      </c>
      <c r="O84">
        <v>-1.133488E-4</v>
      </c>
      <c r="P84">
        <v>0.99900440000000001</v>
      </c>
      <c r="Q84">
        <v>3.302861E-2</v>
      </c>
      <c r="R84">
        <v>2.998864E-2</v>
      </c>
      <c r="S84">
        <v>3.00177</v>
      </c>
      <c r="T84">
        <v>-0.186672</v>
      </c>
      <c r="U84">
        <v>0.25210569999999999</v>
      </c>
      <c r="V84">
        <v>-3.010057E-2</v>
      </c>
      <c r="W84">
        <v>3.163556E-2</v>
      </c>
      <c r="X84">
        <v>0.99904610000000005</v>
      </c>
      <c r="Y84">
        <v>-8.3643319999999993E-2</v>
      </c>
      <c r="Z84">
        <v>2.6007439999999999E-3</v>
      </c>
      <c r="AA84">
        <v>0.99649239999999994</v>
      </c>
      <c r="AB84">
        <v>25</v>
      </c>
      <c r="AC84">
        <v>17.4712999999999</v>
      </c>
      <c r="AD84">
        <v>-1.1026433529949999</v>
      </c>
      <c r="AE84">
        <v>1.4891999999999801</v>
      </c>
      <c r="AF84">
        <v>-1.4853069105560801</v>
      </c>
      <c r="AG84">
        <v>-1.1026433529949999</v>
      </c>
      <c r="AH84">
        <v>17.402316130196301</v>
      </c>
      <c r="AI84">
        <v>93.612422227623497</v>
      </c>
      <c r="AJ84">
        <v>94.878434857235206</v>
      </c>
      <c r="AK84">
        <v>17.500359015681401</v>
      </c>
      <c r="AL84">
        <v>88.187113417940196</v>
      </c>
      <c r="AM84">
        <v>91.725760248130001</v>
      </c>
      <c r="AN84">
        <v>0.99999998144802404</v>
      </c>
    </row>
    <row r="85" spans="1:40" x14ac:dyDescent="0.3">
      <c r="A85" t="str">
        <f>"20200111153829679"</f>
        <v>20200111153829679</v>
      </c>
      <c r="B85" t="str">
        <f>"1578728309670251"</f>
        <v>1578728309670251</v>
      </c>
      <c r="C85" t="s">
        <v>40</v>
      </c>
      <c r="D85">
        <v>4.7796629999999896</v>
      </c>
      <c r="E85">
        <v>0.49525590000000003</v>
      </c>
      <c r="F85" t="s">
        <v>42</v>
      </c>
      <c r="G85">
        <v>-444.5806</v>
      </c>
      <c r="H85" s="1">
        <v>-2.74873E-6</v>
      </c>
      <c r="I85">
        <v>368.45229999999998</v>
      </c>
      <c r="J85">
        <v>-464.52949999999998</v>
      </c>
      <c r="K85">
        <v>1.102652</v>
      </c>
      <c r="L85">
        <v>367.51889999999997</v>
      </c>
      <c r="M85">
        <v>0.99999919999999998</v>
      </c>
      <c r="N85">
        <v>0</v>
      </c>
      <c r="O85">
        <v>-1.152051E-4</v>
      </c>
      <c r="P85">
        <v>0.99901439999999997</v>
      </c>
      <c r="Q85">
        <v>3.2650369999999998E-2</v>
      </c>
      <c r="R85">
        <v>3.0069430000000001E-2</v>
      </c>
      <c r="S85">
        <v>3.0042719999999998</v>
      </c>
      <c r="T85">
        <v>-0.1638675</v>
      </c>
      <c r="U85">
        <v>0.138702399999999</v>
      </c>
      <c r="V85">
        <v>-3.0182790000000001E-2</v>
      </c>
      <c r="W85">
        <v>3.1335290000000002E-2</v>
      </c>
      <c r="X85">
        <v>0.99905310000000003</v>
      </c>
      <c r="Y85">
        <v>-4.6165690000000002E-2</v>
      </c>
      <c r="Z85">
        <v>1.2637219999999999E-3</v>
      </c>
      <c r="AA85">
        <v>0.99893299999999996</v>
      </c>
      <c r="AB85">
        <v>25</v>
      </c>
      <c r="AC85">
        <v>19.948899999999899</v>
      </c>
      <c r="AD85">
        <v>-1.10265474873</v>
      </c>
      <c r="AE85">
        <v>0.933400000000006</v>
      </c>
      <c r="AF85">
        <v>-0.93285436970312796</v>
      </c>
      <c r="AG85">
        <v>-1.10265474873</v>
      </c>
      <c r="AH85">
        <v>19.888162538208899</v>
      </c>
      <c r="AI85">
        <v>93.169909626560198</v>
      </c>
      <c r="AJ85">
        <v>92.685490566175503</v>
      </c>
      <c r="AK85">
        <v>19.940538456024399</v>
      </c>
      <c r="AL85">
        <v>88.204326187299699</v>
      </c>
      <c r="AM85">
        <v>91.730459199408102</v>
      </c>
      <c r="AN85">
        <v>0.99999999891558899</v>
      </c>
    </row>
    <row r="86" spans="1:40" x14ac:dyDescent="0.3">
      <c r="A86" t="str">
        <f>"20200111153829702"</f>
        <v>20200111153829702</v>
      </c>
      <c r="B86" t="str">
        <f>"1578728309690748"</f>
        <v>1578728309690748</v>
      </c>
      <c r="C86" t="s">
        <v>40</v>
      </c>
      <c r="D86">
        <v>4.8172759999999997</v>
      </c>
      <c r="E86">
        <v>0.49556299999999998</v>
      </c>
      <c r="F86" t="s">
        <v>42</v>
      </c>
      <c r="G86">
        <v>-443.29289999999997</v>
      </c>
      <c r="H86" s="1">
        <v>-3.3601100000000001E-6</v>
      </c>
      <c r="I86">
        <v>368.43729999999999</v>
      </c>
      <c r="J86">
        <v>-464.25389999999999</v>
      </c>
      <c r="K86">
        <v>1.1026609999999999</v>
      </c>
      <c r="L86">
        <v>367.51889999999997</v>
      </c>
      <c r="M86">
        <v>0.99999930000000004</v>
      </c>
      <c r="N86">
        <v>0</v>
      </c>
      <c r="O86">
        <v>-1.169434E-4</v>
      </c>
      <c r="P86">
        <v>0.99899879999999996</v>
      </c>
      <c r="Q86">
        <v>3.2849169999999997E-2</v>
      </c>
      <c r="R86">
        <v>3.0375300000000001E-2</v>
      </c>
      <c r="S86">
        <v>3.004089</v>
      </c>
      <c r="T86">
        <v>-0.15597910000000001</v>
      </c>
      <c r="U86">
        <v>0.12991330000000001</v>
      </c>
      <c r="V86">
        <v>-3.049075E-2</v>
      </c>
      <c r="W86">
        <v>3.161506E-2</v>
      </c>
      <c r="X86">
        <v>0.99903489999999995</v>
      </c>
      <c r="Y86">
        <v>-4.3263620000000003E-2</v>
      </c>
      <c r="Z86">
        <v>1.1279580000000001E-3</v>
      </c>
      <c r="AA86">
        <v>0.99906309999999998</v>
      </c>
      <c r="AB86">
        <v>26</v>
      </c>
      <c r="AC86">
        <v>20.960999999999999</v>
      </c>
      <c r="AD86">
        <v>-1.1026643601099999</v>
      </c>
      <c r="AE86">
        <v>0.91840000000001898</v>
      </c>
      <c r="AF86">
        <v>-0.91831482498814898</v>
      </c>
      <c r="AG86">
        <v>-1.1026643601099999</v>
      </c>
      <c r="AH86">
        <v>20.903157127906798</v>
      </c>
      <c r="AI86">
        <v>93.016711770757794</v>
      </c>
      <c r="AJ86">
        <v>92.515493379671895</v>
      </c>
      <c r="AK86">
        <v>20.952354252513299</v>
      </c>
      <c r="AL86">
        <v>88.188288538790502</v>
      </c>
      <c r="AM86">
        <v>91.748136287630203</v>
      </c>
      <c r="AN86">
        <v>0.99999996463618701</v>
      </c>
    </row>
    <row r="87" spans="1:40" x14ac:dyDescent="0.3">
      <c r="A87" t="str">
        <f>"20200111153829746"</f>
        <v>20200111153829746</v>
      </c>
      <c r="B87" t="str">
        <f>"1578728309740523"</f>
        <v>1578728309740523</v>
      </c>
      <c r="C87" t="s">
        <v>40</v>
      </c>
      <c r="D87">
        <v>4.7946169999999997</v>
      </c>
      <c r="E87">
        <v>0.49591220000000003</v>
      </c>
      <c r="F87" t="s">
        <v>42</v>
      </c>
      <c r="G87">
        <v>-442.18090000000001</v>
      </c>
      <c r="H87" s="1">
        <v>-3.8814359999999999E-6</v>
      </c>
      <c r="I87">
        <v>368.46159999999998</v>
      </c>
      <c r="J87">
        <v>-463.73360000000002</v>
      </c>
      <c r="K87">
        <v>1.1026769999999999</v>
      </c>
      <c r="L87">
        <v>367.5188</v>
      </c>
      <c r="M87">
        <v>0.99999950000000004</v>
      </c>
      <c r="N87">
        <v>0</v>
      </c>
      <c r="O87">
        <v>-1.205529E-4</v>
      </c>
      <c r="P87">
        <v>0.99897020000000003</v>
      </c>
      <c r="Q87">
        <v>3.3342869999999997E-2</v>
      </c>
      <c r="R87">
        <v>3.0777780000000001E-2</v>
      </c>
      <c r="S87">
        <v>3.0040279999999999</v>
      </c>
      <c r="T87">
        <v>-0.15006739999999999</v>
      </c>
      <c r="U87">
        <v>0.12829589999999999</v>
      </c>
      <c r="V87">
        <v>-3.089693E-2</v>
      </c>
      <c r="W87">
        <v>3.2262760000000001E-2</v>
      </c>
      <c r="X87">
        <v>0.99900169999999999</v>
      </c>
      <c r="Y87">
        <v>-4.2736160000000002E-2</v>
      </c>
      <c r="Z87">
        <v>1.0723169999999999E-3</v>
      </c>
      <c r="AA87">
        <v>0.99908580000000002</v>
      </c>
      <c r="AB87">
        <v>26</v>
      </c>
      <c r="AC87">
        <v>21.552700000000002</v>
      </c>
      <c r="AD87">
        <v>-1.1026808814360001</v>
      </c>
      <c r="AE87">
        <v>0.94279999999997699</v>
      </c>
      <c r="AF87">
        <v>-0.94293476237409501</v>
      </c>
      <c r="AG87">
        <v>-1.1026808814360001</v>
      </c>
      <c r="AH87">
        <v>21.496425509697598</v>
      </c>
      <c r="AI87">
        <v>92.933655134069895</v>
      </c>
      <c r="AJ87">
        <v>92.5116534523479</v>
      </c>
      <c r="AK87">
        <v>21.545332227337699</v>
      </c>
      <c r="AL87">
        <v>88.151159093160004</v>
      </c>
      <c r="AM87">
        <v>91.771468032901296</v>
      </c>
      <c r="AN87">
        <v>0.99999995128456498</v>
      </c>
    </row>
    <row r="88" spans="1:40" x14ac:dyDescent="0.3">
      <c r="A88" t="str">
        <f>"20200111153829765"</f>
        <v>20200111153829765</v>
      </c>
      <c r="B88" t="str">
        <f>"1578728309760042"</f>
        <v>1578728309760042</v>
      </c>
      <c r="C88" t="s">
        <v>40</v>
      </c>
      <c r="D88">
        <v>4.8975730000000004</v>
      </c>
      <c r="E88">
        <v>0.4955502</v>
      </c>
      <c r="F88" t="s">
        <v>42</v>
      </c>
      <c r="G88">
        <v>-441.48520000000002</v>
      </c>
      <c r="H88" s="1">
        <v>-4.2109970000000001E-6</v>
      </c>
      <c r="I88">
        <v>368.45769999999999</v>
      </c>
      <c r="J88">
        <v>-463.49209999999999</v>
      </c>
      <c r="K88">
        <v>1.1026830000000001</v>
      </c>
      <c r="L88">
        <v>367.51889999999997</v>
      </c>
      <c r="M88">
        <v>0.99999959999999999</v>
      </c>
      <c r="N88">
        <v>0</v>
      </c>
      <c r="O88">
        <v>-1.223048E-4</v>
      </c>
      <c r="P88">
        <v>0.99897619999999998</v>
      </c>
      <c r="Q88">
        <v>3.3389670000000003E-2</v>
      </c>
      <c r="R88">
        <v>3.0532670000000001E-2</v>
      </c>
      <c r="S88">
        <v>3.0041500000000001</v>
      </c>
      <c r="T88">
        <v>-0.14889229999999901</v>
      </c>
      <c r="U88">
        <v>0.12676999999999999</v>
      </c>
      <c r="V88">
        <v>-3.0653389999999999E-2</v>
      </c>
      <c r="W88">
        <v>3.2381420000000001E-2</v>
      </c>
      <c r="X88">
        <v>0.99900540000000004</v>
      </c>
      <c r="Y88">
        <v>-4.2231079999999997E-2</v>
      </c>
      <c r="Z88">
        <v>1.0514820000000001E-3</v>
      </c>
      <c r="AA88">
        <v>0.99910730000000003</v>
      </c>
      <c r="AB88">
        <v>26</v>
      </c>
      <c r="AC88">
        <v>22.006899999999899</v>
      </c>
      <c r="AD88">
        <v>-1.1026872109970001</v>
      </c>
      <c r="AE88">
        <v>0.93880000000001396</v>
      </c>
      <c r="AF88">
        <v>-0.93913797571397695</v>
      </c>
      <c r="AG88">
        <v>-1.1026872109970001</v>
      </c>
      <c r="AH88">
        <v>21.951771817161799</v>
      </c>
      <c r="AI88">
        <v>92.873056018526697</v>
      </c>
      <c r="AJ88">
        <v>92.449727082963904</v>
      </c>
      <c r="AK88">
        <v>21.9995042020375</v>
      </c>
      <c r="AL88">
        <v>88.144356889542706</v>
      </c>
      <c r="AM88">
        <v>91.757507012517806</v>
      </c>
      <c r="AN88">
        <v>0.99999998795443401</v>
      </c>
    </row>
    <row r="89" spans="1:40" x14ac:dyDescent="0.3">
      <c r="A89" t="str">
        <f>"20200111153829789"</f>
        <v>20200111153829789</v>
      </c>
      <c r="B89" t="str">
        <f>"1578728309780539"</f>
        <v>1578728309780539</v>
      </c>
      <c r="C89" t="s">
        <v>40</v>
      </c>
      <c r="D89">
        <v>4.8477499999999996</v>
      </c>
      <c r="E89">
        <v>0.49557250000000003</v>
      </c>
      <c r="F89" t="s">
        <v>42</v>
      </c>
      <c r="G89">
        <v>-440.82940000000002</v>
      </c>
      <c r="H89" s="1">
        <v>-4.51494E-6</v>
      </c>
      <c r="I89">
        <v>368.49180000000001</v>
      </c>
      <c r="J89">
        <v>-463.21390000000002</v>
      </c>
      <c r="K89">
        <v>1.1026849999999999</v>
      </c>
      <c r="L89">
        <v>367.5188</v>
      </c>
      <c r="M89">
        <v>0.99999959999999999</v>
      </c>
      <c r="N89">
        <v>0</v>
      </c>
      <c r="O89">
        <v>-1.2429269999999999E-4</v>
      </c>
      <c r="P89">
        <v>0.99898279999999995</v>
      </c>
      <c r="Q89">
        <v>3.3232930000000001E-2</v>
      </c>
      <c r="R89">
        <v>3.0483420000000001E-2</v>
      </c>
      <c r="S89">
        <v>3.004089</v>
      </c>
      <c r="T89">
        <v>-0.14616889999999999</v>
      </c>
      <c r="U89">
        <v>0.12896730000000001</v>
      </c>
      <c r="V89">
        <v>-3.0606310000000001E-2</v>
      </c>
      <c r="W89">
        <v>3.2308030000000001E-2</v>
      </c>
      <c r="X89">
        <v>0.99900929999999999</v>
      </c>
      <c r="Y89">
        <v>-4.2964370000000002E-2</v>
      </c>
      <c r="Z89">
        <v>1.050194E-3</v>
      </c>
      <c r="AA89">
        <v>0.99907610000000002</v>
      </c>
      <c r="AB89">
        <v>27</v>
      </c>
      <c r="AC89">
        <v>22.384499999999999</v>
      </c>
      <c r="AD89">
        <v>-1.10268951494</v>
      </c>
      <c r="AE89">
        <v>0.97300000000001297</v>
      </c>
      <c r="AF89">
        <v>-0.97342449298045997</v>
      </c>
      <c r="AG89">
        <v>-1.10268951494</v>
      </c>
      <c r="AH89">
        <v>22.330292709523501</v>
      </c>
      <c r="AI89">
        <v>92.824341776853998</v>
      </c>
      <c r="AJ89">
        <v>92.496063443858901</v>
      </c>
      <c r="AK89">
        <v>22.378682979632401</v>
      </c>
      <c r="AL89">
        <v>88.148564176858102</v>
      </c>
      <c r="AM89">
        <v>91.754802531298594</v>
      </c>
      <c r="AN89">
        <v>1.00000006825039</v>
      </c>
    </row>
    <row r="90" spans="1:40" x14ac:dyDescent="0.3">
      <c r="A90" t="str">
        <f>"20200111153829810"</f>
        <v>20200111153829810</v>
      </c>
      <c r="B90" t="str">
        <f>"1578728309800059"</f>
        <v>1578728309800059</v>
      </c>
      <c r="C90" t="s">
        <v>40</v>
      </c>
      <c r="D90">
        <v>4.8678720000000002</v>
      </c>
      <c r="E90">
        <v>0.49549979999999899</v>
      </c>
      <c r="F90" t="s">
        <v>42</v>
      </c>
      <c r="G90">
        <v>-440.78429999999997</v>
      </c>
      <c r="H90" s="1">
        <v>-4.5389979999999996E-6</v>
      </c>
      <c r="I90">
        <v>368.47649999999999</v>
      </c>
      <c r="J90">
        <v>-462.94990000000001</v>
      </c>
      <c r="K90">
        <v>1.102692</v>
      </c>
      <c r="L90">
        <v>367.5188</v>
      </c>
      <c r="M90">
        <v>0.99999959999999999</v>
      </c>
      <c r="N90">
        <v>0</v>
      </c>
      <c r="O90">
        <v>-1.2604709999999999E-4</v>
      </c>
      <c r="P90">
        <v>0.99899150000000003</v>
      </c>
      <c r="Q90">
        <v>3.2999349999999997E-2</v>
      </c>
      <c r="R90">
        <v>3.04455E-2</v>
      </c>
      <c r="S90">
        <v>3.0040279999999999</v>
      </c>
      <c r="T90">
        <v>-0.1476845</v>
      </c>
      <c r="U90">
        <v>0.1282654</v>
      </c>
      <c r="V90">
        <v>-3.057025E-2</v>
      </c>
      <c r="W90">
        <v>3.2154090000000003E-2</v>
      </c>
      <c r="X90">
        <v>0.99901530000000005</v>
      </c>
      <c r="Y90">
        <v>-4.2733189999999997E-2</v>
      </c>
      <c r="Z90">
        <v>1.055507E-3</v>
      </c>
      <c r="AA90">
        <v>0.99908600000000003</v>
      </c>
      <c r="AB90">
        <v>27</v>
      </c>
      <c r="AC90">
        <v>22.165600000000001</v>
      </c>
      <c r="AD90">
        <v>-1.1026965389979999</v>
      </c>
      <c r="AE90">
        <v>0.95769999999998801</v>
      </c>
      <c r="AF90">
        <v>-0.95812707799744901</v>
      </c>
      <c r="AG90">
        <v>-1.1026965389979999</v>
      </c>
      <c r="AH90">
        <v>22.110859488477701</v>
      </c>
      <c r="AI90">
        <v>92.852375292397099</v>
      </c>
      <c r="AJ90">
        <v>92.481238506153304</v>
      </c>
      <c r="AK90">
        <v>22.159062581118299</v>
      </c>
      <c r="AL90">
        <v>88.157388743370007</v>
      </c>
      <c r="AM90">
        <v>91.752725813430104</v>
      </c>
      <c r="AN90">
        <v>0.99999999766143999</v>
      </c>
    </row>
    <row r="91" spans="1:40" x14ac:dyDescent="0.3">
      <c r="A91" t="str">
        <f>"20200111153829834"</f>
        <v>20200111153829834</v>
      </c>
      <c r="B91" t="str">
        <f>"1578728309830314"</f>
        <v>1578728309830314</v>
      </c>
      <c r="C91" t="s">
        <v>40</v>
      </c>
      <c r="D91">
        <v>4.8858579999999998</v>
      </c>
      <c r="E91">
        <v>0.49546610000000002</v>
      </c>
      <c r="F91" t="s">
        <v>42</v>
      </c>
      <c r="G91">
        <v>-440.72129999999999</v>
      </c>
      <c r="H91" s="1">
        <v>-4.5697069999999996E-6</v>
      </c>
      <c r="I91">
        <v>368.471</v>
      </c>
      <c r="J91">
        <v>-462.66239999999999</v>
      </c>
      <c r="K91">
        <v>1.102698</v>
      </c>
      <c r="L91">
        <v>367.51870000000002</v>
      </c>
      <c r="M91">
        <v>0.99999979999999999</v>
      </c>
      <c r="N91">
        <v>0</v>
      </c>
      <c r="O91">
        <v>-1.282787E-4</v>
      </c>
      <c r="P91">
        <v>0.99899020000000005</v>
      </c>
      <c r="Q91">
        <v>3.3097210000000002E-2</v>
      </c>
      <c r="R91">
        <v>3.0381979999999999E-2</v>
      </c>
      <c r="S91">
        <v>3.0039980000000002</v>
      </c>
      <c r="T91">
        <v>-0.14902009999999999</v>
      </c>
      <c r="U91">
        <v>0.12869259999999999</v>
      </c>
      <c r="V91">
        <v>-3.050862E-2</v>
      </c>
      <c r="W91">
        <v>3.2339960000000001E-2</v>
      </c>
      <c r="X91">
        <v>0.99901119999999999</v>
      </c>
      <c r="Y91">
        <v>-4.2876570000000003E-2</v>
      </c>
      <c r="Z91">
        <v>1.068711E-3</v>
      </c>
      <c r="AA91">
        <v>0.99907979999999996</v>
      </c>
      <c r="AB91">
        <v>27</v>
      </c>
      <c r="AC91">
        <v>21.941099999999999</v>
      </c>
      <c r="AD91">
        <v>-1.1027025697070001</v>
      </c>
      <c r="AE91">
        <v>0.95229999999997905</v>
      </c>
      <c r="AF91">
        <v>-0.95271272558064701</v>
      </c>
      <c r="AG91">
        <v>-1.1027025697070001</v>
      </c>
      <c r="AH91">
        <v>21.885802308610099</v>
      </c>
      <c r="AI91">
        <v>92.881648807839099</v>
      </c>
      <c r="AJ91">
        <v>92.492573817278497</v>
      </c>
      <c r="AK91">
        <v>21.9342644551005</v>
      </c>
      <c r="AL91">
        <v>88.146733664406398</v>
      </c>
      <c r="AM91">
        <v>91.749201668342096</v>
      </c>
      <c r="AN91">
        <v>1.0000000133162701</v>
      </c>
    </row>
    <row r="92" spans="1:40" x14ac:dyDescent="0.3">
      <c r="A92" t="str">
        <f>"20200111153829855"</f>
        <v>20200111153829855</v>
      </c>
      <c r="B92" t="str">
        <f>"1578728309850810"</f>
        <v>1578728309850810</v>
      </c>
      <c r="C92" t="s">
        <v>40</v>
      </c>
      <c r="D92">
        <v>4.885084</v>
      </c>
      <c r="E92">
        <v>0.49545159999999999</v>
      </c>
      <c r="F92" t="s">
        <v>42</v>
      </c>
      <c r="G92">
        <v>-440.54969999999997</v>
      </c>
      <c r="H92" s="1">
        <v>-4.6515570000000004E-6</v>
      </c>
      <c r="I92">
        <v>368.46710000000002</v>
      </c>
      <c r="J92">
        <v>-462.40309999999999</v>
      </c>
      <c r="K92">
        <v>1.102697</v>
      </c>
      <c r="L92">
        <v>367.51870000000002</v>
      </c>
      <c r="M92">
        <v>0.99999979999999999</v>
      </c>
      <c r="N92">
        <v>0</v>
      </c>
      <c r="O92">
        <v>-1.302783E-4</v>
      </c>
      <c r="P92">
        <v>0.99899179999999999</v>
      </c>
      <c r="Q92">
        <v>3.3040079999999999E-2</v>
      </c>
      <c r="R92">
        <v>3.039242E-2</v>
      </c>
      <c r="S92">
        <v>3.0041199999999999</v>
      </c>
      <c r="T92">
        <v>-0.14980750000000001</v>
      </c>
      <c r="U92">
        <v>0.12884519999999999</v>
      </c>
      <c r="V92">
        <v>-3.052098E-2</v>
      </c>
      <c r="W92">
        <v>3.2361889999999997E-2</v>
      </c>
      <c r="X92">
        <v>0.99901010000000001</v>
      </c>
      <c r="Y92">
        <v>-4.2926869999999999E-2</v>
      </c>
      <c r="Z92">
        <v>1.0756590000000001E-3</v>
      </c>
      <c r="AA92">
        <v>0.99907760000000001</v>
      </c>
      <c r="AB92">
        <v>27</v>
      </c>
      <c r="AC92">
        <v>21.853400000000001</v>
      </c>
      <c r="AD92">
        <v>-1.1027016515570001</v>
      </c>
      <c r="AE92">
        <v>0.94839999999999203</v>
      </c>
      <c r="AF92">
        <v>-0.94883571290689495</v>
      </c>
      <c r="AG92">
        <v>-1.1027016515570001</v>
      </c>
      <c r="AH92">
        <v>21.7978806796764</v>
      </c>
      <c r="AI92">
        <v>92.893250094125605</v>
      </c>
      <c r="AJ92">
        <v>92.492443457294996</v>
      </c>
      <c r="AK92">
        <v>21.846369086597502</v>
      </c>
      <c r="AL92">
        <v>88.145476487142801</v>
      </c>
      <c r="AM92">
        <v>91.749911809960906</v>
      </c>
      <c r="AN92">
        <v>1.0000000010232699</v>
      </c>
    </row>
    <row r="93" spans="1:40" x14ac:dyDescent="0.3">
      <c r="A93" t="str">
        <f>"20200111153829878"</f>
        <v>20200111153829878</v>
      </c>
      <c r="B93" t="str">
        <f>"1578728309870330"</f>
        <v>1578728309870330</v>
      </c>
      <c r="C93" t="s">
        <v>40</v>
      </c>
      <c r="D93">
        <v>4.8876739999999996</v>
      </c>
      <c r="E93">
        <v>0.49547819999999998</v>
      </c>
      <c r="F93" t="s">
        <v>42</v>
      </c>
      <c r="G93">
        <v>-440.39080000000001</v>
      </c>
      <c r="H93" s="1">
        <v>-4.7271050000000004E-6</v>
      </c>
      <c r="I93">
        <v>368.46460000000002</v>
      </c>
      <c r="J93">
        <v>-462.11500000000001</v>
      </c>
      <c r="K93">
        <v>1.1027049999999901</v>
      </c>
      <c r="L93">
        <v>367.51870000000002</v>
      </c>
      <c r="M93">
        <v>0.99999990000000005</v>
      </c>
      <c r="N93">
        <v>0</v>
      </c>
      <c r="O93">
        <v>-1.3215939999999999E-4</v>
      </c>
      <c r="P93">
        <v>0.99898319999999996</v>
      </c>
      <c r="Q93">
        <v>3.3037039999999997E-2</v>
      </c>
      <c r="R93">
        <v>3.068102E-2</v>
      </c>
      <c r="S93">
        <v>3.004089</v>
      </c>
      <c r="T93">
        <v>-0.15048919999999999</v>
      </c>
      <c r="U93">
        <v>0.12908939999999999</v>
      </c>
      <c r="V93">
        <v>-3.0811950000000001E-2</v>
      </c>
      <c r="W93">
        <v>3.2447190000000001E-2</v>
      </c>
      <c r="X93">
        <v>0.99899839999999995</v>
      </c>
      <c r="Y93">
        <v>-4.3009619999999998E-2</v>
      </c>
      <c r="Z93">
        <v>1.0827219999999999E-3</v>
      </c>
      <c r="AA93">
        <v>0.99907400000000002</v>
      </c>
      <c r="AB93">
        <v>28</v>
      </c>
      <c r="AC93">
        <v>21.7242</v>
      </c>
      <c r="AD93">
        <v>-1.1027097271049999</v>
      </c>
      <c r="AE93">
        <v>0.94589999999999397</v>
      </c>
      <c r="AF93">
        <v>-0.946337398484704</v>
      </c>
      <c r="AG93">
        <v>-1.1027097271049999</v>
      </c>
      <c r="AH93">
        <v>21.668351334989499</v>
      </c>
      <c r="AI93">
        <v>92.910518706906402</v>
      </c>
      <c r="AJ93">
        <v>92.500730388285604</v>
      </c>
      <c r="AK93">
        <v>21.717020347887601</v>
      </c>
      <c r="AL93">
        <v>88.140586586879095</v>
      </c>
      <c r="AM93">
        <v>91.766604648654706</v>
      </c>
      <c r="AN93">
        <v>0.99999999980212895</v>
      </c>
    </row>
    <row r="94" spans="1:40" x14ac:dyDescent="0.3">
      <c r="A94" t="str">
        <f>"20200111153829900"</f>
        <v>20200111153829900</v>
      </c>
      <c r="B94" t="str">
        <f>"1578728309890827"</f>
        <v>1578728309890827</v>
      </c>
      <c r="C94" t="s">
        <v>40</v>
      </c>
      <c r="D94">
        <v>4.8799549999999998</v>
      </c>
      <c r="E94">
        <v>0.49549300000000002</v>
      </c>
      <c r="F94" t="s">
        <v>42</v>
      </c>
      <c r="G94">
        <v>-440.24439999999998</v>
      </c>
      <c r="H94" s="1">
        <v>-4.7964829999999999E-6</v>
      </c>
      <c r="I94">
        <v>368.46359999999999</v>
      </c>
      <c r="J94">
        <v>-461.83580000000001</v>
      </c>
      <c r="K94">
        <v>1.102714</v>
      </c>
      <c r="L94">
        <v>367.51859999999999</v>
      </c>
      <c r="M94">
        <v>0.99999990000000005</v>
      </c>
      <c r="N94">
        <v>0</v>
      </c>
      <c r="O94">
        <v>-1.340449E-4</v>
      </c>
      <c r="P94">
        <v>0.99897659999999999</v>
      </c>
      <c r="Q94">
        <v>3.2888680000000003E-2</v>
      </c>
      <c r="R94">
        <v>3.105523E-2</v>
      </c>
      <c r="S94">
        <v>3.004089</v>
      </c>
      <c r="T94">
        <v>-0.15146589999999999</v>
      </c>
      <c r="U94">
        <v>0.1297913</v>
      </c>
      <c r="V94">
        <v>-3.1188339999999998E-2</v>
      </c>
      <c r="W94">
        <v>3.2384280000000001E-2</v>
      </c>
      <c r="X94">
        <v>0.99898869999999895</v>
      </c>
      <c r="Y94">
        <v>-4.3243520000000001E-2</v>
      </c>
      <c r="Z94">
        <v>1.095719E-3</v>
      </c>
      <c r="AA94">
        <v>0.99906399999999995</v>
      </c>
      <c r="AB94">
        <v>28</v>
      </c>
      <c r="AC94">
        <v>21.5914</v>
      </c>
      <c r="AD94">
        <v>-1.1027187964830001</v>
      </c>
      <c r="AE94">
        <v>0.94499999999999296</v>
      </c>
      <c r="AF94">
        <v>-0.94543289198945302</v>
      </c>
      <c r="AG94">
        <v>-1.1027187964830001</v>
      </c>
      <c r="AH94">
        <v>21.5352088981194</v>
      </c>
      <c r="AI94">
        <v>92.928476810155303</v>
      </c>
      <c r="AJ94">
        <v>92.5137695984766</v>
      </c>
      <c r="AK94">
        <v>21.584138953940499</v>
      </c>
      <c r="AL94">
        <v>88.144192845694803</v>
      </c>
      <c r="AM94">
        <v>91.788188413020507</v>
      </c>
      <c r="AN94">
        <v>0.99999993843537904</v>
      </c>
    </row>
    <row r="95" spans="1:40" x14ac:dyDescent="0.3">
      <c r="A95" t="str">
        <f>"20200111153829923"</f>
        <v>20200111153829923</v>
      </c>
      <c r="B95" t="str">
        <f>"1578728309920106"</f>
        <v>1578728309920106</v>
      </c>
      <c r="C95" t="s">
        <v>40</v>
      </c>
      <c r="D95">
        <v>4.8909649999999996</v>
      </c>
      <c r="E95">
        <v>0.49544359999999998</v>
      </c>
      <c r="F95" t="s">
        <v>42</v>
      </c>
      <c r="G95">
        <v>-440.12450000000001</v>
      </c>
      <c r="H95" s="1">
        <v>-4.8527769999999999E-6</v>
      </c>
      <c r="I95">
        <v>368.46589999999998</v>
      </c>
      <c r="J95">
        <v>-461.55470000000003</v>
      </c>
      <c r="K95">
        <v>1.1027180000000001</v>
      </c>
      <c r="L95">
        <v>367.51859999999999</v>
      </c>
      <c r="M95">
        <v>0.99999990000000005</v>
      </c>
      <c r="N95">
        <v>0</v>
      </c>
      <c r="O95">
        <v>-1.3605320000000001E-4</v>
      </c>
      <c r="P95">
        <v>0.99897340000000001</v>
      </c>
      <c r="Q95">
        <v>3.2799469999999997E-2</v>
      </c>
      <c r="R95">
        <v>3.1252710000000003E-2</v>
      </c>
      <c r="S95">
        <v>3.004089</v>
      </c>
      <c r="T95">
        <v>-0.1525775</v>
      </c>
      <c r="U95">
        <v>0.131073</v>
      </c>
      <c r="V95">
        <v>-3.1386980000000002E-2</v>
      </c>
      <c r="W95">
        <v>3.2382380000000002E-2</v>
      </c>
      <c r="X95">
        <v>0.99898260000000005</v>
      </c>
      <c r="Y95">
        <v>-4.3669630000000001E-2</v>
      </c>
      <c r="Z95">
        <v>1.1146509999999999E-3</v>
      </c>
      <c r="AA95">
        <v>0.99904539999999997</v>
      </c>
      <c r="AB95">
        <v>28</v>
      </c>
      <c r="AC95">
        <v>21.430199999999999</v>
      </c>
      <c r="AD95">
        <v>-1.1027228527770001</v>
      </c>
      <c r="AE95">
        <v>0.94729999999998404</v>
      </c>
      <c r="AF95">
        <v>-0.94771121084473298</v>
      </c>
      <c r="AG95">
        <v>-1.1027228527770001</v>
      </c>
      <c r="AH95">
        <v>21.373588930413099</v>
      </c>
      <c r="AI95">
        <v>92.9505359467245</v>
      </c>
      <c r="AJ95">
        <v>92.538848719106994</v>
      </c>
      <c r="AK95">
        <v>21.422989007033401</v>
      </c>
      <c r="AL95">
        <v>88.144301875520796</v>
      </c>
      <c r="AM95">
        <v>91.799580985240596</v>
      </c>
      <c r="AN95">
        <v>0.99999999807537199</v>
      </c>
    </row>
    <row r="96" spans="1:40" x14ac:dyDescent="0.3">
      <c r="A96" t="str">
        <f>"20200111153829943"</f>
        <v>20200111153829943</v>
      </c>
      <c r="B96" t="str">
        <f>"1578728309940603"</f>
        <v>1578728309940603</v>
      </c>
      <c r="C96" t="s">
        <v>40</v>
      </c>
      <c r="D96">
        <v>4.9057519999999997</v>
      </c>
      <c r="E96">
        <v>0.49542839999999999</v>
      </c>
      <c r="F96" t="s">
        <v>42</v>
      </c>
      <c r="G96">
        <v>-440.06330000000003</v>
      </c>
      <c r="H96" s="1">
        <v>-4.882446E-6</v>
      </c>
      <c r="I96">
        <v>368.4615</v>
      </c>
      <c r="J96">
        <v>-461.29</v>
      </c>
      <c r="K96">
        <v>1.102727</v>
      </c>
      <c r="L96">
        <v>367.51859999999999</v>
      </c>
      <c r="M96">
        <v>0.99999990000000005</v>
      </c>
      <c r="N96">
        <v>0</v>
      </c>
      <c r="O96">
        <v>-1.377084E-4</v>
      </c>
      <c r="P96">
        <v>0.99896490000000004</v>
      </c>
      <c r="Q96">
        <v>3.2826389999999997E-2</v>
      </c>
      <c r="R96">
        <v>3.1494729999999999E-2</v>
      </c>
      <c r="S96">
        <v>3.004089</v>
      </c>
      <c r="T96">
        <v>-0.1541401</v>
      </c>
      <c r="U96">
        <v>0.13180539999999999</v>
      </c>
      <c r="V96">
        <v>-3.1631239999999998E-2</v>
      </c>
      <c r="W96">
        <v>3.2491520000000003E-2</v>
      </c>
      <c r="X96">
        <v>0.99897130000000001</v>
      </c>
      <c r="Y96">
        <v>-4.3912909999999999E-2</v>
      </c>
      <c r="Z96">
        <v>1.1323640000000001E-3</v>
      </c>
      <c r="AA96">
        <v>0.99903470000000005</v>
      </c>
      <c r="AB96">
        <v>28</v>
      </c>
      <c r="AC96">
        <v>21.226699999999902</v>
      </c>
      <c r="AD96">
        <v>-1.102731882446</v>
      </c>
      <c r="AE96">
        <v>0.94290000000000795</v>
      </c>
      <c r="AF96">
        <v>-0.943282344561855</v>
      </c>
      <c r="AG96">
        <v>-1.102731882446</v>
      </c>
      <c r="AH96">
        <v>21.169549532533299</v>
      </c>
      <c r="AI96">
        <v>92.978918820543399</v>
      </c>
      <c r="AJ96">
        <v>92.5513235881984</v>
      </c>
      <c r="AK96">
        <v>21.219227756836599</v>
      </c>
      <c r="AL96">
        <v>88.138045225242195</v>
      </c>
      <c r="AM96">
        <v>91.813596882891105</v>
      </c>
      <c r="AN96">
        <v>0.99999994621976696</v>
      </c>
    </row>
    <row r="97" spans="1:40" x14ac:dyDescent="0.3">
      <c r="A97" t="str">
        <f>"20200111153829966"</f>
        <v>20200111153829966</v>
      </c>
      <c r="B97" t="str">
        <f>"1578728309960123"</f>
        <v>1578728309960123</v>
      </c>
      <c r="C97" t="s">
        <v>40</v>
      </c>
      <c r="D97">
        <v>4.9497619999999998</v>
      </c>
      <c r="E97">
        <v>0.49548900000000001</v>
      </c>
      <c r="F97" t="s">
        <v>43</v>
      </c>
      <c r="G97">
        <v>-438.85469999999998</v>
      </c>
      <c r="H97">
        <v>-0.05</v>
      </c>
      <c r="I97">
        <v>368.51139999999998</v>
      </c>
      <c r="J97">
        <v>-460.99810000000002</v>
      </c>
      <c r="K97">
        <v>1.102735</v>
      </c>
      <c r="L97">
        <v>367.51850000000002</v>
      </c>
      <c r="M97">
        <v>1</v>
      </c>
      <c r="N97">
        <v>0</v>
      </c>
      <c r="O97">
        <v>-1.3996209999999999E-4</v>
      </c>
      <c r="P97">
        <v>0.99896790000000002</v>
      </c>
      <c r="Q97">
        <v>3.272336E-2</v>
      </c>
      <c r="R97">
        <v>3.1500269999999997E-2</v>
      </c>
      <c r="S97">
        <v>3.0039980000000002</v>
      </c>
      <c r="T97">
        <v>-0.1543455</v>
      </c>
      <c r="U97">
        <v>0.13293460000000001</v>
      </c>
      <c r="V97">
        <v>-3.1638869999999999E-2</v>
      </c>
      <c r="W97">
        <v>3.2478649999999998E-2</v>
      </c>
      <c r="X97">
        <v>0.99897150000000001</v>
      </c>
      <c r="Y97">
        <v>-4.4290620000000003E-2</v>
      </c>
      <c r="Z97">
        <v>1.1437039999999999E-3</v>
      </c>
      <c r="AA97">
        <v>0.99901799999999996</v>
      </c>
      <c r="AB97">
        <v>28</v>
      </c>
      <c r="AC97">
        <v>22.1434</v>
      </c>
      <c r="AD97">
        <v>-1.1527350000000001</v>
      </c>
      <c r="AE97">
        <v>0.99289999999996303</v>
      </c>
      <c r="AF97">
        <v>-0.99331274431648198</v>
      </c>
      <c r="AG97">
        <v>-1.1527350000000001</v>
      </c>
      <c r="AH97">
        <v>22.0835343758731</v>
      </c>
      <c r="AI97">
        <v>92.985048982227298</v>
      </c>
      <c r="AJ97">
        <v>92.575416236204106</v>
      </c>
      <c r="AK97">
        <v>22.135897513284</v>
      </c>
      <c r="AL97">
        <v>88.138783054337196</v>
      </c>
      <c r="AM97">
        <v>91.814033698507998</v>
      </c>
      <c r="AN97">
        <v>0.99999996930647395</v>
      </c>
    </row>
    <row r="98" spans="1:40" x14ac:dyDescent="0.3">
      <c r="A98" t="str">
        <f>"20200111153829989"</f>
        <v>20200111153829989</v>
      </c>
      <c r="B98" t="str">
        <f>"1578728309980619"</f>
        <v>1578728309980619</v>
      </c>
      <c r="C98" t="s">
        <v>40</v>
      </c>
      <c r="D98">
        <v>4.9426100000000002</v>
      </c>
      <c r="E98">
        <v>0.49546600000000002</v>
      </c>
      <c r="F98" t="s">
        <v>43</v>
      </c>
      <c r="G98">
        <v>-438.7296</v>
      </c>
      <c r="H98">
        <v>-0.05</v>
      </c>
      <c r="I98">
        <v>368.49829999999997</v>
      </c>
      <c r="J98">
        <v>-460.69990000000001</v>
      </c>
      <c r="K98">
        <v>1.1027400000000001</v>
      </c>
      <c r="L98">
        <v>367.51850000000002</v>
      </c>
      <c r="M98">
        <v>1</v>
      </c>
      <c r="N98">
        <v>0</v>
      </c>
      <c r="O98">
        <v>-1.4210049999999999E-4</v>
      </c>
      <c r="P98">
        <v>0.99897029999999998</v>
      </c>
      <c r="Q98">
        <v>3.261236E-2</v>
      </c>
      <c r="R98">
        <v>3.1543719999999997E-2</v>
      </c>
      <c r="S98">
        <v>3.0040589999999998</v>
      </c>
      <c r="T98">
        <v>-0.15550610000000001</v>
      </c>
      <c r="U98">
        <v>0.1321716</v>
      </c>
      <c r="V98">
        <v>-3.1684619999999997E-2</v>
      </c>
      <c r="W98">
        <v>3.2461009999999998E-2</v>
      </c>
      <c r="X98">
        <v>0.99897060000000004</v>
      </c>
      <c r="Y98">
        <v>-4.403808E-2</v>
      </c>
      <c r="Z98">
        <v>1.145858E-3</v>
      </c>
      <c r="AA98">
        <v>0.99902919999999995</v>
      </c>
      <c r="AB98">
        <v>29</v>
      </c>
      <c r="AC98">
        <v>21.970300000000002</v>
      </c>
      <c r="AD98">
        <v>-1.1527399999999901</v>
      </c>
      <c r="AE98">
        <v>0.97979999999995404</v>
      </c>
      <c r="AF98">
        <v>-0.98022886290473399</v>
      </c>
      <c r="AG98">
        <v>-1.1527399999999901</v>
      </c>
      <c r="AH98">
        <v>21.909964285025101</v>
      </c>
      <c r="AI98">
        <v>93.008698582580195</v>
      </c>
      <c r="AJ98">
        <v>92.561644992126304</v>
      </c>
      <c r="AK98">
        <v>21.962153653554701</v>
      </c>
      <c r="AL98">
        <v>88.139794241735103</v>
      </c>
      <c r="AM98">
        <v>91.816656681536401</v>
      </c>
      <c r="AN98">
        <v>0.99999994598955999</v>
      </c>
    </row>
    <row r="99" spans="1:40" x14ac:dyDescent="0.3">
      <c r="A99" t="str">
        <f>"20200111153830011"</f>
        <v>20200111153830011</v>
      </c>
      <c r="B99" t="str">
        <f>"1578728310000141"</f>
        <v>1578728310000141</v>
      </c>
      <c r="C99" t="s">
        <v>40</v>
      </c>
      <c r="D99">
        <v>4.9881690000000001</v>
      </c>
      <c r="E99">
        <v>0.4954942</v>
      </c>
      <c r="F99" t="s">
        <v>43</v>
      </c>
      <c r="G99">
        <v>-438.64659999999998</v>
      </c>
      <c r="H99">
        <v>-0.05</v>
      </c>
      <c r="I99">
        <v>368.49059999999997</v>
      </c>
      <c r="J99">
        <v>-460.41250000000002</v>
      </c>
      <c r="K99">
        <v>1.102743</v>
      </c>
      <c r="L99">
        <v>367.51850000000002</v>
      </c>
      <c r="M99">
        <v>1</v>
      </c>
      <c r="N99">
        <v>0</v>
      </c>
      <c r="O99">
        <v>-1.442433E-4</v>
      </c>
      <c r="P99">
        <v>0.99898279999999995</v>
      </c>
      <c r="Q99">
        <v>3.2339600000000003E-2</v>
      </c>
      <c r="R99">
        <v>3.1431090000000002E-2</v>
      </c>
      <c r="S99">
        <v>3.0040589999999998</v>
      </c>
      <c r="T99">
        <v>-0.1570241</v>
      </c>
      <c r="U99">
        <v>0.1324158</v>
      </c>
      <c r="V99">
        <v>-3.1574289999999998E-2</v>
      </c>
      <c r="W99">
        <v>3.2277050000000002E-2</v>
      </c>
      <c r="X99">
        <v>0.99898010000000004</v>
      </c>
      <c r="Y99">
        <v>-4.4119989999999998E-2</v>
      </c>
      <c r="Z99">
        <v>1.1592760000000001E-3</v>
      </c>
      <c r="AA99">
        <v>0.99902559999999996</v>
      </c>
      <c r="AB99">
        <v>29</v>
      </c>
      <c r="AC99">
        <v>21.765899999999998</v>
      </c>
      <c r="AD99">
        <v>-1.1527430000000001</v>
      </c>
      <c r="AE99">
        <v>0.972099999999954</v>
      </c>
      <c r="AF99">
        <v>-0.97251722719673495</v>
      </c>
      <c r="AG99">
        <v>-1.1527430000000001</v>
      </c>
      <c r="AH99">
        <v>21.705001181684398</v>
      </c>
      <c r="AI99">
        <v>93.037055956729006</v>
      </c>
      <c r="AJ99">
        <v>92.565486572207504</v>
      </c>
      <c r="AK99">
        <v>21.757336290965601</v>
      </c>
      <c r="AL99">
        <v>88.150339985074694</v>
      </c>
      <c r="AM99">
        <v>91.810317857234907</v>
      </c>
      <c r="AN99">
        <v>0.99999999197085798</v>
      </c>
    </row>
    <row r="100" spans="1:40" x14ac:dyDescent="0.3">
      <c r="A100" t="str">
        <f>"20200111153830034"</f>
        <v>20200111153830034</v>
      </c>
      <c r="B100" t="str">
        <f>"1578728310030394"</f>
        <v>1578728310030394</v>
      </c>
      <c r="C100" t="s">
        <v>40</v>
      </c>
      <c r="D100">
        <v>5.0000799999999996</v>
      </c>
      <c r="E100">
        <v>0.4954481</v>
      </c>
      <c r="F100" t="s">
        <v>43</v>
      </c>
      <c r="G100">
        <v>-438.6071</v>
      </c>
      <c r="H100">
        <v>-0.05</v>
      </c>
      <c r="I100">
        <v>368.47590000000002</v>
      </c>
      <c r="J100">
        <v>-460.11790000000002</v>
      </c>
      <c r="K100">
        <v>1.1027530000000001</v>
      </c>
      <c r="L100">
        <v>367.51839999999999</v>
      </c>
      <c r="M100">
        <v>1</v>
      </c>
      <c r="N100">
        <v>0</v>
      </c>
      <c r="O100">
        <v>-1.465095E-4</v>
      </c>
      <c r="P100">
        <v>0.99896439999999997</v>
      </c>
      <c r="Q100">
        <v>3.2817230000000003E-2</v>
      </c>
      <c r="R100">
        <v>3.1516839999999997E-2</v>
      </c>
      <c r="S100">
        <v>3.0039980000000002</v>
      </c>
      <c r="T100">
        <v>-0.15880629999999901</v>
      </c>
      <c r="U100">
        <v>0.13189699999999999</v>
      </c>
      <c r="V100">
        <v>-3.1661830000000002E-2</v>
      </c>
      <c r="W100">
        <v>3.2847040000000001E-2</v>
      </c>
      <c r="X100">
        <v>0.99895880000000004</v>
      </c>
      <c r="Y100">
        <v>-4.3949790000000002E-2</v>
      </c>
      <c r="Z100">
        <v>1.16807E-3</v>
      </c>
      <c r="AA100">
        <v>0.99903299999999995</v>
      </c>
      <c r="AB100">
        <v>29</v>
      </c>
      <c r="AC100">
        <v>21.5108</v>
      </c>
      <c r="AD100">
        <v>-1.1527529999999999</v>
      </c>
      <c r="AE100">
        <v>0.95750000000003799</v>
      </c>
      <c r="AF100">
        <v>-0.957906018611976</v>
      </c>
      <c r="AG100">
        <v>-1.1527529999999999</v>
      </c>
      <c r="AH100">
        <v>21.449182792460601</v>
      </c>
      <c r="AI100">
        <v>93.073255758360403</v>
      </c>
      <c r="AJ100">
        <v>92.557091722017105</v>
      </c>
      <c r="AK100">
        <v>21.501485201815498</v>
      </c>
      <c r="AL100">
        <v>88.117664729630306</v>
      </c>
      <c r="AM100">
        <v>91.815372306969294</v>
      </c>
      <c r="AN100">
        <v>1.00000004180657</v>
      </c>
    </row>
    <row r="101" spans="1:40" x14ac:dyDescent="0.3">
      <c r="A101" t="str">
        <f>"20200111153830055"</f>
        <v>20200111153830055</v>
      </c>
      <c r="B101" t="str">
        <f>"1578728310049915"</f>
        <v>1578728310049915</v>
      </c>
      <c r="C101" t="s">
        <v>40</v>
      </c>
      <c r="D101">
        <v>5.0057099999999997</v>
      </c>
      <c r="E101">
        <v>0.49542190000000003</v>
      </c>
      <c r="F101" t="s">
        <v>43</v>
      </c>
      <c r="G101">
        <v>-438.26440000000002</v>
      </c>
      <c r="H101">
        <v>-0.05</v>
      </c>
      <c r="I101">
        <v>368.483</v>
      </c>
      <c r="J101">
        <v>-459.83629999999999</v>
      </c>
      <c r="K101">
        <v>1.1027579999999999</v>
      </c>
      <c r="L101">
        <v>367.51839999999999</v>
      </c>
      <c r="M101">
        <v>0.99999990000000005</v>
      </c>
      <c r="N101">
        <v>0</v>
      </c>
      <c r="O101">
        <v>-1.483027E-4</v>
      </c>
      <c r="P101">
        <v>0.99897780000000003</v>
      </c>
      <c r="Q101">
        <v>3.2477409999999998E-2</v>
      </c>
      <c r="R101">
        <v>3.1441360000000002E-2</v>
      </c>
      <c r="S101">
        <v>3.004089</v>
      </c>
      <c r="T101">
        <v>-0.1584632</v>
      </c>
      <c r="U101">
        <v>0.13259889999999999</v>
      </c>
      <c r="V101">
        <v>-3.158826E-2</v>
      </c>
      <c r="W101">
        <v>3.2594930000000001E-2</v>
      </c>
      <c r="X101">
        <v>0.99896929999999995</v>
      </c>
      <c r="Y101">
        <v>-4.4183170000000001E-2</v>
      </c>
      <c r="Z101">
        <v>1.1717520000000001E-3</v>
      </c>
      <c r="AA101">
        <v>0.99902279999999999</v>
      </c>
      <c r="AB101">
        <v>29</v>
      </c>
      <c r="AC101">
        <v>21.5718999999999</v>
      </c>
      <c r="AD101">
        <v>-1.1527579999999999</v>
      </c>
      <c r="AE101">
        <v>0.964600000000018</v>
      </c>
      <c r="AF101">
        <v>-0.96504885293030995</v>
      </c>
      <c r="AG101">
        <v>-1.1527579999999999</v>
      </c>
      <c r="AH101">
        <v>21.510453732763199</v>
      </c>
      <c r="AI101">
        <v>93.064503801427904</v>
      </c>
      <c r="AJ101">
        <v>92.568805556245806</v>
      </c>
      <c r="AK101">
        <v>21.562926287599499</v>
      </c>
      <c r="AL101">
        <v>88.132117144801995</v>
      </c>
      <c r="AM101">
        <v>91.811137863706406</v>
      </c>
      <c r="AN101">
        <v>0.99999995498701</v>
      </c>
    </row>
    <row r="102" spans="1:40" x14ac:dyDescent="0.3">
      <c r="A102" t="str">
        <f>"20200111153830080"</f>
        <v>20200111153830080</v>
      </c>
      <c r="B102" t="str">
        <f>"1578728310070411"</f>
        <v>1578728310070411</v>
      </c>
      <c r="C102" t="s">
        <v>40</v>
      </c>
      <c r="D102">
        <v>4.9791059999999998</v>
      </c>
      <c r="E102">
        <v>0.49537740000000002</v>
      </c>
      <c r="F102" t="s">
        <v>43</v>
      </c>
      <c r="G102">
        <v>-438.26639999999998</v>
      </c>
      <c r="H102">
        <v>-0.05</v>
      </c>
      <c r="I102">
        <v>368.47039999999998</v>
      </c>
      <c r="J102">
        <v>-459.50959999999998</v>
      </c>
      <c r="K102">
        <v>1.102759</v>
      </c>
      <c r="L102">
        <v>367.51839999999999</v>
      </c>
      <c r="M102">
        <v>1</v>
      </c>
      <c r="N102">
        <v>0</v>
      </c>
      <c r="O102">
        <v>-1.5081670000000001E-4</v>
      </c>
      <c r="P102">
        <v>0.99898050000000005</v>
      </c>
      <c r="Q102">
        <v>3.2054310000000003E-2</v>
      </c>
      <c r="R102">
        <v>3.1798340000000001E-2</v>
      </c>
      <c r="S102">
        <v>3.0041500000000001</v>
      </c>
      <c r="T102">
        <v>-0.1605501</v>
      </c>
      <c r="U102">
        <v>0.13259889999999999</v>
      </c>
      <c r="V102">
        <v>-3.1947749999999997E-2</v>
      </c>
      <c r="W102">
        <v>3.2273709999999997E-2</v>
      </c>
      <c r="X102">
        <v>0.99896839999999998</v>
      </c>
      <c r="Y102">
        <v>-4.4183149999999997E-2</v>
      </c>
      <c r="Z102">
        <v>1.1872709999999999E-3</v>
      </c>
      <c r="AA102">
        <v>0.99902270000000004</v>
      </c>
      <c r="AB102">
        <v>30</v>
      </c>
      <c r="AC102">
        <v>21.243200000000002</v>
      </c>
      <c r="AD102">
        <v>-1.1527590000000001</v>
      </c>
      <c r="AE102">
        <v>0.95199999999999796</v>
      </c>
      <c r="AF102">
        <v>-0.95240491791231796</v>
      </c>
      <c r="AG102">
        <v>-1.1527590000000001</v>
      </c>
      <c r="AH102">
        <v>21.180810615732</v>
      </c>
      <c r="AI102">
        <v>93.112093123951297</v>
      </c>
      <c r="AJ102">
        <v>92.574596898928903</v>
      </c>
      <c r="AK102">
        <v>21.233526951009502</v>
      </c>
      <c r="AL102">
        <v>88.150531574232303</v>
      </c>
      <c r="AM102">
        <v>91.831737193678606</v>
      </c>
      <c r="AN102">
        <v>1.00000005764289</v>
      </c>
    </row>
    <row r="103" spans="1:40" x14ac:dyDescent="0.3">
      <c r="A103" t="str">
        <f>"20200111153830102"</f>
        <v>20200111153830102</v>
      </c>
      <c r="B103" t="str">
        <f>"1578728310090907"</f>
        <v>1578728310090907</v>
      </c>
      <c r="C103" t="s">
        <v>40</v>
      </c>
      <c r="D103">
        <v>4.9476849999999999</v>
      </c>
      <c r="E103">
        <v>0.49533139999999998</v>
      </c>
      <c r="F103" t="s">
        <v>43</v>
      </c>
      <c r="G103">
        <v>-438.19560000000001</v>
      </c>
      <c r="H103">
        <v>-0.05</v>
      </c>
      <c r="I103">
        <v>368.46850000000001</v>
      </c>
      <c r="J103">
        <v>-459.20339999999999</v>
      </c>
      <c r="K103">
        <v>1.10277</v>
      </c>
      <c r="L103">
        <v>367.51830000000001</v>
      </c>
      <c r="M103">
        <v>0.99999990000000005</v>
      </c>
      <c r="N103">
        <v>0</v>
      </c>
      <c r="O103">
        <v>-1.5285799999999999E-4</v>
      </c>
      <c r="P103">
        <v>0.99898889999999996</v>
      </c>
      <c r="Q103">
        <v>3.177663E-2</v>
      </c>
      <c r="R103">
        <v>3.180405E-2</v>
      </c>
      <c r="S103">
        <v>3.0040279999999999</v>
      </c>
      <c r="T103">
        <v>-0.16247139999999999</v>
      </c>
      <c r="U103">
        <v>0.13391110000000001</v>
      </c>
      <c r="V103">
        <v>-3.1955079999999997E-2</v>
      </c>
      <c r="W103">
        <v>3.2091649999999999E-2</v>
      </c>
      <c r="X103">
        <v>0.99897400000000003</v>
      </c>
      <c r="Y103">
        <v>-4.4620369999999999E-2</v>
      </c>
      <c r="Z103">
        <v>1.2134139999999999E-3</v>
      </c>
      <c r="AA103">
        <v>0.99900330000000004</v>
      </c>
      <c r="AB103">
        <v>30</v>
      </c>
      <c r="AC103">
        <v>21.0077999999999</v>
      </c>
      <c r="AD103">
        <v>-1.1527700000000001</v>
      </c>
      <c r="AE103">
        <v>0.95019999999999505</v>
      </c>
      <c r="AF103">
        <v>-0.95055483400595797</v>
      </c>
      <c r="AG103">
        <v>-1.1527700000000001</v>
      </c>
      <c r="AH103">
        <v>20.944716776501199</v>
      </c>
      <c r="AI103">
        <v>93.147073964043599</v>
      </c>
      <c r="AJ103">
        <v>92.598528042082805</v>
      </c>
      <c r="AK103">
        <v>20.9979426138182</v>
      </c>
      <c r="AL103">
        <v>88.160968192881199</v>
      </c>
      <c r="AM103">
        <v>91.832146912178501</v>
      </c>
      <c r="AN103">
        <v>1.0000000269067599</v>
      </c>
    </row>
    <row r="104" spans="1:40" x14ac:dyDescent="0.3">
      <c r="A104" t="str">
        <f>"20200111153830126"</f>
        <v>20200111153830126</v>
      </c>
      <c r="B104" t="str">
        <f>"1578728310120186"</f>
        <v>1578728310120186</v>
      </c>
      <c r="C104" t="s">
        <v>40</v>
      </c>
      <c r="D104">
        <v>5.0174640000000004</v>
      </c>
      <c r="E104">
        <v>0.49534020000000001</v>
      </c>
      <c r="F104" t="s">
        <v>43</v>
      </c>
      <c r="G104">
        <v>-438.11099999999999</v>
      </c>
      <c r="H104">
        <v>-0.05</v>
      </c>
      <c r="I104">
        <v>368.46280000000002</v>
      </c>
      <c r="J104">
        <v>-458.8965</v>
      </c>
      <c r="K104">
        <v>1.102779</v>
      </c>
      <c r="L104">
        <v>367.51830000000001</v>
      </c>
      <c r="M104">
        <v>0.99999990000000005</v>
      </c>
      <c r="N104">
        <v>0</v>
      </c>
      <c r="O104">
        <v>-1.552616E-4</v>
      </c>
      <c r="P104">
        <v>0.99899360000000004</v>
      </c>
      <c r="Q104">
        <v>3.1664249999999998E-2</v>
      </c>
      <c r="R104">
        <v>3.1774089999999998E-2</v>
      </c>
      <c r="S104">
        <v>3.0039669999999998</v>
      </c>
      <c r="T104">
        <v>-0.16417660000000001</v>
      </c>
      <c r="U104">
        <v>0.13452149999999999</v>
      </c>
      <c r="V104">
        <v>-3.1927949999999997E-2</v>
      </c>
      <c r="W104">
        <v>3.2074499999999999E-2</v>
      </c>
      <c r="X104">
        <v>0.99897539999999996</v>
      </c>
      <c r="Y104">
        <v>-4.4824549999999998E-2</v>
      </c>
      <c r="Z104">
        <v>1.2318539999999999E-3</v>
      </c>
      <c r="AA104">
        <v>0.9989941</v>
      </c>
      <c r="AB104">
        <v>30</v>
      </c>
      <c r="AC104">
        <v>20.785499999999999</v>
      </c>
      <c r="AD104">
        <v>-1.152779</v>
      </c>
      <c r="AE104">
        <v>0.944500000000005</v>
      </c>
      <c r="AF104">
        <v>-0.944826981008133</v>
      </c>
      <c r="AG104">
        <v>-1.152779</v>
      </c>
      <c r="AH104">
        <v>20.721746575150899</v>
      </c>
      <c r="AI104">
        <v>93.180862195381195</v>
      </c>
      <c r="AJ104">
        <v>92.610645288172904</v>
      </c>
      <c r="AK104">
        <v>20.775282875851701</v>
      </c>
      <c r="AL104">
        <v>88.161951288056997</v>
      </c>
      <c r="AM104">
        <v>91.830589906674902</v>
      </c>
      <c r="AN104">
        <v>1.0000000086733001</v>
      </c>
    </row>
    <row r="105" spans="1:40" x14ac:dyDescent="0.3">
      <c r="A105" t="str">
        <f>"20200111153830168"</f>
        <v>20200111153830168</v>
      </c>
      <c r="B105" t="str">
        <f>"1578728310160203"</f>
        <v>1578728310160203</v>
      </c>
      <c r="C105" t="s">
        <v>40</v>
      </c>
      <c r="D105">
        <v>5.0172049999999997</v>
      </c>
      <c r="E105">
        <v>0.49533339999999998</v>
      </c>
      <c r="F105" t="s">
        <v>43</v>
      </c>
      <c r="G105">
        <v>-438.02820000000003</v>
      </c>
      <c r="H105">
        <v>-0.05</v>
      </c>
      <c r="I105">
        <v>368.4513</v>
      </c>
      <c r="J105">
        <v>-458.31259999999997</v>
      </c>
      <c r="K105">
        <v>1.102795</v>
      </c>
      <c r="L105">
        <v>367.51819999999998</v>
      </c>
      <c r="M105">
        <v>0.99999990000000005</v>
      </c>
      <c r="N105">
        <v>0</v>
      </c>
      <c r="O105">
        <v>-1.5972180000000001E-4</v>
      </c>
      <c r="P105">
        <v>0.99901779999999996</v>
      </c>
      <c r="Q105">
        <v>3.1427370000000003E-2</v>
      </c>
      <c r="R105">
        <v>3.1244939999999999E-2</v>
      </c>
      <c r="S105">
        <v>3.0040279999999999</v>
      </c>
      <c r="T105">
        <v>-0.16594449999999999</v>
      </c>
      <c r="U105">
        <v>0.13430790000000001</v>
      </c>
      <c r="V105">
        <v>-3.1403550000000002E-2</v>
      </c>
      <c r="W105">
        <v>3.2019690000000003E-2</v>
      </c>
      <c r="X105">
        <v>0.99899380000000004</v>
      </c>
      <c r="Y105">
        <v>-4.4755860000000001E-2</v>
      </c>
      <c r="Z105">
        <v>1.2434259999999999E-3</v>
      </c>
      <c r="AA105">
        <v>0.99899720000000003</v>
      </c>
      <c r="AB105">
        <v>30</v>
      </c>
      <c r="AC105">
        <v>20.284399999999899</v>
      </c>
      <c r="AD105">
        <v>-1.152795</v>
      </c>
      <c r="AE105">
        <v>0.93310000000002402</v>
      </c>
      <c r="AF105">
        <v>-0.933331710768046</v>
      </c>
      <c r="AG105">
        <v>-1.152795</v>
      </c>
      <c r="AH105">
        <v>20.219084370858699</v>
      </c>
      <c r="AI105">
        <v>93.259733441273696</v>
      </c>
      <c r="AJ105">
        <v>92.642950227799602</v>
      </c>
      <c r="AK105">
        <v>20.273416514989599</v>
      </c>
      <c r="AL105">
        <v>88.165093318978606</v>
      </c>
      <c r="AM105">
        <v>91.800510232521106</v>
      </c>
      <c r="AN105">
        <v>1.0000000279693599</v>
      </c>
    </row>
    <row r="106" spans="1:40" x14ac:dyDescent="0.3">
      <c r="A106" t="str">
        <f>"20200111153830190"</f>
        <v>20200111153830190</v>
      </c>
      <c r="B106" t="str">
        <f>"1578728310180699"</f>
        <v>1578728310180699</v>
      </c>
      <c r="C106" t="s">
        <v>40</v>
      </c>
      <c r="D106">
        <v>5.0157239999999996</v>
      </c>
      <c r="E106">
        <v>0.49540709999999999</v>
      </c>
      <c r="F106" t="s">
        <v>43</v>
      </c>
      <c r="G106">
        <v>-437.48770000000002</v>
      </c>
      <c r="H106">
        <v>-0.05</v>
      </c>
      <c r="I106">
        <v>368.4393</v>
      </c>
      <c r="J106">
        <v>-458.0145</v>
      </c>
      <c r="K106">
        <v>1.102803</v>
      </c>
      <c r="L106">
        <v>367.5181</v>
      </c>
      <c r="M106">
        <v>0.99999979999999999</v>
      </c>
      <c r="N106">
        <v>0</v>
      </c>
      <c r="O106">
        <v>-1.6177990000000001E-4</v>
      </c>
      <c r="P106">
        <v>0.99902860000000004</v>
      </c>
      <c r="Q106">
        <v>3.1154649999999999E-2</v>
      </c>
      <c r="R106">
        <v>3.116404E-2</v>
      </c>
      <c r="S106">
        <v>3.0039669999999998</v>
      </c>
      <c r="T106">
        <v>-0.16628970000000001</v>
      </c>
      <c r="U106">
        <v>0.13287349999999901</v>
      </c>
      <c r="V106">
        <v>-3.1324650000000002E-2</v>
      </c>
      <c r="W106">
        <v>3.183954E-2</v>
      </c>
      <c r="X106">
        <v>0.99900199999999995</v>
      </c>
      <c r="Y106">
        <v>-4.428319E-2</v>
      </c>
      <c r="Z106">
        <v>1.233095E-3</v>
      </c>
      <c r="AA106">
        <v>0.99901830000000003</v>
      </c>
      <c r="AB106">
        <v>30</v>
      </c>
      <c r="AC106">
        <v>20.526799999999898</v>
      </c>
      <c r="AD106">
        <v>-1.152803</v>
      </c>
      <c r="AE106">
        <v>0.92119999999999802</v>
      </c>
      <c r="AF106">
        <v>-0.92161982575786905</v>
      </c>
      <c r="AG106">
        <v>-1.152803</v>
      </c>
      <c r="AH106">
        <v>20.4622416188712</v>
      </c>
      <c r="AI106">
        <v>93.221265642981393</v>
      </c>
      <c r="AJ106">
        <v>92.578860320251195</v>
      </c>
      <c r="AK106">
        <v>20.5154007986465</v>
      </c>
      <c r="AL106">
        <v>88.175420355148404</v>
      </c>
      <c r="AM106">
        <v>91.795974766141498</v>
      </c>
      <c r="AN106">
        <v>0.99999999300451603</v>
      </c>
    </row>
    <row r="107" spans="1:40" x14ac:dyDescent="0.3">
      <c r="A107" t="str">
        <f>"20200111153830212"</f>
        <v>20200111153830212</v>
      </c>
      <c r="B107" t="str">
        <f>"1578728310200218"</f>
        <v>1578728310200218</v>
      </c>
      <c r="C107" t="s">
        <v>40</v>
      </c>
      <c r="D107">
        <v>5.0301710000000002</v>
      </c>
      <c r="E107">
        <v>0.4954575</v>
      </c>
      <c r="F107" t="s">
        <v>43</v>
      </c>
      <c r="G107">
        <v>-437.21480000000003</v>
      </c>
      <c r="H107">
        <v>-0.05</v>
      </c>
      <c r="I107">
        <v>368.4316</v>
      </c>
      <c r="J107">
        <v>-457.70710000000003</v>
      </c>
      <c r="K107">
        <v>1.1028</v>
      </c>
      <c r="L107">
        <v>367.5181</v>
      </c>
      <c r="M107">
        <v>0.99999970000000005</v>
      </c>
      <c r="N107">
        <v>0</v>
      </c>
      <c r="O107">
        <v>-1.6396290000000001E-4</v>
      </c>
      <c r="P107">
        <v>0.99903180000000003</v>
      </c>
      <c r="Q107">
        <v>3.106215E-2</v>
      </c>
      <c r="R107">
        <v>3.1160130000000001E-2</v>
      </c>
      <c r="S107">
        <v>3.0039980000000002</v>
      </c>
      <c r="T107">
        <v>-0.16649330000000001</v>
      </c>
      <c r="U107">
        <v>0.1319275</v>
      </c>
      <c r="V107">
        <v>-3.1322740000000002E-2</v>
      </c>
      <c r="W107">
        <v>3.1842879999999997E-2</v>
      </c>
      <c r="X107">
        <v>0.99900199999999995</v>
      </c>
      <c r="Y107">
        <v>-4.3971219999999998E-2</v>
      </c>
      <c r="Z107">
        <v>1.226085E-3</v>
      </c>
      <c r="AA107">
        <v>0.99903200000000003</v>
      </c>
      <c r="AB107">
        <v>31</v>
      </c>
      <c r="AC107">
        <v>20.4923</v>
      </c>
      <c r="AD107">
        <v>-1.1528</v>
      </c>
      <c r="AE107">
        <v>0.91349999999999898</v>
      </c>
      <c r="AF107">
        <v>-0.91397329077392298</v>
      </c>
      <c r="AG107">
        <v>-1.1528</v>
      </c>
      <c r="AH107">
        <v>20.4276317235182</v>
      </c>
      <c r="AI107">
        <v>93.226746420009704</v>
      </c>
      <c r="AJ107">
        <v>92.561819760244205</v>
      </c>
      <c r="AK107">
        <v>20.480537904262501</v>
      </c>
      <c r="AL107">
        <v>88.175228975078895</v>
      </c>
      <c r="AM107">
        <v>91.795865329468498</v>
      </c>
      <c r="AN107">
        <v>1.0000000395259001</v>
      </c>
    </row>
    <row r="108" spans="1:40" x14ac:dyDescent="0.3">
      <c r="A108" t="str">
        <f>"20200111153830234"</f>
        <v>20200111153830234</v>
      </c>
      <c r="B108" t="str">
        <f>"1578728310230476"</f>
        <v>1578728310230476</v>
      </c>
      <c r="C108" t="s">
        <v>40</v>
      </c>
      <c r="D108">
        <v>4.949147</v>
      </c>
      <c r="E108">
        <v>0.478238</v>
      </c>
      <c r="F108" t="s">
        <v>43</v>
      </c>
      <c r="G108">
        <v>-436.91309999999999</v>
      </c>
      <c r="H108">
        <v>-0.05</v>
      </c>
      <c r="I108">
        <v>368.42770000000002</v>
      </c>
      <c r="J108">
        <v>-457.40519999999998</v>
      </c>
      <c r="K108">
        <v>1.1028</v>
      </c>
      <c r="L108">
        <v>367.51799999999997</v>
      </c>
      <c r="M108">
        <v>0.99999959999999999</v>
      </c>
      <c r="N108">
        <v>0</v>
      </c>
      <c r="O108">
        <v>-1.660303E-4</v>
      </c>
      <c r="P108">
        <v>0.99902550000000001</v>
      </c>
      <c r="Q108">
        <v>3.0917940000000001E-2</v>
      </c>
      <c r="R108">
        <v>3.1496259999999998E-2</v>
      </c>
      <c r="S108">
        <v>3.0039980000000002</v>
      </c>
      <c r="T108">
        <v>-0.1665382</v>
      </c>
      <c r="U108">
        <v>0.13140869999999999</v>
      </c>
      <c r="V108">
        <v>-3.1660519999999998E-2</v>
      </c>
      <c r="W108">
        <v>3.1792830000000001E-2</v>
      </c>
      <c r="X108">
        <v>0.99899289999999996</v>
      </c>
      <c r="Y108">
        <v>-4.3801300000000001E-2</v>
      </c>
      <c r="Z108">
        <v>1.2218299999999999E-3</v>
      </c>
      <c r="AA108">
        <v>0.99903949999999997</v>
      </c>
      <c r="AB108">
        <v>31</v>
      </c>
      <c r="AC108">
        <v>20.492099999999901</v>
      </c>
      <c r="AD108">
        <v>-1.1528</v>
      </c>
      <c r="AE108">
        <v>0.90969999999998596</v>
      </c>
      <c r="AF108">
        <v>-0.91022735119758202</v>
      </c>
      <c r="AG108">
        <v>-1.1528</v>
      </c>
      <c r="AH108">
        <v>20.4274287805863</v>
      </c>
      <c r="AI108">
        <v>93.226804658084106</v>
      </c>
      <c r="AJ108">
        <v>92.551359301826295</v>
      </c>
      <c r="AK108">
        <v>20.4801686579186</v>
      </c>
      <c r="AL108">
        <v>88.178097997354996</v>
      </c>
      <c r="AM108">
        <v>91.815235324082494</v>
      </c>
      <c r="AN108">
        <v>0.99999999340824397</v>
      </c>
    </row>
    <row r="109" spans="1:40" x14ac:dyDescent="0.3">
      <c r="A109" t="str">
        <f>"20200111153830256"</f>
        <v>20200111153830256</v>
      </c>
      <c r="B109" t="str">
        <f>"1578728310249995"</f>
        <v>1578728310249995</v>
      </c>
      <c r="C109" t="s">
        <v>40</v>
      </c>
      <c r="D109">
        <v>5.0125549999999999</v>
      </c>
      <c r="E109">
        <v>0.46434550000000002</v>
      </c>
      <c r="F109" t="s">
        <v>43</v>
      </c>
      <c r="G109">
        <v>-437.82940000000002</v>
      </c>
      <c r="H109">
        <v>-0.05</v>
      </c>
      <c r="I109">
        <v>369.27780000000001</v>
      </c>
      <c r="J109">
        <v>-457.08940000000001</v>
      </c>
      <c r="K109">
        <v>1.1028070000000001</v>
      </c>
      <c r="L109">
        <v>367.5179</v>
      </c>
      <c r="M109">
        <v>0.99999950000000004</v>
      </c>
      <c r="N109">
        <v>0</v>
      </c>
      <c r="O109">
        <v>-1.6750869999999999E-4</v>
      </c>
      <c r="P109">
        <v>0.99902159999999995</v>
      </c>
      <c r="Q109">
        <v>3.055488E-2</v>
      </c>
      <c r="R109">
        <v>3.197299E-2</v>
      </c>
      <c r="S109">
        <v>2.9999389999999999</v>
      </c>
      <c r="T109">
        <v>-0.17666419999999999</v>
      </c>
      <c r="U109">
        <v>0.26968379999999997</v>
      </c>
      <c r="V109">
        <v>-3.2139050000000002E-2</v>
      </c>
      <c r="W109">
        <v>3.1527840000000001E-2</v>
      </c>
      <c r="X109">
        <v>0.99898600000000004</v>
      </c>
      <c r="Y109">
        <v>-8.9548039999999995E-2</v>
      </c>
      <c r="Z109">
        <v>2.6389759999999999E-3</v>
      </c>
      <c r="AA109">
        <v>0.99597899999999995</v>
      </c>
      <c r="AB109">
        <v>31</v>
      </c>
      <c r="AC109">
        <v>19.259999999999899</v>
      </c>
      <c r="AD109">
        <v>-1.1528069999999999</v>
      </c>
      <c r="AE109">
        <v>1.75990000000001</v>
      </c>
      <c r="AF109">
        <v>-1.7568840669160399</v>
      </c>
      <c r="AG109">
        <v>-1.1528069999999999</v>
      </c>
      <c r="AH109">
        <v>19.191518357363901</v>
      </c>
      <c r="AI109">
        <v>93.423264761096206</v>
      </c>
      <c r="AJ109">
        <v>95.230552785048204</v>
      </c>
      <c r="AK109">
        <v>19.306216161248901</v>
      </c>
      <c r="AL109">
        <v>88.193288389305295</v>
      </c>
      <c r="AM109">
        <v>91.842665475459299</v>
      </c>
      <c r="AN109">
        <v>0.99999997571298305</v>
      </c>
    </row>
    <row r="110" spans="1:40" x14ac:dyDescent="0.3">
      <c r="A110" t="str">
        <f>"20200111153830279"</f>
        <v>20200111153830279</v>
      </c>
      <c r="B110" t="str">
        <f>"1578728310270490"</f>
        <v>1578728310270490</v>
      </c>
      <c r="C110" t="s">
        <v>40</v>
      </c>
      <c r="D110">
        <v>5.0145059999999999</v>
      </c>
      <c r="E110">
        <v>0.45405699999999999</v>
      </c>
      <c r="F110" t="s">
        <v>43</v>
      </c>
      <c r="G110">
        <v>-438.55149999999998</v>
      </c>
      <c r="H110">
        <v>-0.05</v>
      </c>
      <c r="I110">
        <v>369.88229999999999</v>
      </c>
      <c r="J110">
        <v>-456.7731</v>
      </c>
      <c r="K110">
        <v>1.1028199999999999</v>
      </c>
      <c r="L110">
        <v>367.5179</v>
      </c>
      <c r="M110">
        <v>0.99999950000000004</v>
      </c>
      <c r="N110">
        <v>0</v>
      </c>
      <c r="O110">
        <v>-1.698258E-4</v>
      </c>
      <c r="P110">
        <v>0.99898290000000001</v>
      </c>
      <c r="Q110">
        <v>3.0888479999999999E-2</v>
      </c>
      <c r="R110">
        <v>3.2856549999999998E-2</v>
      </c>
      <c r="S110">
        <v>2.996429</v>
      </c>
      <c r="T110">
        <v>-0.18633710000000001</v>
      </c>
      <c r="U110">
        <v>0.3821716</v>
      </c>
      <c r="V110">
        <v>-3.302509E-2</v>
      </c>
      <c r="W110">
        <v>3.1959170000000002E-2</v>
      </c>
      <c r="X110">
        <v>0.99894340000000004</v>
      </c>
      <c r="Y110">
        <v>-0.12644520000000001</v>
      </c>
      <c r="Z110">
        <v>3.9225019999999996E-3</v>
      </c>
      <c r="AA110">
        <v>0.99196580000000001</v>
      </c>
      <c r="AB110">
        <v>31</v>
      </c>
      <c r="AC110">
        <v>18.221599999999999</v>
      </c>
      <c r="AD110">
        <v>-1.15282</v>
      </c>
      <c r="AE110">
        <v>2.3643999999999799</v>
      </c>
      <c r="AF110">
        <v>-2.3582116148065801</v>
      </c>
      <c r="AG110">
        <v>-1.15282</v>
      </c>
      <c r="AH110">
        <v>18.149753617014699</v>
      </c>
      <c r="AI110">
        <v>93.604165771488894</v>
      </c>
      <c r="AJ110">
        <v>97.4030119004006</v>
      </c>
      <c r="AK110">
        <v>18.338585341594602</v>
      </c>
      <c r="AL110">
        <v>88.168562548538802</v>
      </c>
      <c r="AM110">
        <v>91.893510040638503</v>
      </c>
      <c r="AN110">
        <v>0.99999998076007801</v>
      </c>
    </row>
    <row r="111" spans="1:40" x14ac:dyDescent="0.3">
      <c r="A111" t="str">
        <f>"20200111153830301"</f>
        <v>20200111153830301</v>
      </c>
      <c r="B111" t="str">
        <f>"1578728310290010"</f>
        <v>1578728310290010</v>
      </c>
      <c r="C111" t="s">
        <v>40</v>
      </c>
      <c r="D111">
        <v>4.9349360000000004</v>
      </c>
      <c r="E111">
        <v>0.44946219999999998</v>
      </c>
      <c r="F111" t="s">
        <v>43</v>
      </c>
      <c r="G111">
        <v>-438.81709999999998</v>
      </c>
      <c r="H111">
        <v>-0.05</v>
      </c>
      <c r="I111">
        <v>370.31760000000003</v>
      </c>
      <c r="J111">
        <v>-456.45359999999999</v>
      </c>
      <c r="K111">
        <v>1.1028340000000001</v>
      </c>
      <c r="L111">
        <v>367.5179</v>
      </c>
      <c r="M111">
        <v>0.99999930000000004</v>
      </c>
      <c r="N111">
        <v>0</v>
      </c>
      <c r="O111">
        <v>-1.722676E-4</v>
      </c>
      <c r="P111">
        <v>0.99895140000000004</v>
      </c>
      <c r="Q111">
        <v>3.1506810000000003E-2</v>
      </c>
      <c r="R111">
        <v>3.3220609999999998E-2</v>
      </c>
      <c r="S111">
        <v>2.993652</v>
      </c>
      <c r="T111">
        <v>-0.19219929999999999</v>
      </c>
      <c r="U111">
        <v>0.46676640000000003</v>
      </c>
      <c r="V111">
        <v>-3.3391089999999998E-2</v>
      </c>
      <c r="W111">
        <v>3.2675950000000002E-2</v>
      </c>
      <c r="X111">
        <v>0.99890800000000002</v>
      </c>
      <c r="Y111">
        <v>-0.15391779999999999</v>
      </c>
      <c r="Z111">
        <v>4.9172909999999998E-3</v>
      </c>
      <c r="AA111">
        <v>0.98807140000000004</v>
      </c>
      <c r="AB111">
        <v>31</v>
      </c>
      <c r="AC111">
        <v>17.636500000000002</v>
      </c>
      <c r="AD111">
        <v>-1.1528339999999999</v>
      </c>
      <c r="AE111">
        <v>2.7997000000000298</v>
      </c>
      <c r="AF111">
        <v>-2.7911055667441702</v>
      </c>
      <c r="AG111">
        <v>-1.1528339999999999</v>
      </c>
      <c r="AH111">
        <v>17.5628202411126</v>
      </c>
      <c r="AI111">
        <v>93.709127168790602</v>
      </c>
      <c r="AJ111">
        <v>99.030002463674094</v>
      </c>
      <c r="AK111">
        <v>17.8205485700609</v>
      </c>
      <c r="AL111">
        <v>88.127472533774593</v>
      </c>
      <c r="AM111">
        <v>91.914547099109399</v>
      </c>
      <c r="AN111">
        <v>0.99999993753189298</v>
      </c>
    </row>
    <row r="112" spans="1:40" x14ac:dyDescent="0.3">
      <c r="A112" t="str">
        <f>"20200111153830326"</f>
        <v>20200111153830326</v>
      </c>
      <c r="B112" t="str">
        <f>"1578728310320267"</f>
        <v>1578728310320267</v>
      </c>
      <c r="C112" t="s">
        <v>40</v>
      </c>
      <c r="D112">
        <v>4.9084760000000003</v>
      </c>
      <c r="E112">
        <v>0.44650329999999999</v>
      </c>
      <c r="F112" t="s">
        <v>43</v>
      </c>
      <c r="G112">
        <v>-438.6755</v>
      </c>
      <c r="H112">
        <v>-0.05</v>
      </c>
      <c r="I112">
        <v>370.51499999999999</v>
      </c>
      <c r="J112">
        <v>-456.11509999999998</v>
      </c>
      <c r="K112">
        <v>1.1028469999999999</v>
      </c>
      <c r="L112">
        <v>367.51780000000002</v>
      </c>
      <c r="M112">
        <v>0.99999930000000004</v>
      </c>
      <c r="N112">
        <v>0</v>
      </c>
      <c r="O112">
        <v>-1.7483700000000001E-4</v>
      </c>
      <c r="P112">
        <v>0.99893639999999995</v>
      </c>
      <c r="Q112">
        <v>3.178632E-2</v>
      </c>
      <c r="R112">
        <v>3.340924E-2</v>
      </c>
      <c r="S112">
        <v>2.992432</v>
      </c>
      <c r="T112">
        <v>-0.194047</v>
      </c>
      <c r="U112">
        <v>0.50448609999999905</v>
      </c>
      <c r="V112">
        <v>-3.3582620000000001E-2</v>
      </c>
      <c r="W112">
        <v>3.3059600000000001E-2</v>
      </c>
      <c r="X112">
        <v>0.99888900000000003</v>
      </c>
      <c r="Y112">
        <v>-0.16607429999999901</v>
      </c>
      <c r="Z112">
        <v>5.3526490000000001E-3</v>
      </c>
      <c r="AA112">
        <v>0.98609869999999999</v>
      </c>
      <c r="AB112">
        <v>32</v>
      </c>
      <c r="AC112">
        <v>17.439599999999899</v>
      </c>
      <c r="AD112">
        <v>-1.152847</v>
      </c>
      <c r="AE112">
        <v>2.9971999999999599</v>
      </c>
      <c r="AF112">
        <v>-2.9875682506171</v>
      </c>
      <c r="AG112">
        <v>-1.152847</v>
      </c>
      <c r="AH112">
        <v>17.3653680606694</v>
      </c>
      <c r="AI112">
        <v>93.743327751611105</v>
      </c>
      <c r="AJ112">
        <v>99.761704423781794</v>
      </c>
      <c r="AK112">
        <v>17.658160383800499</v>
      </c>
      <c r="AL112">
        <v>88.105479207730895</v>
      </c>
      <c r="AM112">
        <v>91.925557221999</v>
      </c>
      <c r="AN112">
        <v>0.99999998191961204</v>
      </c>
    </row>
    <row r="113" spans="1:40" x14ac:dyDescent="0.3">
      <c r="A113" t="str">
        <f>"20200111153830345"</f>
        <v>20200111153830345</v>
      </c>
      <c r="B113" t="str">
        <f>"1578728310340763"</f>
        <v>1578728310340763</v>
      </c>
      <c r="C113" t="s">
        <v>40</v>
      </c>
      <c r="D113">
        <v>4.9529820000000004</v>
      </c>
      <c r="E113">
        <v>0.44564989999999999</v>
      </c>
      <c r="F113" t="s">
        <v>43</v>
      </c>
      <c r="G113">
        <v>-438.62200000000001</v>
      </c>
      <c r="H113">
        <v>-0.05</v>
      </c>
      <c r="I113">
        <v>370.60899999999998</v>
      </c>
      <c r="J113">
        <v>-455.82510000000002</v>
      </c>
      <c r="K113">
        <v>1.1028549999999999</v>
      </c>
      <c r="L113">
        <v>367.51769999999999</v>
      </c>
      <c r="M113">
        <v>0.99999919999999998</v>
      </c>
      <c r="N113">
        <v>0</v>
      </c>
      <c r="O113">
        <v>-1.7728199999999999E-4</v>
      </c>
      <c r="P113">
        <v>0.99893370000000004</v>
      </c>
      <c r="Q113">
        <v>3.1833739999999999E-2</v>
      </c>
      <c r="R113">
        <v>3.3436E-2</v>
      </c>
      <c r="S113">
        <v>2.9917910000000001</v>
      </c>
      <c r="T113">
        <v>-0.1971686</v>
      </c>
      <c r="U113">
        <v>0.52868649999999995</v>
      </c>
      <c r="V113">
        <v>-3.3611519999999999E-2</v>
      </c>
      <c r="W113">
        <v>3.319685E-2</v>
      </c>
      <c r="X113">
        <v>0.99888350000000004</v>
      </c>
      <c r="Y113">
        <v>-0.173824799999999</v>
      </c>
      <c r="Z113">
        <v>5.6893400000000002E-3</v>
      </c>
      <c r="AA113">
        <v>0.98476019999999997</v>
      </c>
      <c r="AB113">
        <v>32</v>
      </c>
      <c r="AC113">
        <v>17.203099999999999</v>
      </c>
      <c r="AD113">
        <v>-1.152855</v>
      </c>
      <c r="AE113">
        <v>3.0913000000000399</v>
      </c>
      <c r="AF113">
        <v>-3.08094625058001</v>
      </c>
      <c r="AG113">
        <v>-1.152855</v>
      </c>
      <c r="AH113">
        <v>17.128037025416699</v>
      </c>
      <c r="AI113">
        <v>93.790015031238795</v>
      </c>
      <c r="AJ113">
        <v>100.197167889639</v>
      </c>
      <c r="AK113">
        <v>17.441070976119398</v>
      </c>
      <c r="AL113">
        <v>88.097611088625598</v>
      </c>
      <c r="AM113">
        <v>91.927223642052894</v>
      </c>
      <c r="AN113">
        <v>1.00000000584944</v>
      </c>
    </row>
    <row r="114" spans="1:40" x14ac:dyDescent="0.3">
      <c r="A114" t="str">
        <f>"20200111153830369"</f>
        <v>20200111153830369</v>
      </c>
      <c r="B114" t="str">
        <f>"1578728310360283"</f>
        <v>1578728310360283</v>
      </c>
      <c r="C114" t="s">
        <v>40</v>
      </c>
      <c r="D114">
        <v>4.8950589999999998</v>
      </c>
      <c r="E114">
        <v>0.44488919999999998</v>
      </c>
      <c r="F114" t="s">
        <v>43</v>
      </c>
      <c r="G114">
        <v>-438.3888</v>
      </c>
      <c r="H114">
        <v>-0.05</v>
      </c>
      <c r="I114">
        <v>370.6395</v>
      </c>
      <c r="J114">
        <v>-455.48989999999998</v>
      </c>
      <c r="K114">
        <v>1.102865</v>
      </c>
      <c r="L114">
        <v>367.51760000000002</v>
      </c>
      <c r="M114">
        <v>0.99999899999999997</v>
      </c>
      <c r="N114">
        <v>0</v>
      </c>
      <c r="O114">
        <v>-1.8009880000000001E-4</v>
      </c>
      <c r="P114">
        <v>0.99891890000000005</v>
      </c>
      <c r="Q114">
        <v>3.2317150000000003E-2</v>
      </c>
      <c r="R114">
        <v>3.3418009999999998E-2</v>
      </c>
      <c r="S114">
        <v>2.9915769999999999</v>
      </c>
      <c r="T114">
        <v>-0.19779740000000001</v>
      </c>
      <c r="U114">
        <v>0.53561400000000003</v>
      </c>
      <c r="V114">
        <v>-3.3596580000000001E-2</v>
      </c>
      <c r="W114">
        <v>3.3782560000000003E-2</v>
      </c>
      <c r="X114">
        <v>0.99886439999999999</v>
      </c>
      <c r="Y114">
        <v>-0.1760427</v>
      </c>
      <c r="Z114">
        <v>5.7795499999999996E-3</v>
      </c>
      <c r="AA114">
        <v>0.98436559999999995</v>
      </c>
      <c r="AB114">
        <v>32</v>
      </c>
      <c r="AC114">
        <v>17.101099999999899</v>
      </c>
      <c r="AD114">
        <v>-1.152865</v>
      </c>
      <c r="AE114">
        <v>3.1218999999999801</v>
      </c>
      <c r="AF114">
        <v>-3.1112958561141499</v>
      </c>
      <c r="AG114">
        <v>-1.152865</v>
      </c>
      <c r="AH114">
        <v>17.025655875304199</v>
      </c>
      <c r="AI114">
        <v>93.810860776869703</v>
      </c>
      <c r="AJ114">
        <v>100.356053890667</v>
      </c>
      <c r="AK114">
        <v>17.345956808339501</v>
      </c>
      <c r="AL114">
        <v>88.064033609655795</v>
      </c>
      <c r="AM114">
        <v>91.926404462784703</v>
      </c>
      <c r="AN114">
        <v>1.0000000405675999</v>
      </c>
    </row>
    <row r="115" spans="1:40" x14ac:dyDescent="0.3">
      <c r="A115" t="str">
        <f>"20200111153830390"</f>
        <v>20200111153830390</v>
      </c>
      <c r="B115" t="str">
        <f>"1578728310380778"</f>
        <v>1578728310380778</v>
      </c>
      <c r="C115" t="s">
        <v>40</v>
      </c>
      <c r="D115">
        <v>4.9112580000000001</v>
      </c>
      <c r="E115">
        <v>0.44432539999999998</v>
      </c>
      <c r="F115" t="s">
        <v>43</v>
      </c>
      <c r="G115">
        <v>-437.88479999999998</v>
      </c>
      <c r="H115">
        <v>-0.05</v>
      </c>
      <c r="I115">
        <v>370.7045</v>
      </c>
      <c r="J115">
        <v>-455.17160000000001</v>
      </c>
      <c r="K115">
        <v>1.1028819999999999</v>
      </c>
      <c r="L115">
        <v>367.51760000000002</v>
      </c>
      <c r="M115">
        <v>0.99999870000000002</v>
      </c>
      <c r="N115">
        <v>0</v>
      </c>
      <c r="O115">
        <v>-1.8235030000000001E-4</v>
      </c>
      <c r="P115">
        <v>0.99891169999999996</v>
      </c>
      <c r="Q115">
        <v>3.2679279999999998E-2</v>
      </c>
      <c r="R115">
        <v>3.3282909999999999E-2</v>
      </c>
      <c r="S115">
        <v>2.9914550000000002</v>
      </c>
      <c r="T115">
        <v>-0.19589500000000001</v>
      </c>
      <c r="U115">
        <v>0.54150390000000004</v>
      </c>
      <c r="V115">
        <v>-3.3464069999999999E-2</v>
      </c>
      <c r="W115">
        <v>3.4278660000000002E-2</v>
      </c>
      <c r="X115">
        <v>0.99885190000000001</v>
      </c>
      <c r="Y115">
        <v>-0.17793220000000001</v>
      </c>
      <c r="Z115">
        <v>5.7847710000000002E-3</v>
      </c>
      <c r="AA115">
        <v>0.9840257</v>
      </c>
      <c r="AB115">
        <v>32</v>
      </c>
      <c r="AC115">
        <v>17.286799999999999</v>
      </c>
      <c r="AD115">
        <v>-1.152882</v>
      </c>
      <c r="AE115">
        <v>3.1868999999999699</v>
      </c>
      <c r="AF115">
        <v>-3.1763887895730298</v>
      </c>
      <c r="AG115">
        <v>-1.152882</v>
      </c>
      <c r="AH115">
        <v>17.2121794238478</v>
      </c>
      <c r="AI115">
        <v>93.768535925846393</v>
      </c>
      <c r="AJ115">
        <v>100.455903430948</v>
      </c>
      <c r="AK115">
        <v>17.5407440881845</v>
      </c>
      <c r="AL115">
        <v>88.035592610193206</v>
      </c>
      <c r="AM115">
        <v>91.918836117601998</v>
      </c>
      <c r="AN115">
        <v>0.99999999432298503</v>
      </c>
    </row>
    <row r="116" spans="1:40" x14ac:dyDescent="0.3">
      <c r="A116" t="str">
        <f>"20200111153830414"</f>
        <v>20200111153830414</v>
      </c>
      <c r="B116" t="str">
        <f>"1578728310410060"</f>
        <v>1578728310410060</v>
      </c>
      <c r="C116" t="s">
        <v>40</v>
      </c>
      <c r="D116">
        <v>4.9366700000000003</v>
      </c>
      <c r="E116">
        <v>0.44349719999999998</v>
      </c>
      <c r="F116" t="s">
        <v>43</v>
      </c>
      <c r="G116">
        <v>-437.48739999999998</v>
      </c>
      <c r="H116">
        <v>-0.05</v>
      </c>
      <c r="I116">
        <v>370.74299999999999</v>
      </c>
      <c r="J116">
        <v>-454.82769999999999</v>
      </c>
      <c r="K116">
        <v>1.102935</v>
      </c>
      <c r="L116">
        <v>367.51749999999998</v>
      </c>
      <c r="M116">
        <v>0.99999819999999995</v>
      </c>
      <c r="N116">
        <v>0</v>
      </c>
      <c r="O116">
        <v>-1.8497049999999999E-4</v>
      </c>
      <c r="P116">
        <v>0.99890769999999995</v>
      </c>
      <c r="Q116">
        <v>3.2547399999999997E-2</v>
      </c>
      <c r="R116">
        <v>3.3526630000000002E-2</v>
      </c>
      <c r="S116">
        <v>2.9914550000000002</v>
      </c>
      <c r="T116">
        <v>-0.195021</v>
      </c>
      <c r="U116">
        <v>0.54562379999999999</v>
      </c>
      <c r="V116">
        <v>-3.3710160000000003E-2</v>
      </c>
      <c r="W116">
        <v>3.4412570000000003E-2</v>
      </c>
      <c r="X116">
        <v>0.99883900000000003</v>
      </c>
      <c r="Y116">
        <v>-0.1792472</v>
      </c>
      <c r="Z116">
        <v>5.8009530000000002E-3</v>
      </c>
      <c r="AA116">
        <v>0.98378690000000002</v>
      </c>
      <c r="AB116">
        <v>32</v>
      </c>
      <c r="AC116">
        <v>17.340299999999999</v>
      </c>
      <c r="AD116">
        <v>-1.152935</v>
      </c>
      <c r="AE116">
        <v>3.2255000000000602</v>
      </c>
      <c r="AF116">
        <v>-3.21497011484509</v>
      </c>
      <c r="AG116">
        <v>-1.152935</v>
      </c>
      <c r="AH116">
        <v>17.265927317310702</v>
      </c>
      <c r="AI116">
        <v>93.7558961663768</v>
      </c>
      <c r="AJ116">
        <v>100.547858144591</v>
      </c>
      <c r="AK116">
        <v>17.600498233863402</v>
      </c>
      <c r="AL116">
        <v>88.027915562683404</v>
      </c>
      <c r="AM116">
        <v>91.932961244636502</v>
      </c>
      <c r="AN116">
        <v>0.99999997389111495</v>
      </c>
    </row>
    <row r="117" spans="1:40" x14ac:dyDescent="0.3">
      <c r="A117" t="str">
        <f>"20200111153830435"</f>
        <v>20200111153830435</v>
      </c>
      <c r="B117" t="str">
        <f>"1578728310430555"</f>
        <v>1578728310430555</v>
      </c>
      <c r="C117" t="s">
        <v>40</v>
      </c>
      <c r="D117">
        <v>4.9619980000000004</v>
      </c>
      <c r="E117">
        <v>0.44316620000000001</v>
      </c>
      <c r="F117" t="s">
        <v>43</v>
      </c>
      <c r="G117">
        <v>-437.11759999999998</v>
      </c>
      <c r="H117">
        <v>-0.05</v>
      </c>
      <c r="I117">
        <v>370.79219999999998</v>
      </c>
      <c r="J117">
        <v>-454.52179999999998</v>
      </c>
      <c r="K117">
        <v>1.1030279999999999</v>
      </c>
      <c r="L117">
        <v>367.51740000000001</v>
      </c>
      <c r="M117">
        <v>0.99999729999999998</v>
      </c>
      <c r="N117">
        <v>0</v>
      </c>
      <c r="O117">
        <v>-1.8698090000000001E-4</v>
      </c>
      <c r="P117">
        <v>0.99894340000000004</v>
      </c>
      <c r="Q117">
        <v>3.158797E-2</v>
      </c>
      <c r="R117">
        <v>3.3381920000000002E-2</v>
      </c>
      <c r="S117">
        <v>2.9910580000000002</v>
      </c>
      <c r="T117">
        <v>-0.19471859999999999</v>
      </c>
      <c r="U117">
        <v>0.55307010000000001</v>
      </c>
      <c r="V117">
        <v>-3.3566930000000002E-2</v>
      </c>
      <c r="W117">
        <v>3.3885489999999997E-2</v>
      </c>
      <c r="X117">
        <v>0.99886180000000002</v>
      </c>
      <c r="Y117">
        <v>-0.1816372</v>
      </c>
      <c r="Z117">
        <v>5.868636E-3</v>
      </c>
      <c r="AA117">
        <v>0.98334809999999995</v>
      </c>
      <c r="AB117">
        <v>32</v>
      </c>
      <c r="AC117">
        <v>17.404199999999999</v>
      </c>
      <c r="AD117">
        <v>-1.1530279999999999</v>
      </c>
      <c r="AE117">
        <v>3.2747999999999702</v>
      </c>
      <c r="AF117">
        <v>-3.26421725091638</v>
      </c>
      <c r="AG117">
        <v>-1.1530279999999999</v>
      </c>
      <c r="AH117">
        <v>17.3301253043923</v>
      </c>
      <c r="AI117">
        <v>93.740870684148007</v>
      </c>
      <c r="AJ117">
        <v>100.66697687607601</v>
      </c>
      <c r="AK117">
        <v>17.672516258187599</v>
      </c>
      <c r="AL117">
        <v>88.058132562787705</v>
      </c>
      <c r="AM117">
        <v>91.9247106379066</v>
      </c>
      <c r="AN117">
        <v>0.99999993036070001</v>
      </c>
    </row>
    <row r="118" spans="1:40" x14ac:dyDescent="0.3">
      <c r="A118" t="str">
        <f>"20200111153830457"</f>
        <v>20200111153830457</v>
      </c>
      <c r="B118" t="str">
        <f>"1578728310450075"</f>
        <v>1578728310450075</v>
      </c>
      <c r="C118" t="s">
        <v>40</v>
      </c>
      <c r="D118">
        <v>4.9424799999999998</v>
      </c>
      <c r="E118">
        <v>0.44270199999999998</v>
      </c>
      <c r="F118" t="s">
        <v>43</v>
      </c>
      <c r="G118">
        <v>-437.04329999999999</v>
      </c>
      <c r="H118">
        <v>-0.05</v>
      </c>
      <c r="I118">
        <v>370.76240000000001</v>
      </c>
      <c r="J118">
        <v>-454.19369999999998</v>
      </c>
      <c r="K118">
        <v>1.1031799999999901</v>
      </c>
      <c r="L118">
        <v>367.51740000000001</v>
      </c>
      <c r="M118">
        <v>0.99999550000000004</v>
      </c>
      <c r="N118">
        <v>0</v>
      </c>
      <c r="O118">
        <v>-1.892858E-4</v>
      </c>
      <c r="P118">
        <v>0.99898030000000004</v>
      </c>
      <c r="Q118">
        <v>3.0267820000000001E-2</v>
      </c>
      <c r="R118">
        <v>3.3501389999999999E-2</v>
      </c>
      <c r="S118">
        <v>2.9908450000000002</v>
      </c>
      <c r="T118">
        <v>-0.19730139999999999</v>
      </c>
      <c r="U118">
        <v>0.55526730000000002</v>
      </c>
      <c r="V118">
        <v>-3.3689040000000003E-2</v>
      </c>
      <c r="W118">
        <v>3.3298359999999999E-2</v>
      </c>
      <c r="X118">
        <v>0.99887749999999997</v>
      </c>
      <c r="Y118">
        <v>-0.1823391</v>
      </c>
      <c r="Z118">
        <v>5.9694209999999999E-3</v>
      </c>
      <c r="AA118">
        <v>0.98321760000000002</v>
      </c>
      <c r="AB118">
        <v>33</v>
      </c>
      <c r="AC118">
        <v>17.150399999999902</v>
      </c>
      <c r="AD118">
        <v>-1.1531800000000001</v>
      </c>
      <c r="AE118">
        <v>3.2450000000000001</v>
      </c>
      <c r="AF118">
        <v>-3.2341297747155</v>
      </c>
      <c r="AG118">
        <v>-1.1531800000000001</v>
      </c>
      <c r="AH118">
        <v>17.075254440636499</v>
      </c>
      <c r="AI118">
        <v>93.796320575302005</v>
      </c>
      <c r="AJ118">
        <v>100.725031835907</v>
      </c>
      <c r="AK118">
        <v>17.4170529575063</v>
      </c>
      <c r="AL118">
        <v>88.091791758236596</v>
      </c>
      <c r="AM118">
        <v>91.931676729122699</v>
      </c>
      <c r="AN118">
        <v>0.99999999610053003</v>
      </c>
    </row>
    <row r="119" spans="1:40" x14ac:dyDescent="0.3">
      <c r="A119" t="str">
        <f>"20200111153830481"</f>
        <v>20200111153830481</v>
      </c>
      <c r="B119" t="str">
        <f>"1578728310470583"</f>
        <v>1578728310470583</v>
      </c>
      <c r="C119" t="s">
        <v>40</v>
      </c>
      <c r="D119">
        <v>5.0269680000000001</v>
      </c>
      <c r="E119">
        <v>0.44235720000000001</v>
      </c>
      <c r="F119" t="s">
        <v>43</v>
      </c>
      <c r="G119">
        <v>-437.13510000000002</v>
      </c>
      <c r="H119">
        <v>-0.05</v>
      </c>
      <c r="I119">
        <v>370.70600000000002</v>
      </c>
      <c r="J119">
        <v>-453.86279999999999</v>
      </c>
      <c r="K119">
        <v>1.10341</v>
      </c>
      <c r="L119">
        <v>367.51729999999998</v>
      </c>
      <c r="M119">
        <v>0.99999130000000003</v>
      </c>
      <c r="N119">
        <v>0</v>
      </c>
      <c r="O119">
        <v>-1.9205860000000001E-4</v>
      </c>
      <c r="P119">
        <v>0.99903330000000001</v>
      </c>
      <c r="Q119">
        <v>2.8609740000000002E-2</v>
      </c>
      <c r="R119">
        <v>3.3377740000000003E-2</v>
      </c>
      <c r="S119">
        <v>2.9904790000000001</v>
      </c>
      <c r="T119">
        <v>-0.2021587</v>
      </c>
      <c r="U119">
        <v>0.55899049999999995</v>
      </c>
      <c r="V119">
        <v>-3.3568170000000001E-2</v>
      </c>
      <c r="W119">
        <v>3.2769359999999997E-2</v>
      </c>
      <c r="X119">
        <v>0.99889899999999998</v>
      </c>
      <c r="Y119">
        <v>-0.18352460000000001</v>
      </c>
      <c r="Z119">
        <v>6.1559730000000003E-3</v>
      </c>
      <c r="AA119">
        <v>0.98299579999999998</v>
      </c>
      <c r="AB119">
        <v>33</v>
      </c>
      <c r="AC119">
        <v>16.727699999999899</v>
      </c>
      <c r="AD119">
        <v>-1.15341</v>
      </c>
      <c r="AE119">
        <v>3.1886999999999799</v>
      </c>
      <c r="AF119">
        <v>-3.1773360452740498</v>
      </c>
      <c r="AG119">
        <v>-1.15341</v>
      </c>
      <c r="AH119">
        <v>16.6506990775048</v>
      </c>
      <c r="AI119">
        <v>93.892588170015301</v>
      </c>
      <c r="AJ119">
        <v>100.80347066196801</v>
      </c>
      <c r="AK119">
        <v>16.9903383939908</v>
      </c>
      <c r="AL119">
        <v>88.122117657713204</v>
      </c>
      <c r="AM119">
        <v>91.924710058508794</v>
      </c>
      <c r="AN119">
        <v>0.99999993259647701</v>
      </c>
    </row>
    <row r="120" spans="1:40" x14ac:dyDescent="0.3">
      <c r="A120" t="str">
        <f>"20200111153830503"</f>
        <v>20200111153830503</v>
      </c>
      <c r="B120" t="str">
        <f>"1578728310500827"</f>
        <v>1578728310500827</v>
      </c>
      <c r="C120" t="s">
        <v>40</v>
      </c>
      <c r="D120">
        <v>4.9996660000000004</v>
      </c>
      <c r="E120">
        <v>0.44452819999999998</v>
      </c>
      <c r="F120" t="s">
        <v>43</v>
      </c>
      <c r="G120">
        <v>-437.19940000000003</v>
      </c>
      <c r="H120">
        <v>-0.05</v>
      </c>
      <c r="I120">
        <v>370.6456</v>
      </c>
      <c r="J120">
        <v>-453.52780000000001</v>
      </c>
      <c r="K120">
        <v>1.1035950000000001</v>
      </c>
      <c r="L120">
        <v>367.5172</v>
      </c>
      <c r="M120">
        <v>0.9999865</v>
      </c>
      <c r="N120">
        <v>0</v>
      </c>
      <c r="O120">
        <v>-1.955383E-4</v>
      </c>
      <c r="P120">
        <v>0.99905659999999996</v>
      </c>
      <c r="Q120">
        <v>2.761481E-2</v>
      </c>
      <c r="R120">
        <v>3.3517030000000003E-2</v>
      </c>
      <c r="S120">
        <v>2.9900509999999998</v>
      </c>
      <c r="T120">
        <v>-0.20696590000000001</v>
      </c>
      <c r="U120">
        <v>0.56134030000000001</v>
      </c>
      <c r="V120">
        <v>-3.3710990000000003E-2</v>
      </c>
      <c r="W120">
        <v>3.2839420000000001E-2</v>
      </c>
      <c r="X120">
        <v>0.99889190000000005</v>
      </c>
      <c r="Y120">
        <v>-0.18427840000000001</v>
      </c>
      <c r="Z120">
        <v>6.328523E-3</v>
      </c>
      <c r="AA120">
        <v>0.98285370000000005</v>
      </c>
      <c r="AB120">
        <v>32</v>
      </c>
      <c r="AC120">
        <v>16.328399999999899</v>
      </c>
      <c r="AD120">
        <v>-1.1535949999999999</v>
      </c>
      <c r="AE120">
        <v>3.1283999999999899</v>
      </c>
      <c r="AF120">
        <v>-3.1165875870344402</v>
      </c>
      <c r="AG120">
        <v>-1.1535949999999999</v>
      </c>
      <c r="AH120">
        <v>16.249552335350199</v>
      </c>
      <c r="AI120">
        <v>93.988300877419206</v>
      </c>
      <c r="AJ120">
        <v>100.85721284582399</v>
      </c>
      <c r="AK120">
        <v>16.585893123704999</v>
      </c>
      <c r="AL120">
        <v>88.118101373328102</v>
      </c>
      <c r="AM120">
        <v>91.9329065092939</v>
      </c>
      <c r="AN120">
        <v>0.99999994311916096</v>
      </c>
    </row>
    <row r="121" spans="1:40" x14ac:dyDescent="0.3">
      <c r="A121" t="str">
        <f>"20200111153830526"</f>
        <v>20200111153830526</v>
      </c>
      <c r="B121" t="str">
        <f>"1578728310520347"</f>
        <v>1578728310520347</v>
      </c>
      <c r="C121" t="s">
        <v>40</v>
      </c>
      <c r="D121">
        <v>5.1240319999999997</v>
      </c>
      <c r="E121">
        <v>0.52323459999999999</v>
      </c>
      <c r="F121" t="s">
        <v>43</v>
      </c>
      <c r="G121">
        <v>-436.89729999999997</v>
      </c>
      <c r="H121">
        <v>-0.05</v>
      </c>
      <c r="I121">
        <v>370.54570000000001</v>
      </c>
      <c r="J121">
        <v>-453.21390000000002</v>
      </c>
      <c r="K121">
        <v>1.103693</v>
      </c>
      <c r="L121">
        <v>367.5172</v>
      </c>
      <c r="M121">
        <v>0.99998180000000003</v>
      </c>
      <c r="N121">
        <v>0</v>
      </c>
      <c r="O121">
        <v>-1.9927810000000001E-4</v>
      </c>
      <c r="P121">
        <v>0.99908529999999995</v>
      </c>
      <c r="Q121">
        <v>2.6676209999999999E-2</v>
      </c>
      <c r="R121">
        <v>3.342535E-2</v>
      </c>
      <c r="S121">
        <v>2.990265</v>
      </c>
      <c r="T121">
        <v>-0.20742289999999999</v>
      </c>
      <c r="U121">
        <v>0.54455569999999998</v>
      </c>
      <c r="V121">
        <v>-3.3623010000000002E-2</v>
      </c>
      <c r="W121">
        <v>3.2713119999999998E-2</v>
      </c>
      <c r="X121">
        <v>0.99889899999999998</v>
      </c>
      <c r="Y121">
        <v>-0.178942299999999</v>
      </c>
      <c r="Z121">
        <v>6.1621250000000001E-3</v>
      </c>
      <c r="AA121">
        <v>0.9838403</v>
      </c>
      <c r="AB121">
        <v>32</v>
      </c>
      <c r="AC121">
        <v>16.316600000000001</v>
      </c>
      <c r="AD121">
        <v>-1.1536930000000001</v>
      </c>
      <c r="AE121">
        <v>3.0285000000000002</v>
      </c>
      <c r="AF121">
        <v>-3.0171697378960598</v>
      </c>
      <c r="AG121">
        <v>-1.1536930000000001</v>
      </c>
      <c r="AH121">
        <v>16.237521175943499</v>
      </c>
      <c r="AI121">
        <v>93.995924697889606</v>
      </c>
      <c r="AJ121">
        <v>100.52634438944899</v>
      </c>
      <c r="AK121">
        <v>16.555706409112801</v>
      </c>
      <c r="AL121">
        <v>88.125341703006498</v>
      </c>
      <c r="AM121">
        <v>91.927852068228205</v>
      </c>
      <c r="AN121">
        <v>0.99999993361129502</v>
      </c>
    </row>
    <row r="122" spans="1:40" x14ac:dyDescent="0.3">
      <c r="A122" t="str">
        <f>"20200111153830547"</f>
        <v>20200111153830547</v>
      </c>
      <c r="B122" t="str">
        <f>"1578728310540842"</f>
        <v>1578728310540842</v>
      </c>
      <c r="C122" t="s">
        <v>40</v>
      </c>
      <c r="D122">
        <v>5.0254409999999998</v>
      </c>
      <c r="E122">
        <v>0.52280729999999997</v>
      </c>
      <c r="F122" t="s">
        <v>43</v>
      </c>
      <c r="G122">
        <v>-431.80099999999999</v>
      </c>
      <c r="H122">
        <v>-0.05</v>
      </c>
      <c r="I122">
        <v>366.92439999999999</v>
      </c>
      <c r="J122">
        <v>-452.88869999999997</v>
      </c>
      <c r="K122">
        <v>1.1037589999999999</v>
      </c>
      <c r="L122">
        <v>367.51710000000003</v>
      </c>
      <c r="M122">
        <v>0.99997709999999995</v>
      </c>
      <c r="N122">
        <v>0</v>
      </c>
      <c r="O122">
        <v>-2.028407E-4</v>
      </c>
      <c r="P122">
        <v>0.99910209999999999</v>
      </c>
      <c r="Q122">
        <v>2.5628939999999999E-2</v>
      </c>
      <c r="R122">
        <v>3.373963E-2</v>
      </c>
      <c r="S122">
        <v>3.009827</v>
      </c>
      <c r="T122">
        <v>-0.16216469999999999</v>
      </c>
      <c r="U122">
        <v>-8.3312990000000003E-2</v>
      </c>
      <c r="V122">
        <v>-3.3940579999999998E-2</v>
      </c>
      <c r="W122">
        <v>3.239906E-2</v>
      </c>
      <c r="X122">
        <v>0.99889859999999997</v>
      </c>
      <c r="Y122">
        <v>2.7427509999999999E-2</v>
      </c>
      <c r="Z122">
        <v>-7.2728020000000003E-4</v>
      </c>
      <c r="AA122">
        <v>0.9996235</v>
      </c>
      <c r="AB122">
        <v>32</v>
      </c>
      <c r="AC122">
        <v>21.087699999999899</v>
      </c>
      <c r="AD122">
        <v>-1.153759</v>
      </c>
      <c r="AE122">
        <v>-0.59270000000003598</v>
      </c>
      <c r="AF122">
        <v>0.58666767293063005</v>
      </c>
      <c r="AG122">
        <v>-1.153759</v>
      </c>
      <c r="AH122">
        <v>21.024932421773102</v>
      </c>
      <c r="AI122">
        <v>93.139779062754997</v>
      </c>
      <c r="AJ122">
        <v>88.401666118311695</v>
      </c>
      <c r="AK122">
        <v>21.064736459986101</v>
      </c>
      <c r="AL122">
        <v>88.143345753539705</v>
      </c>
      <c r="AM122">
        <v>91.946047512965805</v>
      </c>
      <c r="AN122">
        <v>1.00000003757078</v>
      </c>
    </row>
    <row r="123" spans="1:40" x14ac:dyDescent="0.3">
      <c r="A123" t="str">
        <f>"20200111153830571"</f>
        <v>20200111153830571</v>
      </c>
      <c r="B123" t="str">
        <f>"1578728310560362"</f>
        <v>1578728310560362</v>
      </c>
      <c r="C123" t="s">
        <v>40</v>
      </c>
      <c r="D123">
        <v>5.0311879999999896</v>
      </c>
      <c r="E123">
        <v>0.52175660000000001</v>
      </c>
      <c r="F123" t="s">
        <v>43</v>
      </c>
      <c r="G123">
        <v>-430.86349999999999</v>
      </c>
      <c r="H123">
        <v>-0.05</v>
      </c>
      <c r="I123">
        <v>366.93970000000002</v>
      </c>
      <c r="J123">
        <v>-452.55669999999998</v>
      </c>
      <c r="K123">
        <v>1.103809</v>
      </c>
      <c r="L123">
        <v>367.517</v>
      </c>
      <c r="M123">
        <v>0.99997230000000004</v>
      </c>
      <c r="N123">
        <v>0</v>
      </c>
      <c r="O123">
        <v>-2.0624449999999999E-4</v>
      </c>
      <c r="P123">
        <v>0.99910379999999999</v>
      </c>
      <c r="Q123">
        <v>2.5123590000000001E-2</v>
      </c>
      <c r="R123">
        <v>3.4069660000000002E-2</v>
      </c>
      <c r="S123">
        <v>3.0093990000000002</v>
      </c>
      <c r="T123">
        <v>-0.15764310000000001</v>
      </c>
      <c r="U123">
        <v>-7.8887940000000004E-2</v>
      </c>
      <c r="V123">
        <v>-3.4274270000000003E-2</v>
      </c>
      <c r="W123">
        <v>3.2576819999999999E-2</v>
      </c>
      <c r="X123">
        <v>0.99888140000000003</v>
      </c>
      <c r="Y123">
        <v>2.5963380000000001E-2</v>
      </c>
      <c r="Z123">
        <v>-6.6865000000000002E-4</v>
      </c>
      <c r="AA123">
        <v>0.99966270000000002</v>
      </c>
      <c r="AB123">
        <v>32</v>
      </c>
      <c r="AC123">
        <v>21.693199999999901</v>
      </c>
      <c r="AD123">
        <v>-1.1538090000000001</v>
      </c>
      <c r="AE123">
        <v>-0.57729999999997905</v>
      </c>
      <c r="AF123">
        <v>0.57121099429511901</v>
      </c>
      <c r="AG123">
        <v>-1.1538090000000001</v>
      </c>
      <c r="AH123">
        <v>21.6321662559115</v>
      </c>
      <c r="AI123">
        <v>93.052067530676794</v>
      </c>
      <c r="AJ123">
        <v>88.487420290214004</v>
      </c>
      <c r="AK123">
        <v>21.670444714677199</v>
      </c>
      <c r="AL123">
        <v>88.133155431138704</v>
      </c>
      <c r="AM123">
        <v>91.965199145387899</v>
      </c>
      <c r="AN123">
        <v>1.0000000130256499</v>
      </c>
    </row>
    <row r="124" spans="1:40" x14ac:dyDescent="0.3">
      <c r="A124" t="str">
        <f>"20200111153830592"</f>
        <v>20200111153830592</v>
      </c>
      <c r="B124" t="str">
        <f>"1578728310580410"</f>
        <v>1578728310580410</v>
      </c>
      <c r="C124" t="s">
        <v>40</v>
      </c>
      <c r="D124">
        <v>5.074503</v>
      </c>
      <c r="E124">
        <v>0.52113849999999995</v>
      </c>
      <c r="F124" t="s">
        <v>43</v>
      </c>
      <c r="G124">
        <v>-429.98559999999998</v>
      </c>
      <c r="H124">
        <v>-0.05</v>
      </c>
      <c r="I124">
        <v>366.99369999999999</v>
      </c>
      <c r="J124">
        <v>-452.2439</v>
      </c>
      <c r="K124">
        <v>1.103844</v>
      </c>
      <c r="L124">
        <v>367.51690000000002</v>
      </c>
      <c r="M124">
        <v>0.99996779999999996</v>
      </c>
      <c r="N124">
        <v>0</v>
      </c>
      <c r="O124">
        <v>-2.0945269999999999E-4</v>
      </c>
      <c r="P124">
        <v>0.99911669999999997</v>
      </c>
      <c r="Q124">
        <v>2.4787690000000001E-2</v>
      </c>
      <c r="R124">
        <v>3.393587E-2</v>
      </c>
      <c r="S124">
        <v>3.0089419999999998</v>
      </c>
      <c r="T124">
        <v>-0.15381339999999999</v>
      </c>
      <c r="U124">
        <v>-6.9763179999999994E-2</v>
      </c>
      <c r="V124">
        <v>-3.4143970000000003E-2</v>
      </c>
      <c r="W124">
        <v>3.2819399999999999E-2</v>
      </c>
      <c r="X124">
        <v>0.99887789999999999</v>
      </c>
      <c r="Y124">
        <v>2.293999E-2</v>
      </c>
      <c r="Z124">
        <v>-5.7517219999999995E-4</v>
      </c>
      <c r="AA124">
        <v>0.99973670000000003</v>
      </c>
      <c r="AB124">
        <v>32</v>
      </c>
      <c r="AC124">
        <v>22.258299999999998</v>
      </c>
      <c r="AD124">
        <v>-1.1538440000000001</v>
      </c>
      <c r="AE124">
        <v>-0.52320000000003097</v>
      </c>
      <c r="AF124">
        <v>0.51714882986437105</v>
      </c>
      <c r="AG124">
        <v>-1.1538440000000001</v>
      </c>
      <c r="AH124">
        <v>22.198788056198399</v>
      </c>
      <c r="AI124">
        <v>92.974624875022897</v>
      </c>
      <c r="AJ124">
        <v>88.665463776836106</v>
      </c>
      <c r="AK124">
        <v>22.234769844830399</v>
      </c>
      <c r="AL124">
        <v>88.119249144382096</v>
      </c>
      <c r="AM124">
        <v>91.957740755222801</v>
      </c>
      <c r="AN124">
        <v>0.99999999140606499</v>
      </c>
    </row>
    <row r="125" spans="1:40" x14ac:dyDescent="0.3">
      <c r="A125" t="str">
        <f>"20200111153830614"</f>
        <v>20200111153830614</v>
      </c>
      <c r="B125" t="str">
        <f>"1578728310610666"</f>
        <v>1578728310610666</v>
      </c>
      <c r="C125" t="s">
        <v>40</v>
      </c>
      <c r="D125">
        <v>5.0593029999999999</v>
      </c>
      <c r="E125">
        <v>0.52072750000000001</v>
      </c>
      <c r="F125" t="s">
        <v>43</v>
      </c>
      <c r="G125">
        <v>-429.34410000000003</v>
      </c>
      <c r="H125">
        <v>-0.05</v>
      </c>
      <c r="I125">
        <v>367.02120000000002</v>
      </c>
      <c r="J125">
        <v>-451.92140000000001</v>
      </c>
      <c r="K125">
        <v>1.1038730000000001</v>
      </c>
      <c r="L125">
        <v>367.51690000000002</v>
      </c>
      <c r="M125">
        <v>0.9999633</v>
      </c>
      <c r="N125">
        <v>0</v>
      </c>
      <c r="O125">
        <v>-2.130833E-4</v>
      </c>
      <c r="P125">
        <v>0.9991331</v>
      </c>
      <c r="Q125">
        <v>2.432409E-2</v>
      </c>
      <c r="R125">
        <v>3.3788159999999998E-2</v>
      </c>
      <c r="S125">
        <v>3.0086360000000001</v>
      </c>
      <c r="T125">
        <v>-0.15159529999999999</v>
      </c>
      <c r="U125">
        <v>-6.5124509999999997E-2</v>
      </c>
      <c r="V125">
        <v>-3.3999580000000001E-2</v>
      </c>
      <c r="W125">
        <v>3.2881830000000001E-2</v>
      </c>
      <c r="X125">
        <v>0.99888080000000001</v>
      </c>
      <c r="Y125">
        <v>2.1400880000000001E-2</v>
      </c>
      <c r="Z125">
        <v>-5.2802630000000001E-4</v>
      </c>
      <c r="AA125">
        <v>0.99977079999999996</v>
      </c>
      <c r="AB125">
        <v>32</v>
      </c>
      <c r="AC125">
        <v>22.577299999999902</v>
      </c>
      <c r="AD125">
        <v>-1.1538729999999999</v>
      </c>
      <c r="AE125">
        <v>-0.49569999999999897</v>
      </c>
      <c r="AF125">
        <v>0.48961072308162101</v>
      </c>
      <c r="AG125">
        <v>-1.1538729999999999</v>
      </c>
      <c r="AH125">
        <v>22.5186149910094</v>
      </c>
      <c r="AI125">
        <v>92.932627155693297</v>
      </c>
      <c r="AJ125">
        <v>88.754443432346704</v>
      </c>
      <c r="AK125">
        <v>22.553473405965601</v>
      </c>
      <c r="AL125">
        <v>88.115670289964697</v>
      </c>
      <c r="AM125">
        <v>91.949462493856601</v>
      </c>
      <c r="AN125">
        <v>1.00000001939648</v>
      </c>
    </row>
    <row r="126" spans="1:40" x14ac:dyDescent="0.3">
      <c r="A126" t="str">
        <f>"20200111153830637"</f>
        <v>20200111153830637</v>
      </c>
      <c r="B126" t="str">
        <f>"1578728310630186"</f>
        <v>1578728310630186</v>
      </c>
      <c r="C126" t="s">
        <v>40</v>
      </c>
      <c r="D126">
        <v>5.0813509999999997</v>
      </c>
      <c r="E126">
        <v>0.52047900000000002</v>
      </c>
      <c r="F126" t="s">
        <v>43</v>
      </c>
      <c r="G126">
        <v>-428.33179999999999</v>
      </c>
      <c r="H126">
        <v>-0.05</v>
      </c>
      <c r="I126">
        <v>367.02769999999998</v>
      </c>
      <c r="J126">
        <v>-451.59359999999998</v>
      </c>
      <c r="K126">
        <v>1.1038840000000001</v>
      </c>
      <c r="L126">
        <v>367.51679999999999</v>
      </c>
      <c r="M126">
        <v>0.99995919999999905</v>
      </c>
      <c r="N126">
        <v>0</v>
      </c>
      <c r="O126">
        <v>-2.164441E-4</v>
      </c>
      <c r="P126">
        <v>0.99916570000000005</v>
      </c>
      <c r="Q126">
        <v>2.4003969999999999E-2</v>
      </c>
      <c r="R126">
        <v>3.3043160000000002E-2</v>
      </c>
      <c r="S126">
        <v>3.0082399999999998</v>
      </c>
      <c r="T126">
        <v>-0.14714650000000001</v>
      </c>
      <c r="U126">
        <v>-6.2377929999999998E-2</v>
      </c>
      <c r="V126">
        <v>-3.325782E-2</v>
      </c>
      <c r="W126">
        <v>3.3024810000000002E-2</v>
      </c>
      <c r="X126">
        <v>0.99890100000000004</v>
      </c>
      <c r="Y126">
        <v>2.0490600000000001E-2</v>
      </c>
      <c r="Z126">
        <v>-4.9021009999999996E-4</v>
      </c>
      <c r="AA126">
        <v>0.99978999999999996</v>
      </c>
      <c r="AB126">
        <v>32</v>
      </c>
      <c r="AC126">
        <v>23.261799999999901</v>
      </c>
      <c r="AD126">
        <v>-1.1538839999999999</v>
      </c>
      <c r="AE126">
        <v>-0.48910000000000697</v>
      </c>
      <c r="AF126">
        <v>0.48287727026080601</v>
      </c>
      <c r="AG126">
        <v>-1.1538839999999999</v>
      </c>
      <c r="AH126">
        <v>23.204833181244801</v>
      </c>
      <c r="AI126">
        <v>92.846131116499507</v>
      </c>
      <c r="AJ126">
        <v>88.807884679883699</v>
      </c>
      <c r="AK126">
        <v>23.238521934774401</v>
      </c>
      <c r="AL126">
        <v>88.107473583485998</v>
      </c>
      <c r="AM126">
        <v>91.906924794461901</v>
      </c>
      <c r="AN126">
        <v>0.99999996423384296</v>
      </c>
    </row>
    <row r="127" spans="1:40" x14ac:dyDescent="0.3">
      <c r="A127" t="str">
        <f>"20200111153830659"</f>
        <v>20200111153830659</v>
      </c>
      <c r="B127" t="str">
        <f>"1578728310650682"</f>
        <v>1578728310650682</v>
      </c>
      <c r="C127" t="s">
        <v>40</v>
      </c>
      <c r="D127">
        <v>5.1036409999999997</v>
      </c>
      <c r="E127">
        <v>0.52031280000000002</v>
      </c>
      <c r="F127" t="s">
        <v>43</v>
      </c>
      <c r="G127">
        <v>-427.08010000000002</v>
      </c>
      <c r="H127">
        <v>-0.05</v>
      </c>
      <c r="I127">
        <v>367.00790000000001</v>
      </c>
      <c r="J127">
        <v>-451.2774</v>
      </c>
      <c r="K127">
        <v>1.103896</v>
      </c>
      <c r="L127">
        <v>367.51670000000001</v>
      </c>
      <c r="M127">
        <v>0.9999557</v>
      </c>
      <c r="N127">
        <v>0</v>
      </c>
      <c r="O127">
        <v>-2.1957340000000001E-4</v>
      </c>
      <c r="P127">
        <v>0.99917849999999997</v>
      </c>
      <c r="Q127">
        <v>2.3614039999999999E-2</v>
      </c>
      <c r="R127">
        <v>3.293799E-2</v>
      </c>
      <c r="S127">
        <v>3.0079349999999998</v>
      </c>
      <c r="T127">
        <v>-0.1415874</v>
      </c>
      <c r="U127">
        <v>-6.2438960000000002E-2</v>
      </c>
      <c r="V127">
        <v>-3.3156360000000003E-2</v>
      </c>
      <c r="W127">
        <v>3.3026710000000001E-2</v>
      </c>
      <c r="X127">
        <v>0.99890429999999997</v>
      </c>
      <c r="Y127">
        <v>2.0511620000000001E-2</v>
      </c>
      <c r="Z127">
        <v>-4.7210600000000002E-4</v>
      </c>
      <c r="AA127">
        <v>0.9997895</v>
      </c>
      <c r="AB127">
        <v>32</v>
      </c>
      <c r="AC127">
        <v>24.197299999999899</v>
      </c>
      <c r="AD127">
        <v>-1.15389599999999</v>
      </c>
      <c r="AE127">
        <v>-0.50880000000000702</v>
      </c>
      <c r="AF127">
        <v>0.50234481796819996</v>
      </c>
      <c r="AG127">
        <v>-1.15389599999999</v>
      </c>
      <c r="AH127">
        <v>24.142534136268399</v>
      </c>
      <c r="AI127">
        <v>92.735786643237404</v>
      </c>
      <c r="AJ127">
        <v>88.807992355498797</v>
      </c>
      <c r="AK127">
        <v>24.1753134584816</v>
      </c>
      <c r="AL127">
        <v>88.107364643030706</v>
      </c>
      <c r="AM127">
        <v>91.901105317360802</v>
      </c>
      <c r="AN127">
        <v>0.99999995417017995</v>
      </c>
    </row>
    <row r="128" spans="1:40" x14ac:dyDescent="0.3">
      <c r="A128" t="str">
        <f>"20200111153830682"</f>
        <v>20200111153830682</v>
      </c>
      <c r="B128" t="str">
        <f>"1578728310670202"</f>
        <v>1578728310670202</v>
      </c>
      <c r="C128" t="s">
        <v>40</v>
      </c>
      <c r="D128">
        <v>5.0550639999999998</v>
      </c>
      <c r="E128">
        <v>0.52008160000000003</v>
      </c>
      <c r="F128" t="s">
        <v>43</v>
      </c>
      <c r="G128">
        <v>-425.80009999999999</v>
      </c>
      <c r="H128">
        <v>-0.05</v>
      </c>
      <c r="I128">
        <v>366.99349999999998</v>
      </c>
      <c r="J128">
        <v>-450.93290000000002</v>
      </c>
      <c r="K128">
        <v>1.1039060000000001</v>
      </c>
      <c r="L128">
        <v>367.51670000000001</v>
      </c>
      <c r="M128">
        <v>0.99995219999999996</v>
      </c>
      <c r="N128">
        <v>0</v>
      </c>
      <c r="O128">
        <v>-2.2339469999999999E-4</v>
      </c>
      <c r="P128">
        <v>0.99918709999999999</v>
      </c>
      <c r="Q128">
        <v>2.3175600000000001E-2</v>
      </c>
      <c r="R128">
        <v>3.299212E-2</v>
      </c>
      <c r="S128">
        <v>3.0077210000000001</v>
      </c>
      <c r="T128">
        <v>-0.13622310000000001</v>
      </c>
      <c r="U128">
        <v>-6.1767580000000002E-2</v>
      </c>
      <c r="V128">
        <v>-3.3214059999999997E-2</v>
      </c>
      <c r="W128">
        <v>3.2960469999999999E-2</v>
      </c>
      <c r="X128">
        <v>0.99890460000000003</v>
      </c>
      <c r="Y128">
        <v>2.0288090000000002E-2</v>
      </c>
      <c r="Z128">
        <v>-4.490397E-4</v>
      </c>
      <c r="AA128">
        <v>0.99979410000000002</v>
      </c>
      <c r="AB128">
        <v>32</v>
      </c>
      <c r="AC128">
        <v>25.1328</v>
      </c>
      <c r="AD128">
        <v>-1.1539059999999901</v>
      </c>
      <c r="AE128">
        <v>-0.52320000000003097</v>
      </c>
      <c r="AF128">
        <v>0.51649690933011805</v>
      </c>
      <c r="AG128">
        <v>-1.1539059999999901</v>
      </c>
      <c r="AH128">
        <v>25.080071767354902</v>
      </c>
      <c r="AI128">
        <v>92.633699274832495</v>
      </c>
      <c r="AJ128">
        <v>88.820222254338503</v>
      </c>
      <c r="AK128">
        <v>25.111914860676301</v>
      </c>
      <c r="AL128">
        <v>88.111162037777206</v>
      </c>
      <c r="AM128">
        <v>91.904410689940605</v>
      </c>
      <c r="AN128">
        <v>0.99999998313273197</v>
      </c>
    </row>
    <row r="129" spans="1:40" x14ac:dyDescent="0.3">
      <c r="A129" t="str">
        <f>"20200111153830708"</f>
        <v>20200111153830708</v>
      </c>
      <c r="B129" t="str">
        <f>"1578728310700459"</f>
        <v>1578728310700459</v>
      </c>
      <c r="C129" t="s">
        <v>40</v>
      </c>
      <c r="D129">
        <v>5.0945309999999999</v>
      </c>
      <c r="E129">
        <v>0.51976080000000002</v>
      </c>
      <c r="F129" t="s">
        <v>43</v>
      </c>
      <c r="G129">
        <v>-425.27409999999998</v>
      </c>
      <c r="H129">
        <v>-0.05</v>
      </c>
      <c r="I129">
        <v>367.00529999999998</v>
      </c>
      <c r="J129">
        <v>-450.57400000000001</v>
      </c>
      <c r="K129">
        <v>1.103915</v>
      </c>
      <c r="L129">
        <v>367.51659999999998</v>
      </c>
      <c r="M129">
        <v>0.99994879999999997</v>
      </c>
      <c r="N129">
        <v>0</v>
      </c>
      <c r="O129">
        <v>-2.2709299999999999E-4</v>
      </c>
      <c r="P129">
        <v>0.99917199999999995</v>
      </c>
      <c r="Q129">
        <v>2.3487069999999999E-2</v>
      </c>
      <c r="R129">
        <v>3.3223210000000003E-2</v>
      </c>
      <c r="S129">
        <v>3.0075379999999998</v>
      </c>
      <c r="T129">
        <v>-0.13525299999999901</v>
      </c>
      <c r="U129">
        <v>-5.993652E-2</v>
      </c>
      <c r="V129">
        <v>-3.3448650000000003E-2</v>
      </c>
      <c r="W129">
        <v>3.360527E-2</v>
      </c>
      <c r="X129">
        <v>0.99887530000000002</v>
      </c>
      <c r="Y129">
        <v>1.96781E-2</v>
      </c>
      <c r="Z129">
        <v>-4.3200090000000002E-4</v>
      </c>
      <c r="AA129">
        <v>0.99980630000000004</v>
      </c>
      <c r="AB129">
        <v>32</v>
      </c>
      <c r="AC129">
        <v>25.299900000000001</v>
      </c>
      <c r="AD129">
        <v>-1.153915</v>
      </c>
      <c r="AE129">
        <v>-0.51130000000000497</v>
      </c>
      <c r="AF129">
        <v>0.50450520739125604</v>
      </c>
      <c r="AG129">
        <v>-1.153915</v>
      </c>
      <c r="AH129">
        <v>25.2475164274964</v>
      </c>
      <c r="AI129">
        <v>92.616309384701296</v>
      </c>
      <c r="AJ129">
        <v>88.8552468997717</v>
      </c>
      <c r="AK129">
        <v>25.278906841242399</v>
      </c>
      <c r="AL129">
        <v>88.074197262462704</v>
      </c>
      <c r="AM129">
        <v>91.917907695329703</v>
      </c>
      <c r="AN129">
        <v>0.99999999565434206</v>
      </c>
    </row>
    <row r="130" spans="1:40" x14ac:dyDescent="0.3">
      <c r="A130" t="str">
        <f>"20200111153830726"</f>
        <v>20200111153830726</v>
      </c>
      <c r="B130" t="str">
        <f>"1578728310719980"</f>
        <v>1578728310719980</v>
      </c>
      <c r="C130" t="s">
        <v>40</v>
      </c>
      <c r="D130">
        <v>5.0792729999999997</v>
      </c>
      <c r="E130">
        <v>0.51964449999999995</v>
      </c>
      <c r="F130" t="s">
        <v>43</v>
      </c>
      <c r="G130">
        <v>-424.95089999999999</v>
      </c>
      <c r="H130">
        <v>-0.05</v>
      </c>
      <c r="I130">
        <v>367.03399999999999</v>
      </c>
      <c r="J130">
        <v>-450.29809999999998</v>
      </c>
      <c r="K130">
        <v>1.1039209999999999</v>
      </c>
      <c r="L130">
        <v>367.51650000000001</v>
      </c>
      <c r="M130">
        <v>0.99994649999999996</v>
      </c>
      <c r="N130">
        <v>0</v>
      </c>
      <c r="O130">
        <v>-2.30032E-4</v>
      </c>
      <c r="P130">
        <v>0.99915600000000004</v>
      </c>
      <c r="Q130">
        <v>2.3851109999999998E-2</v>
      </c>
      <c r="R130">
        <v>3.3446379999999998E-2</v>
      </c>
      <c r="S130">
        <v>3.0075379999999998</v>
      </c>
      <c r="T130">
        <v>-0.13544239999999999</v>
      </c>
      <c r="U130">
        <v>-5.6640629999999997E-2</v>
      </c>
      <c r="V130">
        <v>-3.367469E-2</v>
      </c>
      <c r="W130">
        <v>3.4192399999999998E-2</v>
      </c>
      <c r="X130">
        <v>0.99884779999999995</v>
      </c>
      <c r="Y130">
        <v>1.8580960000000001E-2</v>
      </c>
      <c r="Z130">
        <v>-4.0778759999999999E-4</v>
      </c>
      <c r="AA130">
        <v>0.99982729999999997</v>
      </c>
      <c r="AB130">
        <v>32</v>
      </c>
      <c r="AC130">
        <v>25.347199999999901</v>
      </c>
      <c r="AD130">
        <v>-1.153921</v>
      </c>
      <c r="AE130">
        <v>-0.48250000000001497</v>
      </c>
      <c r="AF130">
        <v>0.47568351670530601</v>
      </c>
      <c r="AG130">
        <v>-1.153921</v>
      </c>
      <c r="AH130">
        <v>25.294905908085799</v>
      </c>
      <c r="AI130">
        <v>92.611487633929897</v>
      </c>
      <c r="AJ130">
        <v>88.922650836164394</v>
      </c>
      <c r="AK130">
        <v>25.325680116854201</v>
      </c>
      <c r="AL130">
        <v>88.040537886107202</v>
      </c>
      <c r="AM130">
        <v>91.930911914645506</v>
      </c>
      <c r="AN130">
        <v>1.0000000162645899</v>
      </c>
    </row>
    <row r="131" spans="1:40" x14ac:dyDescent="0.3">
      <c r="A131" t="str">
        <f>"20200111153830749"</f>
        <v>20200111153830749</v>
      </c>
      <c r="B131" t="str">
        <f>"1578728310740474"</f>
        <v>1578728310740474</v>
      </c>
      <c r="C131" t="s">
        <v>40</v>
      </c>
      <c r="D131">
        <v>5.0196829999999997</v>
      </c>
      <c r="E131">
        <v>0.51948830000000001</v>
      </c>
      <c r="F131" t="s">
        <v>43</v>
      </c>
      <c r="G131">
        <v>-424.40910000000002</v>
      </c>
      <c r="H131">
        <v>-0.05</v>
      </c>
      <c r="I131">
        <v>367.04340000000002</v>
      </c>
      <c r="J131">
        <v>-449.97329999999999</v>
      </c>
      <c r="K131">
        <v>1.1039369999999999</v>
      </c>
      <c r="L131">
        <v>367.51650000000001</v>
      </c>
      <c r="M131">
        <v>0.99994400000000006</v>
      </c>
      <c r="N131">
        <v>0</v>
      </c>
      <c r="O131">
        <v>-2.3303660000000001E-4</v>
      </c>
      <c r="P131">
        <v>0.99915160000000003</v>
      </c>
      <c r="Q131">
        <v>2.3601279999999999E-2</v>
      </c>
      <c r="R131">
        <v>3.3752079999999997E-2</v>
      </c>
      <c r="S131">
        <v>3.007568</v>
      </c>
      <c r="T131">
        <v>-0.13405320000000001</v>
      </c>
      <c r="U131">
        <v>-5.4962160000000003E-2</v>
      </c>
      <c r="V131">
        <v>-3.3983350000000002E-2</v>
      </c>
      <c r="W131">
        <v>3.4173809999999999E-2</v>
      </c>
      <c r="X131">
        <v>0.99883789999999995</v>
      </c>
      <c r="Y131">
        <v>1.8020899999999999E-2</v>
      </c>
      <c r="Z131">
        <v>-3.909993E-4</v>
      </c>
      <c r="AA131">
        <v>0.99983750000000005</v>
      </c>
      <c r="AB131">
        <v>32</v>
      </c>
      <c r="AC131">
        <v>25.5641999999999</v>
      </c>
      <c r="AD131">
        <v>-1.153937</v>
      </c>
      <c r="AE131">
        <v>-0.47309999999998797</v>
      </c>
      <c r="AF131">
        <v>0.46619271224624298</v>
      </c>
      <c r="AG131">
        <v>-1.153937</v>
      </c>
      <c r="AH131">
        <v>25.512345694660599</v>
      </c>
      <c r="AI131">
        <v>92.589321905545006</v>
      </c>
      <c r="AJ131">
        <v>88.953138109994001</v>
      </c>
      <c r="AK131">
        <v>25.542683670452298</v>
      </c>
      <c r="AL131">
        <v>88.041603476147401</v>
      </c>
      <c r="AM131">
        <v>91.948616243026095</v>
      </c>
      <c r="AN131">
        <v>0.999999933921772</v>
      </c>
    </row>
    <row r="132" spans="1:40" x14ac:dyDescent="0.3">
      <c r="A132" t="str">
        <f>"20200111153830772"</f>
        <v>20200111153830772</v>
      </c>
      <c r="B132" t="str">
        <f>"1578728310760970"</f>
        <v>1578728310760970</v>
      </c>
      <c r="C132" t="s">
        <v>40</v>
      </c>
      <c r="D132">
        <v>5.0482060000000004</v>
      </c>
      <c r="E132">
        <v>0.51956869999999999</v>
      </c>
      <c r="F132" t="s">
        <v>43</v>
      </c>
      <c r="G132">
        <v>-424.19830000000002</v>
      </c>
      <c r="H132">
        <v>-0.05</v>
      </c>
      <c r="I132">
        <v>367.06400000000002</v>
      </c>
      <c r="J132">
        <v>-449.64069999999998</v>
      </c>
      <c r="K132">
        <v>1.1039570000000001</v>
      </c>
      <c r="L132">
        <v>367.51639999999998</v>
      </c>
      <c r="M132">
        <v>0.99994159999999999</v>
      </c>
      <c r="N132">
        <v>0</v>
      </c>
      <c r="O132">
        <v>-2.366023E-4</v>
      </c>
      <c r="P132">
        <v>0.99913879999999999</v>
      </c>
      <c r="Q132">
        <v>2.381163E-2</v>
      </c>
      <c r="R132">
        <v>3.39765E-2</v>
      </c>
      <c r="S132">
        <v>3.0075069999999999</v>
      </c>
      <c r="T132">
        <v>-0.13464489999999901</v>
      </c>
      <c r="U132">
        <v>-5.2795410000000001E-2</v>
      </c>
      <c r="V132">
        <v>-3.4211449999999997E-2</v>
      </c>
      <c r="W132">
        <v>3.4604139999999999E-2</v>
      </c>
      <c r="X132">
        <v>0.99881540000000002</v>
      </c>
      <c r="Y132">
        <v>1.7298170000000002E-2</v>
      </c>
      <c r="Z132">
        <v>-3.7640539999999999E-4</v>
      </c>
      <c r="AA132">
        <v>0.99985029999999997</v>
      </c>
      <c r="AB132">
        <v>32</v>
      </c>
      <c r="AC132">
        <v>25.4423999999999</v>
      </c>
      <c r="AD132">
        <v>-1.1539569999999999</v>
      </c>
      <c r="AE132">
        <v>-0.45239999999995401</v>
      </c>
      <c r="AF132">
        <v>0.44546381536782398</v>
      </c>
      <c r="AG132">
        <v>-1.1539569999999999</v>
      </c>
      <c r="AH132">
        <v>25.390291547745601</v>
      </c>
      <c r="AI132">
        <v>92.601830942888199</v>
      </c>
      <c r="AJ132">
        <v>88.994868641972602</v>
      </c>
      <c r="AK132">
        <v>25.420404395842599</v>
      </c>
      <c r="AL132">
        <v>88.016932993008396</v>
      </c>
      <c r="AM132">
        <v>91.961729541378403</v>
      </c>
      <c r="AN132">
        <v>1.0000000365467001</v>
      </c>
    </row>
    <row r="133" spans="1:40" x14ac:dyDescent="0.3">
      <c r="A133" t="str">
        <f>"20200111153830794"</f>
        <v>20200111153830794</v>
      </c>
      <c r="B133" t="str">
        <f>"1578728310790250"</f>
        <v>1578728310790250</v>
      </c>
      <c r="C133" t="s">
        <v>40</v>
      </c>
      <c r="D133">
        <v>5.0155839999999996</v>
      </c>
      <c r="E133">
        <v>0.51951009999999997</v>
      </c>
      <c r="F133" t="s">
        <v>43</v>
      </c>
      <c r="G133">
        <v>-423.5564</v>
      </c>
      <c r="H133">
        <v>-0.05</v>
      </c>
      <c r="I133">
        <v>367.05880000000002</v>
      </c>
      <c r="J133">
        <v>-449.31630000000001</v>
      </c>
      <c r="K133">
        <v>1.103728</v>
      </c>
      <c r="L133">
        <v>367.51639999999998</v>
      </c>
      <c r="M133">
        <v>0.99994930000000004</v>
      </c>
      <c r="N133">
        <v>0</v>
      </c>
      <c r="O133">
        <v>-2.3982100000000001E-4</v>
      </c>
      <c r="P133">
        <v>0.99911499999999998</v>
      </c>
      <c r="Q133">
        <v>2.4800050000000001E-2</v>
      </c>
      <c r="R133">
        <v>3.3977970000000003E-2</v>
      </c>
      <c r="S133">
        <v>3.007568</v>
      </c>
      <c r="T133">
        <v>-0.13305349999999999</v>
      </c>
      <c r="U133">
        <v>-5.2764890000000002E-2</v>
      </c>
      <c r="V133">
        <v>-3.4215910000000002E-2</v>
      </c>
      <c r="W133">
        <v>3.486529E-2</v>
      </c>
      <c r="X133">
        <v>0.99880610000000003</v>
      </c>
      <c r="Y133">
        <v>1.7284879999999999E-2</v>
      </c>
      <c r="Z133">
        <v>-3.715174E-4</v>
      </c>
      <c r="AA133">
        <v>0.99985049999999998</v>
      </c>
      <c r="AB133">
        <v>32</v>
      </c>
      <c r="AC133">
        <v>25.759899999999998</v>
      </c>
      <c r="AD133">
        <v>-1.1537280000000001</v>
      </c>
      <c r="AE133">
        <v>-0.45759999999995599</v>
      </c>
      <c r="AF133">
        <v>0.450518479649195</v>
      </c>
      <c r="AG133">
        <v>-1.1537280000000001</v>
      </c>
      <c r="AH133">
        <v>25.7084555866351</v>
      </c>
      <c r="AI133">
        <v>92.569166160338298</v>
      </c>
      <c r="AJ133">
        <v>88.996043712339699</v>
      </c>
      <c r="AK133">
        <v>25.738273909656002</v>
      </c>
      <c r="AL133">
        <v>88.001961035532702</v>
      </c>
      <c r="AM133">
        <v>91.9620033377781</v>
      </c>
      <c r="AN133">
        <v>0.99999997117056005</v>
      </c>
    </row>
    <row r="134" spans="1:40" x14ac:dyDescent="0.3">
      <c r="A134" t="str">
        <f>"20200111153830815"</f>
        <v>20200111153830815</v>
      </c>
      <c r="B134" t="str">
        <f>"1578728310810746"</f>
        <v>1578728310810746</v>
      </c>
      <c r="C134" t="s">
        <v>40</v>
      </c>
      <c r="D134">
        <v>5.0484530000000003</v>
      </c>
      <c r="E134">
        <v>0.51951800000000004</v>
      </c>
      <c r="F134" t="s">
        <v>43</v>
      </c>
      <c r="G134">
        <v>-422.85939999999999</v>
      </c>
      <c r="H134">
        <v>-0.05</v>
      </c>
      <c r="I134">
        <v>367.05700000000002</v>
      </c>
      <c r="J134">
        <v>-449.01260000000002</v>
      </c>
      <c r="K134">
        <v>1.1034550000000001</v>
      </c>
      <c r="L134">
        <v>367.5163</v>
      </c>
      <c r="M134">
        <v>0.99995959999999995</v>
      </c>
      <c r="N134">
        <v>0</v>
      </c>
      <c r="O134">
        <v>-2.427629E-4</v>
      </c>
      <c r="P134">
        <v>0.99908160000000001</v>
      </c>
      <c r="Q134">
        <v>2.6113270000000001E-2</v>
      </c>
      <c r="R134">
        <v>3.3974980000000002E-2</v>
      </c>
      <c r="S134">
        <v>3.0076900000000002</v>
      </c>
      <c r="T134">
        <v>-0.131159</v>
      </c>
      <c r="U134">
        <v>-5.2215579999999998E-2</v>
      </c>
      <c r="V134">
        <v>-3.4216099999999999E-2</v>
      </c>
      <c r="W134">
        <v>3.510166E-2</v>
      </c>
      <c r="X134">
        <v>0.99879779999999996</v>
      </c>
      <c r="Y134">
        <v>1.7099329999999999E-2</v>
      </c>
      <c r="Z134">
        <v>-3.620467E-4</v>
      </c>
      <c r="AA134">
        <v>0.99985369999999996</v>
      </c>
      <c r="AB134">
        <v>32</v>
      </c>
      <c r="AC134">
        <v>26.153199999999998</v>
      </c>
      <c r="AD134">
        <v>-1.1534549999999999</v>
      </c>
      <c r="AE134">
        <v>-0.45930000000004101</v>
      </c>
      <c r="AF134">
        <v>0.45207163040399501</v>
      </c>
      <c r="AG134">
        <v>-1.1534549999999999</v>
      </c>
      <c r="AH134">
        <v>26.102553178308799</v>
      </c>
      <c r="AI134">
        <v>92.529838613553395</v>
      </c>
      <c r="AJ134">
        <v>89.007790272359003</v>
      </c>
      <c r="AK134">
        <v>26.131936583852301</v>
      </c>
      <c r="AL134">
        <v>87.988409707630794</v>
      </c>
      <c r="AM134">
        <v>91.962030515789195</v>
      </c>
      <c r="AN134">
        <v>0.999999956659401</v>
      </c>
    </row>
    <row r="135" spans="1:40" x14ac:dyDescent="0.3">
      <c r="A135" t="str">
        <f>"20200111153830838"</f>
        <v>20200111153830838</v>
      </c>
      <c r="B135" t="str">
        <f>"1578728310830267"</f>
        <v>1578728310830267</v>
      </c>
      <c r="C135" t="s">
        <v>40</v>
      </c>
      <c r="D135">
        <v>5.038392</v>
      </c>
      <c r="E135">
        <v>0.51950839999999998</v>
      </c>
      <c r="F135" t="s">
        <v>43</v>
      </c>
      <c r="G135">
        <v>-421.79419999999999</v>
      </c>
      <c r="H135">
        <v>-0.05</v>
      </c>
      <c r="I135">
        <v>367.04129999999998</v>
      </c>
      <c r="J135">
        <v>-448.66950000000003</v>
      </c>
      <c r="K135">
        <v>1.1031869999999999</v>
      </c>
      <c r="L135">
        <v>367.51620000000003</v>
      </c>
      <c r="M135">
        <v>0.99996989999999997</v>
      </c>
      <c r="N135">
        <v>0</v>
      </c>
      <c r="O135">
        <v>-2.4632650000000001E-4</v>
      </c>
      <c r="P135">
        <v>0.99906459999999997</v>
      </c>
      <c r="Q135">
        <v>2.7202859999999999E-2</v>
      </c>
      <c r="R135">
        <v>3.3617059999999997E-2</v>
      </c>
      <c r="S135">
        <v>3.0079039999999999</v>
      </c>
      <c r="T135">
        <v>-0.1274681</v>
      </c>
      <c r="U135">
        <v>-5.2490229999999999E-2</v>
      </c>
      <c r="V135">
        <v>-3.3861469999999998E-2</v>
      </c>
      <c r="W135">
        <v>3.4943920000000003E-2</v>
      </c>
      <c r="X135">
        <v>0.99881549999999997</v>
      </c>
      <c r="Y135">
        <v>1.718662E-2</v>
      </c>
      <c r="Z135">
        <v>-3.5354020000000002E-4</v>
      </c>
      <c r="AA135">
        <v>0.99985219999999997</v>
      </c>
      <c r="AB135">
        <v>33</v>
      </c>
      <c r="AC135">
        <v>26.875299999999999</v>
      </c>
      <c r="AD135">
        <v>-1.153187</v>
      </c>
      <c r="AE135">
        <v>-0.47490000000004701</v>
      </c>
      <c r="AF135">
        <v>0.46741936015911101</v>
      </c>
      <c r="AG135">
        <v>-1.153187</v>
      </c>
      <c r="AH135">
        <v>26.826040405241201</v>
      </c>
      <c r="AI135">
        <v>92.461119262464294</v>
      </c>
      <c r="AJ135">
        <v>89.001774155061796</v>
      </c>
      <c r="AK135">
        <v>26.854883446756102</v>
      </c>
      <c r="AL135">
        <v>87.9974532589803</v>
      </c>
      <c r="AM135">
        <v>91.941676474202296</v>
      </c>
      <c r="AN135">
        <v>1.0000000398678801</v>
      </c>
    </row>
    <row r="136" spans="1:40" x14ac:dyDescent="0.3">
      <c r="A136" t="str">
        <f>"20200111153830859"</f>
        <v>20200111153830859</v>
      </c>
      <c r="B136" t="str">
        <f>"1578728310850763"</f>
        <v>1578728310850763</v>
      </c>
      <c r="C136" t="s">
        <v>40</v>
      </c>
      <c r="D136">
        <v>5.0397800000000004</v>
      </c>
      <c r="E136">
        <v>0.51957229999999999</v>
      </c>
      <c r="F136" t="s">
        <v>43</v>
      </c>
      <c r="G136">
        <v>-420.82810000000001</v>
      </c>
      <c r="H136">
        <v>-0.05</v>
      </c>
      <c r="I136">
        <v>367.02159999999998</v>
      </c>
      <c r="J136">
        <v>-448.33850000000001</v>
      </c>
      <c r="K136">
        <v>1.1029799999999901</v>
      </c>
      <c r="L136">
        <v>367.51609999999999</v>
      </c>
      <c r="M136">
        <v>0.99997849999999999</v>
      </c>
      <c r="N136">
        <v>0</v>
      </c>
      <c r="O136">
        <v>-2.5017840000000002E-4</v>
      </c>
      <c r="P136">
        <v>0.99905679999999997</v>
      </c>
      <c r="Q136">
        <v>2.7494330000000001E-2</v>
      </c>
      <c r="R136">
        <v>3.3613709999999998E-2</v>
      </c>
      <c r="S136">
        <v>3.0079959999999999</v>
      </c>
      <c r="T136">
        <v>-0.1245909</v>
      </c>
      <c r="U136">
        <v>-5.3436280000000003E-2</v>
      </c>
      <c r="V136">
        <v>-3.386202E-2</v>
      </c>
      <c r="W136">
        <v>3.4055630000000003E-2</v>
      </c>
      <c r="X136">
        <v>0.99884609999999996</v>
      </c>
      <c r="Y136">
        <v>1.7497019999999999E-2</v>
      </c>
      <c r="Z136">
        <v>-3.5182110000000003E-4</v>
      </c>
      <c r="AA136">
        <v>0.99984689999999998</v>
      </c>
      <c r="AB136">
        <v>33</v>
      </c>
      <c r="AC136">
        <v>27.510400000000001</v>
      </c>
      <c r="AD136">
        <v>-1.1529799999999999</v>
      </c>
      <c r="AE136">
        <v>-0.49450000000001598</v>
      </c>
      <c r="AF136">
        <v>0.48676260343942301</v>
      </c>
      <c r="AG136">
        <v>-1.1529799999999999</v>
      </c>
      <c r="AH136">
        <v>27.462300728420399</v>
      </c>
      <c r="AI136">
        <v>92.403722788426094</v>
      </c>
      <c r="AJ136">
        <v>88.984552569702998</v>
      </c>
      <c r="AK136">
        <v>27.490803226000999</v>
      </c>
      <c r="AL136">
        <v>88.048378719410593</v>
      </c>
      <c r="AM136">
        <v>91.941648548660098</v>
      </c>
      <c r="AN136">
        <v>0.99999997690919296</v>
      </c>
    </row>
    <row r="137" spans="1:40" x14ac:dyDescent="0.3">
      <c r="A137" t="str">
        <f>"20200111153830883"</f>
        <v>20200111153830883</v>
      </c>
      <c r="B137" t="str">
        <f>"1578728310880819"</f>
        <v>1578728310880819</v>
      </c>
      <c r="C137" t="s">
        <v>40</v>
      </c>
      <c r="D137">
        <v>5.0549239999999998</v>
      </c>
      <c r="E137">
        <v>0.5197427</v>
      </c>
      <c r="F137" t="s">
        <v>43</v>
      </c>
      <c r="G137">
        <v>-420.23910000000001</v>
      </c>
      <c r="H137">
        <v>-0.05</v>
      </c>
      <c r="I137">
        <v>367.0138</v>
      </c>
      <c r="J137">
        <v>-447.98360000000002</v>
      </c>
      <c r="K137">
        <v>1.1028089999999999</v>
      </c>
      <c r="L137">
        <v>367.51600000000002</v>
      </c>
      <c r="M137">
        <v>0.99998569999999998</v>
      </c>
      <c r="N137">
        <v>0</v>
      </c>
      <c r="O137">
        <v>-2.5474900000000002E-4</v>
      </c>
      <c r="P137">
        <v>0.9990348</v>
      </c>
      <c r="Q137">
        <v>2.8209870000000001E-2</v>
      </c>
      <c r="R137">
        <v>3.3675240000000002E-2</v>
      </c>
      <c r="S137">
        <v>3.0079959999999999</v>
      </c>
      <c r="T137">
        <v>-0.1234246</v>
      </c>
      <c r="U137">
        <v>-5.3771970000000002E-2</v>
      </c>
      <c r="V137">
        <v>-3.3928800000000002E-2</v>
      </c>
      <c r="W137">
        <v>3.355524E-2</v>
      </c>
      <c r="X137">
        <v>0.99886079999999999</v>
      </c>
      <c r="Y137">
        <v>1.7604189999999999E-2</v>
      </c>
      <c r="Z137">
        <v>-3.5054070000000001E-4</v>
      </c>
      <c r="AA137">
        <v>0.99984499999999998</v>
      </c>
      <c r="AB137">
        <v>34</v>
      </c>
      <c r="AC137">
        <v>27.744499999999999</v>
      </c>
      <c r="AD137">
        <v>-1.152809</v>
      </c>
      <c r="AE137">
        <v>-0.50219999999995901</v>
      </c>
      <c r="AF137">
        <v>0.494278917328556</v>
      </c>
      <c r="AG137">
        <v>-1.152809</v>
      </c>
      <c r="AH137">
        <v>27.696824754990299</v>
      </c>
      <c r="AI137">
        <v>92.383034526756006</v>
      </c>
      <c r="AJ137">
        <v>88.977605187072001</v>
      </c>
      <c r="AK137">
        <v>27.725212023485799</v>
      </c>
      <c r="AL137">
        <v>88.077065411027903</v>
      </c>
      <c r="AM137">
        <v>91.945446165777199</v>
      </c>
      <c r="AN137">
        <v>1.0000000076887601</v>
      </c>
    </row>
    <row r="138" spans="1:40" x14ac:dyDescent="0.3">
      <c r="A138" t="str">
        <f>"20200111153830904"</f>
        <v>20200111153830904</v>
      </c>
      <c r="B138" t="str">
        <f>"1578728310900340"</f>
        <v>1578728310900340</v>
      </c>
      <c r="C138" t="s">
        <v>40</v>
      </c>
      <c r="D138">
        <v>5.0565619999999996</v>
      </c>
      <c r="E138">
        <v>0.51976809999999996</v>
      </c>
      <c r="F138" t="s">
        <v>43</v>
      </c>
      <c r="G138">
        <v>-419.43259999999998</v>
      </c>
      <c r="H138">
        <v>-0.05</v>
      </c>
      <c r="I138">
        <v>366.99059999999997</v>
      </c>
      <c r="J138">
        <v>-447.66039999999998</v>
      </c>
      <c r="K138">
        <v>1.1026959999999999</v>
      </c>
      <c r="L138">
        <v>367.51589999999999</v>
      </c>
      <c r="M138">
        <v>0.99999059999999995</v>
      </c>
      <c r="N138">
        <v>0</v>
      </c>
      <c r="O138">
        <v>-2.5871180000000001E-4</v>
      </c>
      <c r="P138">
        <v>0.99899910000000003</v>
      </c>
      <c r="Q138">
        <v>2.9217900000000002E-2</v>
      </c>
      <c r="R138">
        <v>3.3868000000000002E-2</v>
      </c>
      <c r="S138">
        <v>3.0082399999999998</v>
      </c>
      <c r="T138">
        <v>-0.1214643</v>
      </c>
      <c r="U138">
        <v>-5.5358890000000001E-2</v>
      </c>
      <c r="V138">
        <v>-3.4125040000000002E-2</v>
      </c>
      <c r="W138">
        <v>3.3551900000000003E-2</v>
      </c>
      <c r="X138">
        <v>0.99885420000000003</v>
      </c>
      <c r="Y138">
        <v>1.8126079999999999E-2</v>
      </c>
      <c r="Z138">
        <v>-3.553192E-4</v>
      </c>
      <c r="AA138">
        <v>0.99983569999999999</v>
      </c>
      <c r="AB138">
        <v>34</v>
      </c>
      <c r="AC138">
        <v>28.227799999999998</v>
      </c>
      <c r="AD138">
        <v>-1.1526959999999999</v>
      </c>
      <c r="AE138">
        <v>-0.52530000000001498</v>
      </c>
      <c r="AF138">
        <v>0.517135005784775</v>
      </c>
      <c r="AG138">
        <v>-1.1526959999999999</v>
      </c>
      <c r="AH138">
        <v>28.180958432069001</v>
      </c>
      <c r="AI138">
        <v>92.341890592341201</v>
      </c>
      <c r="AJ138">
        <v>88.948711124544104</v>
      </c>
      <c r="AK138">
        <v>28.209263635065401</v>
      </c>
      <c r="AL138">
        <v>88.077256834647798</v>
      </c>
      <c r="AM138">
        <v>91.956702584100498</v>
      </c>
      <c r="AN138">
        <v>0.999999980603125</v>
      </c>
    </row>
    <row r="139" spans="1:40" x14ac:dyDescent="0.3">
      <c r="A139" t="str">
        <f>"20200111153830927"</f>
        <v>20200111153830927</v>
      </c>
      <c r="B139" t="str">
        <f>"1578728310920839"</f>
        <v>1578728310920839</v>
      </c>
      <c r="C139" t="s">
        <v>40</v>
      </c>
      <c r="D139">
        <v>5.0111699999999999</v>
      </c>
      <c r="E139">
        <v>0.51979759999999997</v>
      </c>
      <c r="F139" t="s">
        <v>43</v>
      </c>
      <c r="G139">
        <v>-418.49079999999998</v>
      </c>
      <c r="H139">
        <v>-0.05</v>
      </c>
      <c r="I139">
        <v>366.98450000000003</v>
      </c>
      <c r="J139">
        <v>-447.30579999999998</v>
      </c>
      <c r="K139">
        <v>1.1026339999999999</v>
      </c>
      <c r="L139">
        <v>367.51580000000001</v>
      </c>
      <c r="M139">
        <v>0.99999420000000006</v>
      </c>
      <c r="N139">
        <v>0</v>
      </c>
      <c r="O139">
        <v>-2.6207280000000002E-4</v>
      </c>
      <c r="P139">
        <v>0.99894320000000003</v>
      </c>
      <c r="Q139">
        <v>3.0752669999999999E-2</v>
      </c>
      <c r="R139">
        <v>3.416537E-2</v>
      </c>
      <c r="S139">
        <v>3.008362</v>
      </c>
      <c r="T139">
        <v>-0.1188815</v>
      </c>
      <c r="U139">
        <v>-5.4809570000000002E-2</v>
      </c>
      <c r="V139">
        <v>-3.4425789999999998E-2</v>
      </c>
      <c r="W139">
        <v>3.418906E-2</v>
      </c>
      <c r="X139">
        <v>0.99882230000000005</v>
      </c>
      <c r="Y139">
        <v>1.7940230000000001E-2</v>
      </c>
      <c r="Z139">
        <v>-3.4395299999999998E-4</v>
      </c>
      <c r="AA139">
        <v>0.99983900000000003</v>
      </c>
      <c r="AB139">
        <v>34</v>
      </c>
      <c r="AC139">
        <v>28.815000000000001</v>
      </c>
      <c r="AD139">
        <v>-1.1526339999999999</v>
      </c>
      <c r="AE139">
        <v>-0.531299999999987</v>
      </c>
      <c r="AF139">
        <v>0.52291188646276598</v>
      </c>
      <c r="AG139">
        <v>-1.1526339999999999</v>
      </c>
      <c r="AH139">
        <v>28.769120586573699</v>
      </c>
      <c r="AI139">
        <v>92.293948193787202</v>
      </c>
      <c r="AJ139">
        <v>88.958697909289597</v>
      </c>
      <c r="AK139">
        <v>28.796949513859602</v>
      </c>
      <c r="AL139">
        <v>88.040729347623696</v>
      </c>
      <c r="AM139">
        <v>91.973996759521597</v>
      </c>
      <c r="AN139">
        <v>1.00000000690904</v>
      </c>
    </row>
    <row r="140" spans="1:40" x14ac:dyDescent="0.3">
      <c r="A140" t="str">
        <f>"20200111153830951"</f>
        <v>20200111153830951</v>
      </c>
      <c r="B140" t="str">
        <f>"1578728310940357"</f>
        <v>1578728310940357</v>
      </c>
      <c r="C140" t="s">
        <v>40</v>
      </c>
      <c r="D140">
        <v>5.0250859999999999</v>
      </c>
      <c r="E140">
        <v>0.51977899999999999</v>
      </c>
      <c r="F140" t="s">
        <v>43</v>
      </c>
      <c r="G140">
        <v>-417.04270000000002</v>
      </c>
      <c r="H140">
        <v>-0.05</v>
      </c>
      <c r="I140">
        <v>366.97219999999999</v>
      </c>
      <c r="J140">
        <v>-446.9443</v>
      </c>
      <c r="K140">
        <v>1.1026689999999999</v>
      </c>
      <c r="L140">
        <v>367.51569999999998</v>
      </c>
      <c r="M140">
        <v>0.99999579999999999</v>
      </c>
      <c r="N140">
        <v>0</v>
      </c>
      <c r="O140">
        <v>-2.6351039999999998E-4</v>
      </c>
      <c r="P140">
        <v>0.99891410000000003</v>
      </c>
      <c r="Q140">
        <v>3.1455509999999999E-2</v>
      </c>
      <c r="R140">
        <v>3.4371110000000003E-2</v>
      </c>
      <c r="S140">
        <v>3.0086059999999999</v>
      </c>
      <c r="T140">
        <v>-0.1145891</v>
      </c>
      <c r="U140">
        <v>-5.4046629999999998E-2</v>
      </c>
      <c r="V140">
        <v>-3.4632740000000002E-2</v>
      </c>
      <c r="W140">
        <v>3.4377779999999997E-2</v>
      </c>
      <c r="X140">
        <v>0.99880869999999999</v>
      </c>
      <c r="Y140">
        <v>1.7685010000000001E-2</v>
      </c>
      <c r="Z140">
        <v>-3.2660440000000001E-4</v>
      </c>
      <c r="AA140">
        <v>0.9998435</v>
      </c>
      <c r="AB140">
        <v>34</v>
      </c>
      <c r="AC140">
        <v>29.901599999999899</v>
      </c>
      <c r="AD140">
        <v>-1.1526689999999999</v>
      </c>
      <c r="AE140">
        <v>-0.54349999999999399</v>
      </c>
      <c r="AF140">
        <v>0.534826073811138</v>
      </c>
      <c r="AG140">
        <v>-1.1526689999999999</v>
      </c>
      <c r="AH140">
        <v>29.857388594711001</v>
      </c>
      <c r="AI140">
        <v>92.2104984315161</v>
      </c>
      <c r="AJ140">
        <v>88.973788350871203</v>
      </c>
      <c r="AK140">
        <v>29.884416314332899</v>
      </c>
      <c r="AL140">
        <v>88.029910190988502</v>
      </c>
      <c r="AM140">
        <v>91.985880949795899</v>
      </c>
      <c r="AN140">
        <v>1.0000000388166601</v>
      </c>
    </row>
    <row r="141" spans="1:40" x14ac:dyDescent="0.3">
      <c r="A141" t="str">
        <f>"20200111153830996"</f>
        <v>20200111153830996</v>
      </c>
      <c r="B141" t="str">
        <f>"1578728310990219"</f>
        <v>1578728310990219</v>
      </c>
      <c r="C141" t="s">
        <v>40</v>
      </c>
      <c r="D141">
        <v>5.0127069999999998</v>
      </c>
      <c r="E141">
        <v>0.51984750000000002</v>
      </c>
      <c r="F141" t="s">
        <v>43</v>
      </c>
      <c r="G141">
        <v>-416.20979999999997</v>
      </c>
      <c r="H141">
        <v>-0.05</v>
      </c>
      <c r="I141">
        <v>366.97140000000002</v>
      </c>
      <c r="J141">
        <v>-446.25310000000002</v>
      </c>
      <c r="K141">
        <v>1.103029</v>
      </c>
      <c r="L141">
        <v>367.51549999999997</v>
      </c>
      <c r="M141">
        <v>0.99999450000000001</v>
      </c>
      <c r="N141">
        <v>0</v>
      </c>
      <c r="O141">
        <v>-2.6379430000000002E-4</v>
      </c>
      <c r="P141">
        <v>0.99893169999999998</v>
      </c>
      <c r="Q141">
        <v>3.133565E-2</v>
      </c>
      <c r="R141">
        <v>3.3965629999999997E-2</v>
      </c>
      <c r="S141">
        <v>3.0086360000000001</v>
      </c>
      <c r="T141">
        <v>-0.1128363</v>
      </c>
      <c r="U141">
        <v>-5.3283690000000002E-2</v>
      </c>
      <c r="V141">
        <v>-3.4227569999999999E-2</v>
      </c>
      <c r="W141">
        <v>3.46618E-2</v>
      </c>
      <c r="X141">
        <v>0.99881279999999995</v>
      </c>
      <c r="Y141">
        <v>1.743165E-2</v>
      </c>
      <c r="Z141">
        <v>-3.1684980000000002E-4</v>
      </c>
      <c r="AA141">
        <v>0.99984799999999996</v>
      </c>
      <c r="AB141">
        <v>35</v>
      </c>
      <c r="AC141">
        <v>30.043299999999999</v>
      </c>
      <c r="AD141">
        <v>-1.1530290000000001</v>
      </c>
      <c r="AE141">
        <v>-0.54409999999995695</v>
      </c>
      <c r="AF141">
        <v>0.53538635280768898</v>
      </c>
      <c r="AG141">
        <v>-1.1530290000000001</v>
      </c>
      <c r="AH141">
        <v>29.999269835864599</v>
      </c>
      <c r="AI141">
        <v>92.200743236929796</v>
      </c>
      <c r="AJ141">
        <v>88.977571038103804</v>
      </c>
      <c r="AK141">
        <v>30.026193649988802</v>
      </c>
      <c r="AL141">
        <v>88.0136272393122</v>
      </c>
      <c r="AM141">
        <v>91.962658265613797</v>
      </c>
      <c r="AN141">
        <v>0.99999998818559199</v>
      </c>
    </row>
    <row r="142" spans="1:40" x14ac:dyDescent="0.3">
      <c r="A142" t="str">
        <f>"20200111153831018"</f>
        <v>20200111153831018</v>
      </c>
      <c r="B142" t="str">
        <f>"1578728311010715"</f>
        <v>1578728311010715</v>
      </c>
      <c r="C142" t="s">
        <v>40</v>
      </c>
      <c r="D142">
        <v>5.3685090000000004</v>
      </c>
      <c r="E142">
        <v>0.51983639999999998</v>
      </c>
      <c r="F142" t="s">
        <v>43</v>
      </c>
      <c r="G142">
        <v>-415.68090000000001</v>
      </c>
      <c r="H142">
        <v>-0.05</v>
      </c>
      <c r="I142">
        <v>366.9579</v>
      </c>
      <c r="J142">
        <v>-445.9049</v>
      </c>
      <c r="K142">
        <v>1.103248</v>
      </c>
      <c r="L142">
        <v>367.5154</v>
      </c>
      <c r="M142">
        <v>0.99999210000000005</v>
      </c>
      <c r="N142">
        <v>0</v>
      </c>
      <c r="O142">
        <v>-2.6614839999999999E-4</v>
      </c>
      <c r="P142">
        <v>0.99896430000000003</v>
      </c>
      <c r="Q142">
        <v>3.0753010000000001E-2</v>
      </c>
      <c r="R142">
        <v>3.3539680000000002E-2</v>
      </c>
      <c r="S142">
        <v>3.0086059999999999</v>
      </c>
      <c r="T142">
        <v>-0.1134694</v>
      </c>
      <c r="U142">
        <v>-5.487061E-2</v>
      </c>
      <c r="V142">
        <v>-3.3804590000000002E-2</v>
      </c>
      <c r="W142">
        <v>3.4708509999999998E-2</v>
      </c>
      <c r="X142">
        <v>0.99882559999999998</v>
      </c>
      <c r="Y142">
        <v>1.795617E-2</v>
      </c>
      <c r="Z142">
        <v>-3.2842599999999999E-4</v>
      </c>
      <c r="AA142">
        <v>0.99983869999999997</v>
      </c>
      <c r="AB142">
        <v>35</v>
      </c>
      <c r="AC142">
        <v>30.223999999999901</v>
      </c>
      <c r="AD142">
        <v>-1.1532480000000001</v>
      </c>
      <c r="AE142">
        <v>-0.55750000000000399</v>
      </c>
      <c r="AF142">
        <v>0.54865731088445102</v>
      </c>
      <c r="AG142">
        <v>-1.1532480000000001</v>
      </c>
      <c r="AH142">
        <v>30.180221857586002</v>
      </c>
      <c r="AI142">
        <v>92.187963058172897</v>
      </c>
      <c r="AJ142">
        <v>88.958513754888799</v>
      </c>
      <c r="AK142">
        <v>30.207230875527198</v>
      </c>
      <c r="AL142">
        <v>88.010949375743095</v>
      </c>
      <c r="AM142">
        <v>91.938397778809303</v>
      </c>
      <c r="AN142">
        <v>1.0000000050934199</v>
      </c>
    </row>
    <row r="143" spans="1:40" x14ac:dyDescent="0.3">
      <c r="A143" t="str">
        <f>"20200111153831039"</f>
        <v>20200111153831039</v>
      </c>
      <c r="B143" t="str">
        <f>"1578728311030234"</f>
        <v>1578728311030234</v>
      </c>
      <c r="C143" t="s">
        <v>40</v>
      </c>
      <c r="D143">
        <v>5.0793080000000002</v>
      </c>
      <c r="E143">
        <v>0.54732910000000001</v>
      </c>
      <c r="F143" t="s">
        <v>43</v>
      </c>
      <c r="G143">
        <v>-415.50310000000002</v>
      </c>
      <c r="H143">
        <v>-0.05</v>
      </c>
      <c r="I143">
        <v>366.9479</v>
      </c>
      <c r="J143">
        <v>-445.56610000000001</v>
      </c>
      <c r="K143">
        <v>1.103437</v>
      </c>
      <c r="L143">
        <v>367.51530000000002</v>
      </c>
      <c r="M143">
        <v>0.99998920000000002</v>
      </c>
      <c r="N143">
        <v>0</v>
      </c>
      <c r="O143">
        <v>-2.6955719999999998E-4</v>
      </c>
      <c r="P143">
        <v>0.99898909999999996</v>
      </c>
      <c r="Q143">
        <v>3.028745E-2</v>
      </c>
      <c r="R143">
        <v>3.3219899999999997E-2</v>
      </c>
      <c r="S143">
        <v>3.0085139999999999</v>
      </c>
      <c r="T143">
        <v>-0.1141238</v>
      </c>
      <c r="U143">
        <v>-5.6152340000000002E-2</v>
      </c>
      <c r="V143">
        <v>-3.3487610000000001E-2</v>
      </c>
      <c r="W143">
        <v>3.4932959999999999E-2</v>
      </c>
      <c r="X143">
        <v>0.99882850000000001</v>
      </c>
      <c r="Y143">
        <v>1.837869E-2</v>
      </c>
      <c r="Z143">
        <v>-3.3820870000000002E-4</v>
      </c>
      <c r="AA143">
        <v>0.99983100000000003</v>
      </c>
      <c r="AB143">
        <v>35</v>
      </c>
      <c r="AC143">
        <v>30.062999999999899</v>
      </c>
      <c r="AD143">
        <v>-1.153437</v>
      </c>
      <c r="AE143">
        <v>-0.56740000000002</v>
      </c>
      <c r="AF143">
        <v>0.55847438351807199</v>
      </c>
      <c r="AG143">
        <v>-1.153437</v>
      </c>
      <c r="AH143">
        <v>30.018978097709699</v>
      </c>
      <c r="AI143">
        <v>92.200046938999094</v>
      </c>
      <c r="AJ143">
        <v>88.934189759422694</v>
      </c>
      <c r="AK143">
        <v>30.046320183689499</v>
      </c>
      <c r="AL143">
        <v>87.998081628752402</v>
      </c>
      <c r="AM143">
        <v>91.920229846912207</v>
      </c>
      <c r="AN143">
        <v>1.00000005206506</v>
      </c>
    </row>
    <row r="144" spans="1:40" x14ac:dyDescent="0.3">
      <c r="A144" t="str">
        <f>"20200111153831061"</f>
        <v>20200111153831061</v>
      </c>
      <c r="B144" t="str">
        <f>"1578728311050730"</f>
        <v>1578728311050730</v>
      </c>
      <c r="C144" t="s">
        <v>40</v>
      </c>
      <c r="D144">
        <v>5.101375</v>
      </c>
      <c r="E144">
        <v>0.55359399999999903</v>
      </c>
      <c r="F144" t="s">
        <v>43</v>
      </c>
      <c r="G144">
        <v>-408.71550000000002</v>
      </c>
      <c r="H144">
        <v>-0.05</v>
      </c>
      <c r="I144">
        <v>364.13529999999997</v>
      </c>
      <c r="J144">
        <v>-445.23489999999998</v>
      </c>
      <c r="K144">
        <v>1.1035969999999999</v>
      </c>
      <c r="L144">
        <v>367.51519999999999</v>
      </c>
      <c r="M144">
        <v>0.99998560000000003</v>
      </c>
      <c r="N144">
        <v>0</v>
      </c>
      <c r="O144">
        <v>-2.730694E-4</v>
      </c>
      <c r="P144">
        <v>0.99902489999999999</v>
      </c>
      <c r="Q144">
        <v>2.9426009999999999E-2</v>
      </c>
      <c r="R144">
        <v>3.2920110000000002E-2</v>
      </c>
      <c r="S144">
        <v>3.0151059999999998</v>
      </c>
      <c r="T144">
        <v>-9.4373940000000003E-2</v>
      </c>
      <c r="U144">
        <v>-0.27655030000000003</v>
      </c>
      <c r="V144">
        <v>-3.319151E-2</v>
      </c>
      <c r="W144">
        <v>3.4800959999999999E-2</v>
      </c>
      <c r="X144">
        <v>0.99884300000000004</v>
      </c>
      <c r="Y144">
        <v>9.1022179999999994E-2</v>
      </c>
      <c r="Z144">
        <v>-1.4126570000000001E-3</v>
      </c>
      <c r="AA144">
        <v>0.99584790000000001</v>
      </c>
      <c r="AB144">
        <v>35</v>
      </c>
      <c r="AC144">
        <v>36.519399999999898</v>
      </c>
      <c r="AD144">
        <v>-1.153597</v>
      </c>
      <c r="AE144">
        <v>-3.3799000000000201</v>
      </c>
      <c r="AF144">
        <v>3.36659660531779</v>
      </c>
      <c r="AG144">
        <v>-1.153597</v>
      </c>
      <c r="AH144">
        <v>36.484225362310099</v>
      </c>
      <c r="AI144">
        <v>91.803379158358595</v>
      </c>
      <c r="AJ144">
        <v>84.727938447948205</v>
      </c>
      <c r="AK144">
        <v>36.657379325712498</v>
      </c>
      <c r="AL144">
        <v>88.005649290298294</v>
      </c>
      <c r="AM144">
        <v>91.903235962340702</v>
      </c>
      <c r="AN144">
        <v>1.00000006090099</v>
      </c>
    </row>
    <row r="145" spans="1:40" x14ac:dyDescent="0.3">
      <c r="A145" t="str">
        <f>"20200111153831084"</f>
        <v>20200111153831084</v>
      </c>
      <c r="B145" t="str">
        <f>"1578728311080391"</f>
        <v>1578728311080391</v>
      </c>
      <c r="C145" t="s">
        <v>40</v>
      </c>
      <c r="D145">
        <v>5.0499879999999999</v>
      </c>
      <c r="E145">
        <v>0.5543534</v>
      </c>
      <c r="F145" t="s">
        <v>43</v>
      </c>
      <c r="G145">
        <v>-412.47899999999998</v>
      </c>
      <c r="H145">
        <v>-0.05</v>
      </c>
      <c r="I145">
        <v>363.95949999999999</v>
      </c>
      <c r="J145">
        <v>-444.87139999999999</v>
      </c>
      <c r="K145">
        <v>1.1037459999999999</v>
      </c>
      <c r="L145">
        <v>367.51510000000002</v>
      </c>
      <c r="M145">
        <v>0.9999806</v>
      </c>
      <c r="N145">
        <v>0</v>
      </c>
      <c r="O145">
        <v>-2.7734260000000002E-4</v>
      </c>
      <c r="P145">
        <v>0.99905480000000002</v>
      </c>
      <c r="Q145">
        <v>2.8318220000000002E-2</v>
      </c>
      <c r="R145">
        <v>3.2977470000000002E-2</v>
      </c>
      <c r="S145">
        <v>3.0168759999999999</v>
      </c>
      <c r="T145">
        <v>-0.1062483</v>
      </c>
      <c r="U145">
        <v>-0.3274841</v>
      </c>
      <c r="V145">
        <v>-3.3252770000000001E-2</v>
      </c>
      <c r="W145">
        <v>3.4542660000000003E-2</v>
      </c>
      <c r="X145">
        <v>0.99884989999999996</v>
      </c>
      <c r="Y145">
        <v>0.1075753</v>
      </c>
      <c r="Z145">
        <v>-1.878429E-3</v>
      </c>
      <c r="AA145">
        <v>0.99419519999999995</v>
      </c>
      <c r="AB145">
        <v>35</v>
      </c>
      <c r="AC145">
        <v>32.392399999999903</v>
      </c>
      <c r="AD145">
        <v>-1.1537459999999999</v>
      </c>
      <c r="AE145">
        <v>-3.5556000000000201</v>
      </c>
      <c r="AF145">
        <v>3.54217569353799</v>
      </c>
      <c r="AG145">
        <v>-1.1537459999999999</v>
      </c>
      <c r="AH145">
        <v>32.352829834010201</v>
      </c>
      <c r="AI145">
        <v>92.030258079859294</v>
      </c>
      <c r="AJ145">
        <v>83.751811987901107</v>
      </c>
      <c r="AK145">
        <v>32.566604624136502</v>
      </c>
      <c r="AL145">
        <v>88.020457636368306</v>
      </c>
      <c r="AM145">
        <v>91.906732922383398</v>
      </c>
      <c r="AN145">
        <v>1.0000000324012699</v>
      </c>
    </row>
    <row r="146" spans="1:40" x14ac:dyDescent="0.3">
      <c r="A146" t="str">
        <f>"20200111153831106"</f>
        <v>20200111153831106</v>
      </c>
      <c r="B146" t="str">
        <f>"1578728311100866"</f>
        <v>1578728311100866</v>
      </c>
      <c r="C146" t="s">
        <v>40</v>
      </c>
      <c r="D146">
        <v>5.0225849999999896</v>
      </c>
      <c r="E146">
        <v>0.55424490000000004</v>
      </c>
      <c r="F146" t="s">
        <v>43</v>
      </c>
      <c r="G146">
        <v>-412.83280000000002</v>
      </c>
      <c r="H146">
        <v>-0.05</v>
      </c>
      <c r="I146">
        <v>363.97570000000002</v>
      </c>
      <c r="J146">
        <v>-444.52879999999999</v>
      </c>
      <c r="K146">
        <v>1.1038709999999901</v>
      </c>
      <c r="L146">
        <v>367.51499999999999</v>
      </c>
      <c r="M146">
        <v>0.99997510000000001</v>
      </c>
      <c r="N146">
        <v>0</v>
      </c>
      <c r="O146">
        <v>-2.8116520000000001E-4</v>
      </c>
      <c r="P146">
        <v>0.99906930000000005</v>
      </c>
      <c r="Q146">
        <v>2.7341259999999999E-2</v>
      </c>
      <c r="R146">
        <v>3.3365939999999997E-2</v>
      </c>
      <c r="S146">
        <v>3.0169069999999998</v>
      </c>
      <c r="T146">
        <v>-0.1086423</v>
      </c>
      <c r="U146">
        <v>-0.33328249999999998</v>
      </c>
      <c r="V146">
        <v>-3.3645410000000001E-2</v>
      </c>
      <c r="W146">
        <v>3.4387790000000001E-2</v>
      </c>
      <c r="X146">
        <v>0.99884209999999995</v>
      </c>
      <c r="Y146">
        <v>0.1094542</v>
      </c>
      <c r="Z146">
        <v>-1.9540880000000001E-3</v>
      </c>
      <c r="AA146">
        <v>0.99398989999999998</v>
      </c>
      <c r="AB146">
        <v>35</v>
      </c>
      <c r="AC146">
        <v>31.695999999999898</v>
      </c>
      <c r="AD146">
        <v>-1.1538710000000001</v>
      </c>
      <c r="AE146">
        <v>-3.5392999999999599</v>
      </c>
      <c r="AF146">
        <v>3.52577275676158</v>
      </c>
      <c r="AG146">
        <v>-1.1538710000000001</v>
      </c>
      <c r="AH146">
        <v>31.6555582729005</v>
      </c>
      <c r="AI146">
        <v>92.074735898088207</v>
      </c>
      <c r="AJ146">
        <v>83.644632083532201</v>
      </c>
      <c r="AK146">
        <v>31.8721957415231</v>
      </c>
      <c r="AL146">
        <v>88.029336317809594</v>
      </c>
      <c r="AM146">
        <v>91.929245265264996</v>
      </c>
      <c r="AN146">
        <v>1.0000000372237801</v>
      </c>
    </row>
    <row r="147" spans="1:40" x14ac:dyDescent="0.3">
      <c r="A147" t="str">
        <f>"20200111153831130"</f>
        <v>20200111153831130</v>
      </c>
      <c r="B147" t="str">
        <f>"1578728311120387"</f>
        <v>1578728311120387</v>
      </c>
      <c r="C147" t="s">
        <v>40</v>
      </c>
      <c r="D147">
        <v>5.0574389999999996</v>
      </c>
      <c r="E147">
        <v>0.55439169999999904</v>
      </c>
      <c r="F147" t="s">
        <v>43</v>
      </c>
      <c r="G147">
        <v>-414.72800000000001</v>
      </c>
      <c r="H147">
        <v>-0.05</v>
      </c>
      <c r="I147">
        <v>364.24470000000002</v>
      </c>
      <c r="J147">
        <v>-444.16250000000002</v>
      </c>
      <c r="K147">
        <v>1.103977</v>
      </c>
      <c r="L147">
        <v>367.51490000000001</v>
      </c>
      <c r="M147">
        <v>0.99996879999999999</v>
      </c>
      <c r="N147">
        <v>0</v>
      </c>
      <c r="O147">
        <v>-2.8491710000000002E-4</v>
      </c>
      <c r="P147">
        <v>0.99907239999999997</v>
      </c>
      <c r="Q147">
        <v>2.6757820000000002E-2</v>
      </c>
      <c r="R147">
        <v>3.3744240000000002E-2</v>
      </c>
      <c r="S147">
        <v>3.017029</v>
      </c>
      <c r="T147">
        <v>-0.11681759999999999</v>
      </c>
      <c r="U147">
        <v>-0.33108520000000002</v>
      </c>
      <c r="V147">
        <v>-3.4027519999999999E-2</v>
      </c>
      <c r="W147">
        <v>3.4673240000000001E-2</v>
      </c>
      <c r="X147">
        <v>0.99881920000000002</v>
      </c>
      <c r="Y147">
        <v>0.1087205</v>
      </c>
      <c r="Z147">
        <v>-2.086723E-3</v>
      </c>
      <c r="AA147">
        <v>0.99407020000000001</v>
      </c>
      <c r="AB147">
        <v>35</v>
      </c>
      <c r="AC147">
        <v>29.4345</v>
      </c>
      <c r="AD147">
        <v>-1.153977</v>
      </c>
      <c r="AE147">
        <v>-3.27019999999998</v>
      </c>
      <c r="AF147">
        <v>3.25686836126114</v>
      </c>
      <c r="AG147">
        <v>-1.153977</v>
      </c>
      <c r="AH147">
        <v>29.390806967615301</v>
      </c>
      <c r="AI147">
        <v>92.234795340598296</v>
      </c>
      <c r="AJ147">
        <v>83.676710154991099</v>
      </c>
      <c r="AK147">
        <v>29.593215246855699</v>
      </c>
      <c r="AL147">
        <v>88.012971305423093</v>
      </c>
      <c r="AM147">
        <v>91.951183510051607</v>
      </c>
      <c r="AN147">
        <v>0.99999994998904196</v>
      </c>
    </row>
    <row r="148" spans="1:40" x14ac:dyDescent="0.3">
      <c r="A148" t="str">
        <f>"20200111153831164"</f>
        <v>20200111153831164</v>
      </c>
      <c r="B148" t="str">
        <f>"1578728311160402"</f>
        <v>1578728311160402</v>
      </c>
      <c r="C148" t="s">
        <v>40</v>
      </c>
      <c r="D148">
        <v>5.0913370000000002</v>
      </c>
      <c r="E148">
        <v>0.55474849999999998</v>
      </c>
      <c r="F148" t="s">
        <v>43</v>
      </c>
      <c r="G148">
        <v>-416.91969999999998</v>
      </c>
      <c r="H148">
        <v>-0.05</v>
      </c>
      <c r="I148">
        <v>364.52589999999998</v>
      </c>
      <c r="J148">
        <v>-443.65199999999999</v>
      </c>
      <c r="K148">
        <v>1.10408</v>
      </c>
      <c r="L148">
        <v>367.51479999999998</v>
      </c>
      <c r="M148">
        <v>0.99995889999999998</v>
      </c>
      <c r="N148">
        <v>0</v>
      </c>
      <c r="O148">
        <v>-2.896148E-4</v>
      </c>
      <c r="P148">
        <v>0.99908359999999996</v>
      </c>
      <c r="Q148">
        <v>2.579596E-2</v>
      </c>
      <c r="R148">
        <v>3.4157630000000001E-2</v>
      </c>
      <c r="S148">
        <v>3.017395</v>
      </c>
      <c r="T148">
        <v>-0.12781410000000001</v>
      </c>
      <c r="U148">
        <v>-0.33105469999999998</v>
      </c>
      <c r="V148">
        <v>-3.4445490000000002E-2</v>
      </c>
      <c r="W148">
        <v>3.4839090000000003E-2</v>
      </c>
      <c r="X148">
        <v>0.99879910000000005</v>
      </c>
      <c r="Y148">
        <v>0.108677</v>
      </c>
      <c r="Z148">
        <v>-2.2815980000000001E-3</v>
      </c>
      <c r="AA148">
        <v>0.99407449999999997</v>
      </c>
      <c r="AB148">
        <v>35</v>
      </c>
      <c r="AC148">
        <v>26.732299999999999</v>
      </c>
      <c r="AD148">
        <v>-1.15408</v>
      </c>
      <c r="AE148">
        <v>-2.9889000000000001</v>
      </c>
      <c r="AF148">
        <v>2.9756798927659101</v>
      </c>
      <c r="AG148">
        <v>-1.15408</v>
      </c>
      <c r="AH148">
        <v>26.684044888471</v>
      </c>
      <c r="AI148">
        <v>92.461251064750599</v>
      </c>
      <c r="AJ148">
        <v>83.636932052375698</v>
      </c>
      <c r="AK148">
        <v>26.874240883800699</v>
      </c>
      <c r="AL148">
        <v>88.003463051389602</v>
      </c>
      <c r="AM148">
        <v>91.975171317309503</v>
      </c>
      <c r="AN148">
        <v>0.99999994806708703</v>
      </c>
    </row>
    <row r="149" spans="1:40" x14ac:dyDescent="0.3">
      <c r="A149" t="str">
        <f>"20200111153831185"</f>
        <v>20200111153831185</v>
      </c>
      <c r="B149" t="str">
        <f>"1578728311180899"</f>
        <v>1578728311180899</v>
      </c>
      <c r="C149" t="s">
        <v>40</v>
      </c>
      <c r="D149">
        <v>5.0804099999999996</v>
      </c>
      <c r="E149">
        <v>0.55479069999999997</v>
      </c>
      <c r="F149" t="s">
        <v>43</v>
      </c>
      <c r="G149">
        <v>-419.03449999999998</v>
      </c>
      <c r="H149">
        <v>-0.05</v>
      </c>
      <c r="I149">
        <v>364.80119999999999</v>
      </c>
      <c r="J149">
        <v>-443.30540000000002</v>
      </c>
      <c r="K149">
        <v>1.1041369999999999</v>
      </c>
      <c r="L149">
        <v>367.51459999999997</v>
      </c>
      <c r="M149">
        <v>0.99995259999999997</v>
      </c>
      <c r="N149">
        <v>0</v>
      </c>
      <c r="O149">
        <v>-2.9226609999999999E-4</v>
      </c>
      <c r="P149">
        <v>0.99910160000000003</v>
      </c>
      <c r="Q149">
        <v>2.5322560000000001E-2</v>
      </c>
      <c r="R149">
        <v>3.3981770000000001E-2</v>
      </c>
      <c r="S149">
        <v>3.017792</v>
      </c>
      <c r="T149">
        <v>-0.1414753</v>
      </c>
      <c r="U149">
        <v>-0.33264159999999998</v>
      </c>
      <c r="V149">
        <v>-3.427235E-2</v>
      </c>
      <c r="W149">
        <v>3.5052090000000001E-2</v>
      </c>
      <c r="X149">
        <v>0.99879770000000001</v>
      </c>
      <c r="Y149">
        <v>0.1091546</v>
      </c>
      <c r="Z149">
        <v>-2.5358400000000001E-3</v>
      </c>
      <c r="AA149">
        <v>0.9940215</v>
      </c>
      <c r="AB149">
        <v>35</v>
      </c>
      <c r="AC149">
        <v>24.270900000000001</v>
      </c>
      <c r="AD149">
        <v>-1.154137</v>
      </c>
      <c r="AE149">
        <v>-2.7133999999999698</v>
      </c>
      <c r="AF149">
        <v>2.7002754403840301</v>
      </c>
      <c r="AG149">
        <v>-1.154137</v>
      </c>
      <c r="AH149">
        <v>24.217606663330901</v>
      </c>
      <c r="AI149">
        <v>92.711698062468301</v>
      </c>
      <c r="AJ149">
        <v>83.637770493627499</v>
      </c>
      <c r="AK149">
        <v>24.394999327085898</v>
      </c>
      <c r="AL149">
        <v>87.991251784434894</v>
      </c>
      <c r="AM149">
        <v>91.965253690628799</v>
      </c>
      <c r="AN149">
        <v>1.00000004425658</v>
      </c>
    </row>
    <row r="150" spans="1:40" x14ac:dyDescent="0.3">
      <c r="A150" t="str">
        <f>"20200111153831205"</f>
        <v>20200111153831205</v>
      </c>
      <c r="B150" t="str">
        <f>"1578728311200418"</f>
        <v>1578728311200418</v>
      </c>
      <c r="C150" t="s">
        <v>40</v>
      </c>
      <c r="D150">
        <v>5.174728</v>
      </c>
      <c r="E150">
        <v>0.55496869999999998</v>
      </c>
      <c r="F150" t="s">
        <v>43</v>
      </c>
      <c r="G150">
        <v>-419.68209999999999</v>
      </c>
      <c r="H150">
        <v>-0.05</v>
      </c>
      <c r="I150">
        <v>364.90519999999998</v>
      </c>
      <c r="J150">
        <v>-443.00020000000001</v>
      </c>
      <c r="K150">
        <v>1.104171</v>
      </c>
      <c r="L150">
        <v>367.5145</v>
      </c>
      <c r="M150">
        <v>0.99994709999999998</v>
      </c>
      <c r="N150">
        <v>0</v>
      </c>
      <c r="O150">
        <v>-2.9537960000000001E-4</v>
      </c>
      <c r="P150">
        <v>0.99909360000000003</v>
      </c>
      <c r="Q150">
        <v>2.5724259999999999E-2</v>
      </c>
      <c r="R150">
        <v>3.3917429999999998E-2</v>
      </c>
      <c r="S150">
        <v>3.017792</v>
      </c>
      <c r="T150">
        <v>-0.1474366</v>
      </c>
      <c r="U150">
        <v>-0.33334350000000001</v>
      </c>
      <c r="V150">
        <v>-3.4210709999999998E-2</v>
      </c>
      <c r="W150">
        <v>3.6000879999999999E-2</v>
      </c>
      <c r="X150">
        <v>0.99876600000000004</v>
      </c>
      <c r="Y150">
        <v>0.10936949999999999</v>
      </c>
      <c r="Z150">
        <v>-2.6476160000000002E-3</v>
      </c>
      <c r="AA150">
        <v>0.99399760000000004</v>
      </c>
      <c r="AB150">
        <v>35</v>
      </c>
      <c r="AC150">
        <v>23.318100000000001</v>
      </c>
      <c r="AD150">
        <v>-1.1541709999999901</v>
      </c>
      <c r="AE150">
        <v>-2.6093000000000202</v>
      </c>
      <c r="AF150">
        <v>2.5961301463106601</v>
      </c>
      <c r="AG150">
        <v>-1.1541709999999901</v>
      </c>
      <c r="AH150">
        <v>23.262582821515899</v>
      </c>
      <c r="AI150">
        <v>92.822899582795102</v>
      </c>
      <c r="AJ150">
        <v>83.632077056391495</v>
      </c>
      <c r="AK150">
        <v>23.4354381644916</v>
      </c>
      <c r="AL150">
        <v>87.936855649997895</v>
      </c>
      <c r="AM150">
        <v>91.961784093220999</v>
      </c>
      <c r="AN150">
        <v>0.99999997939773899</v>
      </c>
    </row>
    <row r="151" spans="1:40" x14ac:dyDescent="0.3">
      <c r="A151" t="str">
        <f>"20200111153831240"</f>
        <v>20200111153831240</v>
      </c>
      <c r="B151" t="str">
        <f>"1578728311230674"</f>
        <v>1578728311230674</v>
      </c>
      <c r="C151" t="s">
        <v>40</v>
      </c>
      <c r="D151">
        <v>5.2386980000000003</v>
      </c>
      <c r="E151">
        <v>0.55534790000000001</v>
      </c>
      <c r="F151" t="s">
        <v>43</v>
      </c>
      <c r="G151">
        <v>-419.77949999999998</v>
      </c>
      <c r="H151">
        <v>-0.05</v>
      </c>
      <c r="I151">
        <v>364.9357</v>
      </c>
      <c r="J151">
        <v>-442.4649</v>
      </c>
      <c r="K151">
        <v>1.104206</v>
      </c>
      <c r="L151">
        <v>367.51440000000002</v>
      </c>
      <c r="M151">
        <v>0.9999382</v>
      </c>
      <c r="N151">
        <v>0</v>
      </c>
      <c r="O151">
        <v>-3.0059420000000002E-4</v>
      </c>
      <c r="P151">
        <v>0.99910270000000001</v>
      </c>
      <c r="Q151">
        <v>2.5792929999999999E-2</v>
      </c>
      <c r="R151">
        <v>3.3600709999999999E-2</v>
      </c>
      <c r="S151">
        <v>3.018005</v>
      </c>
      <c r="T151">
        <v>-0.15000869999999999</v>
      </c>
      <c r="U151">
        <v>-0.33517459999999999</v>
      </c>
      <c r="V151">
        <v>-3.3899079999999998E-2</v>
      </c>
      <c r="W151">
        <v>3.6905319999999998E-2</v>
      </c>
      <c r="X151">
        <v>0.99874370000000001</v>
      </c>
      <c r="Y151">
        <v>0.10994719999999999</v>
      </c>
      <c r="Z151">
        <v>-2.7075129999999999E-3</v>
      </c>
      <c r="AA151">
        <v>0.99393370000000003</v>
      </c>
      <c r="AB151">
        <v>34</v>
      </c>
      <c r="AC151">
        <v>22.685400000000001</v>
      </c>
      <c r="AD151">
        <v>-1.1542059999999901</v>
      </c>
      <c r="AE151">
        <v>-2.57870000000002</v>
      </c>
      <c r="AF151">
        <v>2.5653243419468099</v>
      </c>
      <c r="AG151">
        <v>-1.1542059999999901</v>
      </c>
      <c r="AH151">
        <v>22.628344481293698</v>
      </c>
      <c r="AI151">
        <v>92.901407206124205</v>
      </c>
      <c r="AJ151">
        <v>83.532121381244394</v>
      </c>
      <c r="AK151">
        <v>22.802522983957701</v>
      </c>
      <c r="AL151">
        <v>87.885000767241095</v>
      </c>
      <c r="AM151">
        <v>91.9439710799072</v>
      </c>
      <c r="AN151">
        <v>1.00000006427941</v>
      </c>
    </row>
    <row r="152" spans="1:40" x14ac:dyDescent="0.3">
      <c r="A152" t="str">
        <f>"20200111153831264"</f>
        <v>20200111153831264</v>
      </c>
      <c r="B152" t="str">
        <f>"1578728311250194"</f>
        <v>1578728311250194</v>
      </c>
      <c r="C152" t="s">
        <v>40</v>
      </c>
      <c r="D152">
        <v>5.1525949999999998</v>
      </c>
      <c r="E152">
        <v>0.55565379999999998</v>
      </c>
      <c r="F152" t="s">
        <v>43</v>
      </c>
      <c r="G152">
        <v>-420.0188</v>
      </c>
      <c r="H152">
        <v>-0.05</v>
      </c>
      <c r="I152">
        <v>364.99329999999998</v>
      </c>
      <c r="J152">
        <v>-442.11799999999999</v>
      </c>
      <c r="K152">
        <v>1.104217</v>
      </c>
      <c r="L152">
        <v>367.51429999999999</v>
      </c>
      <c r="M152">
        <v>0.99993299999999996</v>
      </c>
      <c r="N152">
        <v>0</v>
      </c>
      <c r="O152">
        <v>-3.0405789999999997E-4</v>
      </c>
      <c r="P152">
        <v>0.9991196</v>
      </c>
      <c r="Q152">
        <v>2.5494940000000001E-2</v>
      </c>
      <c r="R152">
        <v>3.3320059999999999E-2</v>
      </c>
      <c r="S152">
        <v>3.0181269999999998</v>
      </c>
      <c r="T152">
        <v>-0.1551961</v>
      </c>
      <c r="U152">
        <v>-0.33898929999999999</v>
      </c>
      <c r="V152">
        <v>-3.3622190000000003E-2</v>
      </c>
      <c r="W152">
        <v>3.7068289999999997E-2</v>
      </c>
      <c r="X152">
        <v>0.99874689999999999</v>
      </c>
      <c r="Y152">
        <v>0.11116910000000001</v>
      </c>
      <c r="Z152">
        <v>-2.8318309999999999E-3</v>
      </c>
      <c r="AA152">
        <v>0.9937975</v>
      </c>
      <c r="AB152">
        <v>34</v>
      </c>
      <c r="AC152">
        <v>22.0992</v>
      </c>
      <c r="AD152">
        <v>-1.154217</v>
      </c>
      <c r="AE152">
        <v>-2.5210000000000101</v>
      </c>
      <c r="AF152">
        <v>2.5075276875025101</v>
      </c>
      <c r="AG152">
        <v>-1.154217</v>
      </c>
      <c r="AH152">
        <v>22.0406142496557</v>
      </c>
      <c r="AI152">
        <v>92.978532717247404</v>
      </c>
      <c r="AJ152">
        <v>83.509451912354194</v>
      </c>
      <c r="AK152">
        <v>22.2128023555968</v>
      </c>
      <c r="AL152">
        <v>87.875656617041102</v>
      </c>
      <c r="AM152">
        <v>91.928098452601802</v>
      </c>
      <c r="AN152">
        <v>0.99999994002176296</v>
      </c>
    </row>
    <row r="153" spans="1:40" x14ac:dyDescent="0.3">
      <c r="A153" t="str">
        <f>"20200111153831284"</f>
        <v>20200111153831284</v>
      </c>
      <c r="B153" t="str">
        <f>"1578728311280450"</f>
        <v>1578728311280450</v>
      </c>
      <c r="C153" t="s">
        <v>40</v>
      </c>
      <c r="D153">
        <v>5.2739120000000002</v>
      </c>
      <c r="E153">
        <v>0.55583780000000005</v>
      </c>
      <c r="F153" t="s">
        <v>43</v>
      </c>
      <c r="G153">
        <v>-420.25970000000001</v>
      </c>
      <c r="H153">
        <v>-0.05</v>
      </c>
      <c r="I153">
        <v>365.0385</v>
      </c>
      <c r="J153">
        <v>-441.7953</v>
      </c>
      <c r="K153">
        <v>1.1042299999999901</v>
      </c>
      <c r="L153">
        <v>367.51420000000002</v>
      </c>
      <c r="M153">
        <v>0.99992840000000005</v>
      </c>
      <c r="N153">
        <v>0</v>
      </c>
      <c r="O153">
        <v>-3.0724810000000002E-4</v>
      </c>
      <c r="P153">
        <v>0.99915980000000004</v>
      </c>
      <c r="Q153">
        <v>2.465372E-2</v>
      </c>
      <c r="R153">
        <v>3.2737710000000003E-2</v>
      </c>
      <c r="S153">
        <v>3.0181269999999998</v>
      </c>
      <c r="T153">
        <v>-0.1593716</v>
      </c>
      <c r="U153">
        <v>-0.34185789999999999</v>
      </c>
      <c r="V153">
        <v>-3.3043160000000002E-2</v>
      </c>
      <c r="W153">
        <v>3.660559E-2</v>
      </c>
      <c r="X153">
        <v>0.99878330000000004</v>
      </c>
      <c r="Y153">
        <v>0.11208940000000001</v>
      </c>
      <c r="Z153">
        <v>-2.9318030000000002E-3</v>
      </c>
      <c r="AA153">
        <v>0.99369379999999996</v>
      </c>
      <c r="AB153">
        <v>34</v>
      </c>
      <c r="AC153">
        <v>21.535599999999899</v>
      </c>
      <c r="AD153">
        <v>-1.1542300000000001</v>
      </c>
      <c r="AE153">
        <v>-2.47570000000001</v>
      </c>
      <c r="AF153">
        <v>2.4621023219007601</v>
      </c>
      <c r="AG153">
        <v>-1.1542300000000001</v>
      </c>
      <c r="AH153">
        <v>21.475474493317002</v>
      </c>
      <c r="AI153">
        <v>93.056499963172897</v>
      </c>
      <c r="AJ153">
        <v>83.459756344878699</v>
      </c>
      <c r="AK153">
        <v>21.646944344399198</v>
      </c>
      <c r="AL153">
        <v>87.902185402342894</v>
      </c>
      <c r="AM153">
        <v>91.894848803141898</v>
      </c>
      <c r="AN153">
        <v>0.99999995000046005</v>
      </c>
    </row>
    <row r="154" spans="1:40" x14ac:dyDescent="0.3">
      <c r="A154" t="str">
        <f>"20200111153831306"</f>
        <v>20200111153831306</v>
      </c>
      <c r="B154" t="str">
        <f>"1578728311299971"</f>
        <v>1578728311299971</v>
      </c>
      <c r="C154" t="s">
        <v>40</v>
      </c>
      <c r="D154">
        <v>5.2557850000000004</v>
      </c>
      <c r="E154">
        <v>0.55618400000000001</v>
      </c>
      <c r="F154" t="s">
        <v>43</v>
      </c>
      <c r="G154">
        <v>-420.69009999999997</v>
      </c>
      <c r="H154">
        <v>-0.05</v>
      </c>
      <c r="I154">
        <v>365.09949999999998</v>
      </c>
      <c r="J154">
        <v>-441.43810000000002</v>
      </c>
      <c r="K154">
        <v>1.1042320000000001</v>
      </c>
      <c r="L154">
        <v>367.51409999999998</v>
      </c>
      <c r="M154">
        <v>0.99992400000000004</v>
      </c>
      <c r="N154">
        <v>0</v>
      </c>
      <c r="O154">
        <v>-3.1103579999999998E-4</v>
      </c>
      <c r="P154">
        <v>0.99920430000000005</v>
      </c>
      <c r="Q154">
        <v>2.3532919999999999E-2</v>
      </c>
      <c r="R154">
        <v>3.2206609999999997E-2</v>
      </c>
      <c r="S154">
        <v>3.0179140000000002</v>
      </c>
      <c r="T154">
        <v>-0.16504759999999999</v>
      </c>
      <c r="U154">
        <v>-0.34527590000000002</v>
      </c>
      <c r="V154">
        <v>-3.25154E-2</v>
      </c>
      <c r="W154">
        <v>3.5852210000000002E-2</v>
      </c>
      <c r="X154">
        <v>0.99882800000000005</v>
      </c>
      <c r="Y154">
        <v>0.11319170000000001</v>
      </c>
      <c r="Z154">
        <v>-3.0659020000000001E-3</v>
      </c>
      <c r="AA154">
        <v>0.99356840000000002</v>
      </c>
      <c r="AB154">
        <v>34</v>
      </c>
      <c r="AC154">
        <v>20.748000000000001</v>
      </c>
      <c r="AD154">
        <v>-1.1542319999999999</v>
      </c>
      <c r="AE154">
        <v>-2.4146000000000001</v>
      </c>
      <c r="AF154">
        <v>2.4008152454315801</v>
      </c>
      <c r="AG154">
        <v>-1.1542319999999999</v>
      </c>
      <c r="AH154">
        <v>20.685587608375599</v>
      </c>
      <c r="AI154">
        <v>93.172474884282295</v>
      </c>
      <c r="AJ154">
        <v>83.379744446746699</v>
      </c>
      <c r="AK154">
        <v>20.856406690902102</v>
      </c>
      <c r="AL154">
        <v>87.9453793646083</v>
      </c>
      <c r="AM154">
        <v>91.864522734961696</v>
      </c>
      <c r="AN154">
        <v>1.0000000028915199</v>
      </c>
    </row>
    <row r="155" spans="1:40" x14ac:dyDescent="0.3">
      <c r="A155" t="str">
        <f>"20200111153831329"</f>
        <v>20200111153831329</v>
      </c>
      <c r="B155" t="str">
        <f>"1578728311320466"</f>
        <v>1578728311320466</v>
      </c>
      <c r="C155" t="s">
        <v>40</v>
      </c>
      <c r="D155">
        <v>5.2598379999999896</v>
      </c>
      <c r="E155">
        <v>0.55643730000000002</v>
      </c>
      <c r="F155" t="s">
        <v>43</v>
      </c>
      <c r="G155">
        <v>-420.94959999999998</v>
      </c>
      <c r="H155">
        <v>-0.05</v>
      </c>
      <c r="I155">
        <v>365.14</v>
      </c>
      <c r="J155">
        <v>-441.10309999999998</v>
      </c>
      <c r="K155">
        <v>1.1040749999999999</v>
      </c>
      <c r="L155">
        <v>367.51400000000001</v>
      </c>
      <c r="M155">
        <v>0.99992740000000002</v>
      </c>
      <c r="N155">
        <v>0</v>
      </c>
      <c r="O155">
        <v>-3.1504910000000001E-4</v>
      </c>
      <c r="P155">
        <v>0.99920229999999999</v>
      </c>
      <c r="Q155">
        <v>2.3658510000000001E-2</v>
      </c>
      <c r="R155">
        <v>3.2177360000000002E-2</v>
      </c>
      <c r="S155">
        <v>3.0176699999999999</v>
      </c>
      <c r="T155">
        <v>-0.17000209999999999</v>
      </c>
      <c r="U155">
        <v>-0.34967039999999999</v>
      </c>
      <c r="V155">
        <v>-3.2490819999999997E-2</v>
      </c>
      <c r="W155">
        <v>3.569924E-2</v>
      </c>
      <c r="X155">
        <v>0.99883429999999995</v>
      </c>
      <c r="Y155">
        <v>0.1146123</v>
      </c>
      <c r="Z155">
        <v>-3.1974099999999999E-3</v>
      </c>
      <c r="AA155">
        <v>0.99340519999999999</v>
      </c>
      <c r="AB155">
        <v>34</v>
      </c>
      <c r="AC155">
        <v>20.153500000000001</v>
      </c>
      <c r="AD155">
        <v>-1.154075</v>
      </c>
      <c r="AE155">
        <v>-2.3740000000000201</v>
      </c>
      <c r="AF155">
        <v>2.3600170409015799</v>
      </c>
      <c r="AG155">
        <v>-1.154075</v>
      </c>
      <c r="AH155">
        <v>20.0892719466427</v>
      </c>
      <c r="AI155">
        <v>93.265469141435503</v>
      </c>
      <c r="AJ155">
        <v>83.299803159419596</v>
      </c>
      <c r="AK155">
        <v>20.260316307627999</v>
      </c>
      <c r="AL155">
        <v>87.954149557428806</v>
      </c>
      <c r="AM155">
        <v>91.863102500662905</v>
      </c>
      <c r="AN155">
        <v>1.0000000239886599</v>
      </c>
    </row>
    <row r="156" spans="1:40" x14ac:dyDescent="0.3">
      <c r="A156" t="str">
        <f>"20200111153831351"</f>
        <v>20200111153831351</v>
      </c>
      <c r="B156" t="str">
        <f>"1578728311339989"</f>
        <v>1578728311339989</v>
      </c>
      <c r="C156" t="s">
        <v>40</v>
      </c>
      <c r="D156">
        <v>5.2360290000000003</v>
      </c>
      <c r="E156">
        <v>0.55681720000000001</v>
      </c>
      <c r="F156" t="s">
        <v>43</v>
      </c>
      <c r="G156">
        <v>-420.74239999999998</v>
      </c>
      <c r="H156">
        <v>-0.05</v>
      </c>
      <c r="I156">
        <v>365.14</v>
      </c>
      <c r="J156">
        <v>-440.74560000000002</v>
      </c>
      <c r="K156">
        <v>1.1037980000000001</v>
      </c>
      <c r="L156">
        <v>367.51389999999998</v>
      </c>
      <c r="M156">
        <v>0.99993310000000002</v>
      </c>
      <c r="N156">
        <v>0</v>
      </c>
      <c r="O156">
        <v>-3.1955530000000001E-4</v>
      </c>
      <c r="P156">
        <v>0.99920489999999995</v>
      </c>
      <c r="Q156">
        <v>2.3924040000000001E-2</v>
      </c>
      <c r="R156">
        <v>3.1893909999999998E-2</v>
      </c>
      <c r="S156">
        <v>3.0178219999999998</v>
      </c>
      <c r="T156">
        <v>-0.17105509999999999</v>
      </c>
      <c r="U156">
        <v>-0.35186770000000001</v>
      </c>
      <c r="V156">
        <v>-3.2211959999999998E-2</v>
      </c>
      <c r="W156">
        <v>3.5478129999999997E-2</v>
      </c>
      <c r="X156">
        <v>0.99885119999999905</v>
      </c>
      <c r="Y156">
        <v>0.1153124</v>
      </c>
      <c r="Z156">
        <v>-3.2363919999999998E-3</v>
      </c>
      <c r="AA156">
        <v>0.99332399999999998</v>
      </c>
      <c r="AB156">
        <v>34</v>
      </c>
      <c r="AC156">
        <v>20.0032</v>
      </c>
      <c r="AD156">
        <v>-1.1537979999999901</v>
      </c>
      <c r="AE156">
        <v>-2.3738999999999901</v>
      </c>
      <c r="AF156">
        <v>2.3597652814958998</v>
      </c>
      <c r="AG156">
        <v>-1.1537979999999901</v>
      </c>
      <c r="AH156">
        <v>19.9385422093671</v>
      </c>
      <c r="AI156">
        <v>93.288979037889405</v>
      </c>
      <c r="AJ156">
        <v>83.250330725645895</v>
      </c>
      <c r="AK156">
        <v>20.110823141862401</v>
      </c>
      <c r="AL156">
        <v>87.966826236864307</v>
      </c>
      <c r="AM156">
        <v>91.847091885628899</v>
      </c>
      <c r="AN156">
        <v>1.00000001390838</v>
      </c>
    </row>
    <row r="157" spans="1:40" x14ac:dyDescent="0.3">
      <c r="A157" t="str">
        <f>"20200111153831374"</f>
        <v>20200111153831374</v>
      </c>
      <c r="B157" t="str">
        <f>"1578728311370242"</f>
        <v>1578728311370242</v>
      </c>
      <c r="C157" t="s">
        <v>40</v>
      </c>
      <c r="D157">
        <v>5.3120079999999996</v>
      </c>
      <c r="E157">
        <v>0.55712530000000005</v>
      </c>
      <c r="F157" t="s">
        <v>43</v>
      </c>
      <c r="G157">
        <v>-420.58499999999998</v>
      </c>
      <c r="H157">
        <v>-0.05</v>
      </c>
      <c r="I157">
        <v>365.13799999999998</v>
      </c>
      <c r="J157">
        <v>-440.4074</v>
      </c>
      <c r="K157">
        <v>1.1035349999999999</v>
      </c>
      <c r="L157">
        <v>367.5138</v>
      </c>
      <c r="M157">
        <v>0.99993109999999996</v>
      </c>
      <c r="N157">
        <v>0</v>
      </c>
      <c r="O157">
        <v>-3.2380890000000001E-4</v>
      </c>
      <c r="P157">
        <v>0.99920850000000005</v>
      </c>
      <c r="Q157">
        <v>2.3413280000000002E-2</v>
      </c>
      <c r="R157">
        <v>3.2165249999999999E-2</v>
      </c>
      <c r="S157">
        <v>3.0178829999999999</v>
      </c>
      <c r="T157">
        <v>-0.17271489999999901</v>
      </c>
      <c r="U157">
        <v>-0.35565190000000002</v>
      </c>
      <c r="V157">
        <v>-3.2487160000000001E-2</v>
      </c>
      <c r="W157">
        <v>3.5144069999999999E-2</v>
      </c>
      <c r="X157">
        <v>0.99885409999999997</v>
      </c>
      <c r="Y157">
        <v>0.11652899999999999</v>
      </c>
      <c r="Z157">
        <v>-3.301867E-3</v>
      </c>
      <c r="AA157">
        <v>0.9931818</v>
      </c>
      <c r="AB157">
        <v>35</v>
      </c>
      <c r="AC157">
        <v>19.822399999999998</v>
      </c>
      <c r="AD157">
        <v>-1.153535</v>
      </c>
      <c r="AE157">
        <v>-2.3757999999999599</v>
      </c>
      <c r="AF157">
        <v>2.36149684462249</v>
      </c>
      <c r="AG157">
        <v>-1.153535</v>
      </c>
      <c r="AH157">
        <v>19.757208359046899</v>
      </c>
      <c r="AI157">
        <v>93.317887800519998</v>
      </c>
      <c r="AJ157">
        <v>83.184010028212896</v>
      </c>
      <c r="AK157">
        <v>19.931246636529799</v>
      </c>
      <c r="AL157">
        <v>87.985978415225304</v>
      </c>
      <c r="AM157">
        <v>91.862855873690194</v>
      </c>
      <c r="AN157">
        <v>1.0000000171539201</v>
      </c>
    </row>
    <row r="158" spans="1:40" x14ac:dyDescent="0.3">
      <c r="A158" t="str">
        <f>"20200111153831395"</f>
        <v>20200111153831395</v>
      </c>
      <c r="B158" t="str">
        <f>"1578728311390738"</f>
        <v>1578728311390738</v>
      </c>
      <c r="C158" t="s">
        <v>40</v>
      </c>
      <c r="D158">
        <v>5.4400750000000002</v>
      </c>
      <c r="E158">
        <v>0.55712600000000001</v>
      </c>
      <c r="F158" t="s">
        <v>43</v>
      </c>
      <c r="G158">
        <v>-420.76389999999998</v>
      </c>
      <c r="H158">
        <v>-0.05</v>
      </c>
      <c r="I158">
        <v>365.18920000000003</v>
      </c>
      <c r="J158">
        <v>-440.0772</v>
      </c>
      <c r="K158">
        <v>1.103148</v>
      </c>
      <c r="L158">
        <v>367.51369999999997</v>
      </c>
      <c r="M158">
        <v>0.99992289999999995</v>
      </c>
      <c r="N158">
        <v>0</v>
      </c>
      <c r="O158">
        <v>-3.2817179999999999E-4</v>
      </c>
      <c r="P158">
        <v>0.99921020000000005</v>
      </c>
      <c r="Q158">
        <v>2.2596979999999999E-2</v>
      </c>
      <c r="R158">
        <v>3.268654E-2</v>
      </c>
      <c r="S158">
        <v>3.018005</v>
      </c>
      <c r="T158">
        <v>-0.17722739999999901</v>
      </c>
      <c r="U158">
        <v>-0.3571472</v>
      </c>
      <c r="V158">
        <v>-3.3013140000000003E-2</v>
      </c>
      <c r="W158">
        <v>3.500636E-2</v>
      </c>
      <c r="X158">
        <v>0.9988416</v>
      </c>
      <c r="Y158">
        <v>0.11699469999999999</v>
      </c>
      <c r="Z158">
        <v>-3.4011139999999998E-3</v>
      </c>
      <c r="AA158">
        <v>0.99312670000000003</v>
      </c>
      <c r="AB158">
        <v>35</v>
      </c>
      <c r="AC158">
        <v>19.313300000000002</v>
      </c>
      <c r="AD158">
        <v>-1.1531480000000001</v>
      </c>
      <c r="AE158">
        <v>-2.3244999999999401</v>
      </c>
      <c r="AF158">
        <v>2.31004363800084</v>
      </c>
      <c r="AG158">
        <v>-1.1531480000000001</v>
      </c>
      <c r="AH158">
        <v>19.246428449054001</v>
      </c>
      <c r="AI158">
        <v>93.404396535155996</v>
      </c>
      <c r="AJ158">
        <v>83.155840756781998</v>
      </c>
      <c r="AK158">
        <v>19.418832610739699</v>
      </c>
      <c r="AL158">
        <v>87.993873294529294</v>
      </c>
      <c r="AM158">
        <v>91.893018152652303</v>
      </c>
      <c r="AN158">
        <v>0.99999992727183196</v>
      </c>
    </row>
    <row r="159" spans="1:40" x14ac:dyDescent="0.3">
      <c r="A159" t="str">
        <f>"20200111153831420"</f>
        <v>20200111153831420</v>
      </c>
      <c r="B159" t="str">
        <f>"1578728311410258"</f>
        <v>1578728311410258</v>
      </c>
      <c r="C159" t="s">
        <v>40</v>
      </c>
      <c r="D159">
        <v>5.5153840000000001</v>
      </c>
      <c r="E159">
        <v>0.58477270000000003</v>
      </c>
      <c r="F159" t="s">
        <v>41</v>
      </c>
      <c r="G159">
        <v>-439.0455</v>
      </c>
      <c r="H159">
        <v>1.0420049999999901</v>
      </c>
      <c r="I159">
        <v>367.39150000000001</v>
      </c>
      <c r="J159">
        <v>-439.69900000000001</v>
      </c>
      <c r="K159">
        <v>1.102392</v>
      </c>
      <c r="L159">
        <v>367.5136</v>
      </c>
      <c r="M159">
        <v>0.99990780000000001</v>
      </c>
      <c r="N159">
        <v>0</v>
      </c>
      <c r="O159">
        <v>-3.3185559999999997E-4</v>
      </c>
      <c r="P159">
        <v>0.99922129999999998</v>
      </c>
      <c r="Q159">
        <v>2.1467449999999999E-2</v>
      </c>
      <c r="R159">
        <v>3.3109199999999998E-2</v>
      </c>
      <c r="S159">
        <v>3.018097</v>
      </c>
      <c r="T159">
        <v>-0.1791247</v>
      </c>
      <c r="U159">
        <v>-0.35595700000000002</v>
      </c>
      <c r="V159">
        <v>-3.3438889999999999E-2</v>
      </c>
      <c r="W159">
        <v>3.5042570000000002E-2</v>
      </c>
      <c r="X159">
        <v>0.99882629999999994</v>
      </c>
      <c r="Y159">
        <v>0.116597699999999</v>
      </c>
      <c r="Z159">
        <v>-3.425488E-3</v>
      </c>
      <c r="AA159">
        <v>0.99317330000000004</v>
      </c>
      <c r="AB159">
        <v>34</v>
      </c>
      <c r="AC159">
        <v>0.65350000000000796</v>
      </c>
      <c r="AD159">
        <v>-6.03870000000001E-2</v>
      </c>
      <c r="AE159">
        <v>-0.122099999999989</v>
      </c>
      <c r="AF159">
        <v>0.120885707807402</v>
      </c>
      <c r="AG159">
        <v>-6.03870000000001E-2</v>
      </c>
      <c r="AH159">
        <v>0.64819241325070398</v>
      </c>
      <c r="AI159">
        <v>95.232727297615497</v>
      </c>
      <c r="AJ159">
        <v>79.435890605525998</v>
      </c>
      <c r="AK159">
        <v>0.66212789453161403</v>
      </c>
      <c r="AL159">
        <v>87.991797605807605</v>
      </c>
      <c r="AM159">
        <v>91.917442476014003</v>
      </c>
      <c r="AN159">
        <v>1.00000005932416</v>
      </c>
    </row>
    <row r="160" spans="1:40" x14ac:dyDescent="0.3">
      <c r="A160" t="str">
        <f>"20200111153831440"</f>
        <v>20200111153831440</v>
      </c>
      <c r="B160" t="str">
        <f>"1578728311430755"</f>
        <v>1578728311430755</v>
      </c>
      <c r="C160" t="s">
        <v>40</v>
      </c>
      <c r="D160">
        <v>5.4747199999999996</v>
      </c>
      <c r="E160">
        <v>0.58417989999999997</v>
      </c>
      <c r="F160" t="s">
        <v>43</v>
      </c>
      <c r="G160">
        <v>-424.29840000000002</v>
      </c>
      <c r="H160">
        <v>-0.05</v>
      </c>
      <c r="I160">
        <v>364.58870000000002</v>
      </c>
      <c r="J160">
        <v>-439.37049999999999</v>
      </c>
      <c r="K160">
        <v>1.1015189999999999</v>
      </c>
      <c r="L160">
        <v>367.51350000000002</v>
      </c>
      <c r="M160">
        <v>0.99988679999999996</v>
      </c>
      <c r="N160">
        <v>0</v>
      </c>
      <c r="O160">
        <v>-3.3281309999999998E-4</v>
      </c>
      <c r="P160">
        <v>0.99923030000000002</v>
      </c>
      <c r="Q160">
        <v>2.0451130000000001E-2</v>
      </c>
      <c r="R160">
        <v>3.3475650000000003E-2</v>
      </c>
      <c r="S160">
        <v>3.0262150000000001</v>
      </c>
      <c r="T160">
        <v>-0.2264449</v>
      </c>
      <c r="U160">
        <v>-0.57473750000000001</v>
      </c>
      <c r="V160">
        <v>-3.3806530000000001E-2</v>
      </c>
      <c r="W160">
        <v>3.5485280000000001E-2</v>
      </c>
      <c r="X160">
        <v>0.99879830000000003</v>
      </c>
      <c r="Y160">
        <v>0.18575710000000001</v>
      </c>
      <c r="Z160">
        <v>-6.8543140000000002E-3</v>
      </c>
      <c r="AA160">
        <v>0.9825718</v>
      </c>
      <c r="AB160">
        <v>34</v>
      </c>
      <c r="AC160">
        <v>15.072099999999899</v>
      </c>
      <c r="AD160">
        <v>-1.151519</v>
      </c>
      <c r="AE160">
        <v>-2.9247999999999998</v>
      </c>
      <c r="AF160">
        <v>2.90345047832546</v>
      </c>
      <c r="AG160">
        <v>-1.151519</v>
      </c>
      <c r="AH160">
        <v>14.9887573607986</v>
      </c>
      <c r="AI160">
        <v>94.313280909420996</v>
      </c>
      <c r="AJ160">
        <v>79.037092229151398</v>
      </c>
      <c r="AK160">
        <v>15.3107435452477</v>
      </c>
      <c r="AL160">
        <v>87.966416418532802</v>
      </c>
      <c r="AM160">
        <v>91.938561880522201</v>
      </c>
      <c r="AN160">
        <v>1.0000000653251</v>
      </c>
    </row>
    <row r="161" spans="1:40" x14ac:dyDescent="0.3">
      <c r="A161" t="str">
        <f>"20200111153831462"</f>
        <v>20200111153831462</v>
      </c>
      <c r="B161" t="str">
        <f>"1578728311450277"</f>
        <v>1578728311450277</v>
      </c>
      <c r="C161" t="s">
        <v>40</v>
      </c>
      <c r="D161">
        <v>5.5092019999999904</v>
      </c>
      <c r="E161">
        <v>0.58312169999999997</v>
      </c>
      <c r="F161" t="s">
        <v>41</v>
      </c>
      <c r="G161">
        <v>-438.44189999999998</v>
      </c>
      <c r="H161">
        <v>1.0143850000000001</v>
      </c>
      <c r="I161">
        <v>367.33879999999999</v>
      </c>
      <c r="J161">
        <v>-439.03879999999998</v>
      </c>
      <c r="K161">
        <v>1.100455</v>
      </c>
      <c r="L161">
        <v>367.51339999999999</v>
      </c>
      <c r="M161">
        <v>0.99985590000000002</v>
      </c>
      <c r="N161">
        <v>0</v>
      </c>
      <c r="O161">
        <v>-3.3383410000000001E-4</v>
      </c>
      <c r="P161">
        <v>0.99926079999999995</v>
      </c>
      <c r="Q161">
        <v>1.8632409999999999E-2</v>
      </c>
      <c r="R161">
        <v>3.3627570000000002E-2</v>
      </c>
      <c r="S161">
        <v>3.0272220000000001</v>
      </c>
      <c r="T161">
        <v>-0.28419299999999997</v>
      </c>
      <c r="U161">
        <v>-0.56872559999999905</v>
      </c>
      <c r="V161">
        <v>-3.3959759999999999E-2</v>
      </c>
      <c r="W161">
        <v>3.5588689999999999E-2</v>
      </c>
      <c r="X161">
        <v>0.99878940000000005</v>
      </c>
      <c r="Y161">
        <v>0.183534</v>
      </c>
      <c r="Z161">
        <v>-8.4910409999999995E-3</v>
      </c>
      <c r="AA161">
        <v>0.98297670000000004</v>
      </c>
      <c r="AB161">
        <v>34</v>
      </c>
      <c r="AC161">
        <v>0.59690000000000498</v>
      </c>
      <c r="AD161">
        <v>-8.6069999999999799E-2</v>
      </c>
      <c r="AE161">
        <v>-0.17459999999999801</v>
      </c>
      <c r="AF161">
        <v>0.17112310970519001</v>
      </c>
      <c r="AG161">
        <v>-8.6069999999999799E-2</v>
      </c>
      <c r="AH161">
        <v>0.58573937263110898</v>
      </c>
      <c r="AI161">
        <v>98.0284088009046</v>
      </c>
      <c r="AJ161">
        <v>73.714335178875302</v>
      </c>
      <c r="AK161">
        <v>0.61626437202345197</v>
      </c>
      <c r="AL161">
        <v>87.960487671714702</v>
      </c>
      <c r="AM161">
        <v>91.947359110548007</v>
      </c>
      <c r="AN161">
        <v>1.0000000428537601</v>
      </c>
    </row>
    <row r="162" spans="1:40" x14ac:dyDescent="0.3">
      <c r="A162" t="str">
        <f>"20200111153831484"</f>
        <v>20200111153831484</v>
      </c>
      <c r="B162" t="str">
        <f>"1578728311480530"</f>
        <v>1578728311480530</v>
      </c>
      <c r="C162" t="s">
        <v>40</v>
      </c>
      <c r="D162">
        <v>5.4600580000000001</v>
      </c>
      <c r="E162">
        <v>0.58245959999999997</v>
      </c>
      <c r="F162" t="s">
        <v>41</v>
      </c>
      <c r="G162">
        <v>-438.14229999999998</v>
      </c>
      <c r="H162">
        <v>1.0074540000000001</v>
      </c>
      <c r="I162">
        <v>367.3476</v>
      </c>
      <c r="J162">
        <v>-438.70960000000002</v>
      </c>
      <c r="K162">
        <v>1.099207</v>
      </c>
      <c r="L162">
        <v>367.51330000000002</v>
      </c>
      <c r="M162">
        <v>0.9998186</v>
      </c>
      <c r="N162">
        <v>0</v>
      </c>
      <c r="O162">
        <v>-3.3624529999999998E-4</v>
      </c>
      <c r="P162">
        <v>0.99929820000000003</v>
      </c>
      <c r="Q162">
        <v>1.681392E-2</v>
      </c>
      <c r="R162">
        <v>3.3474530000000002E-2</v>
      </c>
      <c r="S162">
        <v>3.0269170000000001</v>
      </c>
      <c r="T162">
        <v>-0.3141409</v>
      </c>
      <c r="U162">
        <v>-0.55957029999999996</v>
      </c>
      <c r="V162">
        <v>-3.3808940000000003E-2</v>
      </c>
      <c r="W162">
        <v>3.5846009999999998E-2</v>
      </c>
      <c r="X162">
        <v>0.99878529999999999</v>
      </c>
      <c r="Y162">
        <v>0.18051809999999999</v>
      </c>
      <c r="Z162">
        <v>-9.2298339999999993E-3</v>
      </c>
      <c r="AA162">
        <v>0.98352839999999997</v>
      </c>
      <c r="AB162">
        <v>34</v>
      </c>
      <c r="AC162">
        <v>0.56730000000004499</v>
      </c>
      <c r="AD162">
        <v>-9.1752999999999904E-2</v>
      </c>
      <c r="AE162">
        <v>-0.165700000000015</v>
      </c>
      <c r="AF162">
        <v>0.16161392639184199</v>
      </c>
      <c r="AG162">
        <v>-9.1752999999999904E-2</v>
      </c>
      <c r="AH162">
        <v>0.55400291398151702</v>
      </c>
      <c r="AI162">
        <v>99.033912915719299</v>
      </c>
      <c r="AJ162">
        <v>73.736960418067895</v>
      </c>
      <c r="AK162">
        <v>0.58434313798726201</v>
      </c>
      <c r="AL162">
        <v>87.945734878890704</v>
      </c>
      <c r="AM162">
        <v>91.9387251857666</v>
      </c>
      <c r="AN162">
        <v>1.0000000281764601</v>
      </c>
    </row>
    <row r="163" spans="1:40" x14ac:dyDescent="0.3">
      <c r="A163" t="str">
        <f>"20200111153831507"</f>
        <v>20200111153831507</v>
      </c>
      <c r="B163" t="str">
        <f>"1578728311500051"</f>
        <v>1578728311500051</v>
      </c>
      <c r="C163" t="s">
        <v>40</v>
      </c>
      <c r="D163">
        <v>5.4281699999999997</v>
      </c>
      <c r="E163">
        <v>0.58259050000000001</v>
      </c>
      <c r="F163" t="s">
        <v>41</v>
      </c>
      <c r="G163">
        <v>-437.83850000000001</v>
      </c>
      <c r="H163">
        <v>1.0039290000000001</v>
      </c>
      <c r="I163">
        <v>367.35340000000002</v>
      </c>
      <c r="J163">
        <v>-438.35210000000001</v>
      </c>
      <c r="K163">
        <v>1.0976159999999999</v>
      </c>
      <c r="L163">
        <v>367.51319999999998</v>
      </c>
      <c r="M163">
        <v>0.9997798</v>
      </c>
      <c r="N163">
        <v>0</v>
      </c>
      <c r="O163">
        <v>-3.4090690000000001E-4</v>
      </c>
      <c r="P163">
        <v>0.99934699999999999</v>
      </c>
      <c r="Q163">
        <v>1.487606E-2</v>
      </c>
      <c r="R163">
        <v>3.2932929999999999E-2</v>
      </c>
      <c r="S163">
        <v>3.0262760000000002</v>
      </c>
      <c r="T163">
        <v>-0.33113989999999999</v>
      </c>
      <c r="U163">
        <v>-0.55477909999999997</v>
      </c>
      <c r="V163">
        <v>-3.3272199999999898E-2</v>
      </c>
      <c r="W163">
        <v>3.5846959999999997E-2</v>
      </c>
      <c r="X163">
        <v>0.99880329999999995</v>
      </c>
      <c r="Y163">
        <v>0.178949</v>
      </c>
      <c r="Z163">
        <v>-9.6444570000000004E-3</v>
      </c>
      <c r="AA163">
        <v>0.98381110000000005</v>
      </c>
      <c r="AB163">
        <v>34</v>
      </c>
      <c r="AC163">
        <v>0.51359999999999595</v>
      </c>
      <c r="AD163">
        <v>-9.3686999999999798E-2</v>
      </c>
      <c r="AE163">
        <v>-0.159799999999961</v>
      </c>
      <c r="AF163">
        <v>0.154924841698236</v>
      </c>
      <c r="AG163">
        <v>-9.3686999999999798E-2</v>
      </c>
      <c r="AH163">
        <v>0.49853033277136599</v>
      </c>
      <c r="AI163">
        <v>100.17402889053901</v>
      </c>
      <c r="AJ163">
        <v>72.736682300094401</v>
      </c>
      <c r="AK163">
        <v>0.53038802139316099</v>
      </c>
      <c r="AL163">
        <v>87.945680433009102</v>
      </c>
      <c r="AM163">
        <v>91.907935172989298</v>
      </c>
      <c r="AN163">
        <v>1.00000003796248</v>
      </c>
    </row>
    <row r="164" spans="1:40" x14ac:dyDescent="0.3">
      <c r="A164" t="str">
        <f>"20200111153831530"</f>
        <v>20200111153831530</v>
      </c>
      <c r="B164" t="str">
        <f>"1578728311520546"</f>
        <v>1578728311520546</v>
      </c>
      <c r="C164" t="s">
        <v>40</v>
      </c>
      <c r="D164">
        <v>5.1676630000000001</v>
      </c>
      <c r="E164">
        <v>0.58588839999999998</v>
      </c>
      <c r="F164" t="s">
        <v>41</v>
      </c>
      <c r="G164">
        <v>-437.53179999999998</v>
      </c>
      <c r="H164">
        <v>1.005428</v>
      </c>
      <c r="I164">
        <v>367.36189999999999</v>
      </c>
      <c r="J164">
        <v>-438.0009</v>
      </c>
      <c r="K164">
        <v>1.0958129999999999</v>
      </c>
      <c r="L164">
        <v>367.51310000000001</v>
      </c>
      <c r="M164">
        <v>0.99975029999999998</v>
      </c>
      <c r="N164">
        <v>0</v>
      </c>
      <c r="O164">
        <v>-3.4614679999999998E-4</v>
      </c>
      <c r="P164">
        <v>0.99938570000000004</v>
      </c>
      <c r="Q164">
        <v>1.330196E-2</v>
      </c>
      <c r="R164">
        <v>3.243302E-2</v>
      </c>
      <c r="S164">
        <v>3.0253909999999999</v>
      </c>
      <c r="T164">
        <v>-0.3400936</v>
      </c>
      <c r="U164">
        <v>-0.55749510000000002</v>
      </c>
      <c r="V164">
        <v>-3.2777609999999999E-2</v>
      </c>
      <c r="W164">
        <v>3.5634430000000002E-2</v>
      </c>
      <c r="X164">
        <v>0.99882720000000003</v>
      </c>
      <c r="Y164">
        <v>0.17978729999999901</v>
      </c>
      <c r="Z164">
        <v>-9.9517059999999994E-3</v>
      </c>
      <c r="AA164">
        <v>0.98365519999999995</v>
      </c>
      <c r="AB164">
        <v>34</v>
      </c>
      <c r="AC164">
        <v>0.469100000000025</v>
      </c>
      <c r="AD164">
        <v>-9.0384999999999896E-2</v>
      </c>
      <c r="AE164">
        <v>-0.15120000000001699</v>
      </c>
      <c r="AF164">
        <v>0.14612333989543799</v>
      </c>
      <c r="AG164">
        <v>-9.0384999999999896E-2</v>
      </c>
      <c r="AH164">
        <v>0.45388775079244298</v>
      </c>
      <c r="AI164">
        <v>100.73331437359199</v>
      </c>
      <c r="AJ164">
        <v>72.154702998807196</v>
      </c>
      <c r="AK164">
        <v>0.48532006862133897</v>
      </c>
      <c r="AL164">
        <v>87.957865170883807</v>
      </c>
      <c r="AM164">
        <v>91.879549342507801</v>
      </c>
      <c r="AN164">
        <v>0.99999997988928802</v>
      </c>
    </row>
    <row r="165" spans="1:40" x14ac:dyDescent="0.3">
      <c r="A165" t="str">
        <f>"20200111153831552"</f>
        <v>20200111153831552</v>
      </c>
      <c r="B165" t="str">
        <f>"1578728311540067"</f>
        <v>1578728311540067</v>
      </c>
      <c r="C165" t="s">
        <v>40</v>
      </c>
      <c r="D165">
        <v>5.4316250000000004</v>
      </c>
      <c r="E165">
        <v>0.5869837</v>
      </c>
      <c r="F165" t="s">
        <v>41</v>
      </c>
      <c r="G165">
        <v>-437.21699999999998</v>
      </c>
      <c r="H165">
        <v>1.0162329999999999</v>
      </c>
      <c r="I165">
        <v>367.3612</v>
      </c>
      <c r="J165">
        <v>-437.6653</v>
      </c>
      <c r="K165">
        <v>1.0939030000000001</v>
      </c>
      <c r="L165">
        <v>367.5129</v>
      </c>
      <c r="M165">
        <v>0.99972749999999999</v>
      </c>
      <c r="N165">
        <v>0</v>
      </c>
      <c r="O165">
        <v>-3.5120570000000002E-4</v>
      </c>
      <c r="P165">
        <v>0.99940059999999997</v>
      </c>
      <c r="Q165">
        <v>1.234447E-2</v>
      </c>
      <c r="R165">
        <v>3.235275E-2</v>
      </c>
      <c r="S165">
        <v>3.024902</v>
      </c>
      <c r="T165">
        <v>-0.3071374</v>
      </c>
      <c r="U165">
        <v>-0.58523559999999997</v>
      </c>
      <c r="V165">
        <v>-3.2702780000000001E-2</v>
      </c>
      <c r="W165">
        <v>3.5670649999999998E-2</v>
      </c>
      <c r="X165">
        <v>0.99882839999999995</v>
      </c>
      <c r="Y165">
        <v>0.1886718</v>
      </c>
      <c r="Z165">
        <v>-9.4315949999999992E-3</v>
      </c>
      <c r="AA165">
        <v>0.9819949</v>
      </c>
      <c r="AB165">
        <v>34</v>
      </c>
      <c r="AC165">
        <v>0.44830000000001702</v>
      </c>
      <c r="AD165">
        <v>-7.76700000000001E-2</v>
      </c>
      <c r="AE165">
        <v>-0.151700000000005</v>
      </c>
      <c r="AF165">
        <v>0.147568039118117</v>
      </c>
      <c r="AG165">
        <v>-7.76700000000001E-2</v>
      </c>
      <c r="AH165">
        <v>0.43659442825996098</v>
      </c>
      <c r="AI165">
        <v>99.566339551316005</v>
      </c>
      <c r="AJ165">
        <v>71.324850106344599</v>
      </c>
      <c r="AK165">
        <v>0.46735816014787701</v>
      </c>
      <c r="AL165">
        <v>87.955788679279706</v>
      </c>
      <c r="AM165">
        <v>91.875259220822102</v>
      </c>
      <c r="AN165">
        <v>1.0000000198688499</v>
      </c>
    </row>
    <row r="166" spans="1:40" x14ac:dyDescent="0.3">
      <c r="A166" t="str">
        <f>"20200111153831575"</f>
        <v>20200111153831575</v>
      </c>
      <c r="B166" t="str">
        <f>"1578728311570322"</f>
        <v>1578728311570322</v>
      </c>
      <c r="C166" t="s">
        <v>40</v>
      </c>
      <c r="D166">
        <v>5.4190239999999896</v>
      </c>
      <c r="E166">
        <v>0.58657720000000002</v>
      </c>
      <c r="F166" t="s">
        <v>43</v>
      </c>
      <c r="G166">
        <v>-426.06060000000002</v>
      </c>
      <c r="H166">
        <v>-0.05</v>
      </c>
      <c r="I166">
        <v>365.2328</v>
      </c>
      <c r="J166">
        <v>-437.32909999999998</v>
      </c>
      <c r="K166">
        <v>1.0918399999999999</v>
      </c>
      <c r="L166">
        <v>367.51280000000003</v>
      </c>
      <c r="M166">
        <v>0.9997085</v>
      </c>
      <c r="N166">
        <v>0</v>
      </c>
      <c r="O166">
        <v>-3.5467339999999998E-4</v>
      </c>
      <c r="P166">
        <v>0.99943090000000001</v>
      </c>
      <c r="Q166">
        <v>1.1822310000000001E-2</v>
      </c>
      <c r="R166">
        <v>3.1596579999999999E-2</v>
      </c>
      <c r="S166">
        <v>3.0247190000000002</v>
      </c>
      <c r="T166">
        <v>-0.29815570000000002</v>
      </c>
      <c r="U166">
        <v>-0.59429929999999997</v>
      </c>
      <c r="V166">
        <v>-3.1949459999999999E-2</v>
      </c>
      <c r="W166">
        <v>3.5949889999999998E-2</v>
      </c>
      <c r="X166">
        <v>0.99884280000000003</v>
      </c>
      <c r="Y166">
        <v>0.19155430000000001</v>
      </c>
      <c r="Z166">
        <v>-9.2951059999999992E-3</v>
      </c>
      <c r="AA166">
        <v>0.98143800000000003</v>
      </c>
      <c r="AB166">
        <v>34</v>
      </c>
      <c r="AC166">
        <v>11.2684999999999</v>
      </c>
      <c r="AD166">
        <v>-1.14184</v>
      </c>
      <c r="AE166">
        <v>-2.2800000000000198</v>
      </c>
      <c r="AF166">
        <v>2.2537708617910002</v>
      </c>
      <c r="AG166">
        <v>-1.14184</v>
      </c>
      <c r="AH166">
        <v>11.159233519208</v>
      </c>
      <c r="AI166">
        <v>95.7274599449308</v>
      </c>
      <c r="AJ166">
        <v>78.581871009317396</v>
      </c>
      <c r="AK166">
        <v>11.4416683407305</v>
      </c>
      <c r="AL166">
        <v>87.939779201512593</v>
      </c>
      <c r="AM166">
        <v>91.832065358510704</v>
      </c>
      <c r="AN166">
        <v>1.00000005084857</v>
      </c>
    </row>
    <row r="167" spans="1:40" x14ac:dyDescent="0.3">
      <c r="A167" t="str">
        <f>"20200111153831596"</f>
        <v>20200111153831596</v>
      </c>
      <c r="B167" t="str">
        <f>"1578728311590820"</f>
        <v>1578728311590820</v>
      </c>
      <c r="C167" t="s">
        <v>40</v>
      </c>
      <c r="D167">
        <v>5.3883279999999996</v>
      </c>
      <c r="E167">
        <v>0.58656839999999999</v>
      </c>
      <c r="F167" t="s">
        <v>41</v>
      </c>
      <c r="G167">
        <v>-436.60340000000002</v>
      </c>
      <c r="H167">
        <v>1.017685</v>
      </c>
      <c r="I167">
        <v>367.37</v>
      </c>
      <c r="J167">
        <v>-436.9991</v>
      </c>
      <c r="K167">
        <v>1.089642</v>
      </c>
      <c r="L167">
        <v>367.5127</v>
      </c>
      <c r="M167">
        <v>0.99969549999999996</v>
      </c>
      <c r="N167">
        <v>0</v>
      </c>
      <c r="O167">
        <v>-3.5765129999999903E-4</v>
      </c>
      <c r="P167">
        <v>0.99944710000000003</v>
      </c>
      <c r="Q167">
        <v>1.130604E-2</v>
      </c>
      <c r="R167">
        <v>3.1274969999999999E-2</v>
      </c>
      <c r="S167">
        <v>3.0241090000000002</v>
      </c>
      <c r="T167">
        <v>-0.30928050000000001</v>
      </c>
      <c r="U167">
        <v>-0.593261699999999</v>
      </c>
      <c r="V167">
        <v>-3.1630800000000001E-2</v>
      </c>
      <c r="W167">
        <v>3.5968E-2</v>
      </c>
      <c r="X167">
        <v>0.99885230000000003</v>
      </c>
      <c r="Y167">
        <v>0.19119820000000001</v>
      </c>
      <c r="Z167">
        <v>-9.6241299999999998E-3</v>
      </c>
      <c r="AA167">
        <v>0.9815043</v>
      </c>
      <c r="AB167">
        <v>34</v>
      </c>
      <c r="AC167">
        <v>0.39569999999997602</v>
      </c>
      <c r="AD167">
        <v>-7.1956999999999993E-2</v>
      </c>
      <c r="AE167">
        <v>-0.14269999999999</v>
      </c>
      <c r="AF167">
        <v>0.138505371778301</v>
      </c>
      <c r="AG167">
        <v>-7.1956999999999993E-2</v>
      </c>
      <c r="AH167">
        <v>0.38449949960228802</v>
      </c>
      <c r="AI167">
        <v>99.985691508932803</v>
      </c>
      <c r="AJ167">
        <v>70.189838656548503</v>
      </c>
      <c r="AK167">
        <v>0.414971581020743</v>
      </c>
      <c r="AL167">
        <v>87.938740924171796</v>
      </c>
      <c r="AM167">
        <v>91.813787590755695</v>
      </c>
      <c r="AN167">
        <v>1.0000000608739601</v>
      </c>
    </row>
    <row r="168" spans="1:40" x14ac:dyDescent="0.3">
      <c r="A168" t="str">
        <f>"20200111153831620"</f>
        <v>20200111153831620</v>
      </c>
      <c r="B168" t="str">
        <f>"1578728311610338"</f>
        <v>1578728311610338</v>
      </c>
      <c r="C168" t="s">
        <v>40</v>
      </c>
      <c r="D168">
        <v>5.4012070000000003</v>
      </c>
      <c r="E168">
        <v>0.5866268</v>
      </c>
      <c r="F168" t="s">
        <v>43</v>
      </c>
      <c r="G168">
        <v>-426.00080000000003</v>
      </c>
      <c r="H168">
        <v>-0.05</v>
      </c>
      <c r="I168">
        <v>365.35090000000002</v>
      </c>
      <c r="J168">
        <v>-436.64280000000002</v>
      </c>
      <c r="K168">
        <v>1.0870839999999999</v>
      </c>
      <c r="L168">
        <v>367.51249999999999</v>
      </c>
      <c r="M168">
        <v>0.99968919999999994</v>
      </c>
      <c r="N168">
        <v>0</v>
      </c>
      <c r="O168">
        <v>-3.6081850000000001E-4</v>
      </c>
      <c r="P168">
        <v>0.99945510000000004</v>
      </c>
      <c r="Q168">
        <v>1.0875640000000001E-2</v>
      </c>
      <c r="R168">
        <v>3.1169180000000001E-2</v>
      </c>
      <c r="S168">
        <v>3.0237430000000001</v>
      </c>
      <c r="T168">
        <v>-0.31331880000000001</v>
      </c>
      <c r="U168">
        <v>-0.59432980000000002</v>
      </c>
      <c r="V168">
        <v>-3.1528130000000001E-2</v>
      </c>
      <c r="W168">
        <v>3.5791209999999997E-2</v>
      </c>
      <c r="X168">
        <v>0.99886180000000002</v>
      </c>
      <c r="Y168">
        <v>0.19152449999999999</v>
      </c>
      <c r="Z168">
        <v>-9.76635E-3</v>
      </c>
      <c r="AA168">
        <v>0.98143919999999996</v>
      </c>
      <c r="AB168">
        <v>34</v>
      </c>
      <c r="AC168">
        <v>10.6419999999999</v>
      </c>
      <c r="AD168">
        <v>-1.137084</v>
      </c>
      <c r="AE168">
        <v>-2.16159999999996</v>
      </c>
      <c r="AF168">
        <v>2.13435713098808</v>
      </c>
      <c r="AG168">
        <v>-1.137084</v>
      </c>
      <c r="AH168">
        <v>10.527354557547101</v>
      </c>
      <c r="AI168">
        <v>96.042744454571604</v>
      </c>
      <c r="AJ168">
        <v>78.538979294971099</v>
      </c>
      <c r="AK168">
        <v>10.801557034333699</v>
      </c>
      <c r="AL168">
        <v>87.948876573139302</v>
      </c>
      <c r="AM168">
        <v>91.807886971481494</v>
      </c>
      <c r="AN168">
        <v>0.99999996459689899</v>
      </c>
    </row>
    <row r="169" spans="1:40" x14ac:dyDescent="0.3">
      <c r="A169" t="str">
        <f>"20200111153831641"</f>
        <v>20200111153831641</v>
      </c>
      <c r="B169" t="str">
        <f>"1578728311630837"</f>
        <v>1578728311630837</v>
      </c>
      <c r="C169" t="s">
        <v>40</v>
      </c>
      <c r="D169">
        <v>5.342695</v>
      </c>
      <c r="E169">
        <v>0.58651629999999999</v>
      </c>
      <c r="F169" t="s">
        <v>43</v>
      </c>
      <c r="G169">
        <v>-425.80990000000003</v>
      </c>
      <c r="H169">
        <v>-0.05</v>
      </c>
      <c r="I169">
        <v>365.37950000000001</v>
      </c>
      <c r="J169">
        <v>-436.30959999999999</v>
      </c>
      <c r="K169">
        <v>1.0845590000000001</v>
      </c>
      <c r="L169">
        <v>367.51240000000001</v>
      </c>
      <c r="M169">
        <v>0.99968999999999997</v>
      </c>
      <c r="N169">
        <v>0</v>
      </c>
      <c r="O169">
        <v>-3.6331090000000003E-4</v>
      </c>
      <c r="P169">
        <v>0.99945119999999998</v>
      </c>
      <c r="Q169">
        <v>1.083491E-2</v>
      </c>
      <c r="R169">
        <v>3.1303490000000003E-2</v>
      </c>
      <c r="S169">
        <v>3.023682</v>
      </c>
      <c r="T169">
        <v>-0.31738420000000001</v>
      </c>
      <c r="U169">
        <v>-0.59536739999999999</v>
      </c>
      <c r="V169">
        <v>-3.166443E-2</v>
      </c>
      <c r="W169">
        <v>3.5719250000000001E-2</v>
      </c>
      <c r="X169">
        <v>0.99886010000000003</v>
      </c>
      <c r="Y169">
        <v>0.19182279999999999</v>
      </c>
      <c r="Z169">
        <v>-9.9074799999999998E-3</v>
      </c>
      <c r="AA169">
        <v>0.98137960000000002</v>
      </c>
      <c r="AB169">
        <v>34</v>
      </c>
      <c r="AC169">
        <v>10.499699999999899</v>
      </c>
      <c r="AD169">
        <v>-1.1345590000000001</v>
      </c>
      <c r="AE169">
        <v>-2.1328999999999998</v>
      </c>
      <c r="AF169">
        <v>2.1054744077587002</v>
      </c>
      <c r="AG169">
        <v>-1.1345590000000001</v>
      </c>
      <c r="AH169">
        <v>10.384033702307001</v>
      </c>
      <c r="AI169">
        <v>96.111997778428005</v>
      </c>
      <c r="AJ169">
        <v>78.538053371050594</v>
      </c>
      <c r="AK169">
        <v>10.655909277807099</v>
      </c>
      <c r="AL169">
        <v>87.953002288437801</v>
      </c>
      <c r="AM169">
        <v>91.815700557965897</v>
      </c>
      <c r="AN169">
        <v>1.0000000001598901</v>
      </c>
    </row>
    <row r="170" spans="1:40" x14ac:dyDescent="0.3">
      <c r="A170" t="str">
        <f>"20200111153831664"</f>
        <v>20200111153831664</v>
      </c>
      <c r="B170" t="str">
        <f>"1578728311660116"</f>
        <v>1578728311660116</v>
      </c>
      <c r="C170" t="s">
        <v>40</v>
      </c>
      <c r="D170">
        <v>5.3589399999999996</v>
      </c>
      <c r="E170">
        <v>0.58649430000000002</v>
      </c>
      <c r="F170" t="s">
        <v>41</v>
      </c>
      <c r="G170">
        <v>-435.39859999999999</v>
      </c>
      <c r="H170">
        <v>0.98817520000000003</v>
      </c>
      <c r="I170">
        <v>367.33300000000003</v>
      </c>
      <c r="J170">
        <v>-435.97949999999997</v>
      </c>
      <c r="K170">
        <v>1.0819669999999999</v>
      </c>
      <c r="L170">
        <v>367.51220000000001</v>
      </c>
      <c r="M170">
        <v>0.99969410000000003</v>
      </c>
      <c r="N170">
        <v>0</v>
      </c>
      <c r="O170">
        <v>-3.6433009999999998E-4</v>
      </c>
      <c r="P170">
        <v>0.99943910000000002</v>
      </c>
      <c r="Q170">
        <v>1.131682E-2</v>
      </c>
      <c r="R170">
        <v>3.1526209999999999E-2</v>
      </c>
      <c r="S170">
        <v>3.0237120000000002</v>
      </c>
      <c r="T170">
        <v>-0.32011620000000002</v>
      </c>
      <c r="U170">
        <v>-0.59390259999999995</v>
      </c>
      <c r="V170">
        <v>-3.1888880000000001E-2</v>
      </c>
      <c r="W170">
        <v>3.6032799999999997E-2</v>
      </c>
      <c r="X170">
        <v>0.99884170000000005</v>
      </c>
      <c r="Y170">
        <v>0.1913472</v>
      </c>
      <c r="Z170">
        <v>-9.9676899999999995E-3</v>
      </c>
      <c r="AA170">
        <v>0.98147180000000001</v>
      </c>
      <c r="AB170">
        <v>34</v>
      </c>
      <c r="AC170">
        <v>0.58089999999998498</v>
      </c>
      <c r="AD170">
        <v>-9.37917999999998E-2</v>
      </c>
      <c r="AE170">
        <v>-0.17919999999997999</v>
      </c>
      <c r="AF170">
        <v>0.17482672925205001</v>
      </c>
      <c r="AG170">
        <v>-9.37917999999998E-2</v>
      </c>
      <c r="AH170">
        <v>0.56745757644441897</v>
      </c>
      <c r="AI170">
        <v>98.976143509579501</v>
      </c>
      <c r="AJ170">
        <v>72.876575576046207</v>
      </c>
      <c r="AK170">
        <v>0.60114007358716604</v>
      </c>
      <c r="AL170">
        <v>87.935025629027294</v>
      </c>
      <c r="AM170">
        <v>91.828595916371796</v>
      </c>
      <c r="AN170">
        <v>1.0000000025011899</v>
      </c>
    </row>
    <row r="171" spans="1:40" x14ac:dyDescent="0.3">
      <c r="A171" t="str">
        <f>"20200111153831687"</f>
        <v>20200111153831687</v>
      </c>
      <c r="B171" t="str">
        <f>"1578728311680611"</f>
        <v>1578728311680611</v>
      </c>
      <c r="C171" t="s">
        <v>40</v>
      </c>
      <c r="D171">
        <v>5.3236239999999997</v>
      </c>
      <c r="E171">
        <v>0.58660190000000001</v>
      </c>
      <c r="F171" t="s">
        <v>41</v>
      </c>
      <c r="G171">
        <v>-435.09750000000003</v>
      </c>
      <c r="H171">
        <v>0.98784760000000005</v>
      </c>
      <c r="I171">
        <v>367.33940000000001</v>
      </c>
      <c r="J171">
        <v>-435.62740000000002</v>
      </c>
      <c r="K171">
        <v>1.079175</v>
      </c>
      <c r="L171">
        <v>367.51209999999998</v>
      </c>
      <c r="M171">
        <v>0.9997007</v>
      </c>
      <c r="N171">
        <v>0</v>
      </c>
      <c r="O171">
        <v>-3.664351E-4</v>
      </c>
      <c r="P171">
        <v>0.99941579999999997</v>
      </c>
      <c r="Q171">
        <v>1.1770630000000001E-2</v>
      </c>
      <c r="R171">
        <v>3.2090340000000002E-2</v>
      </c>
      <c r="S171">
        <v>3.0240779999999998</v>
      </c>
      <c r="T171">
        <v>-0.32267269999999998</v>
      </c>
      <c r="U171">
        <v>-0.59289550000000002</v>
      </c>
      <c r="V171">
        <v>-3.2454480000000001E-2</v>
      </c>
      <c r="W171">
        <v>3.622247E-2</v>
      </c>
      <c r="X171">
        <v>0.99881660000000005</v>
      </c>
      <c r="Y171">
        <v>0.19099350000000001</v>
      </c>
      <c r="Z171">
        <v>-1.002713E-2</v>
      </c>
      <c r="AA171">
        <v>0.98154010000000003</v>
      </c>
      <c r="AB171">
        <v>34</v>
      </c>
      <c r="AC171">
        <v>0.52989999999999704</v>
      </c>
      <c r="AD171">
        <v>-9.1327399999999906E-2</v>
      </c>
      <c r="AE171">
        <v>-0.17269999999996299</v>
      </c>
      <c r="AF171">
        <v>0.16799479020278399</v>
      </c>
      <c r="AG171">
        <v>-9.1327399999999906E-2</v>
      </c>
      <c r="AH171">
        <v>0.51610490978578905</v>
      </c>
      <c r="AI171">
        <v>99.5514203693442</v>
      </c>
      <c r="AJ171">
        <v>71.969665955588894</v>
      </c>
      <c r="AK171">
        <v>0.55038824608728298</v>
      </c>
      <c r="AL171">
        <v>87.924151193912394</v>
      </c>
      <c r="AM171">
        <v>91.861053098876596</v>
      </c>
      <c r="AN171">
        <v>0.99999998052026495</v>
      </c>
    </row>
    <row r="172" spans="1:40" x14ac:dyDescent="0.3">
      <c r="A172" t="str">
        <f>"20200111153831709"</f>
        <v>20200111153831709</v>
      </c>
      <c r="B172" t="str">
        <f>"1578728311700130"</f>
        <v>1578728311700130</v>
      </c>
      <c r="C172" t="s">
        <v>40</v>
      </c>
      <c r="D172">
        <v>5.281244</v>
      </c>
      <c r="E172">
        <v>0.58677019999999902</v>
      </c>
      <c r="F172" t="s">
        <v>41</v>
      </c>
      <c r="G172">
        <v>-434.79500000000002</v>
      </c>
      <c r="H172">
        <v>0.99064419999999997</v>
      </c>
      <c r="I172">
        <v>367.34879999999998</v>
      </c>
      <c r="J172">
        <v>-435.2835</v>
      </c>
      <c r="K172">
        <v>1.0764629999999999</v>
      </c>
      <c r="L172">
        <v>367.51190000000003</v>
      </c>
      <c r="M172">
        <v>0.99970999999999999</v>
      </c>
      <c r="N172">
        <v>0</v>
      </c>
      <c r="O172">
        <v>-3.7041720000000002E-4</v>
      </c>
      <c r="P172">
        <v>0.99939</v>
      </c>
      <c r="Q172">
        <v>1.255826E-2</v>
      </c>
      <c r="R172">
        <v>3.2592389999999999E-2</v>
      </c>
      <c r="S172">
        <v>3.024597</v>
      </c>
      <c r="T172">
        <v>-0.32188559999999999</v>
      </c>
      <c r="U172">
        <v>-0.59213260000000001</v>
      </c>
      <c r="V172">
        <v>-3.2961219999999999E-2</v>
      </c>
      <c r="W172">
        <v>3.6623219999999998E-2</v>
      </c>
      <c r="X172">
        <v>0.99878540000000005</v>
      </c>
      <c r="Y172">
        <v>0.19072629999999999</v>
      </c>
      <c r="Z172">
        <v>-9.9868979999999993E-3</v>
      </c>
      <c r="AA172">
        <v>0.98159249999999998</v>
      </c>
      <c r="AB172">
        <v>34</v>
      </c>
      <c r="AC172">
        <v>0.488499999999987</v>
      </c>
      <c r="AD172">
        <v>-8.5818800000000001E-2</v>
      </c>
      <c r="AE172">
        <v>-0.16310000000004199</v>
      </c>
      <c r="AF172">
        <v>0.15851736540976499</v>
      </c>
      <c r="AG172">
        <v>-8.5818800000000001E-2</v>
      </c>
      <c r="AH172">
        <v>0.47536084329630302</v>
      </c>
      <c r="AI172">
        <v>99.718346431428301</v>
      </c>
      <c r="AJ172">
        <v>71.558135875708004</v>
      </c>
      <c r="AK172">
        <v>0.50839015815539301</v>
      </c>
      <c r="AL172">
        <v>87.901174681310096</v>
      </c>
      <c r="AM172">
        <v>91.890149423009504</v>
      </c>
      <c r="AN172">
        <v>0.99999998876010798</v>
      </c>
    </row>
    <row r="173" spans="1:40" x14ac:dyDescent="0.3">
      <c r="A173" t="str">
        <f>"20200111153831732"</f>
        <v>20200111153831732</v>
      </c>
      <c r="B173" t="str">
        <f>"1578728311720626"</f>
        <v>1578728311720626</v>
      </c>
      <c r="C173" t="s">
        <v>40</v>
      </c>
      <c r="D173">
        <v>5.3237459999999999</v>
      </c>
      <c r="E173">
        <v>0.58695730000000002</v>
      </c>
      <c r="F173" t="s">
        <v>41</v>
      </c>
      <c r="G173">
        <v>-434.49349999999998</v>
      </c>
      <c r="H173">
        <v>0.99300029999999995</v>
      </c>
      <c r="I173">
        <v>367.3571</v>
      </c>
      <c r="J173">
        <v>-434.95929999999998</v>
      </c>
      <c r="K173">
        <v>1.073984</v>
      </c>
      <c r="L173">
        <v>367.51179999999999</v>
      </c>
      <c r="M173">
        <v>0.99972190000000005</v>
      </c>
      <c r="N173">
        <v>0</v>
      </c>
      <c r="O173">
        <v>-3.751014E-4</v>
      </c>
      <c r="P173">
        <v>0.99937549999999997</v>
      </c>
      <c r="Q173">
        <v>1.315703E-2</v>
      </c>
      <c r="R173">
        <v>3.2799050000000003E-2</v>
      </c>
      <c r="S173">
        <v>3.0251769999999998</v>
      </c>
      <c r="T173">
        <v>-0.31978200000000001</v>
      </c>
      <c r="U173">
        <v>-0.5920105</v>
      </c>
      <c r="V173">
        <v>-3.317208E-2</v>
      </c>
      <c r="W173">
        <v>3.6726149999999999E-2</v>
      </c>
      <c r="X173">
        <v>0.99877459999999996</v>
      </c>
      <c r="Y173">
        <v>0.1906622</v>
      </c>
      <c r="Z173">
        <v>-9.9163319999999999E-3</v>
      </c>
      <c r="AA173">
        <v>0.98160559999999997</v>
      </c>
      <c r="AB173">
        <v>34</v>
      </c>
      <c r="AC173">
        <v>0.46580000000000099</v>
      </c>
      <c r="AD173">
        <v>-8.0983699999999895E-2</v>
      </c>
      <c r="AE173">
        <v>-0.15469999999999101</v>
      </c>
      <c r="AF173">
        <v>0.15042988331688301</v>
      </c>
      <c r="AG173">
        <v>-8.0983699999999895E-2</v>
      </c>
      <c r="AH173">
        <v>0.45351151801999501</v>
      </c>
      <c r="AI173">
        <v>99.619617257462394</v>
      </c>
      <c r="AJ173">
        <v>71.649304365373098</v>
      </c>
      <c r="AK173">
        <v>0.48462377824165997</v>
      </c>
      <c r="AL173">
        <v>87.8952731734162</v>
      </c>
      <c r="AM173">
        <v>91.902252813568396</v>
      </c>
      <c r="AN173">
        <v>0.99999994929525304</v>
      </c>
    </row>
    <row r="174" spans="1:40" x14ac:dyDescent="0.3">
      <c r="A174" t="str">
        <f>"20200111153831753"</f>
        <v>20200111153831753</v>
      </c>
      <c r="B174" t="str">
        <f>"1578728311740147"</f>
        <v>1578728311740147</v>
      </c>
      <c r="C174" t="s">
        <v>40</v>
      </c>
      <c r="D174">
        <v>5.260491</v>
      </c>
      <c r="E174">
        <v>0.58725039999999995</v>
      </c>
      <c r="F174" t="s">
        <v>41</v>
      </c>
      <c r="G174">
        <v>-434.1934</v>
      </c>
      <c r="H174">
        <v>0.99367119999999998</v>
      </c>
      <c r="I174">
        <v>367.3614</v>
      </c>
      <c r="J174">
        <v>-434.63330000000002</v>
      </c>
      <c r="K174">
        <v>1.0716190000000001</v>
      </c>
      <c r="L174">
        <v>367.51170000000002</v>
      </c>
      <c r="M174">
        <v>0.9997357</v>
      </c>
      <c r="N174">
        <v>0</v>
      </c>
      <c r="O174">
        <v>-3.797192E-4</v>
      </c>
      <c r="P174">
        <v>0.9993784</v>
      </c>
      <c r="Q174">
        <v>1.3487000000000001E-2</v>
      </c>
      <c r="R174">
        <v>3.257053E-2</v>
      </c>
      <c r="S174">
        <v>3.0255130000000001</v>
      </c>
      <c r="T174">
        <v>-0.31745519999999999</v>
      </c>
      <c r="U174">
        <v>-0.59286499999999998</v>
      </c>
      <c r="V174">
        <v>-3.2948079999999998E-2</v>
      </c>
      <c r="W174">
        <v>3.6461680000000003E-2</v>
      </c>
      <c r="X174">
        <v>0.99879180000000001</v>
      </c>
      <c r="Y174">
        <v>0.1909179</v>
      </c>
      <c r="Z174">
        <v>-9.8560079999999994E-3</v>
      </c>
      <c r="AA174">
        <v>0.98155650000000005</v>
      </c>
      <c r="AB174">
        <v>34</v>
      </c>
      <c r="AC174">
        <v>0.439900000000022</v>
      </c>
      <c r="AD174">
        <v>-7.7947800000000095E-2</v>
      </c>
      <c r="AE174">
        <v>-0.150300000000015</v>
      </c>
      <c r="AF174">
        <v>0.14602724973546599</v>
      </c>
      <c r="AG174">
        <v>-7.7947800000000095E-2</v>
      </c>
      <c r="AH174">
        <v>0.42792563101610198</v>
      </c>
      <c r="AI174">
        <v>99.781177791777495</v>
      </c>
      <c r="AJ174">
        <v>71.158077309237001</v>
      </c>
      <c r="AK174">
        <v>0.45882476270431799</v>
      </c>
      <c r="AL174">
        <v>87.910436544944801</v>
      </c>
      <c r="AM174">
        <v>91.889384362647107</v>
      </c>
      <c r="AN174">
        <v>1.0000000449156701</v>
      </c>
    </row>
    <row r="175" spans="1:40" x14ac:dyDescent="0.3">
      <c r="A175" t="str">
        <f>"20200111153831776"</f>
        <v>20200111153831776</v>
      </c>
      <c r="B175" t="str">
        <f>"1578728311770402"</f>
        <v>1578728311770402</v>
      </c>
      <c r="C175" t="s">
        <v>40</v>
      </c>
      <c r="D175">
        <v>5.2503469999999997</v>
      </c>
      <c r="E175">
        <v>0.58759329999999999</v>
      </c>
      <c r="F175" t="s">
        <v>41</v>
      </c>
      <c r="G175">
        <v>-433.89409999999998</v>
      </c>
      <c r="H175">
        <v>0.99423289999999998</v>
      </c>
      <c r="I175">
        <v>367.36579999999998</v>
      </c>
      <c r="J175">
        <v>-434.3075</v>
      </c>
      <c r="K175">
        <v>1.069423</v>
      </c>
      <c r="L175">
        <v>367.51159999999999</v>
      </c>
      <c r="M175">
        <v>0.99975049999999999</v>
      </c>
      <c r="N175">
        <v>0</v>
      </c>
      <c r="O175">
        <v>-3.8327750000000002E-4</v>
      </c>
      <c r="P175">
        <v>0.99937549999999997</v>
      </c>
      <c r="Q175">
        <v>1.3933920000000001E-2</v>
      </c>
      <c r="R175">
        <v>3.2475770000000001E-2</v>
      </c>
      <c r="S175">
        <v>3.0255429999999999</v>
      </c>
      <c r="T175">
        <v>-0.31694090000000003</v>
      </c>
      <c r="U175">
        <v>-0.59588619999999903</v>
      </c>
      <c r="V175">
        <v>-3.285735E-2</v>
      </c>
      <c r="W175">
        <v>3.6256299999999998E-2</v>
      </c>
      <c r="X175">
        <v>0.99880219999999997</v>
      </c>
      <c r="Y175">
        <v>0.19185479999999999</v>
      </c>
      <c r="Z175">
        <v>-9.8872070000000003E-3</v>
      </c>
      <c r="AA175">
        <v>0.98137350000000001</v>
      </c>
      <c r="AB175">
        <v>33</v>
      </c>
      <c r="AC175">
        <v>0.41340000000002403</v>
      </c>
      <c r="AD175">
        <v>-7.5190099999999996E-2</v>
      </c>
      <c r="AE175">
        <v>-0.14580000000000801</v>
      </c>
      <c r="AF175">
        <v>0.14147898042858001</v>
      </c>
      <c r="AG175">
        <v>-7.5190099999999996E-2</v>
      </c>
      <c r="AH175">
        <v>0.401639046239605</v>
      </c>
      <c r="AI175">
        <v>100.013698848236</v>
      </c>
      <c r="AJ175">
        <v>70.594981273578597</v>
      </c>
      <c r="AK175">
        <v>0.43241620749618098</v>
      </c>
      <c r="AL175">
        <v>87.922211601970901</v>
      </c>
      <c r="AM175">
        <v>91.884165665433699</v>
      </c>
      <c r="AN175">
        <v>0.99999997973177601</v>
      </c>
    </row>
    <row r="176" spans="1:40" x14ac:dyDescent="0.3">
      <c r="A176" t="str">
        <f>"20200111153831797"</f>
        <v>20200111153831797</v>
      </c>
      <c r="B176" t="str">
        <f>"1578728311790899"</f>
        <v>1578728311790899</v>
      </c>
      <c r="C176" t="s">
        <v>40</v>
      </c>
      <c r="D176">
        <v>5.2744200000000001</v>
      </c>
      <c r="E176">
        <v>0.58786539999999998</v>
      </c>
      <c r="F176" t="s">
        <v>43</v>
      </c>
      <c r="G176">
        <v>-423.58150000000001</v>
      </c>
      <c r="H176">
        <v>-0.05</v>
      </c>
      <c r="I176">
        <v>365.3888</v>
      </c>
      <c r="J176">
        <v>-433.97300000000001</v>
      </c>
      <c r="K176">
        <v>1.0673809999999999</v>
      </c>
      <c r="L176">
        <v>367.51139999999998</v>
      </c>
      <c r="M176">
        <v>0.99976569999999998</v>
      </c>
      <c r="N176">
        <v>0</v>
      </c>
      <c r="O176">
        <v>-3.8605170000000002E-4</v>
      </c>
      <c r="P176">
        <v>0.99939869999999997</v>
      </c>
      <c r="Q176">
        <v>1.3623919999999999E-2</v>
      </c>
      <c r="R176">
        <v>3.1884509999999998E-2</v>
      </c>
      <c r="S176">
        <v>3.025757</v>
      </c>
      <c r="T176">
        <v>-0.3157818</v>
      </c>
      <c r="U176">
        <v>-0.59881589999999996</v>
      </c>
      <c r="V176">
        <v>-3.2268400000000003E-2</v>
      </c>
      <c r="W176">
        <v>3.5257959999999998E-2</v>
      </c>
      <c r="X176">
        <v>0.99885710000000005</v>
      </c>
      <c r="Y176">
        <v>0.19275639999999999</v>
      </c>
      <c r="Z176">
        <v>-9.8958420000000002E-3</v>
      </c>
      <c r="AA176">
        <v>0.98119679999999998</v>
      </c>
      <c r="AB176">
        <v>33</v>
      </c>
      <c r="AC176">
        <v>10.391500000000001</v>
      </c>
      <c r="AD176">
        <v>-1.117381</v>
      </c>
      <c r="AE176">
        <v>-2.1225999999999701</v>
      </c>
      <c r="AF176">
        <v>2.0953306458305199</v>
      </c>
      <c r="AG176">
        <v>-1.117381</v>
      </c>
      <c r="AH176">
        <v>10.2782381105603</v>
      </c>
      <c r="AI176">
        <v>96.080350609163105</v>
      </c>
      <c r="AJ176">
        <v>78.477522449488006</v>
      </c>
      <c r="AK176">
        <v>10.5489871301415</v>
      </c>
      <c r="AL176">
        <v>87.979448796025096</v>
      </c>
      <c r="AM176">
        <v>91.850315087458796</v>
      </c>
      <c r="AN176">
        <v>0.99999993980116397</v>
      </c>
    </row>
    <row r="177" spans="1:40" x14ac:dyDescent="0.3">
      <c r="A177" t="str">
        <f>"20200111153831821"</f>
        <v>20200111153831821</v>
      </c>
      <c r="B177" t="str">
        <f>"1578728311810418"</f>
        <v>1578728311810418</v>
      </c>
      <c r="C177" t="s">
        <v>40</v>
      </c>
      <c r="D177">
        <v>5.2629419999999998</v>
      </c>
      <c r="E177">
        <v>0.58810989999999996</v>
      </c>
      <c r="F177" t="s">
        <v>43</v>
      </c>
      <c r="G177">
        <v>-423.32560000000001</v>
      </c>
      <c r="H177">
        <v>-0.05</v>
      </c>
      <c r="I177">
        <v>365.39150000000001</v>
      </c>
      <c r="J177">
        <v>-433.63839999999999</v>
      </c>
      <c r="K177">
        <v>1.0655460000000001</v>
      </c>
      <c r="L177">
        <v>367.51130000000001</v>
      </c>
      <c r="M177">
        <v>0.99978009999999995</v>
      </c>
      <c r="N177">
        <v>0</v>
      </c>
      <c r="O177">
        <v>-3.8914579999999998E-4</v>
      </c>
      <c r="P177">
        <v>0.99942059999999999</v>
      </c>
      <c r="Q177">
        <v>1.4069079999999999E-2</v>
      </c>
      <c r="R177">
        <v>3.099331E-2</v>
      </c>
      <c r="S177">
        <v>3.0253299999999999</v>
      </c>
      <c r="T177">
        <v>-0.31749060000000001</v>
      </c>
      <c r="U177">
        <v>-0.602356</v>
      </c>
      <c r="V177">
        <v>-3.1380850000000002E-2</v>
      </c>
      <c r="W177">
        <v>3.5023029999999997E-2</v>
      </c>
      <c r="X177">
        <v>0.9988937</v>
      </c>
      <c r="Y177">
        <v>0.1938675</v>
      </c>
      <c r="Z177">
        <v>-1.0006620000000001E-2</v>
      </c>
      <c r="AA177">
        <v>0.98097670000000003</v>
      </c>
      <c r="AB177">
        <v>33</v>
      </c>
      <c r="AC177">
        <v>10.3127999999999</v>
      </c>
      <c r="AD177">
        <v>-1.1155459999999999</v>
      </c>
      <c r="AE177">
        <v>-2.1197999999999899</v>
      </c>
      <c r="AF177">
        <v>2.09229633407397</v>
      </c>
      <c r="AG177">
        <v>-1.1155459999999999</v>
      </c>
      <c r="AH177">
        <v>10.199122520195401</v>
      </c>
      <c r="AI177">
        <v>96.115643471823702</v>
      </c>
      <c r="AJ177">
        <v>78.406915487252803</v>
      </c>
      <c r="AK177">
        <v>10.471114888571</v>
      </c>
      <c r="AL177">
        <v>87.992917728058799</v>
      </c>
      <c r="AM177">
        <v>91.799389774478598</v>
      </c>
      <c r="AN177">
        <v>0.99999999713839605</v>
      </c>
    </row>
    <row r="178" spans="1:40" x14ac:dyDescent="0.3">
      <c r="A178" t="str">
        <f>"20200111153831843"</f>
        <v>20200111153831843</v>
      </c>
      <c r="B178" t="str">
        <f>"1578728311840674"</f>
        <v>1578728311840674</v>
      </c>
      <c r="C178" t="s">
        <v>40</v>
      </c>
      <c r="D178">
        <v>5.2554089999999896</v>
      </c>
      <c r="E178">
        <v>0.58858189999999999</v>
      </c>
      <c r="F178" t="s">
        <v>41</v>
      </c>
      <c r="G178">
        <v>-432.70960000000002</v>
      </c>
      <c r="H178">
        <v>0.96807370000000004</v>
      </c>
      <c r="I178">
        <v>367.32479999999998</v>
      </c>
      <c r="J178">
        <v>-433.298</v>
      </c>
      <c r="K178">
        <v>1.0638939999999999</v>
      </c>
      <c r="L178">
        <v>367.51119999999997</v>
      </c>
      <c r="M178">
        <v>0.99979390000000001</v>
      </c>
      <c r="N178">
        <v>0</v>
      </c>
      <c r="O178">
        <v>-3.928763E-4</v>
      </c>
      <c r="P178">
        <v>0.99944949999999999</v>
      </c>
      <c r="Q178">
        <v>1.391716E-2</v>
      </c>
      <c r="R178">
        <v>3.0120129999999998E-2</v>
      </c>
      <c r="S178">
        <v>3.0250240000000002</v>
      </c>
      <c r="T178">
        <v>-0.31747309999999901</v>
      </c>
      <c r="U178">
        <v>-0.60739140000000003</v>
      </c>
      <c r="V178">
        <v>-3.0511E-2</v>
      </c>
      <c r="W178">
        <v>3.4208130000000003E-2</v>
      </c>
      <c r="X178">
        <v>0.99894890000000003</v>
      </c>
      <c r="Y178">
        <v>0.1954447</v>
      </c>
      <c r="Z178">
        <v>-1.00868E-2</v>
      </c>
      <c r="AA178">
        <v>0.98066279999999995</v>
      </c>
      <c r="AB178">
        <v>33</v>
      </c>
      <c r="AC178">
        <v>0.58839999999997805</v>
      </c>
      <c r="AD178">
        <v>-9.5820300000000205E-2</v>
      </c>
      <c r="AE178">
        <v>-0.18639999999999099</v>
      </c>
      <c r="AF178">
        <v>0.181787497391872</v>
      </c>
      <c r="AG178">
        <v>-9.5820300000000205E-2</v>
      </c>
      <c r="AH178">
        <v>0.57462414825119801</v>
      </c>
      <c r="AI178">
        <v>99.033662083155406</v>
      </c>
      <c r="AJ178">
        <v>72.444766182399505</v>
      </c>
      <c r="AK178">
        <v>0.61026316934049496</v>
      </c>
      <c r="AL178">
        <v>88.039636085726698</v>
      </c>
      <c r="AM178">
        <v>91.749447070714197</v>
      </c>
      <c r="AN178">
        <v>1.0000000110451499</v>
      </c>
    </row>
    <row r="179" spans="1:40" x14ac:dyDescent="0.3">
      <c r="A179" t="str">
        <f>"20200111153831865"</f>
        <v>20200111153831865</v>
      </c>
      <c r="B179" t="str">
        <f>"1578728311860194"</f>
        <v>1578728311860194</v>
      </c>
      <c r="C179" t="s">
        <v>40</v>
      </c>
      <c r="D179">
        <v>5.2691869999999996</v>
      </c>
      <c r="E179">
        <v>0.5888892</v>
      </c>
      <c r="F179" t="s">
        <v>41</v>
      </c>
      <c r="G179">
        <v>-432.41539999999998</v>
      </c>
      <c r="H179">
        <v>0.97091400000000005</v>
      </c>
      <c r="I179">
        <v>367.33159999999998</v>
      </c>
      <c r="J179">
        <v>-432.98200000000003</v>
      </c>
      <c r="K179">
        <v>1.062541</v>
      </c>
      <c r="L179">
        <v>367.51100000000002</v>
      </c>
      <c r="M179">
        <v>0.99980559999999996</v>
      </c>
      <c r="N179">
        <v>0</v>
      </c>
      <c r="O179">
        <v>-3.964598E-4</v>
      </c>
      <c r="P179">
        <v>0.99945110000000004</v>
      </c>
      <c r="Q179">
        <v>1.443437E-2</v>
      </c>
      <c r="R179">
        <v>2.9824119999999999E-2</v>
      </c>
      <c r="S179">
        <v>3.0245669999999998</v>
      </c>
      <c r="T179">
        <v>-0.3188473</v>
      </c>
      <c r="U179">
        <v>-0.61410520000000002</v>
      </c>
      <c r="V179">
        <v>-3.0218600000000002E-2</v>
      </c>
      <c r="W179">
        <v>3.4145219999999997E-2</v>
      </c>
      <c r="X179">
        <v>0.99895999999999996</v>
      </c>
      <c r="Y179">
        <v>0.1975412</v>
      </c>
      <c r="Z179">
        <v>-1.0238260000000001E-2</v>
      </c>
      <c r="AA179">
        <v>0.98024109999999998</v>
      </c>
      <c r="AB179">
        <v>33</v>
      </c>
      <c r="AC179">
        <v>0.566599999999994</v>
      </c>
      <c r="AD179">
        <v>-9.1627E-2</v>
      </c>
      <c r="AE179">
        <v>-0.17939999999998599</v>
      </c>
      <c r="AF179">
        <v>0.17501545357213999</v>
      </c>
      <c r="AG179">
        <v>-9.1627E-2</v>
      </c>
      <c r="AH179">
        <v>0.55351487666482402</v>
      </c>
      <c r="AI179">
        <v>98.969273373476398</v>
      </c>
      <c r="AJ179">
        <v>72.453605608558107</v>
      </c>
      <c r="AK179">
        <v>0.58771135330818403</v>
      </c>
      <c r="AL179">
        <v>88.043242786928204</v>
      </c>
      <c r="AM179">
        <v>91.732672397221606</v>
      </c>
      <c r="AN179">
        <v>1.0000000707173999</v>
      </c>
    </row>
    <row r="180" spans="1:40" x14ac:dyDescent="0.3">
      <c r="A180" t="str">
        <f>"20200111153831887"</f>
        <v>20200111153831887</v>
      </c>
      <c r="B180" t="str">
        <f>"1578728311880692"</f>
        <v>1578728311880692</v>
      </c>
      <c r="C180" t="s">
        <v>40</v>
      </c>
      <c r="D180">
        <v>5.2582360000000001</v>
      </c>
      <c r="E180">
        <v>0.58927039999999997</v>
      </c>
      <c r="F180" t="s">
        <v>41</v>
      </c>
      <c r="G180">
        <v>-432.11860000000001</v>
      </c>
      <c r="H180">
        <v>0.97212399999999999</v>
      </c>
      <c r="I180">
        <v>367.33440000000002</v>
      </c>
      <c r="J180">
        <v>-432.65190000000001</v>
      </c>
      <c r="K180">
        <v>1.0613090000000001</v>
      </c>
      <c r="L180">
        <v>367.51089999999999</v>
      </c>
      <c r="M180">
        <v>0.99981640000000005</v>
      </c>
      <c r="N180">
        <v>0</v>
      </c>
      <c r="O180">
        <v>-3.9990620000000002E-4</v>
      </c>
      <c r="P180">
        <v>0.99943769999999998</v>
      </c>
      <c r="Q180">
        <v>1.517519E-2</v>
      </c>
      <c r="R180">
        <v>2.9903780000000001E-2</v>
      </c>
      <c r="S180">
        <v>3.0246580000000001</v>
      </c>
      <c r="T180">
        <v>-0.3170018</v>
      </c>
      <c r="U180">
        <v>-0.61755369999999998</v>
      </c>
      <c r="V180">
        <v>-3.030178E-2</v>
      </c>
      <c r="W180">
        <v>3.432346E-2</v>
      </c>
      <c r="X180">
        <v>0.99895129999999999</v>
      </c>
      <c r="Y180">
        <v>0.19861180000000001</v>
      </c>
      <c r="Z180">
        <v>-1.02329E-2</v>
      </c>
      <c r="AA180">
        <v>0.98002480000000003</v>
      </c>
      <c r="AB180">
        <v>33</v>
      </c>
      <c r="AC180">
        <v>0.533299999999997</v>
      </c>
      <c r="AD180">
        <v>-8.9185E-2</v>
      </c>
      <c r="AE180">
        <v>-0.17649999999997501</v>
      </c>
      <c r="AF180">
        <v>0.171952480605115</v>
      </c>
      <c r="AG180">
        <v>-8.9185E-2</v>
      </c>
      <c r="AH180">
        <v>0.520257069245598</v>
      </c>
      <c r="AI180">
        <v>99.244680085356805</v>
      </c>
      <c r="AJ180">
        <v>71.710532850320007</v>
      </c>
      <c r="AK180">
        <v>0.55514776223206697</v>
      </c>
      <c r="AL180">
        <v>88.033024256651601</v>
      </c>
      <c r="AM180">
        <v>91.737453970496304</v>
      </c>
      <c r="AN180">
        <v>0.99999999877461498</v>
      </c>
    </row>
    <row r="181" spans="1:40" x14ac:dyDescent="0.3">
      <c r="A181" t="str">
        <f>"20200111153831909"</f>
        <v>20200111153831909</v>
      </c>
      <c r="B181" t="str">
        <f>"1578728311900211"</f>
        <v>1578728311900211</v>
      </c>
      <c r="C181" t="s">
        <v>40</v>
      </c>
      <c r="D181">
        <v>4.9557469999999997</v>
      </c>
      <c r="E181">
        <v>0.58879300000000001</v>
      </c>
      <c r="F181" t="s">
        <v>41</v>
      </c>
      <c r="G181">
        <v>-431.82139999999998</v>
      </c>
      <c r="H181">
        <v>0.9752132</v>
      </c>
      <c r="I181">
        <v>367.34019999999998</v>
      </c>
      <c r="J181">
        <v>-432.32150000000001</v>
      </c>
      <c r="K181">
        <v>1.060243</v>
      </c>
      <c r="L181">
        <v>367.51080000000002</v>
      </c>
      <c r="M181">
        <v>0.9998262</v>
      </c>
      <c r="N181">
        <v>0</v>
      </c>
      <c r="O181">
        <v>-4.0346799999999998E-4</v>
      </c>
      <c r="P181">
        <v>0.99942540000000002</v>
      </c>
      <c r="Q181">
        <v>1.502595E-2</v>
      </c>
      <c r="R181">
        <v>3.0388890000000002E-2</v>
      </c>
      <c r="S181">
        <v>3.024994</v>
      </c>
      <c r="T181">
        <v>-0.3137991</v>
      </c>
      <c r="U181">
        <v>-0.62026979999999998</v>
      </c>
      <c r="V181">
        <v>-3.0790709999999999E-2</v>
      </c>
      <c r="W181">
        <v>3.3657689999999997E-2</v>
      </c>
      <c r="X181">
        <v>0.99895900000000004</v>
      </c>
      <c r="Y181">
        <v>0.1994486</v>
      </c>
      <c r="Z181">
        <v>-1.017055E-2</v>
      </c>
      <c r="AA181">
        <v>0.97985549999999999</v>
      </c>
      <c r="AB181">
        <v>33</v>
      </c>
      <c r="AC181">
        <v>0.50010000000003096</v>
      </c>
      <c r="AD181">
        <v>-8.5029800000000003E-2</v>
      </c>
      <c r="AE181">
        <v>-0.170600000000035</v>
      </c>
      <c r="AF181">
        <v>0.16609705206143099</v>
      </c>
      <c r="AG181">
        <v>-8.5029800000000003E-2</v>
      </c>
      <c r="AH181">
        <v>0.48754373607921903</v>
      </c>
      <c r="AI181">
        <v>99.374241788310698</v>
      </c>
      <c r="AJ181">
        <v>71.186981433706507</v>
      </c>
      <c r="AK181">
        <v>0.522031792309263</v>
      </c>
      <c r="AL181">
        <v>88.071192117962596</v>
      </c>
      <c r="AM181">
        <v>91.765457207794299</v>
      </c>
      <c r="AN181">
        <v>0.99999999579971999</v>
      </c>
    </row>
    <row r="182" spans="1:40" x14ac:dyDescent="0.3">
      <c r="A182" t="str">
        <f>"20200111153831933"</f>
        <v>20200111153831933</v>
      </c>
      <c r="B182" t="str">
        <f>"1578728311920709"</f>
        <v>1578728311920709</v>
      </c>
      <c r="C182" t="s">
        <v>40</v>
      </c>
      <c r="D182">
        <v>4.9999859999999998</v>
      </c>
      <c r="E182">
        <v>0.51211759999999995</v>
      </c>
      <c r="F182" t="s">
        <v>41</v>
      </c>
      <c r="G182">
        <v>-431.52330000000001</v>
      </c>
      <c r="H182">
        <v>0.97991539999999999</v>
      </c>
      <c r="I182">
        <v>367.3485</v>
      </c>
      <c r="J182">
        <v>-431.97660000000002</v>
      </c>
      <c r="K182">
        <v>1.0592900000000001</v>
      </c>
      <c r="L182">
        <v>367.51060000000001</v>
      </c>
      <c r="M182">
        <v>0.99983509999999998</v>
      </c>
      <c r="N182">
        <v>0</v>
      </c>
      <c r="O182">
        <v>-4.0668840000000002E-4</v>
      </c>
      <c r="P182">
        <v>0.99941619999999998</v>
      </c>
      <c r="Q182">
        <v>1.4438899999999999E-2</v>
      </c>
      <c r="R182">
        <v>3.0961789999999999E-2</v>
      </c>
      <c r="S182">
        <v>3.0250240000000002</v>
      </c>
      <c r="T182">
        <v>-0.30443609999999999</v>
      </c>
      <c r="U182">
        <v>-0.61477660000000001</v>
      </c>
      <c r="V182">
        <v>-3.1366770000000002E-2</v>
      </c>
      <c r="W182">
        <v>3.257968E-2</v>
      </c>
      <c r="X182">
        <v>0.9989768</v>
      </c>
      <c r="Y182">
        <v>0.1978027</v>
      </c>
      <c r="Z182">
        <v>-9.7881449999999998E-3</v>
      </c>
      <c r="AA182">
        <v>0.98019299999999998</v>
      </c>
      <c r="AB182">
        <v>33</v>
      </c>
      <c r="AC182">
        <v>0.45330000000001203</v>
      </c>
      <c r="AD182">
        <v>-7.9374600000000003E-2</v>
      </c>
      <c r="AE182">
        <v>-0.16210000000000899</v>
      </c>
      <c r="AF182">
        <v>0.15763041808404901</v>
      </c>
      <c r="AG182">
        <v>-7.9374600000000003E-2</v>
      </c>
      <c r="AH182">
        <v>0.44136731764866299</v>
      </c>
      <c r="AI182">
        <v>99.612460247489594</v>
      </c>
      <c r="AJ182">
        <v>70.346264222125896</v>
      </c>
      <c r="AK182">
        <v>0.47534491153149799</v>
      </c>
      <c r="AL182">
        <v>88.132991413464794</v>
      </c>
      <c r="AM182">
        <v>91.798433435289894</v>
      </c>
      <c r="AN182">
        <v>0.99999997837368704</v>
      </c>
    </row>
    <row r="183" spans="1:40" x14ac:dyDescent="0.3">
      <c r="A183" t="str">
        <f>"20200111153831954"</f>
        <v>20200111153831954</v>
      </c>
      <c r="B183" t="str">
        <f>"1578728311950963"</f>
        <v>1578728311950963</v>
      </c>
      <c r="C183" t="s">
        <v>40</v>
      </c>
      <c r="D183">
        <v>4.9287239999999999</v>
      </c>
      <c r="E183">
        <v>0.50531219999999999</v>
      </c>
      <c r="F183" t="s">
        <v>43</v>
      </c>
      <c r="G183">
        <v>-402.0795</v>
      </c>
      <c r="H183">
        <v>-0.05</v>
      </c>
      <c r="I183">
        <v>367.48110000000003</v>
      </c>
      <c r="J183">
        <v>-431.66160000000002</v>
      </c>
      <c r="K183">
        <v>1.0585389999999999</v>
      </c>
      <c r="L183">
        <v>367.51049999999998</v>
      </c>
      <c r="M183">
        <v>0.99984249999999997</v>
      </c>
      <c r="N183">
        <v>0</v>
      </c>
      <c r="O183">
        <v>-4.0996460000000001E-4</v>
      </c>
      <c r="P183">
        <v>0.99938360000000004</v>
      </c>
      <c r="Q183">
        <v>1.488315E-2</v>
      </c>
      <c r="R183">
        <v>3.1798510000000002E-2</v>
      </c>
      <c r="S183">
        <v>3.0035099999999999</v>
      </c>
      <c r="T183">
        <v>-0.1114411</v>
      </c>
      <c r="U183">
        <v>-2.960205E-3</v>
      </c>
      <c r="V183">
        <v>-3.2207E-2</v>
      </c>
      <c r="W183">
        <v>3.2619710000000003E-2</v>
      </c>
      <c r="X183">
        <v>0.99894879999999997</v>
      </c>
      <c r="Y183">
        <v>5.754388E-4</v>
      </c>
      <c r="Z183" s="1">
        <v>4.536572E-6</v>
      </c>
      <c r="AA183">
        <v>0.99999979999999999</v>
      </c>
      <c r="AB183">
        <v>33</v>
      </c>
      <c r="AC183">
        <v>29.582100000000001</v>
      </c>
      <c r="AD183">
        <v>-1.1085389999999999</v>
      </c>
      <c r="AE183">
        <v>-2.9399999999952801E-2</v>
      </c>
      <c r="AF183">
        <v>1.7246256349682101E-2</v>
      </c>
      <c r="AG183">
        <v>-1.1085389999999999</v>
      </c>
      <c r="AH183">
        <v>29.540627229216</v>
      </c>
      <c r="AI183">
        <v>92.149067667285806</v>
      </c>
      <c r="AJ183">
        <v>89.966549877857901</v>
      </c>
      <c r="AK183">
        <v>29.561424411610702</v>
      </c>
      <c r="AL183">
        <v>88.130696722767894</v>
      </c>
      <c r="AM183">
        <v>91.846627354083395</v>
      </c>
      <c r="AN183">
        <v>1.00000002067546</v>
      </c>
    </row>
    <row r="184" spans="1:40" x14ac:dyDescent="0.3">
      <c r="A184" t="str">
        <f>"20200111153831976"</f>
        <v>20200111153831976</v>
      </c>
      <c r="B184" t="str">
        <f>"1578728311970482"</f>
        <v>1578728311970482</v>
      </c>
      <c r="C184" t="s">
        <v>40</v>
      </c>
      <c r="D184">
        <v>4.8547539999999998</v>
      </c>
      <c r="E184">
        <v>0.50558539999999996</v>
      </c>
      <c r="F184" t="s">
        <v>43</v>
      </c>
      <c r="G184">
        <v>-406.79610000000002</v>
      </c>
      <c r="H184">
        <v>-0.05</v>
      </c>
      <c r="I184">
        <v>367.95639999999997</v>
      </c>
      <c r="J184">
        <v>-431.3383</v>
      </c>
      <c r="K184">
        <v>1.0578970000000001</v>
      </c>
      <c r="L184">
        <v>367.5104</v>
      </c>
      <c r="M184">
        <v>0.99984899999999999</v>
      </c>
      <c r="N184">
        <v>0</v>
      </c>
      <c r="O184">
        <v>-4.1252710000000002E-4</v>
      </c>
      <c r="P184">
        <v>0.99935759999999996</v>
      </c>
      <c r="Q184">
        <v>1.537874E-2</v>
      </c>
      <c r="R184">
        <v>3.237636E-2</v>
      </c>
      <c r="S184">
        <v>3.0021059999999999</v>
      </c>
      <c r="T184">
        <v>-0.13383819999999999</v>
      </c>
      <c r="U184">
        <v>5.3833010000000001E-2</v>
      </c>
      <c r="V184">
        <v>-3.2787040000000003E-2</v>
      </c>
      <c r="W184">
        <v>3.2742189999999997E-2</v>
      </c>
      <c r="X184">
        <v>0.99892590000000003</v>
      </c>
      <c r="Y184">
        <v>-1.832278E-2</v>
      </c>
      <c r="Z184">
        <v>4.2657589999999998E-4</v>
      </c>
      <c r="AA184">
        <v>0.99983200000000005</v>
      </c>
      <c r="AB184">
        <v>33</v>
      </c>
      <c r="AC184">
        <v>24.542199999999902</v>
      </c>
      <c r="AD184">
        <v>-1.1078969999999999</v>
      </c>
      <c r="AE184">
        <v>0.44599999999996898</v>
      </c>
      <c r="AF184">
        <v>-0.45519849367403298</v>
      </c>
      <c r="AG184">
        <v>-1.1078969999999999</v>
      </c>
      <c r="AH184">
        <v>24.492119157543002</v>
      </c>
      <c r="AI184">
        <v>92.589553028350693</v>
      </c>
      <c r="AJ184">
        <v>91.064748624321993</v>
      </c>
      <c r="AK184">
        <v>24.521389484662901</v>
      </c>
      <c r="AL184">
        <v>88.123675341489502</v>
      </c>
      <c r="AM184">
        <v>91.8799040629617</v>
      </c>
      <c r="AN184">
        <v>0.99999999734438305</v>
      </c>
    </row>
    <row r="185" spans="1:40" x14ac:dyDescent="0.3">
      <c r="A185" t="str">
        <f>"20200111153831998"</f>
        <v>20200111153831998</v>
      </c>
      <c r="B185" t="str">
        <f>"1578728311990978"</f>
        <v>1578728311990978</v>
      </c>
      <c r="C185" t="s">
        <v>40</v>
      </c>
      <c r="D185">
        <v>4.8696760000000001</v>
      </c>
      <c r="E185">
        <v>0.50603809999999905</v>
      </c>
      <c r="F185" t="s">
        <v>43</v>
      </c>
      <c r="G185">
        <v>-405.13310000000001</v>
      </c>
      <c r="H185">
        <v>-0.05</v>
      </c>
      <c r="I185">
        <v>367.97629999999998</v>
      </c>
      <c r="J185">
        <v>-431.00360000000001</v>
      </c>
      <c r="K185">
        <v>1.0573349999999999</v>
      </c>
      <c r="L185">
        <v>367.51029999999997</v>
      </c>
      <c r="M185">
        <v>0.99985489999999999</v>
      </c>
      <c r="N185">
        <v>0</v>
      </c>
      <c r="O185">
        <v>-4.1598459999999998E-4</v>
      </c>
      <c r="P185">
        <v>0.99934279999999998</v>
      </c>
      <c r="Q185">
        <v>1.625511E-2</v>
      </c>
      <c r="R185">
        <v>3.2403920000000003E-2</v>
      </c>
      <c r="S185">
        <v>3.0021969999999998</v>
      </c>
      <c r="T185">
        <v>-0.12692629999999999</v>
      </c>
      <c r="U185">
        <v>5.3375239999999997E-2</v>
      </c>
      <c r="V185">
        <v>-3.2817899999999997E-2</v>
      </c>
      <c r="W185">
        <v>3.32731E-2</v>
      </c>
      <c r="X185">
        <v>0.99890730000000005</v>
      </c>
      <c r="Y185">
        <v>-1.817529E-2</v>
      </c>
      <c r="Z185">
        <v>4.015841E-4</v>
      </c>
      <c r="AA185">
        <v>0.99983469999999997</v>
      </c>
      <c r="AB185">
        <v>33</v>
      </c>
      <c r="AC185">
        <v>25.8705</v>
      </c>
      <c r="AD185">
        <v>-1.107335</v>
      </c>
      <c r="AE185">
        <v>0.46600000000000802</v>
      </c>
      <c r="AF185">
        <v>-0.47589165332317401</v>
      </c>
      <c r="AG185">
        <v>-1.107335</v>
      </c>
      <c r="AH185">
        <v>25.823008978031901</v>
      </c>
      <c r="AI185">
        <v>92.455020817727601</v>
      </c>
      <c r="AJ185">
        <v>91.055783122269403</v>
      </c>
      <c r="AK185">
        <v>25.8511209882172</v>
      </c>
      <c r="AL185">
        <v>88.093239771499697</v>
      </c>
      <c r="AM185">
        <v>91.881707217508506</v>
      </c>
      <c r="AN185">
        <v>0.99999995386865304</v>
      </c>
    </row>
    <row r="186" spans="1:40" x14ac:dyDescent="0.3">
      <c r="A186" t="str">
        <f>"20200111153832022"</f>
        <v>20200111153832022</v>
      </c>
      <c r="B186" t="str">
        <f>"1578728312010498"</f>
        <v>1578728312010498</v>
      </c>
      <c r="C186" t="s">
        <v>40</v>
      </c>
      <c r="D186">
        <v>4.8358040000000004</v>
      </c>
      <c r="E186">
        <v>0.50643070000000001</v>
      </c>
      <c r="F186" t="s">
        <v>43</v>
      </c>
      <c r="G186">
        <v>-404.56959999999998</v>
      </c>
      <c r="H186">
        <v>-0.05</v>
      </c>
      <c r="I186">
        <v>367.94819999999999</v>
      </c>
      <c r="J186">
        <v>-430.67039999999997</v>
      </c>
      <c r="K186">
        <v>1.0568649999999999</v>
      </c>
      <c r="L186">
        <v>367.51010000000002</v>
      </c>
      <c r="M186">
        <v>0.99986019999999998</v>
      </c>
      <c r="N186">
        <v>0</v>
      </c>
      <c r="O186">
        <v>-4.194612E-4</v>
      </c>
      <c r="P186">
        <v>0.99931590000000003</v>
      </c>
      <c r="Q186">
        <v>1.7338659999999999E-2</v>
      </c>
      <c r="R186">
        <v>3.2673630000000002E-2</v>
      </c>
      <c r="S186">
        <v>3.0024109999999999</v>
      </c>
      <c r="T186">
        <v>-0.12577269999999999</v>
      </c>
      <c r="U186">
        <v>4.974365E-2</v>
      </c>
      <c r="V186">
        <v>-3.30914E-2</v>
      </c>
      <c r="W186">
        <v>3.4049429999999999E-2</v>
      </c>
      <c r="X186">
        <v>0.99887219999999999</v>
      </c>
      <c r="Y186">
        <v>-1.696984E-2</v>
      </c>
      <c r="Z186">
        <v>3.7282299999999999E-4</v>
      </c>
      <c r="AA186">
        <v>0.99985590000000002</v>
      </c>
      <c r="AB186">
        <v>33</v>
      </c>
      <c r="AC186">
        <v>26.1007999999999</v>
      </c>
      <c r="AD186">
        <v>-1.106865</v>
      </c>
      <c r="AE186">
        <v>0.43809999999996302</v>
      </c>
      <c r="AF186">
        <v>-0.44824387798964299</v>
      </c>
      <c r="AG186">
        <v>-1.106865</v>
      </c>
      <c r="AH186">
        <v>26.053772502506799</v>
      </c>
      <c r="AI186">
        <v>92.432323879647001</v>
      </c>
      <c r="AJ186">
        <v>90.985651842491706</v>
      </c>
      <c r="AK186">
        <v>26.081126017002401</v>
      </c>
      <c r="AL186">
        <v>88.0487342790029</v>
      </c>
      <c r="AM186">
        <v>91.897444323758904</v>
      </c>
      <c r="AN186">
        <v>1.00000003818506</v>
      </c>
    </row>
    <row r="187" spans="1:40" x14ac:dyDescent="0.3">
      <c r="A187" t="str">
        <f>"20200111153832043"</f>
        <v>20200111153832043</v>
      </c>
      <c r="B187" t="str">
        <f>"1578728312040754"</f>
        <v>1578728312040754</v>
      </c>
      <c r="C187" t="s">
        <v>40</v>
      </c>
      <c r="D187">
        <v>4.9055939999999998</v>
      </c>
      <c r="E187">
        <v>0.50709689999999996</v>
      </c>
      <c r="F187" t="s">
        <v>43</v>
      </c>
      <c r="G187">
        <v>-404.25740000000002</v>
      </c>
      <c r="H187">
        <v>-0.05</v>
      </c>
      <c r="I187">
        <v>367.92649999999998</v>
      </c>
      <c r="J187">
        <v>-430.35410000000002</v>
      </c>
      <c r="K187">
        <v>1.0564910000000001</v>
      </c>
      <c r="L187">
        <v>367.51</v>
      </c>
      <c r="M187">
        <v>0.99986450000000004</v>
      </c>
      <c r="N187">
        <v>0</v>
      </c>
      <c r="O187">
        <v>-4.227721E-4</v>
      </c>
      <c r="P187">
        <v>0.99930750000000002</v>
      </c>
      <c r="Q187">
        <v>1.7770629999999999E-2</v>
      </c>
      <c r="R187">
        <v>3.2693779999999999E-2</v>
      </c>
      <c r="S187">
        <v>3.0027159999999999</v>
      </c>
      <c r="T187">
        <v>-0.12583219999999901</v>
      </c>
      <c r="U187">
        <v>4.7332760000000001E-2</v>
      </c>
      <c r="V187">
        <v>-3.311501E-2</v>
      </c>
      <c r="W187">
        <v>3.422099E-2</v>
      </c>
      <c r="X187">
        <v>0.99886549999999996</v>
      </c>
      <c r="Y187">
        <v>-1.6169579999999999E-2</v>
      </c>
      <c r="Z187">
        <v>3.5634289999999998E-4</v>
      </c>
      <c r="AA187">
        <v>0.99986920000000001</v>
      </c>
      <c r="AB187">
        <v>33</v>
      </c>
      <c r="AC187">
        <v>26.096699999999998</v>
      </c>
      <c r="AD187">
        <v>-1.1064909999999999</v>
      </c>
      <c r="AE187">
        <v>0.41649999999998399</v>
      </c>
      <c r="AF187">
        <v>-0.42676739622224702</v>
      </c>
      <c r="AG187">
        <v>-1.1064909999999999</v>
      </c>
      <c r="AH187">
        <v>26.0497031384804</v>
      </c>
      <c r="AI187">
        <v>92.431915898587704</v>
      </c>
      <c r="AJ187">
        <v>90.938582034945995</v>
      </c>
      <c r="AK187">
        <v>26.0766847269072</v>
      </c>
      <c r="AL187">
        <v>88.0388987764467</v>
      </c>
      <c r="AM187">
        <v>91.898809845765498</v>
      </c>
      <c r="AN187">
        <v>0.99999998356706499</v>
      </c>
    </row>
    <row r="188" spans="1:40" x14ac:dyDescent="0.3">
      <c r="A188" t="str">
        <f>"20200111153832065"</f>
        <v>20200111153832065</v>
      </c>
      <c r="B188" t="str">
        <f>"1578728312060274"</f>
        <v>1578728312060274</v>
      </c>
      <c r="C188" t="s">
        <v>40</v>
      </c>
      <c r="D188">
        <v>4.9093519999999904</v>
      </c>
      <c r="E188">
        <v>0.507633</v>
      </c>
      <c r="F188" t="s">
        <v>43</v>
      </c>
      <c r="G188">
        <v>-403.80739999999997</v>
      </c>
      <c r="H188">
        <v>-0.05</v>
      </c>
      <c r="I188">
        <v>367.88069999999999</v>
      </c>
      <c r="J188">
        <v>-430.03550000000001</v>
      </c>
      <c r="K188">
        <v>1.0561720000000001</v>
      </c>
      <c r="L188">
        <v>367.50990000000002</v>
      </c>
      <c r="M188">
        <v>0.99986819999999998</v>
      </c>
      <c r="N188">
        <v>0</v>
      </c>
      <c r="O188">
        <v>-4.2608979999999999E-4</v>
      </c>
      <c r="P188">
        <v>0.99929049999999997</v>
      </c>
      <c r="Q188">
        <v>1.8256979999999999E-2</v>
      </c>
      <c r="R188">
        <v>3.29471E-2</v>
      </c>
      <c r="S188">
        <v>3.0028990000000002</v>
      </c>
      <c r="T188">
        <v>-0.12516360000000001</v>
      </c>
      <c r="U188">
        <v>4.193115E-2</v>
      </c>
      <c r="V188">
        <v>-3.3371449999999997E-2</v>
      </c>
      <c r="W188">
        <v>3.4472139999999998E-2</v>
      </c>
      <c r="X188">
        <v>0.99884830000000002</v>
      </c>
      <c r="Y188">
        <v>-1.437545E-2</v>
      </c>
      <c r="Z188">
        <v>3.171998E-4</v>
      </c>
      <c r="AA188">
        <v>0.99989660000000002</v>
      </c>
      <c r="AB188">
        <v>33</v>
      </c>
      <c r="AC188">
        <v>26.228100000000001</v>
      </c>
      <c r="AD188">
        <v>-1.1061719999999999</v>
      </c>
      <c r="AE188">
        <v>0.37079999999997398</v>
      </c>
      <c r="AF188">
        <v>-0.381298869573442</v>
      </c>
      <c r="AG188">
        <v>-1.1061719999999999</v>
      </c>
      <c r="AH188">
        <v>26.181379130206899</v>
      </c>
      <c r="AI188">
        <v>92.419070677940297</v>
      </c>
      <c r="AJ188">
        <v>90.834382003282798</v>
      </c>
      <c r="AK188">
        <v>26.207510726529399</v>
      </c>
      <c r="AL188">
        <v>88.024500387967905</v>
      </c>
      <c r="AM188">
        <v>91.913536114451404</v>
      </c>
      <c r="AN188">
        <v>0.99999995426208499</v>
      </c>
    </row>
    <row r="189" spans="1:40" x14ac:dyDescent="0.3">
      <c r="A189" t="str">
        <f>"20200111153832088"</f>
        <v>20200111153832088</v>
      </c>
      <c r="B189" t="str">
        <f>"1578728312080770"</f>
        <v>1578728312080770</v>
      </c>
      <c r="C189" t="s">
        <v>40</v>
      </c>
      <c r="D189">
        <v>4.9139929999999996</v>
      </c>
      <c r="E189">
        <v>0.50798859999999901</v>
      </c>
      <c r="F189" t="s">
        <v>43</v>
      </c>
      <c r="G189">
        <v>-403.267</v>
      </c>
      <c r="H189">
        <v>-0.05</v>
      </c>
      <c r="I189">
        <v>367.85390000000001</v>
      </c>
      <c r="J189">
        <v>-429.6918</v>
      </c>
      <c r="K189">
        <v>1.055879</v>
      </c>
      <c r="L189">
        <v>367.50970000000001</v>
      </c>
      <c r="M189">
        <v>0.99987199999999998</v>
      </c>
      <c r="N189">
        <v>0</v>
      </c>
      <c r="O189">
        <v>-4.298708E-4</v>
      </c>
      <c r="P189">
        <v>0.99928059999999996</v>
      </c>
      <c r="Q189">
        <v>1.8598279999999998E-2</v>
      </c>
      <c r="R189">
        <v>3.3057429999999999E-2</v>
      </c>
      <c r="S189">
        <v>3.003082</v>
      </c>
      <c r="T189">
        <v>-0.1240988</v>
      </c>
      <c r="U189">
        <v>3.8604739999999999E-2</v>
      </c>
      <c r="V189">
        <v>-3.3485149999999998E-2</v>
      </c>
      <c r="W189">
        <v>3.4587949999999999E-2</v>
      </c>
      <c r="X189">
        <v>0.99884050000000002</v>
      </c>
      <c r="Y189">
        <v>-1.327217E-2</v>
      </c>
      <c r="Z189">
        <v>2.918579E-4</v>
      </c>
      <c r="AA189">
        <v>0.99991189999999996</v>
      </c>
      <c r="AB189">
        <v>33</v>
      </c>
      <c r="AC189">
        <v>26.424800000000001</v>
      </c>
      <c r="AD189">
        <v>-1.1058790000000001</v>
      </c>
      <c r="AE189">
        <v>0.34420000000000001</v>
      </c>
      <c r="AF189">
        <v>-0.354939127049064</v>
      </c>
      <c r="AG189">
        <v>-1.1058790000000001</v>
      </c>
      <c r="AH189">
        <v>26.378457497146101</v>
      </c>
      <c r="AI189">
        <v>92.400420563039702</v>
      </c>
      <c r="AJ189">
        <v>90.770905075150097</v>
      </c>
      <c r="AK189">
        <v>26.404014279561601</v>
      </c>
      <c r="AL189">
        <v>88.017861021428601</v>
      </c>
      <c r="AM189">
        <v>91.920065841862097</v>
      </c>
      <c r="AN189">
        <v>0.99999996299798599</v>
      </c>
    </row>
    <row r="190" spans="1:40" x14ac:dyDescent="0.3">
      <c r="A190" t="str">
        <f>"20200111153832111"</f>
        <v>20200111153832111</v>
      </c>
      <c r="B190" t="str">
        <f>"1578728312100313"</f>
        <v>1578728312100313</v>
      </c>
      <c r="C190" t="s">
        <v>40</v>
      </c>
      <c r="D190">
        <v>4.9301250000000003</v>
      </c>
      <c r="E190">
        <v>0.50836320000000002</v>
      </c>
      <c r="F190" t="s">
        <v>43</v>
      </c>
      <c r="G190">
        <v>-402.77089999999998</v>
      </c>
      <c r="H190">
        <v>-0.05</v>
      </c>
      <c r="I190">
        <v>367.83330000000001</v>
      </c>
      <c r="J190">
        <v>-429.36520000000002</v>
      </c>
      <c r="K190">
        <v>1.055653</v>
      </c>
      <c r="L190">
        <v>367.50959999999998</v>
      </c>
      <c r="M190">
        <v>0.99987490000000001</v>
      </c>
      <c r="N190">
        <v>0</v>
      </c>
      <c r="O190">
        <v>-4.3312649999999999E-4</v>
      </c>
      <c r="P190">
        <v>0.99925269999999999</v>
      </c>
      <c r="Q190">
        <v>1.8807770000000001E-2</v>
      </c>
      <c r="R190">
        <v>3.3774940000000003E-2</v>
      </c>
      <c r="S190">
        <v>3.0032960000000002</v>
      </c>
      <c r="T190">
        <v>-0.1233721</v>
      </c>
      <c r="U190">
        <v>3.6102290000000002E-2</v>
      </c>
      <c r="V190">
        <v>-3.4206210000000001E-2</v>
      </c>
      <c r="W190">
        <v>3.4607480000000003E-2</v>
      </c>
      <c r="X190">
        <v>0.99881540000000002</v>
      </c>
      <c r="Y190">
        <v>-1.244231E-2</v>
      </c>
      <c r="Z190">
        <v>2.7322780000000002E-4</v>
      </c>
      <c r="AA190">
        <v>0.99992259999999999</v>
      </c>
      <c r="AB190">
        <v>33</v>
      </c>
      <c r="AC190">
        <v>26.5943</v>
      </c>
      <c r="AD190">
        <v>-1.105653</v>
      </c>
      <c r="AE190">
        <v>0.32370000000003002</v>
      </c>
      <c r="AF190">
        <v>-0.33464177490865898</v>
      </c>
      <c r="AG190">
        <v>-1.105653</v>
      </c>
      <c r="AH190">
        <v>26.548276317297699</v>
      </c>
      <c r="AI190">
        <v>92.384623348345897</v>
      </c>
      <c r="AJ190">
        <v>90.722176677077002</v>
      </c>
      <c r="AK190">
        <v>26.573397018324801</v>
      </c>
      <c r="AL190">
        <v>88.016741384094999</v>
      </c>
      <c r="AM190">
        <v>91.961429307600298</v>
      </c>
      <c r="AN190">
        <v>0.99999997287583597</v>
      </c>
    </row>
    <row r="191" spans="1:40" x14ac:dyDescent="0.3">
      <c r="A191" t="str">
        <f>"20200111153832134"</f>
        <v>20200111153832134</v>
      </c>
      <c r="B191" t="str">
        <f>"1578728312130547"</f>
        <v>1578728312130547</v>
      </c>
      <c r="C191" t="s">
        <v>40</v>
      </c>
      <c r="D191">
        <v>4.927727</v>
      </c>
      <c r="E191">
        <v>0.50873800000000002</v>
      </c>
      <c r="F191" t="s">
        <v>43</v>
      </c>
      <c r="G191">
        <v>-402.03919999999999</v>
      </c>
      <c r="H191">
        <v>-0.05</v>
      </c>
      <c r="I191">
        <v>367.82889999999998</v>
      </c>
      <c r="J191">
        <v>-429.02449999999999</v>
      </c>
      <c r="K191">
        <v>1.055458</v>
      </c>
      <c r="L191">
        <v>367.5095</v>
      </c>
      <c r="M191">
        <v>0.99987780000000004</v>
      </c>
      <c r="N191">
        <v>0</v>
      </c>
      <c r="O191">
        <v>-4.363905E-4</v>
      </c>
      <c r="P191">
        <v>0.99920200000000003</v>
      </c>
      <c r="Q191">
        <v>1.9057749999999998E-2</v>
      </c>
      <c r="R191">
        <v>3.510684E-2</v>
      </c>
      <c r="S191">
        <v>3.0033259999999999</v>
      </c>
      <c r="T191">
        <v>-0.1215193</v>
      </c>
      <c r="U191">
        <v>3.5095210000000002E-2</v>
      </c>
      <c r="V191">
        <v>-3.554156E-2</v>
      </c>
      <c r="W191">
        <v>3.468135E-2</v>
      </c>
      <c r="X191">
        <v>0.99876620000000005</v>
      </c>
      <c r="Y191">
        <v>-1.21108E-2</v>
      </c>
      <c r="Z191">
        <v>2.6255380000000001E-4</v>
      </c>
      <c r="AA191">
        <v>0.9999266</v>
      </c>
      <c r="AB191">
        <v>33</v>
      </c>
      <c r="AC191">
        <v>26.985299999999899</v>
      </c>
      <c r="AD191">
        <v>-1.1054580000000001</v>
      </c>
      <c r="AE191">
        <v>0.31939999999997298</v>
      </c>
      <c r="AF191">
        <v>-0.33062278033713199</v>
      </c>
      <c r="AG191">
        <v>-1.1054580000000001</v>
      </c>
      <c r="AH191">
        <v>26.9399551582332</v>
      </c>
      <c r="AI191">
        <v>92.349588276604905</v>
      </c>
      <c r="AJ191">
        <v>90.703131792282406</v>
      </c>
      <c r="AK191">
        <v>26.964653395515001</v>
      </c>
      <c r="AL191">
        <v>88.012506377677795</v>
      </c>
      <c r="AM191">
        <v>92.038036994078098</v>
      </c>
      <c r="AN191">
        <v>0.99999996039374695</v>
      </c>
    </row>
    <row r="192" spans="1:40" x14ac:dyDescent="0.3">
      <c r="A192" t="str">
        <f>"20200111153832155"</f>
        <v>20200111153832155</v>
      </c>
      <c r="B192" t="str">
        <f>"1578728312150067"</f>
        <v>1578728312150067</v>
      </c>
      <c r="C192" t="s">
        <v>40</v>
      </c>
      <c r="D192">
        <v>4.9568729999999999</v>
      </c>
      <c r="E192">
        <v>0.50888429999999996</v>
      </c>
      <c r="F192" t="s">
        <v>43</v>
      </c>
      <c r="G192">
        <v>-401.54079999999999</v>
      </c>
      <c r="H192">
        <v>-0.05</v>
      </c>
      <c r="I192">
        <v>367.839</v>
      </c>
      <c r="J192">
        <v>-428.721</v>
      </c>
      <c r="K192">
        <v>1.0553110000000001</v>
      </c>
      <c r="L192">
        <v>367.5093</v>
      </c>
      <c r="M192">
        <v>0.99987990000000004</v>
      </c>
      <c r="N192">
        <v>0</v>
      </c>
      <c r="O192">
        <v>-4.3924740000000001E-4</v>
      </c>
      <c r="P192">
        <v>0.99913410000000002</v>
      </c>
      <c r="Q192">
        <v>1.9925330000000002E-2</v>
      </c>
      <c r="R192">
        <v>3.653153E-2</v>
      </c>
      <c r="S192">
        <v>3.0034480000000001</v>
      </c>
      <c r="T192">
        <v>-0.1208057</v>
      </c>
      <c r="U192">
        <v>3.6010739999999999E-2</v>
      </c>
      <c r="V192">
        <v>-3.6968849999999998E-2</v>
      </c>
      <c r="W192">
        <v>3.5409980000000001E-2</v>
      </c>
      <c r="X192">
        <v>0.99868889999999999</v>
      </c>
      <c r="Y192">
        <v>-1.241781E-2</v>
      </c>
      <c r="Z192">
        <v>2.6728860000000001E-4</v>
      </c>
      <c r="AA192">
        <v>0.99992289999999995</v>
      </c>
      <c r="AB192">
        <v>33</v>
      </c>
      <c r="AC192">
        <v>27.180199999999999</v>
      </c>
      <c r="AD192">
        <v>-1.1053109999999999</v>
      </c>
      <c r="AE192">
        <v>0.32970000000000199</v>
      </c>
      <c r="AF192">
        <v>-0.34107626935563201</v>
      </c>
      <c r="AG192">
        <v>-1.1053109999999999</v>
      </c>
      <c r="AH192">
        <v>27.1351849672117</v>
      </c>
      <c r="AI192">
        <v>92.332383966330994</v>
      </c>
      <c r="AJ192">
        <v>90.720142562865405</v>
      </c>
      <c r="AK192">
        <v>27.159828950732098</v>
      </c>
      <c r="AL192">
        <v>87.970733453731995</v>
      </c>
      <c r="AM192">
        <v>92.119971873187197</v>
      </c>
      <c r="AN192">
        <v>1.0000000407685601</v>
      </c>
    </row>
    <row r="193" spans="1:40" x14ac:dyDescent="0.3">
      <c r="A193" t="str">
        <f>"20200111153832178"</f>
        <v>20200111153832178</v>
      </c>
      <c r="B193" t="str">
        <f>"1578728312170562"</f>
        <v>1578728312170562</v>
      </c>
      <c r="C193" t="s">
        <v>40</v>
      </c>
      <c r="D193">
        <v>4.8954620000000002</v>
      </c>
      <c r="E193">
        <v>0.50902939999999997</v>
      </c>
      <c r="F193" t="s">
        <v>43</v>
      </c>
      <c r="G193">
        <v>-400.56700000000001</v>
      </c>
      <c r="H193">
        <v>-0.05</v>
      </c>
      <c r="I193">
        <v>367.87630000000001</v>
      </c>
      <c r="J193">
        <v>-428.38709999999998</v>
      </c>
      <c r="K193">
        <v>1.0551919999999999</v>
      </c>
      <c r="L193">
        <v>367.50920000000002</v>
      </c>
      <c r="M193">
        <v>0.99988189999999999</v>
      </c>
      <c r="N193">
        <v>0</v>
      </c>
      <c r="O193">
        <v>-4.4262119999999999E-4</v>
      </c>
      <c r="P193">
        <v>0.99906309999999998</v>
      </c>
      <c r="Q193">
        <v>2.0669469999999999E-2</v>
      </c>
      <c r="R193">
        <v>3.8024559999999999E-2</v>
      </c>
      <c r="S193">
        <v>3.0035099999999999</v>
      </c>
      <c r="T193">
        <v>-0.1179161</v>
      </c>
      <c r="U193">
        <v>3.9154050000000003E-2</v>
      </c>
      <c r="V193">
        <v>-3.846517E-2</v>
      </c>
      <c r="W193">
        <v>3.6019469999999998E-2</v>
      </c>
      <c r="X193">
        <v>0.99861060000000001</v>
      </c>
      <c r="Y193">
        <v>-1.346691E-2</v>
      </c>
      <c r="Z193">
        <v>2.8161039999999998E-4</v>
      </c>
      <c r="AA193">
        <v>0.9999093</v>
      </c>
      <c r="AB193">
        <v>33</v>
      </c>
      <c r="AC193">
        <v>27.8201</v>
      </c>
      <c r="AD193">
        <v>-1.105192</v>
      </c>
      <c r="AE193">
        <v>0.36709999999999299</v>
      </c>
      <c r="AF193">
        <v>-0.37881744312292398</v>
      </c>
      <c r="AG193">
        <v>-1.105192</v>
      </c>
      <c r="AH193">
        <v>27.776106547266899</v>
      </c>
      <c r="AI193">
        <v>92.2783456875529</v>
      </c>
      <c r="AJ193">
        <v>90.781365635576194</v>
      </c>
      <c r="AK193">
        <v>27.8006663038353</v>
      </c>
      <c r="AL193">
        <v>87.935789977988094</v>
      </c>
      <c r="AM193">
        <v>92.205867737540402</v>
      </c>
      <c r="AN193">
        <v>1.00000005097728</v>
      </c>
    </row>
    <row r="194" spans="1:40" x14ac:dyDescent="0.3">
      <c r="A194" t="str">
        <f>"20200111153832201"</f>
        <v>20200111153832201</v>
      </c>
      <c r="B194" t="str">
        <f>"1578728312191059"</f>
        <v>1578728312191059</v>
      </c>
      <c r="C194" t="s">
        <v>40</v>
      </c>
      <c r="D194">
        <v>4.9072889999999996</v>
      </c>
      <c r="E194">
        <v>0.50910159999999904</v>
      </c>
      <c r="F194" t="s">
        <v>43</v>
      </c>
      <c r="G194">
        <v>-399.91879999999998</v>
      </c>
      <c r="H194">
        <v>-0.05</v>
      </c>
      <c r="I194">
        <v>367.91379999999998</v>
      </c>
      <c r="J194">
        <v>-428.04329999999999</v>
      </c>
      <c r="K194">
        <v>1.0550870000000001</v>
      </c>
      <c r="L194">
        <v>367.50900000000001</v>
      </c>
      <c r="M194">
        <v>0.99988370000000004</v>
      </c>
      <c r="N194">
        <v>0</v>
      </c>
      <c r="O194">
        <v>-4.4621610000000002E-4</v>
      </c>
      <c r="P194">
        <v>0.99899669999999896</v>
      </c>
      <c r="Q194">
        <v>2.1648509999999999E-2</v>
      </c>
      <c r="R194">
        <v>3.9203979999999999E-2</v>
      </c>
      <c r="S194">
        <v>3.0036010000000002</v>
      </c>
      <c r="T194">
        <v>-0.1166056</v>
      </c>
      <c r="U194">
        <v>4.2694089999999997E-2</v>
      </c>
      <c r="V194">
        <v>-3.964815E-2</v>
      </c>
      <c r="W194">
        <v>3.6875770000000002E-2</v>
      </c>
      <c r="X194">
        <v>0.998533</v>
      </c>
      <c r="Y194">
        <v>-1.4647719999999999E-2</v>
      </c>
      <c r="Z194">
        <v>3.0152260000000002E-4</v>
      </c>
      <c r="AA194">
        <v>0.99989269999999997</v>
      </c>
      <c r="AB194">
        <v>33</v>
      </c>
      <c r="AC194">
        <v>28.124500000000001</v>
      </c>
      <c r="AD194">
        <v>-1.1050869999999999</v>
      </c>
      <c r="AE194">
        <v>0.40479999999996602</v>
      </c>
      <c r="AF194">
        <v>-0.41670779477175701</v>
      </c>
      <c r="AG194">
        <v>-1.1050869999999999</v>
      </c>
      <c r="AH194">
        <v>28.080970904271499</v>
      </c>
      <c r="AI194">
        <v>92.253383819555097</v>
      </c>
      <c r="AJ194">
        <v>90.850178780751506</v>
      </c>
      <c r="AK194">
        <v>28.105796369972101</v>
      </c>
      <c r="AL194">
        <v>87.886694822225095</v>
      </c>
      <c r="AM194">
        <v>92.273814636850204</v>
      </c>
      <c r="AN194">
        <v>0.99999997515025696</v>
      </c>
    </row>
    <row r="195" spans="1:40" x14ac:dyDescent="0.3">
      <c r="A195" t="str">
        <f>"20200111153832225"</f>
        <v>20200111153832225</v>
      </c>
      <c r="B195" t="str">
        <f>"1578728312220338"</f>
        <v>1578728312220338</v>
      </c>
      <c r="C195" t="s">
        <v>40</v>
      </c>
      <c r="D195">
        <v>4.8939490000000001</v>
      </c>
      <c r="E195">
        <v>0.50914820000000005</v>
      </c>
      <c r="F195" t="s">
        <v>43</v>
      </c>
      <c r="G195">
        <v>-398.87110000000001</v>
      </c>
      <c r="H195">
        <v>-0.05</v>
      </c>
      <c r="I195">
        <v>367.95389999999998</v>
      </c>
      <c r="J195">
        <v>-427.70679999999999</v>
      </c>
      <c r="K195">
        <v>1.0549949999999999</v>
      </c>
      <c r="L195">
        <v>367.50889999999998</v>
      </c>
      <c r="M195">
        <v>0.99988529999999998</v>
      </c>
      <c r="N195">
        <v>0</v>
      </c>
      <c r="O195">
        <v>-4.4886779999999999E-4</v>
      </c>
      <c r="P195">
        <v>0.998969</v>
      </c>
      <c r="Q195">
        <v>2.1771519999999999E-2</v>
      </c>
      <c r="R195">
        <v>3.9835269999999999E-2</v>
      </c>
      <c r="S195">
        <v>3.0036930000000002</v>
      </c>
      <c r="T195">
        <v>-0.1137846</v>
      </c>
      <c r="U195">
        <v>4.5806880000000001E-2</v>
      </c>
      <c r="V195">
        <v>-4.0281860000000003E-2</v>
      </c>
      <c r="W195">
        <v>3.6893879999999997E-2</v>
      </c>
      <c r="X195">
        <v>0.99850700000000003</v>
      </c>
      <c r="Y195">
        <v>-1.5685709999999999E-2</v>
      </c>
      <c r="Z195">
        <v>3.1397450000000002E-4</v>
      </c>
      <c r="AA195">
        <v>0.99987689999999996</v>
      </c>
      <c r="AB195">
        <v>33</v>
      </c>
      <c r="AC195">
        <v>28.8356999999999</v>
      </c>
      <c r="AD195">
        <v>-1.1049949999999999</v>
      </c>
      <c r="AE195">
        <v>0.44499999999999301</v>
      </c>
      <c r="AF195">
        <v>-0.45727353169858098</v>
      </c>
      <c r="AG195">
        <v>-1.1049949999999999</v>
      </c>
      <c r="AH195">
        <v>28.793225934558901</v>
      </c>
      <c r="AI195">
        <v>92.197479544726903</v>
      </c>
      <c r="AJ195">
        <v>90.909854323888695</v>
      </c>
      <c r="AK195">
        <v>28.818049426555099</v>
      </c>
      <c r="AL195">
        <v>87.885656558214706</v>
      </c>
      <c r="AM195">
        <v>92.310178819758207</v>
      </c>
      <c r="AN195">
        <v>1.00000000783775</v>
      </c>
    </row>
    <row r="196" spans="1:40" x14ac:dyDescent="0.3">
      <c r="A196" t="str">
        <f>"20200111153832246"</f>
        <v>20200111153832246</v>
      </c>
      <c r="B196" t="str">
        <f>"1578728312240834"</f>
        <v>1578728312240834</v>
      </c>
      <c r="C196" t="s">
        <v>40</v>
      </c>
      <c r="D196">
        <v>4.8539789999999998</v>
      </c>
      <c r="E196">
        <v>0.50915379999999999</v>
      </c>
      <c r="F196" t="s">
        <v>43</v>
      </c>
      <c r="G196">
        <v>-398.65359999999998</v>
      </c>
      <c r="H196">
        <v>-0.05</v>
      </c>
      <c r="I196">
        <v>367.96969999999999</v>
      </c>
      <c r="J196">
        <v>-427.39510000000001</v>
      </c>
      <c r="K196">
        <v>1.0549299999999999</v>
      </c>
      <c r="L196">
        <v>367.50880000000001</v>
      </c>
      <c r="M196">
        <v>0.99988659999999996</v>
      </c>
      <c r="N196">
        <v>0</v>
      </c>
      <c r="O196">
        <v>-4.5059069999999998E-4</v>
      </c>
      <c r="P196">
        <v>0.99900770000000005</v>
      </c>
      <c r="Q196">
        <v>2.0991369999999999E-2</v>
      </c>
      <c r="R196">
        <v>3.9282619999999997E-2</v>
      </c>
      <c r="S196">
        <v>3.0036930000000002</v>
      </c>
      <c r="T196">
        <v>-0.11424049999999999</v>
      </c>
      <c r="U196">
        <v>4.7637939999999997E-2</v>
      </c>
      <c r="V196">
        <v>-3.9731280000000001E-2</v>
      </c>
      <c r="W196">
        <v>3.6028520000000001E-2</v>
      </c>
      <c r="X196">
        <v>0.99856069999999997</v>
      </c>
      <c r="Y196">
        <v>-1.6296270000000002E-2</v>
      </c>
      <c r="Z196">
        <v>3.2690179999999999E-4</v>
      </c>
      <c r="AA196">
        <v>0.99986710000000001</v>
      </c>
      <c r="AB196">
        <v>32</v>
      </c>
      <c r="AC196">
        <v>28.741499999999998</v>
      </c>
      <c r="AD196">
        <v>-1.10493</v>
      </c>
      <c r="AE196">
        <v>0.46089999999998099</v>
      </c>
      <c r="AF196">
        <v>-0.473152971209854</v>
      </c>
      <c r="AG196">
        <v>-1.10493</v>
      </c>
      <c r="AH196">
        <v>28.698885653027698</v>
      </c>
      <c r="AI196">
        <v>92.204544944983397</v>
      </c>
      <c r="AJ196">
        <v>90.944538849803706</v>
      </c>
      <c r="AK196">
        <v>28.724045358629802</v>
      </c>
      <c r="AL196">
        <v>87.935271112872996</v>
      </c>
      <c r="AM196">
        <v>92.278513967386601</v>
      </c>
      <c r="AN196">
        <v>1.00000005022415</v>
      </c>
    </row>
    <row r="197" spans="1:40" x14ac:dyDescent="0.3">
      <c r="A197" t="str">
        <f>"20200111153832267"</f>
        <v>20200111153832267</v>
      </c>
      <c r="B197" t="str">
        <f>"1578728312260354"</f>
        <v>1578728312260354</v>
      </c>
      <c r="C197" t="s">
        <v>40</v>
      </c>
      <c r="D197">
        <v>4.8998910000000002</v>
      </c>
      <c r="E197">
        <v>0.50920219999999905</v>
      </c>
      <c r="F197" t="s">
        <v>43</v>
      </c>
      <c r="G197">
        <v>-399.06400000000002</v>
      </c>
      <c r="H197">
        <v>-0.05</v>
      </c>
      <c r="I197">
        <v>367.94170000000003</v>
      </c>
      <c r="J197">
        <v>-427.089</v>
      </c>
      <c r="K197">
        <v>1.054872</v>
      </c>
      <c r="L197">
        <v>367.5086</v>
      </c>
      <c r="M197">
        <v>0.99988790000000005</v>
      </c>
      <c r="N197">
        <v>0</v>
      </c>
      <c r="O197">
        <v>-4.5204030000000001E-4</v>
      </c>
      <c r="P197">
        <v>0.99909219999999999</v>
      </c>
      <c r="Q197">
        <v>2.0126649999999999E-2</v>
      </c>
      <c r="R197">
        <v>3.7548810000000002E-2</v>
      </c>
      <c r="S197">
        <v>3.0036320000000001</v>
      </c>
      <c r="T197">
        <v>-0.11714339999999999</v>
      </c>
      <c r="U197">
        <v>4.5898439999999999E-2</v>
      </c>
      <c r="V197">
        <v>-3.7998829999999997E-2</v>
      </c>
      <c r="W197">
        <v>3.5090219999999998E-2</v>
      </c>
      <c r="X197">
        <v>0.99866149999999998</v>
      </c>
      <c r="Y197">
        <v>-1.5718940000000001E-2</v>
      </c>
      <c r="Z197">
        <v>3.2401370000000002E-4</v>
      </c>
      <c r="AA197">
        <v>0.9998764</v>
      </c>
      <c r="AB197">
        <v>32</v>
      </c>
      <c r="AC197">
        <v>28.024999999999899</v>
      </c>
      <c r="AD197">
        <v>-1.1048719999999901</v>
      </c>
      <c r="AE197">
        <v>0.43310000000002402</v>
      </c>
      <c r="AF197">
        <v>-0.445078187724543</v>
      </c>
      <c r="AG197">
        <v>-1.1048719999999901</v>
      </c>
      <c r="AH197">
        <v>27.981320569038299</v>
      </c>
      <c r="AI197">
        <v>92.260923975572993</v>
      </c>
      <c r="AJ197">
        <v>90.911284773099496</v>
      </c>
      <c r="AK197">
        <v>28.0066623773141</v>
      </c>
      <c r="AL197">
        <v>87.989065688973994</v>
      </c>
      <c r="AM197">
        <v>92.179039449472995</v>
      </c>
      <c r="AN197">
        <v>1.00000001310163</v>
      </c>
    </row>
    <row r="198" spans="1:40" x14ac:dyDescent="0.3">
      <c r="A198" t="str">
        <f>"20200111153832289"</f>
        <v>20200111153832289</v>
      </c>
      <c r="B198" t="str">
        <f>"1578728312280850"</f>
        <v>1578728312280850</v>
      </c>
      <c r="C198" t="s">
        <v>40</v>
      </c>
      <c r="D198">
        <v>4.8584709999999998</v>
      </c>
      <c r="E198">
        <v>0.50921090000000002</v>
      </c>
      <c r="F198" t="s">
        <v>43</v>
      </c>
      <c r="G198">
        <v>-399.5283</v>
      </c>
      <c r="H198">
        <v>-0.05</v>
      </c>
      <c r="I198">
        <v>367.87799999999999</v>
      </c>
      <c r="J198">
        <v>-426.76949999999999</v>
      </c>
      <c r="K198">
        <v>1.054824</v>
      </c>
      <c r="L198">
        <v>367.50850000000003</v>
      </c>
      <c r="M198">
        <v>0.99988869999999996</v>
      </c>
      <c r="N198">
        <v>0</v>
      </c>
      <c r="O198">
        <v>-4.5269960000000003E-4</v>
      </c>
      <c r="P198">
        <v>0.9991932</v>
      </c>
      <c r="Q198">
        <v>1.889476E-2</v>
      </c>
      <c r="R198">
        <v>3.5438020000000001E-2</v>
      </c>
      <c r="S198">
        <v>3.0036320000000001</v>
      </c>
      <c r="T198">
        <v>-0.12041159999999999</v>
      </c>
      <c r="U198">
        <v>4.0252690000000001E-2</v>
      </c>
      <c r="V198">
        <v>-3.5888879999999998E-2</v>
      </c>
      <c r="W198">
        <v>3.379066E-2</v>
      </c>
      <c r="X198">
        <v>0.99878440000000002</v>
      </c>
      <c r="Y198">
        <v>-1.384136E-2</v>
      </c>
      <c r="Z198">
        <v>2.9545910000000001E-4</v>
      </c>
      <c r="AA198">
        <v>0.99990420000000002</v>
      </c>
      <c r="AB198">
        <v>32</v>
      </c>
      <c r="AC198">
        <v>27.2411999999999</v>
      </c>
      <c r="AD198">
        <v>-1.104824</v>
      </c>
      <c r="AE198">
        <v>0.36950000000001598</v>
      </c>
      <c r="AF198">
        <v>-0.38120649103943999</v>
      </c>
      <c r="AG198">
        <v>-1.104824</v>
      </c>
      <c r="AH198">
        <v>27.196303540474901</v>
      </c>
      <c r="AI198">
        <v>92.326079230556999</v>
      </c>
      <c r="AJ198">
        <v>90.803053723063897</v>
      </c>
      <c r="AK198">
        <v>27.221404826449302</v>
      </c>
      <c r="AL198">
        <v>88.063569265168994</v>
      </c>
      <c r="AM198">
        <v>92.057898633560299</v>
      </c>
      <c r="AN198">
        <v>1.0000000490471199</v>
      </c>
    </row>
    <row r="199" spans="1:40" x14ac:dyDescent="0.3">
      <c r="A199" t="str">
        <f>"20200111153832313"</f>
        <v>20200111153832313</v>
      </c>
      <c r="B199" t="str">
        <f>"1578728312310130"</f>
        <v>1578728312310130</v>
      </c>
      <c r="C199" t="s">
        <v>40</v>
      </c>
      <c r="D199">
        <v>4.8877309999999996</v>
      </c>
      <c r="E199">
        <v>0.50930240000000004</v>
      </c>
      <c r="F199" t="s">
        <v>43</v>
      </c>
      <c r="G199">
        <v>-400.16059999999999</v>
      </c>
      <c r="H199">
        <v>-0.05</v>
      </c>
      <c r="I199">
        <v>367.80990000000003</v>
      </c>
      <c r="J199">
        <v>-426.43689999999998</v>
      </c>
      <c r="K199">
        <v>1.0547820000000001</v>
      </c>
      <c r="L199">
        <v>367.50830000000002</v>
      </c>
      <c r="M199">
        <v>0.99988980000000005</v>
      </c>
      <c r="N199">
        <v>0</v>
      </c>
      <c r="O199">
        <v>-4.5328749999999998E-4</v>
      </c>
      <c r="P199">
        <v>0.99928059999999996</v>
      </c>
      <c r="Q199">
        <v>1.777809E-2</v>
      </c>
      <c r="R199">
        <v>3.3502919999999999E-2</v>
      </c>
      <c r="S199">
        <v>3.0036010000000002</v>
      </c>
      <c r="T199">
        <v>-0.1247119</v>
      </c>
      <c r="U199">
        <v>3.4027099999999998E-2</v>
      </c>
      <c r="V199">
        <v>-3.3954640000000001E-2</v>
      </c>
      <c r="W199">
        <v>3.2611620000000001E-2</v>
      </c>
      <c r="X199">
        <v>0.99889119999999998</v>
      </c>
      <c r="Y199">
        <v>-1.177082E-2</v>
      </c>
      <c r="Z199">
        <v>2.6306799999999998E-4</v>
      </c>
      <c r="AA199">
        <v>0.99993069999999895</v>
      </c>
      <c r="AB199">
        <v>32</v>
      </c>
      <c r="AC199">
        <v>26.2762999999999</v>
      </c>
      <c r="AD199">
        <v>-1.1047819999999999</v>
      </c>
      <c r="AE199">
        <v>0.30160000000000697</v>
      </c>
      <c r="AF199">
        <v>-0.31295883374351802</v>
      </c>
      <c r="AG199">
        <v>-1.1047819999999999</v>
      </c>
      <c r="AH199">
        <v>26.229798537463299</v>
      </c>
      <c r="AI199">
        <v>92.411663840510698</v>
      </c>
      <c r="AJ199">
        <v>90.683587771080497</v>
      </c>
      <c r="AK199">
        <v>26.254919878282799</v>
      </c>
      <c r="AL199">
        <v>88.1311605142497</v>
      </c>
      <c r="AM199">
        <v>91.946867461092907</v>
      </c>
      <c r="AN199">
        <v>1.00000003238699</v>
      </c>
    </row>
    <row r="200" spans="1:40" x14ac:dyDescent="0.3">
      <c r="A200" t="str">
        <f>"20200111153832334"</f>
        <v>20200111153832334</v>
      </c>
      <c r="B200" t="str">
        <f>"1578728312330627"</f>
        <v>1578728312330627</v>
      </c>
      <c r="C200" t="s">
        <v>40</v>
      </c>
      <c r="D200">
        <v>4.8901409999999998</v>
      </c>
      <c r="E200">
        <v>0.50922129999999999</v>
      </c>
      <c r="F200" t="s">
        <v>43</v>
      </c>
      <c r="G200">
        <v>-400.57650000000001</v>
      </c>
      <c r="H200">
        <v>-0.05</v>
      </c>
      <c r="I200">
        <v>367.74509999999998</v>
      </c>
      <c r="J200">
        <v>-426.12040000000002</v>
      </c>
      <c r="K200">
        <v>1.0547500000000001</v>
      </c>
      <c r="L200">
        <v>367.50810000000001</v>
      </c>
      <c r="M200">
        <v>0.99989059999999996</v>
      </c>
      <c r="N200">
        <v>0</v>
      </c>
      <c r="O200">
        <v>-4.5312290000000001E-4</v>
      </c>
      <c r="P200">
        <v>0.9993514</v>
      </c>
      <c r="Q200">
        <v>1.6502869999999999E-2</v>
      </c>
      <c r="R200">
        <v>3.2006270000000003E-2</v>
      </c>
      <c r="S200">
        <v>3.0035099999999999</v>
      </c>
      <c r="T200">
        <v>-0.12831289999999901</v>
      </c>
      <c r="U200">
        <v>2.7496340000000001E-2</v>
      </c>
      <c r="V200">
        <v>-3.2457979999999997E-2</v>
      </c>
      <c r="W200">
        <v>3.1283819999999997E-2</v>
      </c>
      <c r="X200">
        <v>0.99898339999999997</v>
      </c>
      <c r="Y200">
        <v>-9.5983389999999991E-3</v>
      </c>
      <c r="Z200">
        <v>2.242782E-4</v>
      </c>
      <c r="AA200">
        <v>0.99995389999999995</v>
      </c>
      <c r="AB200">
        <v>32</v>
      </c>
      <c r="AC200">
        <v>25.543900000000001</v>
      </c>
      <c r="AD200">
        <v>-1.1047499999999999</v>
      </c>
      <c r="AE200">
        <v>0.23699999999996599</v>
      </c>
      <c r="AF200">
        <v>-0.24811171827490899</v>
      </c>
      <c r="AG200">
        <v>-1.1047499999999999</v>
      </c>
      <c r="AH200">
        <v>25.496104068079099</v>
      </c>
      <c r="AI200">
        <v>92.480965397449694</v>
      </c>
      <c r="AJ200">
        <v>90.557548147419894</v>
      </c>
      <c r="AK200">
        <v>25.521233407450399</v>
      </c>
      <c r="AL200">
        <v>88.207276677621493</v>
      </c>
      <c r="AM200">
        <v>91.860943105416993</v>
      </c>
      <c r="AN200">
        <v>1.00000001566751</v>
      </c>
    </row>
    <row r="201" spans="1:40" x14ac:dyDescent="0.3">
      <c r="A201" t="str">
        <f>"20200111153832356"</f>
        <v>20200111153832356</v>
      </c>
      <c r="B201" t="str">
        <f>"1578728312350147"</f>
        <v>1578728312350147</v>
      </c>
      <c r="C201" t="s">
        <v>40</v>
      </c>
      <c r="D201">
        <v>4.903994</v>
      </c>
      <c r="E201">
        <v>0.50921119999999997</v>
      </c>
      <c r="F201" t="s">
        <v>43</v>
      </c>
      <c r="G201">
        <v>-401.09500000000003</v>
      </c>
      <c r="H201">
        <v>-0.05</v>
      </c>
      <c r="I201">
        <v>367.70499999999998</v>
      </c>
      <c r="J201">
        <v>-425.8082</v>
      </c>
      <c r="K201">
        <v>1.054729</v>
      </c>
      <c r="L201">
        <v>367.50799999999998</v>
      </c>
      <c r="M201">
        <v>0.99989130000000004</v>
      </c>
      <c r="N201">
        <v>0</v>
      </c>
      <c r="O201">
        <v>-4.5313379999999999E-4</v>
      </c>
      <c r="P201">
        <v>0.99940379999999995</v>
      </c>
      <c r="Q201">
        <v>1.538629E-2</v>
      </c>
      <c r="R201">
        <v>3.0915930000000001E-2</v>
      </c>
      <c r="S201">
        <v>3.003387</v>
      </c>
      <c r="T201">
        <v>-0.1325846</v>
      </c>
      <c r="U201">
        <v>2.362061E-2</v>
      </c>
      <c r="V201">
        <v>-3.1367760000000001E-2</v>
      </c>
      <c r="W201">
        <v>3.012184E-2</v>
      </c>
      <c r="X201">
        <v>0.99905390000000005</v>
      </c>
      <c r="Y201">
        <v>-8.309047E-3</v>
      </c>
      <c r="Z201">
        <v>2.0330510000000001E-4</v>
      </c>
      <c r="AA201">
        <v>0.9999654</v>
      </c>
      <c r="AB201">
        <v>32</v>
      </c>
      <c r="AC201">
        <v>24.713199999999901</v>
      </c>
      <c r="AD201">
        <v>-1.1047290000000001</v>
      </c>
      <c r="AE201">
        <v>0.196999999999945</v>
      </c>
      <c r="AF201">
        <v>-0.20778439989220801</v>
      </c>
      <c r="AG201">
        <v>-1.1047290000000001</v>
      </c>
      <c r="AH201">
        <v>24.663826403497499</v>
      </c>
      <c r="AI201">
        <v>92.564556995203603</v>
      </c>
      <c r="AJ201">
        <v>90.482686154351498</v>
      </c>
      <c r="AK201">
        <v>24.689429588027</v>
      </c>
      <c r="AL201">
        <v>88.273884567651805</v>
      </c>
      <c r="AM201">
        <v>91.798351456519896</v>
      </c>
      <c r="AN201">
        <v>0.99999997835880605</v>
      </c>
    </row>
    <row r="202" spans="1:40" x14ac:dyDescent="0.3">
      <c r="A202" t="str">
        <f>"20200111153832379"</f>
        <v>20200111153832379</v>
      </c>
      <c r="B202" t="str">
        <f>"1578728312370642"</f>
        <v>1578728312370642</v>
      </c>
      <c r="C202" t="s">
        <v>40</v>
      </c>
      <c r="D202">
        <v>4.9433680000000004</v>
      </c>
      <c r="E202">
        <v>0.50916340000000004</v>
      </c>
      <c r="F202" t="s">
        <v>43</v>
      </c>
      <c r="G202">
        <v>-401.46249999999998</v>
      </c>
      <c r="H202">
        <v>-0.05</v>
      </c>
      <c r="I202">
        <v>367.67419999999998</v>
      </c>
      <c r="J202">
        <v>-425.48039999999997</v>
      </c>
      <c r="K202">
        <v>1.054713</v>
      </c>
      <c r="L202">
        <v>367.50779999999997</v>
      </c>
      <c r="M202">
        <v>0.9998918</v>
      </c>
      <c r="N202">
        <v>0</v>
      </c>
      <c r="O202">
        <v>-4.5281409999999999E-4</v>
      </c>
      <c r="P202">
        <v>0.99942450000000005</v>
      </c>
      <c r="Q202">
        <v>1.5136520000000001E-2</v>
      </c>
      <c r="R202">
        <v>3.0357599999999901E-2</v>
      </c>
      <c r="S202">
        <v>3.0032960000000002</v>
      </c>
      <c r="T202">
        <v>-0.13628019999999999</v>
      </c>
      <c r="U202">
        <v>2.0507810000000001E-2</v>
      </c>
      <c r="V202">
        <v>-3.080923E-2</v>
      </c>
      <c r="W202">
        <v>2.982872E-2</v>
      </c>
      <c r="X202">
        <v>0.99908010000000003</v>
      </c>
      <c r="Y202">
        <v>-7.2731790000000003E-3</v>
      </c>
      <c r="Z202">
        <v>1.8546900000000001E-4</v>
      </c>
      <c r="AA202">
        <v>0.99997349999999996</v>
      </c>
      <c r="AB202">
        <v>32</v>
      </c>
      <c r="AC202">
        <v>24.017900000000001</v>
      </c>
      <c r="AD202">
        <v>-1.1047129999999901</v>
      </c>
      <c r="AE202">
        <v>0.16640000000001001</v>
      </c>
      <c r="AF202">
        <v>-0.17690256939777199</v>
      </c>
      <c r="AG202">
        <v>-1.1047129999999901</v>
      </c>
      <c r="AH202">
        <v>23.967120322612999</v>
      </c>
      <c r="AI202">
        <v>92.638986389144605</v>
      </c>
      <c r="AJ202">
        <v>90.422895467445699</v>
      </c>
      <c r="AK202">
        <v>23.993218664656801</v>
      </c>
      <c r="AL202">
        <v>88.290686700482198</v>
      </c>
      <c r="AM202">
        <v>91.766304435889396</v>
      </c>
      <c r="AN202">
        <v>1.0000000037030199</v>
      </c>
    </row>
    <row r="203" spans="1:40" x14ac:dyDescent="0.3">
      <c r="A203" t="str">
        <f>"20200111153832401"</f>
        <v>20200111153832401</v>
      </c>
      <c r="B203" t="str">
        <f>"1578728312390337"</f>
        <v>1578728312390337</v>
      </c>
      <c r="C203" t="s">
        <v>40</v>
      </c>
      <c r="D203">
        <v>4.8950139999999998</v>
      </c>
      <c r="E203">
        <v>0.50918920000000001</v>
      </c>
      <c r="F203" t="s">
        <v>43</v>
      </c>
      <c r="G203">
        <v>-401.02870000000001</v>
      </c>
      <c r="H203">
        <v>-0.05</v>
      </c>
      <c r="I203">
        <v>367.6669</v>
      </c>
      <c r="J203">
        <v>-425.15809999999999</v>
      </c>
      <c r="K203">
        <v>1.054694</v>
      </c>
      <c r="L203">
        <v>367.5077</v>
      </c>
      <c r="M203">
        <v>0.99989249999999996</v>
      </c>
      <c r="N203">
        <v>0</v>
      </c>
      <c r="O203">
        <v>-4.5277529999999998E-4</v>
      </c>
      <c r="P203">
        <v>0.99942379999999997</v>
      </c>
      <c r="Q203">
        <v>1.5799130000000002E-2</v>
      </c>
      <c r="R203">
        <v>3.00413E-2</v>
      </c>
      <c r="S203">
        <v>3.0032040000000002</v>
      </c>
      <c r="T203">
        <v>-0.1356829</v>
      </c>
      <c r="U203">
        <v>1.953125E-2</v>
      </c>
      <c r="V203">
        <v>-3.049232E-2</v>
      </c>
      <c r="W203">
        <v>3.0454519999999999E-2</v>
      </c>
      <c r="X203">
        <v>0.99907089999999998</v>
      </c>
      <c r="Y203">
        <v>-6.9485980000000003E-3</v>
      </c>
      <c r="Z203">
        <v>1.7733270000000001E-4</v>
      </c>
      <c r="AA203">
        <v>0.99997590000000003</v>
      </c>
      <c r="AB203">
        <v>32</v>
      </c>
      <c r="AC203">
        <v>24.129399999999901</v>
      </c>
      <c r="AD203">
        <v>-1.1046940000000001</v>
      </c>
      <c r="AE203">
        <v>0.15919999999999801</v>
      </c>
      <c r="AF203">
        <v>-0.16977053019780899</v>
      </c>
      <c r="AG203">
        <v>-1.1046940000000001</v>
      </c>
      <c r="AH203">
        <v>24.078858385028699</v>
      </c>
      <c r="AI203">
        <v>92.626718491618803</v>
      </c>
      <c r="AJ203">
        <v>90.403963241666801</v>
      </c>
      <c r="AK203">
        <v>24.104783591495401</v>
      </c>
      <c r="AL203">
        <v>88.254814628312104</v>
      </c>
      <c r="AM203">
        <v>91.748163289520903</v>
      </c>
      <c r="AN203">
        <v>0.99999996129711</v>
      </c>
    </row>
    <row r="204" spans="1:40" x14ac:dyDescent="0.3">
      <c r="A204" t="str">
        <f>"20200111153832422"</f>
        <v>20200111153832422</v>
      </c>
      <c r="B204" t="str">
        <f>"1578728312420592"</f>
        <v>1578728312420592</v>
      </c>
      <c r="C204" t="s">
        <v>40</v>
      </c>
      <c r="D204">
        <v>4.9435909999999996</v>
      </c>
      <c r="E204">
        <v>0.50924619999999998</v>
      </c>
      <c r="F204" t="s">
        <v>43</v>
      </c>
      <c r="G204">
        <v>-400.19929999999999</v>
      </c>
      <c r="H204">
        <v>-0.05</v>
      </c>
      <c r="I204">
        <v>367.66269999999997</v>
      </c>
      <c r="J204">
        <v>-424.85059999999999</v>
      </c>
      <c r="K204">
        <v>1.0546789999999999</v>
      </c>
      <c r="L204">
        <v>367.50760000000002</v>
      </c>
      <c r="M204">
        <v>0.99989300000000003</v>
      </c>
      <c r="N204">
        <v>0</v>
      </c>
      <c r="O204">
        <v>-4.5266080000000002E-4</v>
      </c>
      <c r="P204">
        <v>0.99942549999999997</v>
      </c>
      <c r="Q204">
        <v>1.6024159999999999E-2</v>
      </c>
      <c r="R204">
        <v>2.987482E-2</v>
      </c>
      <c r="S204">
        <v>3.0032649999999999</v>
      </c>
      <c r="T204">
        <v>-0.13292709999999999</v>
      </c>
      <c r="U204">
        <v>1.8646240000000001E-2</v>
      </c>
      <c r="V204">
        <v>-3.032636E-2</v>
      </c>
      <c r="W204">
        <v>3.0647549999999999E-2</v>
      </c>
      <c r="X204">
        <v>0.99907009999999996</v>
      </c>
      <c r="Y204">
        <v>-6.6542789999999999E-3</v>
      </c>
      <c r="Z204">
        <v>1.672159E-4</v>
      </c>
      <c r="AA204">
        <v>0.99997780000000003</v>
      </c>
      <c r="AB204">
        <v>32</v>
      </c>
      <c r="AC204">
        <v>24.6512999999999</v>
      </c>
      <c r="AD204">
        <v>-1.104679</v>
      </c>
      <c r="AE204">
        <v>0.155099999999947</v>
      </c>
      <c r="AF204">
        <v>-0.16592666457396599</v>
      </c>
      <c r="AG204">
        <v>-1.104679</v>
      </c>
      <c r="AH204">
        <v>24.601825468882701</v>
      </c>
      <c r="AI204">
        <v>92.570927977703306</v>
      </c>
      <c r="AJ204">
        <v>90.386424716918896</v>
      </c>
      <c r="AK204">
        <v>24.627173279782301</v>
      </c>
      <c r="AL204">
        <v>88.243749748591</v>
      </c>
      <c r="AM204">
        <v>91.738655839942595</v>
      </c>
      <c r="AN204">
        <v>1.00000001257293</v>
      </c>
    </row>
    <row r="205" spans="1:40" x14ac:dyDescent="0.3">
      <c r="A205" t="str">
        <f>"20200111153832444"</f>
        <v>20200111153832444</v>
      </c>
      <c r="B205" t="str">
        <f>"1578728312440111"</f>
        <v>1578728312440111</v>
      </c>
      <c r="C205" t="s">
        <v>40</v>
      </c>
      <c r="D205">
        <v>5.1325909999999997</v>
      </c>
      <c r="E205">
        <v>0.50928850000000003</v>
      </c>
      <c r="F205" t="s">
        <v>43</v>
      </c>
      <c r="G205">
        <v>-399.57819999999998</v>
      </c>
      <c r="H205">
        <v>-0.05</v>
      </c>
      <c r="I205">
        <v>367.6542</v>
      </c>
      <c r="J205">
        <v>-424.53640000000001</v>
      </c>
      <c r="K205">
        <v>1.054665</v>
      </c>
      <c r="L205">
        <v>367.50740000000002</v>
      </c>
      <c r="M205">
        <v>0.99989329999999998</v>
      </c>
      <c r="N205">
        <v>0</v>
      </c>
      <c r="O205">
        <v>-4.5244799999999999E-4</v>
      </c>
      <c r="P205">
        <v>0.9994326</v>
      </c>
      <c r="Q205">
        <v>1.5392940000000001E-2</v>
      </c>
      <c r="R205">
        <v>2.9963179999999999E-2</v>
      </c>
      <c r="S205">
        <v>3.0032960000000002</v>
      </c>
      <c r="T205">
        <v>-0.13127649999999999</v>
      </c>
      <c r="U205">
        <v>1.742554E-2</v>
      </c>
      <c r="V205">
        <v>-3.0414630000000002E-2</v>
      </c>
      <c r="W205">
        <v>2.9987440000000001E-2</v>
      </c>
      <c r="X205">
        <v>0.99908750000000002</v>
      </c>
      <c r="Y205">
        <v>-6.2481300000000002E-3</v>
      </c>
      <c r="Z205">
        <v>1.562585E-4</v>
      </c>
      <c r="AA205">
        <v>0.99998039999999999</v>
      </c>
      <c r="AB205">
        <v>32</v>
      </c>
      <c r="AC205">
        <v>24.958200000000001</v>
      </c>
      <c r="AD205">
        <v>-1.104665</v>
      </c>
      <c r="AE205">
        <v>0.146799999999984</v>
      </c>
      <c r="AF205">
        <v>-0.15778438741800499</v>
      </c>
      <c r="AG205">
        <v>-1.104665</v>
      </c>
      <c r="AH205">
        <v>24.9093352927508</v>
      </c>
      <c r="AI205">
        <v>92.539205914130406</v>
      </c>
      <c r="AJ205">
        <v>90.362926527618399</v>
      </c>
      <c r="AK205">
        <v>24.934317022966901</v>
      </c>
      <c r="AL205">
        <v>88.281588748843902</v>
      </c>
      <c r="AM205">
        <v>91.743683022577201</v>
      </c>
      <c r="AN205">
        <v>1.0000000644660101</v>
      </c>
    </row>
    <row r="206" spans="1:40" x14ac:dyDescent="0.3">
      <c r="A206" t="str">
        <f>"20200111153832469"</f>
        <v>20200111153832469</v>
      </c>
      <c r="B206" t="str">
        <f>"1578728312460607"</f>
        <v>1578728312460607</v>
      </c>
      <c r="C206" t="s">
        <v>40</v>
      </c>
      <c r="D206">
        <v>5.0486719999999998</v>
      </c>
      <c r="E206">
        <v>0.56380379999999997</v>
      </c>
      <c r="F206" t="s">
        <v>43</v>
      </c>
      <c r="G206">
        <v>-399.45670000000001</v>
      </c>
      <c r="H206">
        <v>-0.05</v>
      </c>
      <c r="I206">
        <v>367.65190000000001</v>
      </c>
      <c r="J206">
        <v>-424.18709999999999</v>
      </c>
      <c r="K206">
        <v>1.0546489999999999</v>
      </c>
      <c r="L206">
        <v>367.50729999999999</v>
      </c>
      <c r="M206">
        <v>0.9998937</v>
      </c>
      <c r="N206">
        <v>0</v>
      </c>
      <c r="O206">
        <v>-4.5235840000000001E-4</v>
      </c>
      <c r="P206">
        <v>0.9994442</v>
      </c>
      <c r="Q206">
        <v>1.495082E-2</v>
      </c>
      <c r="R206">
        <v>2.979563E-2</v>
      </c>
      <c r="S206">
        <v>3.0032350000000001</v>
      </c>
      <c r="T206">
        <v>-0.1322808</v>
      </c>
      <c r="U206">
        <v>1.7303470000000001E-2</v>
      </c>
      <c r="V206">
        <v>-3.0246869999999999E-2</v>
      </c>
      <c r="W206">
        <v>2.9517479999999999E-2</v>
      </c>
      <c r="X206">
        <v>0.99910650000000001</v>
      </c>
      <c r="Y206">
        <v>-6.2074549999999997E-3</v>
      </c>
      <c r="Z206">
        <v>1.5655669999999999E-4</v>
      </c>
      <c r="AA206">
        <v>0.99998069999999895</v>
      </c>
      <c r="AB206">
        <v>32</v>
      </c>
      <c r="AC206">
        <v>24.7303999999999</v>
      </c>
      <c r="AD206">
        <v>-1.104649</v>
      </c>
      <c r="AE206">
        <v>0.14460000000002499</v>
      </c>
      <c r="AF206">
        <v>-0.15547797855878701</v>
      </c>
      <c r="AG206">
        <v>-1.104649</v>
      </c>
      <c r="AH206">
        <v>24.681090036390199</v>
      </c>
      <c r="AI206">
        <v>92.562620262510407</v>
      </c>
      <c r="AJ206">
        <v>90.360928716355005</v>
      </c>
      <c r="AK206">
        <v>24.7062872200462</v>
      </c>
      <c r="AL206">
        <v>88.308527248960402</v>
      </c>
      <c r="AM206">
        <v>91.734038205671695</v>
      </c>
      <c r="AN206">
        <v>0.99999997655629802</v>
      </c>
    </row>
    <row r="207" spans="1:40" x14ac:dyDescent="0.3">
      <c r="A207" t="str">
        <f>"20200111153832490"</f>
        <v>20200111153832490</v>
      </c>
      <c r="B207" t="str">
        <f>"1578728312481102"</f>
        <v>1578728312481102</v>
      </c>
      <c r="C207" t="s">
        <v>40</v>
      </c>
      <c r="D207">
        <v>5.301596</v>
      </c>
      <c r="E207">
        <v>0.58133950000000001</v>
      </c>
      <c r="F207" t="s">
        <v>43</v>
      </c>
      <c r="G207">
        <v>-296.67410000000001</v>
      </c>
      <c r="H207">
        <v>-0.05</v>
      </c>
      <c r="I207">
        <v>349.80549999999999</v>
      </c>
      <c r="J207">
        <v>-423.88139999999999</v>
      </c>
      <c r="K207">
        <v>1.054638</v>
      </c>
      <c r="L207">
        <v>367.50709999999998</v>
      </c>
      <c r="M207">
        <v>0.99989399999999995</v>
      </c>
      <c r="N207">
        <v>0</v>
      </c>
      <c r="O207">
        <v>-4.5243440000000001E-4</v>
      </c>
      <c r="P207">
        <v>0.99945759999999995</v>
      </c>
      <c r="Q207">
        <v>1.501369E-2</v>
      </c>
      <c r="R207">
        <v>2.9312379999999999E-2</v>
      </c>
      <c r="S207">
        <v>3.014526</v>
      </c>
      <c r="T207">
        <v>-2.611494E-2</v>
      </c>
      <c r="U207">
        <v>-0.41848750000000001</v>
      </c>
      <c r="V207">
        <v>-2.9763749999999999E-2</v>
      </c>
      <c r="W207">
        <v>2.9558000000000001E-2</v>
      </c>
      <c r="X207">
        <v>0.9991198</v>
      </c>
      <c r="Y207">
        <v>0.1370517</v>
      </c>
      <c r="Z207">
        <v>-5.868968E-4</v>
      </c>
      <c r="AA207">
        <v>0.99056370000000005</v>
      </c>
      <c r="AB207">
        <v>32</v>
      </c>
      <c r="AC207">
        <v>127.20729999999899</v>
      </c>
      <c r="AD207">
        <v>-1.104638</v>
      </c>
      <c r="AE207">
        <v>-17.7015999999999</v>
      </c>
      <c r="AF207">
        <v>17.642734008277401</v>
      </c>
      <c r="AG207">
        <v>-1.104638</v>
      </c>
      <c r="AH207">
        <v>127.205886550559</v>
      </c>
      <c r="AI207">
        <v>90.492818826575999</v>
      </c>
      <c r="AJ207">
        <v>82.103774554628203</v>
      </c>
      <c r="AK207">
        <v>128.42828295010199</v>
      </c>
      <c r="AL207">
        <v>88.306204591681393</v>
      </c>
      <c r="AM207">
        <v>91.706334979118395</v>
      </c>
      <c r="AN207">
        <v>0.99999996546504999</v>
      </c>
    </row>
    <row r="208" spans="1:40" x14ac:dyDescent="0.3">
      <c r="A208" t="str">
        <f>"20200111153832513"</f>
        <v>20200111153832513</v>
      </c>
      <c r="B208" t="str">
        <f>"1578728312500622"</f>
        <v>1578728312500622</v>
      </c>
      <c r="C208" t="s">
        <v>40</v>
      </c>
      <c r="D208">
        <v>5.1971860000000003</v>
      </c>
      <c r="E208">
        <v>0.59194040000000003</v>
      </c>
      <c r="F208" t="s">
        <v>43</v>
      </c>
      <c r="G208">
        <v>-400.69099999999997</v>
      </c>
      <c r="H208">
        <v>-0.05</v>
      </c>
      <c r="I208">
        <v>363.21780000000001</v>
      </c>
      <c r="J208">
        <v>-423.5652</v>
      </c>
      <c r="K208">
        <v>1.054632</v>
      </c>
      <c r="L208">
        <v>367.50700000000001</v>
      </c>
      <c r="M208">
        <v>0.99989439999999996</v>
      </c>
      <c r="N208">
        <v>0</v>
      </c>
      <c r="O208">
        <v>-4.5240409999999998E-4</v>
      </c>
      <c r="P208">
        <v>0.99948559999999997</v>
      </c>
      <c r="Q208">
        <v>1.471168E-2</v>
      </c>
      <c r="R208">
        <v>2.8499279999999998E-2</v>
      </c>
      <c r="S208">
        <v>3.020203</v>
      </c>
      <c r="T208">
        <v>-0.14386289999999999</v>
      </c>
      <c r="U208">
        <v>-0.55862429999999996</v>
      </c>
      <c r="V208">
        <v>-2.8950300000000002E-2</v>
      </c>
      <c r="W208">
        <v>2.9236270000000002E-2</v>
      </c>
      <c r="X208">
        <v>0.99915319999999996</v>
      </c>
      <c r="Y208">
        <v>0.18123439999999999</v>
      </c>
      <c r="Z208">
        <v>-4.2563949999999996E-3</v>
      </c>
      <c r="AA208">
        <v>0.98343069999999999</v>
      </c>
      <c r="AB208">
        <v>32</v>
      </c>
      <c r="AC208">
        <v>22.874199999999998</v>
      </c>
      <c r="AD208">
        <v>-1.1046320000000001</v>
      </c>
      <c r="AE208">
        <v>-4.28919999999993</v>
      </c>
      <c r="AF208">
        <v>4.2692320758132798</v>
      </c>
      <c r="AG208">
        <v>-1.1046320000000001</v>
      </c>
      <c r="AH208">
        <v>22.824717266021398</v>
      </c>
      <c r="AI208">
        <v>92.723581756251704</v>
      </c>
      <c r="AJ208">
        <v>79.405572628131097</v>
      </c>
      <c r="AK208">
        <v>23.2468120964229</v>
      </c>
      <c r="AL208">
        <v>88.324646388740604</v>
      </c>
      <c r="AM208">
        <v>91.659671458433294</v>
      </c>
      <c r="AN208">
        <v>0.99999999821192098</v>
      </c>
    </row>
    <row r="209" spans="1:40" x14ac:dyDescent="0.3">
      <c r="A209" t="str">
        <f>"20200111153832535"</f>
        <v>20200111153832535</v>
      </c>
      <c r="B209" t="str">
        <f>"1578728312530879"</f>
        <v>1578728312530879</v>
      </c>
      <c r="C209" t="s">
        <v>40</v>
      </c>
      <c r="D209">
        <v>5.2197709999999997</v>
      </c>
      <c r="E209">
        <v>0.59793969999999996</v>
      </c>
      <c r="F209" t="s">
        <v>43</v>
      </c>
      <c r="G209">
        <v>-406.89940000000001</v>
      </c>
      <c r="H209">
        <v>-0.05</v>
      </c>
      <c r="I209">
        <v>363.94900000000001</v>
      </c>
      <c r="J209">
        <v>-423.25549999999998</v>
      </c>
      <c r="K209">
        <v>1.05462099999999</v>
      </c>
      <c r="L209">
        <v>367.50689999999997</v>
      </c>
      <c r="M209">
        <v>0.99989459999999997</v>
      </c>
      <c r="N209">
        <v>0</v>
      </c>
      <c r="O209">
        <v>-4.5251159999999999E-4</v>
      </c>
      <c r="P209">
        <v>0.99952039999999998</v>
      </c>
      <c r="Q209">
        <v>1.3444040000000001E-2</v>
      </c>
      <c r="R209">
        <v>2.7897959999999999E-2</v>
      </c>
      <c r="S209">
        <v>3.0228579999999998</v>
      </c>
      <c r="T209">
        <v>-0.20035819999999999</v>
      </c>
      <c r="U209">
        <v>-0.64535520000000002</v>
      </c>
      <c r="V209">
        <v>-2.8349599999999999E-2</v>
      </c>
      <c r="W209">
        <v>2.7951239999999999E-2</v>
      </c>
      <c r="X209">
        <v>0.99920719999999996</v>
      </c>
      <c r="Y209">
        <v>0.2079087</v>
      </c>
      <c r="Z209">
        <v>-6.7765789999999996E-3</v>
      </c>
      <c r="AA209">
        <v>0.97812469999999996</v>
      </c>
      <c r="AB209">
        <v>32</v>
      </c>
      <c r="AC209">
        <v>16.356099999999898</v>
      </c>
      <c r="AD209">
        <v>-1.1046210000000001</v>
      </c>
      <c r="AE209">
        <v>-3.5578999999999601</v>
      </c>
      <c r="AF209">
        <v>3.5351021515248799</v>
      </c>
      <c r="AG209">
        <v>-1.1046210000000001</v>
      </c>
      <c r="AH209">
        <v>16.286779515433398</v>
      </c>
      <c r="AI209">
        <v>93.792008928191393</v>
      </c>
      <c r="AJ209">
        <v>77.753710083567597</v>
      </c>
      <c r="AK209">
        <v>16.702584283867498</v>
      </c>
      <c r="AL209">
        <v>88.398303309712304</v>
      </c>
      <c r="AM209">
        <v>91.625165228259206</v>
      </c>
      <c r="AN209">
        <v>1.00000000008476</v>
      </c>
    </row>
    <row r="210" spans="1:40" x14ac:dyDescent="0.3">
      <c r="A210" t="str">
        <f>"20200111153832558"</f>
        <v>20200111153832558</v>
      </c>
      <c r="B210" t="str">
        <f>"1578728312550398"</f>
        <v>1578728312550398</v>
      </c>
      <c r="C210" t="s">
        <v>40</v>
      </c>
      <c r="D210">
        <v>5.2275729999999996</v>
      </c>
      <c r="E210">
        <v>0.60021049999999998</v>
      </c>
      <c r="F210" t="s">
        <v>43</v>
      </c>
      <c r="G210">
        <v>-409.13529999999997</v>
      </c>
      <c r="H210">
        <v>-0.05</v>
      </c>
      <c r="I210">
        <v>364.2629</v>
      </c>
      <c r="J210">
        <v>-422.92860000000002</v>
      </c>
      <c r="K210">
        <v>1.054616</v>
      </c>
      <c r="L210">
        <v>367.50670000000002</v>
      </c>
      <c r="M210">
        <v>0.99989490000000003</v>
      </c>
      <c r="N210">
        <v>0</v>
      </c>
      <c r="O210">
        <v>-4.5250800000000001E-4</v>
      </c>
      <c r="P210">
        <v>0.99953049999999999</v>
      </c>
      <c r="Q210">
        <v>1.2552590000000001E-2</v>
      </c>
      <c r="R210">
        <v>2.7957929999999999E-2</v>
      </c>
      <c r="S210">
        <v>3.023987</v>
      </c>
      <c r="T210">
        <v>-0.23656579999999999</v>
      </c>
      <c r="U210">
        <v>-0.69473269999999998</v>
      </c>
      <c r="V210">
        <v>-2.840939E-2</v>
      </c>
      <c r="W210">
        <v>2.7043210000000002E-2</v>
      </c>
      <c r="X210">
        <v>0.99923050000000002</v>
      </c>
      <c r="Y210">
        <v>0.22282109999999999</v>
      </c>
      <c r="Z210">
        <v>-8.5560329999999993E-3</v>
      </c>
      <c r="AA210">
        <v>0.97482179999999996</v>
      </c>
      <c r="AB210">
        <v>32</v>
      </c>
      <c r="AC210">
        <v>13.7933</v>
      </c>
      <c r="AD210">
        <v>-1.104616</v>
      </c>
      <c r="AE210">
        <v>-3.2438000000000198</v>
      </c>
      <c r="AF210">
        <v>3.2180008019530302</v>
      </c>
      <c r="AG210">
        <v>-1.104616</v>
      </c>
      <c r="AH210">
        <v>13.7114385914851</v>
      </c>
      <c r="AI210">
        <v>94.484559469054503</v>
      </c>
      <c r="AJ210">
        <v>76.792031487855894</v>
      </c>
      <c r="AK210">
        <v>14.127252171490801</v>
      </c>
      <c r="AL210">
        <v>88.450349293774195</v>
      </c>
      <c r="AM210">
        <v>91.628552942637896</v>
      </c>
      <c r="AN210">
        <v>1.0000000103887601</v>
      </c>
    </row>
    <row r="211" spans="1:40" x14ac:dyDescent="0.3">
      <c r="A211" t="str">
        <f>"20200111153832579"</f>
        <v>20200111153832579</v>
      </c>
      <c r="B211" t="str">
        <f>"1578728312570895"</f>
        <v>1578728312570895</v>
      </c>
      <c r="C211" t="s">
        <v>40</v>
      </c>
      <c r="D211">
        <v>5.2194039999999999</v>
      </c>
      <c r="E211">
        <v>0.60163529999999998</v>
      </c>
      <c r="F211" t="s">
        <v>43</v>
      </c>
      <c r="G211">
        <v>-409.60879999999997</v>
      </c>
      <c r="H211">
        <v>-0.05</v>
      </c>
      <c r="I211">
        <v>364.36880000000002</v>
      </c>
      <c r="J211">
        <v>-422.60890000000001</v>
      </c>
      <c r="K211">
        <v>1.0546180000000001</v>
      </c>
      <c r="L211">
        <v>367.50659999999999</v>
      </c>
      <c r="M211">
        <v>0.99989499999999998</v>
      </c>
      <c r="N211">
        <v>0</v>
      </c>
      <c r="O211">
        <v>-4.5240089999999997E-4</v>
      </c>
      <c r="P211">
        <v>0.99951900000000005</v>
      </c>
      <c r="Q211">
        <v>1.3484339999999999E-2</v>
      </c>
      <c r="R211">
        <v>2.792886E-2</v>
      </c>
      <c r="S211">
        <v>3.0245359999999999</v>
      </c>
      <c r="T211">
        <v>-0.2508263</v>
      </c>
      <c r="U211">
        <v>-0.71252439999999995</v>
      </c>
      <c r="V211">
        <v>-2.838009E-2</v>
      </c>
      <c r="W211">
        <v>2.795982E-2</v>
      </c>
      <c r="X211">
        <v>0.99920609999999999</v>
      </c>
      <c r="Y211">
        <v>0.2281234</v>
      </c>
      <c r="Z211">
        <v>-9.2791609999999993E-3</v>
      </c>
      <c r="AA211">
        <v>0.97358800000000001</v>
      </c>
      <c r="AB211">
        <v>32</v>
      </c>
      <c r="AC211">
        <v>13.0001</v>
      </c>
      <c r="AD211">
        <v>-1.1046180000000001</v>
      </c>
      <c r="AE211">
        <v>-3.1377999999999702</v>
      </c>
      <c r="AF211">
        <v>3.1106952985374701</v>
      </c>
      <c r="AG211">
        <v>-1.1046180000000001</v>
      </c>
      <c r="AH211">
        <v>12.913417452657701</v>
      </c>
      <c r="AI211">
        <v>94.753865962373695</v>
      </c>
      <c r="AJ211">
        <v>76.456135242884002</v>
      </c>
      <c r="AK211">
        <v>13.3286517124904</v>
      </c>
      <c r="AL211">
        <v>88.397811528651701</v>
      </c>
      <c r="AM211">
        <v>91.626913944972301</v>
      </c>
      <c r="AN211">
        <v>1.00000000566002</v>
      </c>
    </row>
    <row r="212" spans="1:40" x14ac:dyDescent="0.3">
      <c r="A212" t="str">
        <f>"20200111153832604"</f>
        <v>20200111153832604</v>
      </c>
      <c r="B212" t="str">
        <f>"1578728312600174"</f>
        <v>1578728312600174</v>
      </c>
      <c r="C212" t="s">
        <v>40</v>
      </c>
      <c r="D212">
        <v>5.3081459999999998</v>
      </c>
      <c r="E212">
        <v>0.60336049999999997</v>
      </c>
      <c r="F212" t="s">
        <v>43</v>
      </c>
      <c r="G212">
        <v>-409.75279999999998</v>
      </c>
      <c r="H212">
        <v>-0.05</v>
      </c>
      <c r="I212">
        <v>364.4307</v>
      </c>
      <c r="J212">
        <v>-422.27440000000001</v>
      </c>
      <c r="K212">
        <v>1.0546199999999999</v>
      </c>
      <c r="L212">
        <v>367.50639999999999</v>
      </c>
      <c r="M212">
        <v>0.99989519999999998</v>
      </c>
      <c r="N212">
        <v>0</v>
      </c>
      <c r="O212">
        <v>-4.5253999999999997E-4</v>
      </c>
      <c r="P212">
        <v>0.99951109999999999</v>
      </c>
      <c r="Q212">
        <v>1.469287E-2</v>
      </c>
      <c r="R212">
        <v>2.760166E-2</v>
      </c>
      <c r="S212">
        <v>3.0251769999999998</v>
      </c>
      <c r="T212">
        <v>-0.25992799999999999</v>
      </c>
      <c r="U212">
        <v>-0.72378540000000002</v>
      </c>
      <c r="V212">
        <v>-2.8053229999999998E-2</v>
      </c>
      <c r="W212">
        <v>2.9154289999999999E-2</v>
      </c>
      <c r="X212">
        <v>0.99918119999999999</v>
      </c>
      <c r="Y212">
        <v>0.2314416</v>
      </c>
      <c r="Z212">
        <v>-9.7489849999999999E-3</v>
      </c>
      <c r="AA212">
        <v>0.9728</v>
      </c>
      <c r="AB212">
        <v>32</v>
      </c>
      <c r="AC212">
        <v>12.521599999999999</v>
      </c>
      <c r="AD212">
        <v>-1.1046199999999999</v>
      </c>
      <c r="AE212">
        <v>-3.0756999999999799</v>
      </c>
      <c r="AF212">
        <v>3.0476644070199499</v>
      </c>
      <c r="AG212">
        <v>-1.1046199999999999</v>
      </c>
      <c r="AH212">
        <v>12.431748627785</v>
      </c>
      <c r="AI212">
        <v>94.932366568533993</v>
      </c>
      <c r="AJ212">
        <v>76.225499591198499</v>
      </c>
      <c r="AK212">
        <v>12.8474440114231</v>
      </c>
      <c r="AL212">
        <v>88.329345525217207</v>
      </c>
      <c r="AM212">
        <v>91.608226356798497</v>
      </c>
      <c r="AN212">
        <v>1.00000001338613</v>
      </c>
    </row>
    <row r="213" spans="1:40" x14ac:dyDescent="0.3">
      <c r="A213" t="str">
        <f>"20200111153832624"</f>
        <v>20200111153832624</v>
      </c>
      <c r="B213" t="str">
        <f>"1578728312620670"</f>
        <v>1578728312620670</v>
      </c>
      <c r="C213" t="s">
        <v>40</v>
      </c>
      <c r="D213">
        <v>5.2678000000000003</v>
      </c>
      <c r="E213">
        <v>0.60428019999999905</v>
      </c>
      <c r="F213" t="s">
        <v>43</v>
      </c>
      <c r="G213">
        <v>-409.71370000000002</v>
      </c>
      <c r="H213">
        <v>-0.05</v>
      </c>
      <c r="I213">
        <v>364.4427</v>
      </c>
      <c r="J213">
        <v>-421.98570000000001</v>
      </c>
      <c r="K213">
        <v>1.054632</v>
      </c>
      <c r="L213">
        <v>367.50630000000001</v>
      </c>
      <c r="M213">
        <v>0.99989539999999999</v>
      </c>
      <c r="N213">
        <v>0</v>
      </c>
      <c r="O213">
        <v>-4.5246199999999999E-4</v>
      </c>
      <c r="P213">
        <v>0.99952169999999896</v>
      </c>
      <c r="Q213">
        <v>1.479199E-2</v>
      </c>
      <c r="R213">
        <v>2.715826E-2</v>
      </c>
      <c r="S213">
        <v>3.0256959999999999</v>
      </c>
      <c r="T213">
        <v>-0.26608880000000001</v>
      </c>
      <c r="U213">
        <v>-0.73800659999999996</v>
      </c>
      <c r="V213">
        <v>-2.7609580000000002E-2</v>
      </c>
      <c r="W213">
        <v>2.9242939999999999E-2</v>
      </c>
      <c r="X213">
        <v>0.99919089999999999</v>
      </c>
      <c r="Y213">
        <v>0.2356693</v>
      </c>
      <c r="Z213">
        <v>-1.0155040000000001E-2</v>
      </c>
      <c r="AA213">
        <v>0.97178019999999998</v>
      </c>
      <c r="AB213">
        <v>32</v>
      </c>
      <c r="AC213">
        <v>12.271999999999901</v>
      </c>
      <c r="AD213">
        <v>-1.1046320000000001</v>
      </c>
      <c r="AE213">
        <v>-3.0636000000000001</v>
      </c>
      <c r="AF213">
        <v>3.0348995749269601</v>
      </c>
      <c r="AG213">
        <v>-1.1046320000000001</v>
      </c>
      <c r="AH213">
        <v>12.1804855377531</v>
      </c>
      <c r="AI213">
        <v>95.028975726759498</v>
      </c>
      <c r="AJ213">
        <v>76.009019450182194</v>
      </c>
      <c r="AK213">
        <v>12.601391003406301</v>
      </c>
      <c r="AL213">
        <v>88.324263975815299</v>
      </c>
      <c r="AM213">
        <v>91.582790619026397</v>
      </c>
      <c r="AN213">
        <v>0.99999994654521296</v>
      </c>
    </row>
    <row r="214" spans="1:40" x14ac:dyDescent="0.3">
      <c r="A214" t="str">
        <f>"20200111153832657"</f>
        <v>20200111153832657</v>
      </c>
      <c r="B214" t="str">
        <f>"1578728312650926"</f>
        <v>1578728312650926</v>
      </c>
      <c r="C214" t="s">
        <v>40</v>
      </c>
      <c r="D214">
        <v>5.2296610000000001</v>
      </c>
      <c r="E214">
        <v>0.60557499999999997</v>
      </c>
      <c r="F214" t="s">
        <v>43</v>
      </c>
      <c r="G214">
        <v>-409.66969999999998</v>
      </c>
      <c r="H214">
        <v>-0.05</v>
      </c>
      <c r="I214">
        <v>364.46890000000002</v>
      </c>
      <c r="J214">
        <v>-421.50900000000001</v>
      </c>
      <c r="K214">
        <v>1.054638</v>
      </c>
      <c r="L214">
        <v>367.5061</v>
      </c>
      <c r="M214">
        <v>0.9998958</v>
      </c>
      <c r="N214">
        <v>0</v>
      </c>
      <c r="O214">
        <v>-4.5246700000000002E-4</v>
      </c>
      <c r="P214">
        <v>0.99953179999999997</v>
      </c>
      <c r="Q214">
        <v>1.394395E-2</v>
      </c>
      <c r="R214">
        <v>2.7241080000000001E-2</v>
      </c>
      <c r="S214">
        <v>3.025757</v>
      </c>
      <c r="T214">
        <v>-0.27138190000000001</v>
      </c>
      <c r="U214">
        <v>-0.74621579999999998</v>
      </c>
      <c r="V214">
        <v>-2.769222E-2</v>
      </c>
      <c r="W214">
        <v>2.8379270000000002E-2</v>
      </c>
      <c r="X214">
        <v>0.99921360000000004</v>
      </c>
      <c r="Y214">
        <v>0.23810819999999999</v>
      </c>
      <c r="Z214">
        <v>-1.046035E-2</v>
      </c>
      <c r="AA214">
        <v>0.97118230000000005</v>
      </c>
      <c r="AB214">
        <v>32</v>
      </c>
      <c r="AC214">
        <v>11.8393</v>
      </c>
      <c r="AD214">
        <v>-1.104638</v>
      </c>
      <c r="AE214">
        <v>-3.0371999999999799</v>
      </c>
      <c r="AF214">
        <v>3.00727922257526</v>
      </c>
      <c r="AG214">
        <v>-1.104638</v>
      </c>
      <c r="AH214">
        <v>11.7447438164495</v>
      </c>
      <c r="AI214">
        <v>95.206093187021906</v>
      </c>
      <c r="AJ214">
        <v>75.637802900808296</v>
      </c>
      <c r="AK214">
        <v>12.1738638380592</v>
      </c>
      <c r="AL214">
        <v>88.373769312906902</v>
      </c>
      <c r="AM214">
        <v>91.587489703414406</v>
      </c>
      <c r="AN214">
        <v>1.0000000302196099</v>
      </c>
    </row>
    <row r="215" spans="1:40" x14ac:dyDescent="0.3">
      <c r="A215" t="str">
        <f>"20200111153832681"</f>
        <v>20200111153832681</v>
      </c>
      <c r="B215" t="str">
        <f>"1578728312670446"</f>
        <v>1578728312670446</v>
      </c>
      <c r="C215" t="s">
        <v>40</v>
      </c>
      <c r="D215">
        <v>5.3467229999999999</v>
      </c>
      <c r="E215">
        <v>0.60674220000000001</v>
      </c>
      <c r="F215" t="s">
        <v>43</v>
      </c>
      <c r="G215">
        <v>-409.59609999999998</v>
      </c>
      <c r="H215">
        <v>-0.05</v>
      </c>
      <c r="I215">
        <v>364.52969999999999</v>
      </c>
      <c r="J215">
        <v>-421.17399999999998</v>
      </c>
      <c r="K215">
        <v>1.0546390000000001</v>
      </c>
      <c r="L215">
        <v>367.50599999999997</v>
      </c>
      <c r="M215">
        <v>0.9998958</v>
      </c>
      <c r="N215">
        <v>0</v>
      </c>
      <c r="O215">
        <v>-4.5227709999999999E-4</v>
      </c>
      <c r="P215">
        <v>0.99954690000000002</v>
      </c>
      <c r="Q215">
        <v>1.351428E-2</v>
      </c>
      <c r="R215">
        <v>2.6894520000000002E-2</v>
      </c>
      <c r="S215">
        <v>3.0259399999999999</v>
      </c>
      <c r="T215">
        <v>-0.28058349999999999</v>
      </c>
      <c r="U215">
        <v>-0.75601200000000002</v>
      </c>
      <c r="V215">
        <v>-2.7345689999999999E-2</v>
      </c>
      <c r="W215">
        <v>2.7939800000000001E-2</v>
      </c>
      <c r="X215">
        <v>0.99923550000000005</v>
      </c>
      <c r="Y215">
        <v>0.24098269999999999</v>
      </c>
      <c r="Z215">
        <v>-1.0939839999999999E-2</v>
      </c>
      <c r="AA215">
        <v>0.97046770000000004</v>
      </c>
      <c r="AB215">
        <v>32</v>
      </c>
      <c r="AC215">
        <v>11.5779</v>
      </c>
      <c r="AD215">
        <v>-1.1046389999999999</v>
      </c>
      <c r="AE215">
        <v>-2.9762999999999802</v>
      </c>
      <c r="AF215">
        <v>2.9459086097723501</v>
      </c>
      <c r="AG215">
        <v>-1.1046389999999999</v>
      </c>
      <c r="AH215">
        <v>11.4812108747871</v>
      </c>
      <c r="AI215">
        <v>95.324238929970605</v>
      </c>
      <c r="AJ215">
        <v>75.609201467234996</v>
      </c>
      <c r="AK215">
        <v>11.904486885573</v>
      </c>
      <c r="AL215">
        <v>88.398959032306394</v>
      </c>
      <c r="AM215">
        <v>91.567600090725094</v>
      </c>
      <c r="AN215">
        <v>1.00000000182293</v>
      </c>
    </row>
    <row r="216" spans="1:40" x14ac:dyDescent="0.3">
      <c r="A216" t="str">
        <f>"20200111153832703"</f>
        <v>20200111153832703</v>
      </c>
      <c r="B216" t="str">
        <f>"1578728312700702"</f>
        <v>1578728312700702</v>
      </c>
      <c r="C216" t="s">
        <v>40</v>
      </c>
      <c r="D216">
        <v>4.7822149999999999</v>
      </c>
      <c r="E216">
        <v>0.60705669999999901</v>
      </c>
      <c r="F216" t="s">
        <v>43</v>
      </c>
      <c r="G216">
        <v>-409.19970000000001</v>
      </c>
      <c r="H216">
        <v>-0.05</v>
      </c>
      <c r="I216">
        <v>364.4735</v>
      </c>
      <c r="J216">
        <v>-420.85750000000002</v>
      </c>
      <c r="K216">
        <v>1.054624</v>
      </c>
      <c r="L216">
        <v>367.50580000000002</v>
      </c>
      <c r="M216">
        <v>0.99989589999999995</v>
      </c>
      <c r="N216">
        <v>0</v>
      </c>
      <c r="O216">
        <v>-4.5233520000000001E-4</v>
      </c>
      <c r="P216">
        <v>0.99957459999999998</v>
      </c>
      <c r="Q216">
        <v>1.2915650000000001E-2</v>
      </c>
      <c r="R216">
        <v>2.6150909999999999E-2</v>
      </c>
      <c r="S216">
        <v>3.0257869999999998</v>
      </c>
      <c r="T216">
        <v>-0.27913290000000002</v>
      </c>
      <c r="U216">
        <v>-0.76626590000000006</v>
      </c>
      <c r="V216">
        <v>-2.6601880000000001E-2</v>
      </c>
      <c r="W216">
        <v>2.73335E-2</v>
      </c>
      <c r="X216">
        <v>0.9992723</v>
      </c>
      <c r="Y216">
        <v>0.24408450000000001</v>
      </c>
      <c r="Z216">
        <v>-1.1020200000000001E-2</v>
      </c>
      <c r="AA216">
        <v>0.96969130000000003</v>
      </c>
      <c r="AB216">
        <v>32</v>
      </c>
      <c r="AC216">
        <v>11.6578</v>
      </c>
      <c r="AD216">
        <v>-1.1046240000000001</v>
      </c>
      <c r="AE216">
        <v>-3.0323000000000202</v>
      </c>
      <c r="AF216">
        <v>3.0017827689346999</v>
      </c>
      <c r="AG216">
        <v>-1.1046240000000001</v>
      </c>
      <c r="AH216">
        <v>11.561941776716701</v>
      </c>
      <c r="AI216">
        <v>95.283335370741597</v>
      </c>
      <c r="AJ216">
        <v>75.445847774271101</v>
      </c>
      <c r="AK216">
        <v>11.996224056820401</v>
      </c>
      <c r="AL216">
        <v>88.433710664314503</v>
      </c>
      <c r="AM216">
        <v>91.524925235719195</v>
      </c>
      <c r="AN216">
        <v>0.99999995489453597</v>
      </c>
    </row>
    <row r="217" spans="1:40" x14ac:dyDescent="0.3">
      <c r="A217" t="str">
        <f>"20200111153832725"</f>
        <v>20200111153832725</v>
      </c>
      <c r="B217" t="str">
        <f>"1578728312720223"</f>
        <v>1578728312720223</v>
      </c>
      <c r="C217" t="s">
        <v>40</v>
      </c>
      <c r="D217">
        <v>5.272805</v>
      </c>
      <c r="E217">
        <v>0.68482049999999905</v>
      </c>
      <c r="F217" t="s">
        <v>43</v>
      </c>
      <c r="G217">
        <v>-409.07780000000002</v>
      </c>
      <c r="H217">
        <v>-0.05</v>
      </c>
      <c r="I217">
        <v>364.50400000000002</v>
      </c>
      <c r="J217">
        <v>-420.55549999999999</v>
      </c>
      <c r="K217">
        <v>1.054602</v>
      </c>
      <c r="L217">
        <v>367.50569999999999</v>
      </c>
      <c r="M217">
        <v>0.99989600000000001</v>
      </c>
      <c r="N217">
        <v>0</v>
      </c>
      <c r="O217">
        <v>-4.5228150000000002E-4</v>
      </c>
      <c r="P217">
        <v>0.99963650000000004</v>
      </c>
      <c r="Q217">
        <v>1.093065E-2</v>
      </c>
      <c r="R217">
        <v>2.464705E-2</v>
      </c>
      <c r="S217">
        <v>3.0251769999999998</v>
      </c>
      <c r="T217">
        <v>-0.2836804</v>
      </c>
      <c r="U217">
        <v>-0.77090449999999999</v>
      </c>
      <c r="V217">
        <v>-2.5097939999999999E-2</v>
      </c>
      <c r="W217">
        <v>2.534196E-2</v>
      </c>
      <c r="X217">
        <v>0.99936369999999997</v>
      </c>
      <c r="Y217">
        <v>0.24549000000000001</v>
      </c>
      <c r="Z217">
        <v>-1.1263840000000001E-2</v>
      </c>
      <c r="AA217">
        <v>0.96933369999999996</v>
      </c>
      <c r="AB217">
        <v>32</v>
      </c>
      <c r="AC217">
        <v>11.477699999999899</v>
      </c>
      <c r="AD217">
        <v>-1.1046020000000001</v>
      </c>
      <c r="AE217">
        <v>-3.0016999999999698</v>
      </c>
      <c r="AF217">
        <v>2.9707544704612001</v>
      </c>
      <c r="AG217">
        <v>-1.1046020000000001</v>
      </c>
      <c r="AH217">
        <v>11.3803996612332</v>
      </c>
      <c r="AI217">
        <v>95.365180824525197</v>
      </c>
      <c r="AJ217">
        <v>75.369912973232303</v>
      </c>
      <c r="AK217">
        <v>11.8135102383486</v>
      </c>
      <c r="AL217">
        <v>88.547857134372606</v>
      </c>
      <c r="AM217">
        <v>91.438619223133202</v>
      </c>
      <c r="AN217">
        <v>0.99999996320328599</v>
      </c>
    </row>
    <row r="218" spans="1:40" x14ac:dyDescent="0.3">
      <c r="A218" t="str">
        <f>"20200111153832747"</f>
        <v>20200111153832747</v>
      </c>
      <c r="B218" t="str">
        <f>"1578728312740719"</f>
        <v>1578728312740719</v>
      </c>
      <c r="C218" t="s">
        <v>40</v>
      </c>
      <c r="D218">
        <v>5.2734129999999997</v>
      </c>
      <c r="E218">
        <v>0.67664590000000002</v>
      </c>
      <c r="F218" t="s">
        <v>44</v>
      </c>
      <c r="G218">
        <v>-372.96460000000002</v>
      </c>
      <c r="H218">
        <v>1.8105830000000001</v>
      </c>
      <c r="I218">
        <v>345.55200000000002</v>
      </c>
      <c r="J218">
        <v>-420.23919999999998</v>
      </c>
      <c r="K218">
        <v>1.0545679999999999</v>
      </c>
      <c r="L218">
        <v>367.50560000000002</v>
      </c>
      <c r="M218">
        <v>0.99989620000000001</v>
      </c>
      <c r="N218">
        <v>0</v>
      </c>
      <c r="O218">
        <v>-4.5222909999999999E-4</v>
      </c>
      <c r="P218">
        <v>0.99968889999999999</v>
      </c>
      <c r="Q218">
        <v>8.6392320000000002E-3</v>
      </c>
      <c r="R218">
        <v>2.3403569999999999E-2</v>
      </c>
      <c r="S218">
        <v>3.0350950000000001</v>
      </c>
      <c r="T218">
        <v>4.8217299999999998E-2</v>
      </c>
      <c r="U218">
        <v>-1.400085</v>
      </c>
      <c r="V218">
        <v>-2.3855020000000001E-2</v>
      </c>
      <c r="W218">
        <v>2.304428E-2</v>
      </c>
      <c r="X218">
        <v>0.99944980000000005</v>
      </c>
      <c r="Y218">
        <v>0.41842449999999998</v>
      </c>
      <c r="Z218">
        <v>3.1564729999999999E-3</v>
      </c>
      <c r="AA218">
        <v>0.90824609999999995</v>
      </c>
      <c r="AB218">
        <v>32</v>
      </c>
      <c r="AC218">
        <v>47.2745999999999</v>
      </c>
      <c r="AD218">
        <v>0.75601499999999999</v>
      </c>
      <c r="AE218">
        <v>-21.953600000000002</v>
      </c>
      <c r="AF218">
        <v>21.927603554292801</v>
      </c>
      <c r="AG218">
        <v>0.75601499999999999</v>
      </c>
      <c r="AH218">
        <v>47.274578832076401</v>
      </c>
      <c r="AI218">
        <v>89.168846504438505</v>
      </c>
      <c r="AJ218">
        <v>65.116480094779504</v>
      </c>
      <c r="AK218">
        <v>52.117915922115202</v>
      </c>
      <c r="AL218">
        <v>88.679543129849705</v>
      </c>
      <c r="AM218">
        <v>91.367284786328099</v>
      </c>
      <c r="AN218">
        <v>1.0000000017699699</v>
      </c>
    </row>
    <row r="219" spans="1:40" x14ac:dyDescent="0.3">
      <c r="A219" t="str">
        <f>"20200111153832770"</f>
        <v>20200111153832770</v>
      </c>
      <c r="B219" t="str">
        <f>"1578728312760239"</f>
        <v>1578728312760239</v>
      </c>
      <c r="C219" t="s">
        <v>40</v>
      </c>
      <c r="D219">
        <v>5.3210579999999998</v>
      </c>
      <c r="E219">
        <v>0.67276009999999997</v>
      </c>
      <c r="F219" t="s">
        <v>42</v>
      </c>
      <c r="G219">
        <v>-395.85399999999998</v>
      </c>
      <c r="H219">
        <v>7.9986710000000003E-2</v>
      </c>
      <c r="I219">
        <v>356.76280000000003</v>
      </c>
      <c r="J219">
        <v>-419.9271</v>
      </c>
      <c r="K219">
        <v>1.0545359999999999</v>
      </c>
      <c r="L219">
        <v>367.50540000000001</v>
      </c>
      <c r="M219">
        <v>0.99989620000000001</v>
      </c>
      <c r="N219">
        <v>0</v>
      </c>
      <c r="O219">
        <v>-4.5218089999999998E-4</v>
      </c>
      <c r="P219">
        <v>0.99974099999999999</v>
      </c>
      <c r="Q219">
        <v>6.2125180000000002E-3</v>
      </c>
      <c r="R219">
        <v>2.1901190000000001E-2</v>
      </c>
      <c r="S219">
        <v>3.033264</v>
      </c>
      <c r="T219">
        <v>-0.1212275</v>
      </c>
      <c r="U219">
        <v>-1.336273</v>
      </c>
      <c r="V219">
        <v>-2.2352589999999999E-2</v>
      </c>
      <c r="W219">
        <v>2.0612040000000002E-2</v>
      </c>
      <c r="X219">
        <v>0.99953760000000003</v>
      </c>
      <c r="Y219">
        <v>0.40246979999999999</v>
      </c>
      <c r="Z219">
        <v>-7.666211E-3</v>
      </c>
      <c r="AA219">
        <v>0.91540120000000003</v>
      </c>
      <c r="AB219">
        <v>32</v>
      </c>
      <c r="AC219">
        <v>24.073099999999901</v>
      </c>
      <c r="AD219">
        <v>-0.97454929000000001</v>
      </c>
      <c r="AE219">
        <v>-10.7425999999999</v>
      </c>
      <c r="AF219">
        <v>10.717065325819901</v>
      </c>
      <c r="AG219">
        <v>-0.97454929000000001</v>
      </c>
      <c r="AH219">
        <v>24.0450931276166</v>
      </c>
      <c r="AI219">
        <v>92.120091765851001</v>
      </c>
      <c r="AJ219">
        <v>65.977134440131096</v>
      </c>
      <c r="AK219">
        <v>26.343343353346199</v>
      </c>
      <c r="AL219">
        <v>88.818933406035896</v>
      </c>
      <c r="AM219">
        <v>91.281088012835895</v>
      </c>
      <c r="AN219">
        <v>0.99999995414321297</v>
      </c>
    </row>
    <row r="220" spans="1:40" x14ac:dyDescent="0.3">
      <c r="A220" t="str">
        <f>"20200111153832793"</f>
        <v>20200111153832793</v>
      </c>
      <c r="B220" t="str">
        <f>"1578728312790116"</f>
        <v>1578728312790116</v>
      </c>
      <c r="C220" t="s">
        <v>40</v>
      </c>
      <c r="D220">
        <v>5.3352250000000003</v>
      </c>
      <c r="E220">
        <v>0.67273539999999998</v>
      </c>
      <c r="F220" t="s">
        <v>43</v>
      </c>
      <c r="G220">
        <v>-403.35140000000001</v>
      </c>
      <c r="H220">
        <v>-0.05</v>
      </c>
      <c r="I220">
        <v>360.34789999999998</v>
      </c>
      <c r="J220">
        <v>-419.60129999999998</v>
      </c>
      <c r="K220">
        <v>1.0545089999999999</v>
      </c>
      <c r="L220">
        <v>367.5052</v>
      </c>
      <c r="M220">
        <v>0.99989629999999996</v>
      </c>
      <c r="N220">
        <v>0</v>
      </c>
      <c r="O220">
        <v>-4.5213399999999998E-4</v>
      </c>
      <c r="P220">
        <v>0.99978</v>
      </c>
      <c r="Q220">
        <v>3.6743879999999998E-3</v>
      </c>
      <c r="R220">
        <v>2.0654599999999999E-2</v>
      </c>
      <c r="S220">
        <v>3.0306700000000002</v>
      </c>
      <c r="T220">
        <v>-0.20195170000000001</v>
      </c>
      <c r="U220">
        <v>-1.3086549999999999</v>
      </c>
      <c r="V220">
        <v>-2.1105829999999999E-2</v>
      </c>
      <c r="W220">
        <v>1.8068109999999998E-2</v>
      </c>
      <c r="X220">
        <v>0.99961390000000006</v>
      </c>
      <c r="Y220">
        <v>0.3952716</v>
      </c>
      <c r="Z220">
        <v>-1.2566000000000001E-2</v>
      </c>
      <c r="AA220">
        <v>0.91847840000000003</v>
      </c>
      <c r="AB220">
        <v>31</v>
      </c>
      <c r="AC220">
        <v>16.249899999999901</v>
      </c>
      <c r="AD220">
        <v>-1.104509</v>
      </c>
      <c r="AE220">
        <v>-7.1573000000000198</v>
      </c>
      <c r="AF220">
        <v>7.1223926272578497</v>
      </c>
      <c r="AG220">
        <v>-1.104509</v>
      </c>
      <c r="AH220">
        <v>16.190488707139998</v>
      </c>
      <c r="AI220">
        <v>93.573164913551693</v>
      </c>
      <c r="AJ220">
        <v>66.254722868915493</v>
      </c>
      <c r="AK220">
        <v>17.722311966668599</v>
      </c>
      <c r="AL220">
        <v>88.964717147280496</v>
      </c>
      <c r="AM220">
        <v>91.209562343832701</v>
      </c>
      <c r="AN220">
        <v>0.99999993086608296</v>
      </c>
    </row>
    <row r="221" spans="1:40" x14ac:dyDescent="0.3">
      <c r="A221" t="str">
        <f>"20200111153832814"</f>
        <v>20200111153832814</v>
      </c>
      <c r="B221" t="str">
        <f>"1578728312810612"</f>
        <v>1578728312810612</v>
      </c>
      <c r="C221" t="s">
        <v>40</v>
      </c>
      <c r="D221">
        <v>5.2203460000000002</v>
      </c>
      <c r="E221">
        <v>0.67496149999999999</v>
      </c>
      <c r="F221" t="s">
        <v>43</v>
      </c>
      <c r="G221">
        <v>-404.18709999999999</v>
      </c>
      <c r="H221">
        <v>-0.05</v>
      </c>
      <c r="I221">
        <v>360.82889999999998</v>
      </c>
      <c r="J221">
        <v>-419.30309999999997</v>
      </c>
      <c r="K221">
        <v>1.0544910000000001</v>
      </c>
      <c r="L221">
        <v>367.50510000000003</v>
      </c>
      <c r="M221">
        <v>0.99989649999999997</v>
      </c>
      <c r="N221">
        <v>0</v>
      </c>
      <c r="O221">
        <v>-4.5221299999999997E-4</v>
      </c>
      <c r="P221">
        <v>0.99980340000000001</v>
      </c>
      <c r="Q221">
        <v>1.381677E-3</v>
      </c>
      <c r="R221">
        <v>1.979237E-2</v>
      </c>
      <c r="S221">
        <v>3.0285639999999998</v>
      </c>
      <c r="T221">
        <v>-0.2170135</v>
      </c>
      <c r="U221">
        <v>-1.311768</v>
      </c>
      <c r="V221">
        <v>-2.024434E-2</v>
      </c>
      <c r="W221">
        <v>1.5770559999999999E-2</v>
      </c>
      <c r="X221">
        <v>0.99967070000000002</v>
      </c>
      <c r="Y221">
        <v>0.39618219999999998</v>
      </c>
      <c r="Z221">
        <v>-1.353831E-2</v>
      </c>
      <c r="AA221">
        <v>0.91807209999999995</v>
      </c>
      <c r="AB221">
        <v>31</v>
      </c>
      <c r="AC221">
        <v>15.1159999999999</v>
      </c>
      <c r="AD221">
        <v>-1.1044909999999999</v>
      </c>
      <c r="AE221">
        <v>-6.6762000000000503</v>
      </c>
      <c r="AF221">
        <v>6.6397005336189601</v>
      </c>
      <c r="AG221">
        <v>-1.1044909999999999</v>
      </c>
      <c r="AH221">
        <v>15.0517750167041</v>
      </c>
      <c r="AI221">
        <v>93.8409294187028</v>
      </c>
      <c r="AJ221">
        <v>66.196568822103302</v>
      </c>
      <c r="AK221">
        <v>16.4882216960684</v>
      </c>
      <c r="AL221">
        <v>89.096376035630399</v>
      </c>
      <c r="AM221">
        <v>91.160138752014106</v>
      </c>
      <c r="AN221">
        <v>1.00000002615161</v>
      </c>
    </row>
    <row r="222" spans="1:40" x14ac:dyDescent="0.3">
      <c r="A222" t="str">
        <f>"20200111153832835"</f>
        <v>20200111153832835</v>
      </c>
      <c r="B222" t="str">
        <f>"1578728312831110"</f>
        <v>1578728312831110</v>
      </c>
      <c r="C222" t="s">
        <v>40</v>
      </c>
      <c r="D222">
        <v>5.3045239999999998</v>
      </c>
      <c r="E222">
        <v>0.67532490000000001</v>
      </c>
      <c r="F222" t="s">
        <v>43</v>
      </c>
      <c r="G222">
        <v>-401.98039999999997</v>
      </c>
      <c r="H222">
        <v>-0.05</v>
      </c>
      <c r="I222">
        <v>359.87939999999998</v>
      </c>
      <c r="J222">
        <v>-418.99900000000002</v>
      </c>
      <c r="K222">
        <v>1.054481</v>
      </c>
      <c r="L222">
        <v>367.505</v>
      </c>
      <c r="M222">
        <v>0.99989640000000002</v>
      </c>
      <c r="N222">
        <v>0</v>
      </c>
      <c r="O222">
        <v>-4.5217400000000001E-4</v>
      </c>
      <c r="P222">
        <v>0.99980950000000002</v>
      </c>
      <c r="Q222">
        <v>-3.3725939999999999E-4</v>
      </c>
      <c r="R222">
        <v>1.951454E-2</v>
      </c>
      <c r="S222">
        <v>3.0272519999999998</v>
      </c>
      <c r="T222">
        <v>-0.19301679999999999</v>
      </c>
      <c r="U222">
        <v>-1.3326420000000001</v>
      </c>
      <c r="V222">
        <v>-1.9965989999999999E-2</v>
      </c>
      <c r="W222">
        <v>1.4046029999999999E-2</v>
      </c>
      <c r="X222">
        <v>0.99970199999999998</v>
      </c>
      <c r="Y222">
        <v>0.40180670000000002</v>
      </c>
      <c r="Z222">
        <v>-1.220427E-2</v>
      </c>
      <c r="AA222">
        <v>0.91564319999999999</v>
      </c>
      <c r="AB222">
        <v>31</v>
      </c>
      <c r="AC222">
        <v>17.018599999999999</v>
      </c>
      <c r="AD222">
        <v>-1.104481</v>
      </c>
      <c r="AE222">
        <v>-7.6256000000000101</v>
      </c>
      <c r="AF222">
        <v>7.5912759762787001</v>
      </c>
      <c r="AG222">
        <v>-1.104481</v>
      </c>
      <c r="AH222">
        <v>16.962549057795599</v>
      </c>
      <c r="AI222">
        <v>93.401238639605495</v>
      </c>
      <c r="AJ222">
        <v>65.889977743758095</v>
      </c>
      <c r="AK222">
        <v>18.6165361913948</v>
      </c>
      <c r="AL222">
        <v>89.195195305415396</v>
      </c>
      <c r="AM222">
        <v>91.144155854379406</v>
      </c>
      <c r="AN222">
        <v>1.00000001025972</v>
      </c>
    </row>
    <row r="223" spans="1:40" x14ac:dyDescent="0.3">
      <c r="A223" t="str">
        <f>"20200111153832859"</f>
        <v>20200111153832859</v>
      </c>
      <c r="B223" t="str">
        <f>"1578728312850628"</f>
        <v>1578728312850628</v>
      </c>
      <c r="C223" t="s">
        <v>40</v>
      </c>
      <c r="D223">
        <v>5.2177280000000001</v>
      </c>
      <c r="E223">
        <v>0.67629410000000001</v>
      </c>
      <c r="F223" t="s">
        <v>43</v>
      </c>
      <c r="G223">
        <v>-402.28160000000003</v>
      </c>
      <c r="H223">
        <v>-0.05</v>
      </c>
      <c r="I223">
        <v>360.1216</v>
      </c>
      <c r="J223">
        <v>-418.673</v>
      </c>
      <c r="K223">
        <v>1.054489</v>
      </c>
      <c r="L223">
        <v>367.50490000000002</v>
      </c>
      <c r="M223">
        <v>0.99989660000000002</v>
      </c>
      <c r="N223">
        <v>0</v>
      </c>
      <c r="O223">
        <v>-4.5213440000000001E-4</v>
      </c>
      <c r="P223">
        <v>0.99980690000000005</v>
      </c>
      <c r="Q223">
        <v>1.127362E-3</v>
      </c>
      <c r="R223">
        <v>1.9623910000000001E-2</v>
      </c>
      <c r="S223">
        <v>3.0266109999999999</v>
      </c>
      <c r="T223">
        <v>-0.1999611</v>
      </c>
      <c r="U223">
        <v>-1.3367309999999999</v>
      </c>
      <c r="V223">
        <v>-2.0075679999999999E-2</v>
      </c>
      <c r="W223">
        <v>1.550547E-2</v>
      </c>
      <c r="X223">
        <v>0.99967819999999996</v>
      </c>
      <c r="Y223">
        <v>0.402862</v>
      </c>
      <c r="Z223">
        <v>-1.2674970000000001E-2</v>
      </c>
      <c r="AA223">
        <v>0.91517289999999996</v>
      </c>
      <c r="AB223">
        <v>31</v>
      </c>
      <c r="AC223">
        <v>16.391399999999901</v>
      </c>
      <c r="AD223">
        <v>-1.1044889999999901</v>
      </c>
      <c r="AE223">
        <v>-7.38330000000001</v>
      </c>
      <c r="AF223">
        <v>7.3481515135797304</v>
      </c>
      <c r="AG223">
        <v>-1.1044889999999901</v>
      </c>
      <c r="AH223">
        <v>16.333087114971299</v>
      </c>
      <c r="AI223">
        <v>93.528912161875894</v>
      </c>
      <c r="AJ223">
        <v>65.777324103520996</v>
      </c>
      <c r="AK223">
        <v>17.943939403678499</v>
      </c>
      <c r="AL223">
        <v>89.111566388222798</v>
      </c>
      <c r="AM223">
        <v>91.150467363380301</v>
      </c>
      <c r="AN223">
        <v>0.99999997804131102</v>
      </c>
    </row>
    <row r="224" spans="1:40" x14ac:dyDescent="0.3">
      <c r="A224" t="str">
        <f>"20200111153832880"</f>
        <v>20200111153832880</v>
      </c>
      <c r="B224" t="str">
        <f>"1578728312870151"</f>
        <v>1578728312870151</v>
      </c>
      <c r="C224" t="s">
        <v>40</v>
      </c>
      <c r="D224">
        <v>5.1595630000000003</v>
      </c>
      <c r="E224">
        <v>0.67790130000000004</v>
      </c>
      <c r="F224" t="s">
        <v>43</v>
      </c>
      <c r="G224">
        <v>-400.95229999999998</v>
      </c>
      <c r="H224">
        <v>-0.05</v>
      </c>
      <c r="I224">
        <v>359.63690000000003</v>
      </c>
      <c r="J224">
        <v>-418.3648</v>
      </c>
      <c r="K224">
        <v>1.0545020000000001</v>
      </c>
      <c r="L224">
        <v>367.50470000000001</v>
      </c>
      <c r="M224">
        <v>0.99989660000000002</v>
      </c>
      <c r="N224">
        <v>0</v>
      </c>
      <c r="O224">
        <v>-4.5209869999999997E-4</v>
      </c>
      <c r="P224">
        <v>0.99979819999999997</v>
      </c>
      <c r="Q224">
        <v>3.3898589999999998E-3</v>
      </c>
      <c r="R224">
        <v>1.9798300000000001E-2</v>
      </c>
      <c r="S224">
        <v>3.027161</v>
      </c>
      <c r="T224">
        <v>-0.1886766</v>
      </c>
      <c r="U224">
        <v>-1.344055</v>
      </c>
      <c r="V224">
        <v>-2.0249860000000001E-2</v>
      </c>
      <c r="W224">
        <v>1.7762509999999999E-2</v>
      </c>
      <c r="X224">
        <v>0.99963709999999995</v>
      </c>
      <c r="Y224">
        <v>0.40472950000000002</v>
      </c>
      <c r="Z224">
        <v>-1.2008899999999999E-2</v>
      </c>
      <c r="AA224">
        <v>0.91435759999999999</v>
      </c>
      <c r="AB224">
        <v>31</v>
      </c>
      <c r="AC224">
        <v>17.412500000000001</v>
      </c>
      <c r="AD224">
        <v>-1.1045020000000001</v>
      </c>
      <c r="AE224">
        <v>-7.8677999999999804</v>
      </c>
      <c r="AF224">
        <v>7.8337507742832999</v>
      </c>
      <c r="AG224">
        <v>-1.1045020000000001</v>
      </c>
      <c r="AH224">
        <v>17.358055967075298</v>
      </c>
      <c r="AI224">
        <v>93.319305500445694</v>
      </c>
      <c r="AJ224">
        <v>65.710178585601398</v>
      </c>
      <c r="AK224">
        <v>19.075892713519501</v>
      </c>
      <c r="AL224">
        <v>88.982229566457903</v>
      </c>
      <c r="AM224">
        <v>91.160493993946901</v>
      </c>
      <c r="AN224">
        <v>0.99999994764396305</v>
      </c>
    </row>
    <row r="225" spans="1:40" x14ac:dyDescent="0.3">
      <c r="A225" t="str">
        <f>"20200111153832902"</f>
        <v>20200111153832902</v>
      </c>
      <c r="B225" t="str">
        <f>"1578728312900061"</f>
        <v>1578728312900061</v>
      </c>
      <c r="C225" t="s">
        <v>40</v>
      </c>
      <c r="D225">
        <v>5.0687150000000001</v>
      </c>
      <c r="E225">
        <v>0.68003760000000002</v>
      </c>
      <c r="F225" t="s">
        <v>42</v>
      </c>
      <c r="G225">
        <v>-399.86840000000001</v>
      </c>
      <c r="H225">
        <v>7.9985410000000007E-2</v>
      </c>
      <c r="I225">
        <v>359.21629999999999</v>
      </c>
      <c r="J225">
        <v>-418.05540000000002</v>
      </c>
      <c r="K225">
        <v>1.0545150000000001</v>
      </c>
      <c r="L225">
        <v>367.50459999999998</v>
      </c>
      <c r="M225">
        <v>0.99989669999999997</v>
      </c>
      <c r="N225">
        <v>0</v>
      </c>
      <c r="O225">
        <v>-4.5206430000000001E-4</v>
      </c>
      <c r="P225">
        <v>0.99977819999999995</v>
      </c>
      <c r="Q225">
        <v>5.9225679999999996E-3</v>
      </c>
      <c r="R225">
        <v>2.021475E-2</v>
      </c>
      <c r="S225">
        <v>3.0280149999999999</v>
      </c>
      <c r="T225">
        <v>-0.15953589999999901</v>
      </c>
      <c r="U225">
        <v>-1.356873</v>
      </c>
      <c r="V225">
        <v>-2.0666420000000001E-2</v>
      </c>
      <c r="W225">
        <v>2.028976E-2</v>
      </c>
      <c r="X225">
        <v>0.99958049999999998</v>
      </c>
      <c r="Y225">
        <v>0.40804360000000001</v>
      </c>
      <c r="Z225">
        <v>-1.0228910000000001E-2</v>
      </c>
      <c r="AA225">
        <v>0.91290519999999997</v>
      </c>
      <c r="AB225">
        <v>31</v>
      </c>
      <c r="AC225">
        <v>18.187000000000001</v>
      </c>
      <c r="AD225">
        <v>-0.97452958999999895</v>
      </c>
      <c r="AE225">
        <v>-8.2882999999999907</v>
      </c>
      <c r="AF225">
        <v>8.2604377322688993</v>
      </c>
      <c r="AG225">
        <v>-0.97452958999999895</v>
      </c>
      <c r="AH225">
        <v>18.1476001386756</v>
      </c>
      <c r="AI225">
        <v>92.798113227024601</v>
      </c>
      <c r="AJ225">
        <v>65.525886858274305</v>
      </c>
      <c r="AK225">
        <v>19.962963964395001</v>
      </c>
      <c r="AL225">
        <v>88.837402578432204</v>
      </c>
      <c r="AM225">
        <v>91.184426835898194</v>
      </c>
      <c r="AN225">
        <v>0.99999997562836096</v>
      </c>
    </row>
    <row r="226" spans="1:40" x14ac:dyDescent="0.3">
      <c r="A226" t="str">
        <f>"20200111153832925"</f>
        <v>20200111153832925</v>
      </c>
      <c r="B226" t="str">
        <f>"1578728312920556"</f>
        <v>1578728312920556</v>
      </c>
      <c r="C226" t="s">
        <v>40</v>
      </c>
      <c r="D226">
        <v>5.166582</v>
      </c>
      <c r="E226">
        <v>0.68112839999999997</v>
      </c>
      <c r="F226" t="s">
        <v>42</v>
      </c>
      <c r="G226">
        <v>-394.16739999999999</v>
      </c>
      <c r="H226">
        <v>7.9985749999999994E-2</v>
      </c>
      <c r="I226">
        <v>356.67720000000003</v>
      </c>
      <c r="J226">
        <v>-417.75259999999997</v>
      </c>
      <c r="K226">
        <v>1.0545249999999999</v>
      </c>
      <c r="L226">
        <v>367.50450000000001</v>
      </c>
      <c r="M226">
        <v>0.99989669999999997</v>
      </c>
      <c r="N226">
        <v>0</v>
      </c>
      <c r="O226">
        <v>-4.5203179999999998E-4</v>
      </c>
      <c r="P226">
        <v>0.99974700000000005</v>
      </c>
      <c r="Q226">
        <v>8.0089289999999997E-3</v>
      </c>
      <c r="R226">
        <v>2.1013730000000001E-2</v>
      </c>
      <c r="S226">
        <v>3.029175</v>
      </c>
      <c r="T226">
        <v>-0.12357700000000001</v>
      </c>
      <c r="U226">
        <v>-1.372986</v>
      </c>
      <c r="V226">
        <v>-2.146526E-2</v>
      </c>
      <c r="W226">
        <v>2.237068E-2</v>
      </c>
      <c r="X226">
        <v>0.9995193</v>
      </c>
      <c r="Y226">
        <v>0.412132</v>
      </c>
      <c r="Z226">
        <v>-7.9937229999999995E-3</v>
      </c>
      <c r="AA226">
        <v>0.91108909999999999</v>
      </c>
      <c r="AB226">
        <v>31</v>
      </c>
      <c r="AC226">
        <v>23.585199999999901</v>
      </c>
      <c r="AD226">
        <v>-0.97453924999999997</v>
      </c>
      <c r="AE226">
        <v>-10.8272999999999</v>
      </c>
      <c r="AF226">
        <v>10.8014049014573</v>
      </c>
      <c r="AG226">
        <v>-0.97453924999999997</v>
      </c>
      <c r="AH226">
        <v>23.5568735876336</v>
      </c>
      <c r="AI226">
        <v>92.153590459442896</v>
      </c>
      <c r="AJ226">
        <v>65.367381838883304</v>
      </c>
      <c r="AK226">
        <v>25.9334989505614</v>
      </c>
      <c r="AL226">
        <v>88.718147542329206</v>
      </c>
      <c r="AM226">
        <v>91.230271175699002</v>
      </c>
      <c r="AN226">
        <v>1.0000000178915001</v>
      </c>
    </row>
    <row r="227" spans="1:40" x14ac:dyDescent="0.3">
      <c r="A227" t="str">
        <f>"20200111153832948"</f>
        <v>20200111153832948</v>
      </c>
      <c r="B227" t="str">
        <f>"1578728312941052"</f>
        <v>1578728312941052</v>
      </c>
      <c r="C227" t="s">
        <v>40</v>
      </c>
      <c r="D227">
        <v>5.1658869999999997</v>
      </c>
      <c r="E227">
        <v>0.68223669999999903</v>
      </c>
      <c r="F227" t="s">
        <v>43</v>
      </c>
      <c r="G227">
        <v>-385.0847</v>
      </c>
      <c r="H227">
        <v>-0.05</v>
      </c>
      <c r="I227">
        <v>352.63440000000003</v>
      </c>
      <c r="J227">
        <v>-417.4162</v>
      </c>
      <c r="K227">
        <v>1.054541</v>
      </c>
      <c r="L227">
        <v>367.5043</v>
      </c>
      <c r="M227">
        <v>0.99989680000000003</v>
      </c>
      <c r="N227">
        <v>0</v>
      </c>
      <c r="O227">
        <v>-4.5199710000000002E-4</v>
      </c>
      <c r="P227">
        <v>0.99972819999999996</v>
      </c>
      <c r="Q227">
        <v>9.3758950000000004E-3</v>
      </c>
      <c r="R227">
        <v>2.1352469999999998E-2</v>
      </c>
      <c r="S227">
        <v>3.0305179999999998</v>
      </c>
      <c r="T227">
        <v>-0.102464</v>
      </c>
      <c r="U227">
        <v>-1.379456</v>
      </c>
      <c r="V227">
        <v>-2.180344E-2</v>
      </c>
      <c r="W227">
        <v>2.373312E-2</v>
      </c>
      <c r="X227">
        <v>0.99948049999999999</v>
      </c>
      <c r="Y227">
        <v>0.41368060000000001</v>
      </c>
      <c r="Z227">
        <v>-6.6482329999999999E-3</v>
      </c>
      <c r="AA227">
        <v>0.91039780000000003</v>
      </c>
      <c r="AB227">
        <v>31</v>
      </c>
      <c r="AC227">
        <v>32.331499999999998</v>
      </c>
      <c r="AD227">
        <v>-1.104541</v>
      </c>
      <c r="AE227">
        <v>-14.8698999999999</v>
      </c>
      <c r="AF227">
        <v>14.8409863293026</v>
      </c>
      <c r="AG227">
        <v>-1.104541</v>
      </c>
      <c r="AH227">
        <v>32.307095857112003</v>
      </c>
      <c r="AI227">
        <v>91.779470115005196</v>
      </c>
      <c r="AJ227">
        <v>65.327258322950001</v>
      </c>
      <c r="AK227">
        <v>35.569977913513704</v>
      </c>
      <c r="AL227">
        <v>88.640064648704296</v>
      </c>
      <c r="AM227">
        <v>91.249696199225397</v>
      </c>
      <c r="AN227">
        <v>0.99999996043050798</v>
      </c>
    </row>
    <row r="228" spans="1:40" x14ac:dyDescent="0.3">
      <c r="A228" t="str">
        <f>"20200111153832971"</f>
        <v>20200111153832971</v>
      </c>
      <c r="B228" t="str">
        <f>"1578728312960572"</f>
        <v>1578728312960572</v>
      </c>
      <c r="C228" t="s">
        <v>40</v>
      </c>
      <c r="D228">
        <v>5.046322</v>
      </c>
      <c r="E228">
        <v>0.6832954</v>
      </c>
      <c r="F228" t="s">
        <v>43</v>
      </c>
      <c r="G228">
        <v>-379.53590000000003</v>
      </c>
      <c r="H228">
        <v>-0.05</v>
      </c>
      <c r="I228">
        <v>350.16489999999999</v>
      </c>
      <c r="J228">
        <v>-417.11329999999998</v>
      </c>
      <c r="K228">
        <v>1.0545469999999999</v>
      </c>
      <c r="L228">
        <v>367.50420000000003</v>
      </c>
      <c r="M228">
        <v>0.99989680000000003</v>
      </c>
      <c r="N228">
        <v>0</v>
      </c>
      <c r="O228">
        <v>-4.51967E-4</v>
      </c>
      <c r="P228">
        <v>0.99969450000000004</v>
      </c>
      <c r="Q228">
        <v>1.1099909999999999E-2</v>
      </c>
      <c r="R228">
        <v>2.2084510000000002E-2</v>
      </c>
      <c r="S228">
        <v>3.0312809999999999</v>
      </c>
      <c r="T228">
        <v>-8.8388499999999995E-2</v>
      </c>
      <c r="U228">
        <v>-1.387543</v>
      </c>
      <c r="V228">
        <v>-2.253548E-2</v>
      </c>
      <c r="W228">
        <v>2.5451600000000001E-2</v>
      </c>
      <c r="X228">
        <v>0.99942200000000003</v>
      </c>
      <c r="Y228">
        <v>0.41565299999999999</v>
      </c>
      <c r="Z228">
        <v>-5.7583790000000001E-3</v>
      </c>
      <c r="AA228">
        <v>0.90950509999999996</v>
      </c>
      <c r="AB228">
        <v>31</v>
      </c>
      <c r="AC228">
        <v>37.577399999999898</v>
      </c>
      <c r="AD228">
        <v>-1.1045469999999999</v>
      </c>
      <c r="AE228">
        <v>-17.339300000000001</v>
      </c>
      <c r="AF228">
        <v>17.309982235149398</v>
      </c>
      <c r="AG228">
        <v>-1.1045469999999999</v>
      </c>
      <c r="AH228">
        <v>37.558479559748697</v>
      </c>
      <c r="AI228">
        <v>91.5299267543339</v>
      </c>
      <c r="AJ228">
        <v>65.255931079945896</v>
      </c>
      <c r="AK228">
        <v>41.370217498781102</v>
      </c>
      <c r="AL228">
        <v>88.541573226781907</v>
      </c>
      <c r="AM228">
        <v>91.291715743171196</v>
      </c>
      <c r="AN228">
        <v>0.99999998294269499</v>
      </c>
    </row>
    <row r="229" spans="1:40" x14ac:dyDescent="0.3">
      <c r="A229" t="str">
        <f>"20200111153832993"</f>
        <v>20200111153832993</v>
      </c>
      <c r="B229" t="str">
        <f>"1578728312990740"</f>
        <v>1578728312990740</v>
      </c>
      <c r="C229" t="s">
        <v>40</v>
      </c>
      <c r="D229">
        <v>4.9787290000000004</v>
      </c>
      <c r="E229">
        <v>0.68552550000000001</v>
      </c>
      <c r="F229" t="s">
        <v>43</v>
      </c>
      <c r="G229">
        <v>-371.1404</v>
      </c>
      <c r="H229">
        <v>-0.05</v>
      </c>
      <c r="I229">
        <v>346.37099999999998</v>
      </c>
      <c r="J229">
        <v>-416.79919999999998</v>
      </c>
      <c r="K229">
        <v>1.054548</v>
      </c>
      <c r="L229">
        <v>367.50400000000002</v>
      </c>
      <c r="M229">
        <v>0.99989700000000004</v>
      </c>
      <c r="N229">
        <v>0</v>
      </c>
      <c r="O229">
        <v>-4.5193659999999999E-4</v>
      </c>
      <c r="P229">
        <v>0.99967930000000005</v>
      </c>
      <c r="Q229">
        <v>1.205966E-2</v>
      </c>
      <c r="R229">
        <v>2.2271490000000001E-2</v>
      </c>
      <c r="S229">
        <v>3.0325319999999998</v>
      </c>
      <c r="T229">
        <v>-7.2859640000000003E-2</v>
      </c>
      <c r="U229">
        <v>-1.394012</v>
      </c>
      <c r="V229">
        <v>-2.2722200000000001E-2</v>
      </c>
      <c r="W229">
        <v>2.6406860000000001E-2</v>
      </c>
      <c r="X229">
        <v>0.99939299999999998</v>
      </c>
      <c r="Y229">
        <v>0.41716009999999998</v>
      </c>
      <c r="Z229">
        <v>-4.7604240000000001E-3</v>
      </c>
      <c r="AA229">
        <v>0.90882050000000003</v>
      </c>
      <c r="AB229">
        <v>31</v>
      </c>
      <c r="AC229">
        <v>45.6587999999999</v>
      </c>
      <c r="AD229">
        <v>-1.1045479999999901</v>
      </c>
      <c r="AE229">
        <v>-21.132999999999999</v>
      </c>
      <c r="AF229">
        <v>21.102190201550801</v>
      </c>
      <c r="AG229">
        <v>-1.1045479999999901</v>
      </c>
      <c r="AH229">
        <v>45.646346901872697</v>
      </c>
      <c r="AI229">
        <v>91.258265560234094</v>
      </c>
      <c r="AJ229">
        <v>65.189019221303298</v>
      </c>
      <c r="AK229">
        <v>50.300213151365902</v>
      </c>
      <c r="AL229">
        <v>88.486822466721904</v>
      </c>
      <c r="AM229">
        <v>91.302452493314306</v>
      </c>
      <c r="AN229">
        <v>0.99999999453844901</v>
      </c>
    </row>
    <row r="230" spans="1:40" x14ac:dyDescent="0.3">
      <c r="A230" t="str">
        <f>"20200111153833016"</f>
        <v>20200111153833016</v>
      </c>
      <c r="B230" t="str">
        <f>"1578728313010260"</f>
        <v>1578728313010260</v>
      </c>
      <c r="C230" t="s">
        <v>40</v>
      </c>
      <c r="D230">
        <v>5.0579210000000003</v>
      </c>
      <c r="E230">
        <v>0.70749719999999905</v>
      </c>
      <c r="F230" t="s">
        <v>44</v>
      </c>
      <c r="G230">
        <v>-372.96460000000002</v>
      </c>
      <c r="H230">
        <v>0.4387605</v>
      </c>
      <c r="I230">
        <v>347.10509999999999</v>
      </c>
      <c r="J230">
        <v>-416.50830000000002</v>
      </c>
      <c r="K230">
        <v>1.054548</v>
      </c>
      <c r="L230">
        <v>367.50389999999999</v>
      </c>
      <c r="M230">
        <v>0.99989689999999998</v>
      </c>
      <c r="N230">
        <v>0</v>
      </c>
      <c r="O230">
        <v>-4.5190920000000003E-4</v>
      </c>
      <c r="P230">
        <v>0.99967729999999999</v>
      </c>
      <c r="Q230">
        <v>1.258364E-2</v>
      </c>
      <c r="R230">
        <v>2.2065950000000001E-2</v>
      </c>
      <c r="S230">
        <v>3.0329280000000001</v>
      </c>
      <c r="T230">
        <v>-4.2600989999999998E-2</v>
      </c>
      <c r="U230">
        <v>-1.4114070000000001</v>
      </c>
      <c r="V230">
        <v>-2.2516970000000001E-2</v>
      </c>
      <c r="W230">
        <v>2.6927380000000001E-2</v>
      </c>
      <c r="X230">
        <v>0.99938369999999999</v>
      </c>
      <c r="Y230">
        <v>0.42146939999999999</v>
      </c>
      <c r="Z230">
        <v>-2.80891E-3</v>
      </c>
      <c r="AA230">
        <v>0.90683820000000004</v>
      </c>
      <c r="AB230">
        <v>31</v>
      </c>
      <c r="AC230">
        <v>43.543700000000001</v>
      </c>
      <c r="AD230">
        <v>-0.61578750000000004</v>
      </c>
      <c r="AE230">
        <v>-20.398799999999898</v>
      </c>
      <c r="AF230">
        <v>20.3757764706417</v>
      </c>
      <c r="AG230">
        <v>-0.61578750000000004</v>
      </c>
      <c r="AH230">
        <v>43.545773415803701</v>
      </c>
      <c r="AI230">
        <v>90.7338234309005</v>
      </c>
      <c r="AJ230">
        <v>64.924340881067295</v>
      </c>
      <c r="AK230">
        <v>48.081034134128501</v>
      </c>
      <c r="AL230">
        <v>88.456988171044003</v>
      </c>
      <c r="AM230">
        <v>91.290704569599896</v>
      </c>
      <c r="AN230">
        <v>0.999999938778665</v>
      </c>
    </row>
    <row r="231" spans="1:40" x14ac:dyDescent="0.3">
      <c r="A231" t="str">
        <f>"20200111153833037"</f>
        <v>20200111153833037</v>
      </c>
      <c r="B231" t="str">
        <f>"1578728313030756"</f>
        <v>1578728313030756</v>
      </c>
      <c r="C231" t="s">
        <v>40</v>
      </c>
      <c r="D231">
        <v>5.0162570000000004</v>
      </c>
      <c r="E231">
        <v>0.70823619999999898</v>
      </c>
      <c r="F231" t="s">
        <v>48</v>
      </c>
      <c r="G231">
        <v>-370.27609999999999</v>
      </c>
      <c r="H231">
        <v>4.1814070000000001</v>
      </c>
      <c r="I231">
        <v>343.25940000000003</v>
      </c>
      <c r="J231">
        <v>-416.2004</v>
      </c>
      <c r="K231">
        <v>1.0545450000000001</v>
      </c>
      <c r="L231">
        <v>367.50380000000001</v>
      </c>
      <c r="M231">
        <v>0.99989709999999998</v>
      </c>
      <c r="N231">
        <v>0</v>
      </c>
      <c r="O231">
        <v>-4.5211939999999999E-4</v>
      </c>
      <c r="P231">
        <v>0.99966840000000001</v>
      </c>
      <c r="Q231">
        <v>1.29263E-2</v>
      </c>
      <c r="R231">
        <v>2.228041E-2</v>
      </c>
      <c r="S231">
        <v>3.0335079999999999</v>
      </c>
      <c r="T231">
        <v>0.2051684</v>
      </c>
      <c r="U231">
        <v>-1.5907899999999999</v>
      </c>
      <c r="V231">
        <v>-2.2731210000000002E-2</v>
      </c>
      <c r="W231">
        <v>2.7265810000000001E-2</v>
      </c>
      <c r="X231">
        <v>0.99936970000000003</v>
      </c>
      <c r="Y231">
        <v>0.46319159999999998</v>
      </c>
      <c r="Z231">
        <v>1.4670890000000001E-2</v>
      </c>
      <c r="AA231">
        <v>0.8861367</v>
      </c>
      <c r="AB231">
        <v>31</v>
      </c>
      <c r="AC231">
        <v>45.924300000000002</v>
      </c>
      <c r="AD231">
        <v>3.126862</v>
      </c>
      <c r="AE231">
        <v>-24.244399999999899</v>
      </c>
      <c r="AF231">
        <v>24.136127479388001</v>
      </c>
      <c r="AG231">
        <v>3.126862</v>
      </c>
      <c r="AH231">
        <v>45.769322802915198</v>
      </c>
      <c r="AI231">
        <v>86.541814913231605</v>
      </c>
      <c r="AJ231">
        <v>62.195395281376101</v>
      </c>
      <c r="AK231">
        <v>51.837831990793802</v>
      </c>
      <c r="AL231">
        <v>88.437590477291096</v>
      </c>
      <c r="AM231">
        <v>91.302999142694702</v>
      </c>
      <c r="AN231">
        <v>0.99999996479055397</v>
      </c>
    </row>
    <row r="232" spans="1:40" x14ac:dyDescent="0.3">
      <c r="A232" t="str">
        <f>"20200111153833060"</f>
        <v>20200111153833060</v>
      </c>
      <c r="B232" t="str">
        <f>"1578728313050276"</f>
        <v>1578728313050276</v>
      </c>
      <c r="C232" t="s">
        <v>40</v>
      </c>
      <c r="D232">
        <v>5.0352389999999998</v>
      </c>
      <c r="E232">
        <v>0.70864899999999997</v>
      </c>
      <c r="F232" t="s">
        <v>49</v>
      </c>
      <c r="G232">
        <v>-369.7962</v>
      </c>
      <c r="H232">
        <v>4.3081990000000001</v>
      </c>
      <c r="I232">
        <v>343.0872</v>
      </c>
      <c r="J232">
        <v>-415.88459999999998</v>
      </c>
      <c r="K232">
        <v>1.0545450000000001</v>
      </c>
      <c r="L232">
        <v>367.50369999999998</v>
      </c>
      <c r="M232">
        <v>0.99989709999999998</v>
      </c>
      <c r="N232">
        <v>0</v>
      </c>
      <c r="O232">
        <v>-4.518527E-4</v>
      </c>
      <c r="P232">
        <v>0.99967839999999997</v>
      </c>
      <c r="Q232">
        <v>1.269172E-2</v>
      </c>
      <c r="R232">
        <v>2.1952929999999999E-2</v>
      </c>
      <c r="S232">
        <v>3.0337830000000001</v>
      </c>
      <c r="T232">
        <v>0.21272099999999999</v>
      </c>
      <c r="U232">
        <v>-1.5962829999999999</v>
      </c>
      <c r="V232">
        <v>-2.2403490000000002E-2</v>
      </c>
      <c r="W232">
        <v>2.702748E-2</v>
      </c>
      <c r="X232">
        <v>0.99938360000000004</v>
      </c>
      <c r="Y232">
        <v>0.46435270000000001</v>
      </c>
      <c r="Z232">
        <v>1.524086E-2</v>
      </c>
      <c r="AA232">
        <v>0.88551919999999995</v>
      </c>
      <c r="AB232">
        <v>31</v>
      </c>
      <c r="AC232">
        <v>46.088399999999901</v>
      </c>
      <c r="AD232">
        <v>3.253654</v>
      </c>
      <c r="AE232">
        <v>-24.4164999999999</v>
      </c>
      <c r="AF232">
        <v>24.3011007383808</v>
      </c>
      <c r="AG232">
        <v>3.253654</v>
      </c>
      <c r="AH232">
        <v>45.920725325567702</v>
      </c>
      <c r="AI232">
        <v>86.416518822959105</v>
      </c>
      <c r="AJ232">
        <v>62.112350217912599</v>
      </c>
      <c r="AK232">
        <v>52.056150221418498</v>
      </c>
      <c r="AL232">
        <v>88.451250855108796</v>
      </c>
      <c r="AM232">
        <v>91.284202047783197</v>
      </c>
      <c r="AN232">
        <v>0.99999999049414501</v>
      </c>
    </row>
    <row r="233" spans="1:40" x14ac:dyDescent="0.3">
      <c r="A233" t="str">
        <f>"20200111153833081"</f>
        <v>20200111153833081</v>
      </c>
      <c r="B233" t="str">
        <f>"1578728313070771"</f>
        <v>1578728313070771</v>
      </c>
      <c r="C233" t="s">
        <v>40</v>
      </c>
      <c r="D233">
        <v>5.0185170000000001</v>
      </c>
      <c r="E233">
        <v>0.70942869999999902</v>
      </c>
      <c r="F233" t="s">
        <v>48</v>
      </c>
      <c r="G233">
        <v>-370.27609999999999</v>
      </c>
      <c r="H233">
        <v>4.1681910000000002</v>
      </c>
      <c r="I233">
        <v>343.44470000000001</v>
      </c>
      <c r="J233">
        <v>-415.57729999999998</v>
      </c>
      <c r="K233">
        <v>1.0545420000000001</v>
      </c>
      <c r="L233">
        <v>367.50349999999997</v>
      </c>
      <c r="M233">
        <v>0.99989720000000004</v>
      </c>
      <c r="N233">
        <v>0</v>
      </c>
      <c r="O233">
        <v>-4.5206419999999997E-4</v>
      </c>
      <c r="P233">
        <v>0.99968120000000005</v>
      </c>
      <c r="Q233">
        <v>1.248641E-2</v>
      </c>
      <c r="R233">
        <v>2.1951120000000001E-2</v>
      </c>
      <c r="S233">
        <v>3.0334780000000001</v>
      </c>
      <c r="T233">
        <v>0.20709320000000001</v>
      </c>
      <c r="U233">
        <v>-1.6001890000000001</v>
      </c>
      <c r="V233">
        <v>-2.2402189999999999E-2</v>
      </c>
      <c r="W233">
        <v>2.6818700000000001E-2</v>
      </c>
      <c r="X233">
        <v>0.99938930000000004</v>
      </c>
      <c r="Y233">
        <v>0.46532659999999998</v>
      </c>
      <c r="Z233">
        <v>1.486675E-2</v>
      </c>
      <c r="AA233">
        <v>0.88501419999999997</v>
      </c>
      <c r="AB233">
        <v>31</v>
      </c>
      <c r="AC233">
        <v>45.301200000000001</v>
      </c>
      <c r="AD233">
        <v>3.1136490000000001</v>
      </c>
      <c r="AE233">
        <v>-24.058799999999898</v>
      </c>
      <c r="AF233">
        <v>23.950065089546602</v>
      </c>
      <c r="AG233">
        <v>3.1136490000000001</v>
      </c>
      <c r="AH233">
        <v>45.1457194781729</v>
      </c>
      <c r="AI233">
        <v>86.513491921103906</v>
      </c>
      <c r="AJ233">
        <v>62.053791072632997</v>
      </c>
      <c r="AK233">
        <v>51.199964991107201</v>
      </c>
      <c r="AL233">
        <v>88.463217477158594</v>
      </c>
      <c r="AM233">
        <v>91.284120233215006</v>
      </c>
      <c r="AN233">
        <v>1.00000003687048</v>
      </c>
    </row>
    <row r="234" spans="1:40" x14ac:dyDescent="0.3">
      <c r="A234" t="str">
        <f>"20200111153833104"</f>
        <v>20200111153833104</v>
      </c>
      <c r="B234" t="str">
        <f>"1578728313101029"</f>
        <v>1578728313101029</v>
      </c>
      <c r="C234" t="s">
        <v>40</v>
      </c>
      <c r="D234">
        <v>5.474424</v>
      </c>
      <c r="E234">
        <v>0.64221609999999996</v>
      </c>
      <c r="F234" t="s">
        <v>48</v>
      </c>
      <c r="G234">
        <v>-370.27609999999999</v>
      </c>
      <c r="H234">
        <v>4.119408</v>
      </c>
      <c r="I234">
        <v>343.5172</v>
      </c>
      <c r="J234">
        <v>-415.26569999999998</v>
      </c>
      <c r="K234">
        <v>1.054556</v>
      </c>
      <c r="L234">
        <v>367.5034</v>
      </c>
      <c r="M234">
        <v>0.99989729999999999</v>
      </c>
      <c r="N234">
        <v>0</v>
      </c>
      <c r="O234">
        <v>-4.520371E-4</v>
      </c>
      <c r="P234">
        <v>0.99969339999999995</v>
      </c>
      <c r="Q234">
        <v>1.267182E-2</v>
      </c>
      <c r="R234">
        <v>2.1284040000000001E-2</v>
      </c>
      <c r="S234">
        <v>3.0336910000000001</v>
      </c>
      <c r="T234">
        <v>0.20524600000000001</v>
      </c>
      <c r="U234">
        <v>-1.606293</v>
      </c>
      <c r="V234">
        <v>-2.173491E-2</v>
      </c>
      <c r="W234">
        <v>2.700031E-2</v>
      </c>
      <c r="X234">
        <v>0.99939909999999998</v>
      </c>
      <c r="Y234">
        <v>0.4667058</v>
      </c>
      <c r="Z234">
        <v>1.4770729999999999E-2</v>
      </c>
      <c r="AA234">
        <v>0.88428929999999994</v>
      </c>
      <c r="AB234">
        <v>31</v>
      </c>
      <c r="AC234">
        <v>44.989600000000003</v>
      </c>
      <c r="AD234">
        <v>3.0648520000000001</v>
      </c>
      <c r="AE234">
        <v>-23.9862</v>
      </c>
      <c r="AF234">
        <v>23.8795661994351</v>
      </c>
      <c r="AG234">
        <v>3.0648520000000001</v>
      </c>
      <c r="AH234">
        <v>44.838409038366898</v>
      </c>
      <c r="AI234">
        <v>86.547482453412798</v>
      </c>
      <c r="AJ234">
        <v>61.961599390214602</v>
      </c>
      <c r="AK234">
        <v>50.893122568250902</v>
      </c>
      <c r="AL234">
        <v>88.452808152208803</v>
      </c>
      <c r="AM234">
        <v>91.245870975988893</v>
      </c>
      <c r="AN234">
        <v>0.99999999206680701</v>
      </c>
    </row>
    <row r="235" spans="1:40" x14ac:dyDescent="0.3">
      <c r="A235" t="str">
        <f>"20200111153833127"</f>
        <v>20200111153833127</v>
      </c>
      <c r="B235" t="str">
        <f>"1578728313120548"</f>
        <v>1578728313120548</v>
      </c>
      <c r="C235" t="s">
        <v>40</v>
      </c>
      <c r="D235">
        <v>5.409484</v>
      </c>
      <c r="E235">
        <v>0.63640109999999905</v>
      </c>
      <c r="F235" t="s">
        <v>42</v>
      </c>
      <c r="G235">
        <v>-390.40940000000001</v>
      </c>
      <c r="H235">
        <v>7.9986749999999995E-2</v>
      </c>
      <c r="I235">
        <v>358.72680000000003</v>
      </c>
      <c r="J235">
        <v>-414.95699999999999</v>
      </c>
      <c r="K235">
        <v>1.054567</v>
      </c>
      <c r="L235">
        <v>367.50330000000002</v>
      </c>
      <c r="M235">
        <v>0.99989740000000005</v>
      </c>
      <c r="N235">
        <v>0</v>
      </c>
      <c r="O235">
        <v>-4.520107E-4</v>
      </c>
      <c r="P235">
        <v>0.99967090000000003</v>
      </c>
      <c r="Q235">
        <v>1.3982970000000001E-2</v>
      </c>
      <c r="R235">
        <v>2.150504E-2</v>
      </c>
      <c r="S235">
        <v>3.0251769999999998</v>
      </c>
      <c r="T235">
        <v>-0.1186107</v>
      </c>
      <c r="U235">
        <v>-1.06814599999999</v>
      </c>
      <c r="V235">
        <v>-2.195571E-2</v>
      </c>
      <c r="W235">
        <v>2.8307300000000001E-2</v>
      </c>
      <c r="X235">
        <v>0.99935810000000003</v>
      </c>
      <c r="Y235">
        <v>0.33228809999999998</v>
      </c>
      <c r="Z235">
        <v>-6.3034529999999997E-3</v>
      </c>
      <c r="AA235">
        <v>0.94315689999999996</v>
      </c>
      <c r="AB235">
        <v>31</v>
      </c>
      <c r="AC235">
        <v>24.5475999999999</v>
      </c>
      <c r="AD235">
        <v>-0.97458025000000004</v>
      </c>
      <c r="AE235">
        <v>-8.7764999999999898</v>
      </c>
      <c r="AF235">
        <v>8.7531689976834599</v>
      </c>
      <c r="AG235">
        <v>-0.97458025000000004</v>
      </c>
      <c r="AH235">
        <v>24.517300260113</v>
      </c>
      <c r="AI235">
        <v>92.143944869242105</v>
      </c>
      <c r="AJ235">
        <v>70.352413995000404</v>
      </c>
      <c r="AK235">
        <v>26.051214678211</v>
      </c>
      <c r="AL235">
        <v>88.377894472742696</v>
      </c>
      <c r="AM235">
        <v>91.258575061308903</v>
      </c>
      <c r="AN235">
        <v>0.99999998423525105</v>
      </c>
    </row>
    <row r="236" spans="1:40" x14ac:dyDescent="0.3">
      <c r="A236" t="str">
        <f>"20200111153833150"</f>
        <v>20200111153833150</v>
      </c>
      <c r="B236" t="str">
        <f>"1578728313141043"</f>
        <v>1578728313141043</v>
      </c>
      <c r="C236" t="s">
        <v>40</v>
      </c>
      <c r="D236">
        <v>5.4117319999999998</v>
      </c>
      <c r="E236">
        <v>0.63472680000000004</v>
      </c>
      <c r="F236" t="s">
        <v>42</v>
      </c>
      <c r="G236">
        <v>-391.58620000000002</v>
      </c>
      <c r="H236">
        <v>1.755323E-2</v>
      </c>
      <c r="I236">
        <v>359.61619999999999</v>
      </c>
      <c r="J236">
        <v>-414.63650000000001</v>
      </c>
      <c r="K236">
        <v>1.054584</v>
      </c>
      <c r="L236">
        <v>367.50310000000002</v>
      </c>
      <c r="M236">
        <v>0.99989740000000005</v>
      </c>
      <c r="N236">
        <v>0</v>
      </c>
      <c r="O236">
        <v>-4.5198359999999997E-4</v>
      </c>
      <c r="P236">
        <v>0.99966219999999995</v>
      </c>
      <c r="Q236">
        <v>1.387011E-2</v>
      </c>
      <c r="R236">
        <v>2.1987300000000001E-2</v>
      </c>
      <c r="S236">
        <v>3.0248110000000001</v>
      </c>
      <c r="T236">
        <v>-0.13421710000000001</v>
      </c>
      <c r="U236">
        <v>-1.0207820000000001</v>
      </c>
      <c r="V236">
        <v>-2.2438039999999999E-2</v>
      </c>
      <c r="W236">
        <v>2.819052E-2</v>
      </c>
      <c r="X236">
        <v>0.99935070000000004</v>
      </c>
      <c r="Y236">
        <v>0.31904320000000003</v>
      </c>
      <c r="Z236">
        <v>-6.8648619999999898E-3</v>
      </c>
      <c r="AA236">
        <v>0.94771530000000004</v>
      </c>
      <c r="AB236">
        <v>31</v>
      </c>
      <c r="AC236">
        <v>23.0503</v>
      </c>
      <c r="AD236">
        <v>-1.0370307700000001</v>
      </c>
      <c r="AE236">
        <v>-7.8869000000000202</v>
      </c>
      <c r="AF236">
        <v>7.8622337264549396</v>
      </c>
      <c r="AG236">
        <v>-1.0370307700000001</v>
      </c>
      <c r="AH236">
        <v>23.012165667806201</v>
      </c>
      <c r="AI236">
        <v>92.441855331564796</v>
      </c>
      <c r="AJ236">
        <v>71.136983675961901</v>
      </c>
      <c r="AK236">
        <v>24.340294178786898</v>
      </c>
      <c r="AL236">
        <v>88.384588164828102</v>
      </c>
      <c r="AM236">
        <v>91.286224170123901</v>
      </c>
      <c r="AN236">
        <v>0.99999999632370096</v>
      </c>
    </row>
    <row r="237" spans="1:40" x14ac:dyDescent="0.3">
      <c r="A237" t="str">
        <f>"20200111153833172"</f>
        <v>20200111153833172</v>
      </c>
      <c r="B237" t="str">
        <f>"1578728313160563"</f>
        <v>1578728313160563</v>
      </c>
      <c r="C237" t="s">
        <v>40</v>
      </c>
      <c r="D237">
        <v>5.3289619999999998</v>
      </c>
      <c r="E237">
        <v>0.63391949999999997</v>
      </c>
      <c r="F237" t="s">
        <v>42</v>
      </c>
      <c r="G237">
        <v>-392.68130000000002</v>
      </c>
      <c r="H237" s="1">
        <v>-4.981105E-6</v>
      </c>
      <c r="I237">
        <v>360.20359999999999</v>
      </c>
      <c r="J237">
        <v>-414.33229999999998</v>
      </c>
      <c r="K237">
        <v>1.0545850000000001</v>
      </c>
      <c r="L237">
        <v>367.50299999999999</v>
      </c>
      <c r="M237">
        <v>0.99989749999999999</v>
      </c>
      <c r="N237">
        <v>0</v>
      </c>
      <c r="O237">
        <v>-4.5195830000000002E-4</v>
      </c>
      <c r="P237">
        <v>0.99964569999999997</v>
      </c>
      <c r="Q237">
        <v>1.4516869999999999E-2</v>
      </c>
      <c r="R237">
        <v>2.2313929999999999E-2</v>
      </c>
      <c r="S237">
        <v>3.0251459999999999</v>
      </c>
      <c r="T237">
        <v>-0.145308299999999</v>
      </c>
      <c r="U237">
        <v>-1.005768</v>
      </c>
      <c r="V237">
        <v>-2.276452E-2</v>
      </c>
      <c r="W237">
        <v>2.883399E-2</v>
      </c>
      <c r="X237">
        <v>0.99932500000000002</v>
      </c>
      <c r="Y237">
        <v>0.31473440000000003</v>
      </c>
      <c r="Z237">
        <v>-7.3357680000000003E-3</v>
      </c>
      <c r="AA237">
        <v>0.94915139999999998</v>
      </c>
      <c r="AB237">
        <v>31</v>
      </c>
      <c r="AC237">
        <v>21.6509999999999</v>
      </c>
      <c r="AD237">
        <v>-1.0545899811049999</v>
      </c>
      <c r="AE237">
        <v>-7.2994000000000403</v>
      </c>
      <c r="AF237">
        <v>7.2741162510671797</v>
      </c>
      <c r="AG237">
        <v>-1.0545899811049999</v>
      </c>
      <c r="AH237">
        <v>21.608263278489702</v>
      </c>
      <c r="AI237">
        <v>92.648294327520404</v>
      </c>
      <c r="AJ237">
        <v>71.3949215763392</v>
      </c>
      <c r="AK237">
        <v>22.824153197321799</v>
      </c>
      <c r="AL237">
        <v>88.347705124237393</v>
      </c>
      <c r="AM237">
        <v>91.304966228456905</v>
      </c>
      <c r="AN237">
        <v>1.0000000389875701</v>
      </c>
    </row>
    <row r="238" spans="1:40" x14ac:dyDescent="0.3">
      <c r="A238" t="str">
        <f>"20200111153833193"</f>
        <v>20200111153833193</v>
      </c>
      <c r="B238" t="str">
        <f>"1578728313190819"</f>
        <v>1578728313190819</v>
      </c>
      <c r="C238" t="s">
        <v>40</v>
      </c>
      <c r="D238">
        <v>5.4300449999999998</v>
      </c>
      <c r="E238">
        <v>0.63392630000000005</v>
      </c>
      <c r="F238" t="s">
        <v>42</v>
      </c>
      <c r="G238">
        <v>-393.09809999999999</v>
      </c>
      <c r="H238" s="1">
        <v>-4.7618139999999998E-6</v>
      </c>
      <c r="I238">
        <v>360.49459999999999</v>
      </c>
      <c r="J238">
        <v>-414.0419</v>
      </c>
      <c r="K238">
        <v>1.0545899999999999</v>
      </c>
      <c r="L238">
        <v>367.50279999999998</v>
      </c>
      <c r="M238">
        <v>0.99989749999999999</v>
      </c>
      <c r="N238">
        <v>0</v>
      </c>
      <c r="O238">
        <v>-4.5193430000000002E-4</v>
      </c>
      <c r="P238">
        <v>0.99963250000000003</v>
      </c>
      <c r="Q238">
        <v>1.4765489999999999E-2</v>
      </c>
      <c r="R238">
        <v>2.2740549999999998E-2</v>
      </c>
      <c r="S238">
        <v>3.0255429999999999</v>
      </c>
      <c r="T238">
        <v>-0.15026249999999999</v>
      </c>
      <c r="U238">
        <v>-0.9985657</v>
      </c>
      <c r="V238">
        <v>-2.319131E-2</v>
      </c>
      <c r="W238">
        <v>2.90785E-2</v>
      </c>
      <c r="X238">
        <v>0.99930799999999997</v>
      </c>
      <c r="Y238">
        <v>0.31263980000000002</v>
      </c>
      <c r="Z238">
        <v>-7.5367749999999999E-3</v>
      </c>
      <c r="AA238">
        <v>0.94984190000000002</v>
      </c>
      <c r="AB238">
        <v>31</v>
      </c>
      <c r="AC238">
        <v>20.9438</v>
      </c>
      <c r="AD238">
        <v>-1.0545947618139999</v>
      </c>
      <c r="AE238">
        <v>-7.00819999999998</v>
      </c>
      <c r="AF238">
        <v>6.9828110996376997</v>
      </c>
      <c r="AG238">
        <v>-1.0545947618139999</v>
      </c>
      <c r="AH238">
        <v>20.899311456342598</v>
      </c>
      <c r="AI238">
        <v>92.740085278413602</v>
      </c>
      <c r="AJ238">
        <v>71.524660194231302</v>
      </c>
      <c r="AK238">
        <v>22.060213968003101</v>
      </c>
      <c r="AL238">
        <v>88.333689687565993</v>
      </c>
      <c r="AM238">
        <v>91.329445688362995</v>
      </c>
      <c r="AN238">
        <v>0.99999993744288096</v>
      </c>
    </row>
    <row r="239" spans="1:40" x14ac:dyDescent="0.3">
      <c r="A239" t="str">
        <f>"20200111153833217"</f>
        <v>20200111153833217</v>
      </c>
      <c r="B239" t="str">
        <f>"1578728313210339"</f>
        <v>1578728313210339</v>
      </c>
      <c r="C239" t="s">
        <v>40</v>
      </c>
      <c r="D239">
        <v>5.3529179999999998</v>
      </c>
      <c r="E239">
        <v>0.63418730000000001</v>
      </c>
      <c r="F239" t="s">
        <v>42</v>
      </c>
      <c r="G239">
        <v>-393.3021</v>
      </c>
      <c r="H239" s="1">
        <v>-4.6462490000000004E-6</v>
      </c>
      <c r="I239">
        <v>360.66820000000001</v>
      </c>
      <c r="J239">
        <v>-413.73230000000001</v>
      </c>
      <c r="K239">
        <v>1.054589</v>
      </c>
      <c r="L239">
        <v>367.5027</v>
      </c>
      <c r="M239">
        <v>0.99989749999999999</v>
      </c>
      <c r="N239">
        <v>0</v>
      </c>
      <c r="O239">
        <v>-4.5190900000000001E-4</v>
      </c>
      <c r="P239">
        <v>0.99962189999999995</v>
      </c>
      <c r="Q239">
        <v>1.469962E-2</v>
      </c>
      <c r="R239">
        <v>2.3236690000000001E-2</v>
      </c>
      <c r="S239">
        <v>3.0260310000000001</v>
      </c>
      <c r="T239">
        <v>-0.15386920000000001</v>
      </c>
      <c r="U239">
        <v>-0.99719239999999998</v>
      </c>
      <c r="V239">
        <v>-2.3687389999999999E-2</v>
      </c>
      <c r="W239">
        <v>2.9008909999999999E-2</v>
      </c>
      <c r="X239">
        <v>0.99929849999999998</v>
      </c>
      <c r="Y239">
        <v>0.3121892</v>
      </c>
      <c r="Z239">
        <v>-7.7056599999999996E-3</v>
      </c>
      <c r="AA239">
        <v>0.94998870000000002</v>
      </c>
      <c r="AB239">
        <v>31</v>
      </c>
      <c r="AC239">
        <v>20.430199999999999</v>
      </c>
      <c r="AD239">
        <v>-1.054593646249</v>
      </c>
      <c r="AE239">
        <v>-6.8344999999999896</v>
      </c>
      <c r="AF239">
        <v>6.8089489434454196</v>
      </c>
      <c r="AG239">
        <v>-1.054593646249</v>
      </c>
      <c r="AH239">
        <v>20.384437964131202</v>
      </c>
      <c r="AI239">
        <v>92.809258185485504</v>
      </c>
      <c r="AJ239">
        <v>71.529298266113699</v>
      </c>
      <c r="AK239">
        <v>21.517417702565201</v>
      </c>
      <c r="AL239">
        <v>88.337678772186194</v>
      </c>
      <c r="AM239">
        <v>91.357885924931395</v>
      </c>
      <c r="AN239">
        <v>1.00000005070332</v>
      </c>
    </row>
    <row r="240" spans="1:40" x14ac:dyDescent="0.3">
      <c r="A240" t="str">
        <f>"20200111153833238"</f>
        <v>20200111153833238</v>
      </c>
      <c r="B240" t="str">
        <f>"1578728313230835"</f>
        <v>1578728313230835</v>
      </c>
      <c r="C240" t="s">
        <v>40</v>
      </c>
      <c r="D240">
        <v>5.3479429999999999</v>
      </c>
      <c r="E240">
        <v>0.63443669999999996</v>
      </c>
      <c r="F240" t="s">
        <v>42</v>
      </c>
      <c r="G240">
        <v>-392.94060000000002</v>
      </c>
      <c r="H240" s="1">
        <v>-4.7739599999999899E-6</v>
      </c>
      <c r="I240">
        <v>360.65050000000002</v>
      </c>
      <c r="J240">
        <v>-413.43</v>
      </c>
      <c r="K240">
        <v>1.054583</v>
      </c>
      <c r="L240">
        <v>367.50259999999997</v>
      </c>
      <c r="M240">
        <v>0.99989749999999999</v>
      </c>
      <c r="N240">
        <v>0</v>
      </c>
      <c r="O240">
        <v>-4.5188420000000001E-4</v>
      </c>
      <c r="P240">
        <v>0.99963679999999999</v>
      </c>
      <c r="Q240">
        <v>1.342497E-2</v>
      </c>
      <c r="R240">
        <v>2.3370109999999999E-2</v>
      </c>
      <c r="S240">
        <v>3.0265810000000002</v>
      </c>
      <c r="T240">
        <v>-0.15351310000000001</v>
      </c>
      <c r="U240">
        <v>-0.99743649999999995</v>
      </c>
      <c r="V240">
        <v>-2.3820729999999998E-2</v>
      </c>
      <c r="W240">
        <v>2.773103E-2</v>
      </c>
      <c r="X240">
        <v>0.99933150000000004</v>
      </c>
      <c r="Y240">
        <v>0.31220879999999901</v>
      </c>
      <c r="Z240">
        <v>-7.686918E-3</v>
      </c>
      <c r="AA240">
        <v>0.9499824</v>
      </c>
      <c r="AB240">
        <v>31</v>
      </c>
      <c r="AC240">
        <v>20.4893999999999</v>
      </c>
      <c r="AD240">
        <v>-1.05458777396</v>
      </c>
      <c r="AE240">
        <v>-6.8520999999999503</v>
      </c>
      <c r="AF240">
        <v>6.8265739821786902</v>
      </c>
      <c r="AG240">
        <v>-1.05458777396</v>
      </c>
      <c r="AH240">
        <v>20.443783608636501</v>
      </c>
      <c r="AI240">
        <v>92.801191051949402</v>
      </c>
      <c r="AJ240">
        <v>71.5348402383012</v>
      </c>
      <c r="AK240">
        <v>21.5792158324602</v>
      </c>
      <c r="AL240">
        <v>88.410925213878798</v>
      </c>
      <c r="AM240">
        <v>91.365481714345606</v>
      </c>
      <c r="AN240">
        <v>0.99999994204742004</v>
      </c>
    </row>
    <row r="241" spans="1:40" x14ac:dyDescent="0.3">
      <c r="A241" t="str">
        <f>"20200111153833261"</f>
        <v>20200111153833261</v>
      </c>
      <c r="B241" t="str">
        <f>"1578728313250355"</f>
        <v>1578728313250355</v>
      </c>
      <c r="C241" t="s">
        <v>40</v>
      </c>
      <c r="D241">
        <v>5.3456739999999998</v>
      </c>
      <c r="E241">
        <v>0.63509139999999997</v>
      </c>
      <c r="F241" t="s">
        <v>42</v>
      </c>
      <c r="G241">
        <v>-393.13529999999997</v>
      </c>
      <c r="H241" s="1">
        <v>-4.6676519999999997E-6</v>
      </c>
      <c r="I241">
        <v>360.80110000000002</v>
      </c>
      <c r="J241">
        <v>-413.1173</v>
      </c>
      <c r="K241">
        <v>1.05457</v>
      </c>
      <c r="L241">
        <v>367.50240000000002</v>
      </c>
      <c r="M241">
        <v>0.99989749999999999</v>
      </c>
      <c r="N241">
        <v>0</v>
      </c>
      <c r="O241">
        <v>-4.518584E-4</v>
      </c>
      <c r="P241">
        <v>0.99964660000000005</v>
      </c>
      <c r="Q241">
        <v>1.2054469999999999E-2</v>
      </c>
      <c r="R241">
        <v>2.3696979999999999E-2</v>
      </c>
      <c r="S241">
        <v>3.0265810000000002</v>
      </c>
      <c r="T241">
        <v>-0.1572713</v>
      </c>
      <c r="U241">
        <v>-0.99938959999999999</v>
      </c>
      <c r="V241">
        <v>-2.4148039999999999E-2</v>
      </c>
      <c r="W241">
        <v>2.6357289999999998E-2</v>
      </c>
      <c r="X241">
        <v>0.9993609</v>
      </c>
      <c r="Y241">
        <v>0.3127432</v>
      </c>
      <c r="Z241">
        <v>-7.88761199999999E-3</v>
      </c>
      <c r="AA241">
        <v>0.94980500000000001</v>
      </c>
      <c r="AB241">
        <v>31</v>
      </c>
      <c r="AC241">
        <v>19.981999999999999</v>
      </c>
      <c r="AD241">
        <v>-1.054574667652</v>
      </c>
      <c r="AE241">
        <v>-6.7012999999999998</v>
      </c>
      <c r="AF241">
        <v>6.6755555446346699</v>
      </c>
      <c r="AG241">
        <v>-1.054574667652</v>
      </c>
      <c r="AH241">
        <v>19.935114095890999</v>
      </c>
      <c r="AI241">
        <v>92.871698267349601</v>
      </c>
      <c r="AJ241">
        <v>71.4861477493737</v>
      </c>
      <c r="AK241">
        <v>21.049559225203499</v>
      </c>
      <c r="AL241">
        <v>88.489663648183097</v>
      </c>
      <c r="AM241">
        <v>91.384196230716299</v>
      </c>
      <c r="AN241">
        <v>1.0000000215103899</v>
      </c>
    </row>
    <row r="242" spans="1:40" x14ac:dyDescent="0.3">
      <c r="A242" t="str">
        <f>"20200111153833283"</f>
        <v>20200111153833283</v>
      </c>
      <c r="B242" t="str">
        <f>"1578728313280612"</f>
        <v>1578728313280612</v>
      </c>
      <c r="C242" t="s">
        <v>40</v>
      </c>
      <c r="D242">
        <v>5.3376729999999997</v>
      </c>
      <c r="E242">
        <v>0.63577659999999903</v>
      </c>
      <c r="F242" t="s">
        <v>42</v>
      </c>
      <c r="G242">
        <v>-393.31180000000001</v>
      </c>
      <c r="H242" s="1">
        <v>-4.5720779999999996E-6</v>
      </c>
      <c r="I242">
        <v>360.93450000000001</v>
      </c>
      <c r="J242">
        <v>-412.81630000000001</v>
      </c>
      <c r="K242">
        <v>1.0545580000000001</v>
      </c>
      <c r="L242">
        <v>367.50229999999999</v>
      </c>
      <c r="M242">
        <v>0.99989760000000005</v>
      </c>
      <c r="N242">
        <v>0</v>
      </c>
      <c r="O242">
        <v>-4.5183389999999999E-4</v>
      </c>
      <c r="P242">
        <v>0.99966379999999999</v>
      </c>
      <c r="Q242">
        <v>1.02469E-2</v>
      </c>
      <c r="R242">
        <v>2.3820290000000001E-2</v>
      </c>
      <c r="S242">
        <v>3.026764</v>
      </c>
      <c r="T242">
        <v>-0.1611639</v>
      </c>
      <c r="U242">
        <v>-1.0037229999999999</v>
      </c>
      <c r="V242">
        <v>-2.4271149999999998E-2</v>
      </c>
      <c r="W242">
        <v>2.4547320000000001E-2</v>
      </c>
      <c r="X242">
        <v>0.99940399999999996</v>
      </c>
      <c r="Y242">
        <v>0.31393130000000002</v>
      </c>
      <c r="Z242">
        <v>-8.1111440000000007E-3</v>
      </c>
      <c r="AA242">
        <v>0.949411</v>
      </c>
      <c r="AB242">
        <v>31</v>
      </c>
      <c r="AC242">
        <v>19.5045</v>
      </c>
      <c r="AD242">
        <v>-1.0545625720780001</v>
      </c>
      <c r="AE242">
        <v>-6.5677999999999699</v>
      </c>
      <c r="AF242">
        <v>6.5418094724789801</v>
      </c>
      <c r="AG242">
        <v>-1.0545625720780001</v>
      </c>
      <c r="AH242">
        <v>19.4563812337401</v>
      </c>
      <c r="AI242">
        <v>92.940992183191398</v>
      </c>
      <c r="AJ242">
        <v>71.415836479192706</v>
      </c>
      <c r="AK242">
        <v>20.553786612332001</v>
      </c>
      <c r="AL242">
        <v>88.593400889348402</v>
      </c>
      <c r="AM242">
        <v>91.391190310245605</v>
      </c>
      <c r="AN242">
        <v>1.0000000074287501</v>
      </c>
    </row>
    <row r="243" spans="1:40" x14ac:dyDescent="0.3">
      <c r="A243" t="str">
        <f>"20200111153833305"</f>
        <v>20200111153833305</v>
      </c>
      <c r="B243" t="str">
        <f>"1578728313300132"</f>
        <v>1578728313300132</v>
      </c>
      <c r="C243" t="s">
        <v>40</v>
      </c>
      <c r="D243">
        <v>5.3355030000000001</v>
      </c>
      <c r="E243">
        <v>0.63616640000000002</v>
      </c>
      <c r="F243" t="s">
        <v>42</v>
      </c>
      <c r="G243">
        <v>-393.56270000000001</v>
      </c>
      <c r="H243" s="1">
        <v>-4.4466099999999998E-6</v>
      </c>
      <c r="I243">
        <v>361.08519999999999</v>
      </c>
      <c r="J243">
        <v>-412.51350000000002</v>
      </c>
      <c r="K243">
        <v>1.0545469999999999</v>
      </c>
      <c r="L243">
        <v>367.50220000000002</v>
      </c>
      <c r="M243">
        <v>0.99989760000000005</v>
      </c>
      <c r="N243">
        <v>0</v>
      </c>
      <c r="O243">
        <v>-4.5157090000000002E-4</v>
      </c>
      <c r="P243">
        <v>0.99967379999999995</v>
      </c>
      <c r="Q243">
        <v>9.3049570000000009E-3</v>
      </c>
      <c r="R243">
        <v>2.3790539999999999E-2</v>
      </c>
      <c r="S243">
        <v>3.0267029999999999</v>
      </c>
      <c r="T243">
        <v>-0.16577790000000001</v>
      </c>
      <c r="U243">
        <v>-1.008759</v>
      </c>
      <c r="V243">
        <v>-2.4241209999999999E-2</v>
      </c>
      <c r="W243">
        <v>2.360203E-2</v>
      </c>
      <c r="X243">
        <v>0.99942750000000002</v>
      </c>
      <c r="Y243">
        <v>0.31533430000000001</v>
      </c>
      <c r="Z243">
        <v>-8.3784700000000007E-3</v>
      </c>
      <c r="AA243">
        <v>0.94894369999999995</v>
      </c>
      <c r="AB243">
        <v>31</v>
      </c>
      <c r="AC243">
        <v>18.950800000000001</v>
      </c>
      <c r="AD243">
        <v>-1.0545514466100001</v>
      </c>
      <c r="AE243">
        <v>-6.41700000000003</v>
      </c>
      <c r="AF243">
        <v>6.39068726197904</v>
      </c>
      <c r="AG243">
        <v>-1.0545514466100001</v>
      </c>
      <c r="AH243">
        <v>18.901187857798501</v>
      </c>
      <c r="AI243">
        <v>93.025468967701698</v>
      </c>
      <c r="AJ243">
        <v>71.319072544992693</v>
      </c>
      <c r="AK243">
        <v>19.9801868076792</v>
      </c>
      <c r="AL243">
        <v>88.647577724201696</v>
      </c>
      <c r="AM243">
        <v>91.3894422035508</v>
      </c>
      <c r="AN243">
        <v>1.00000000991931</v>
      </c>
    </row>
    <row r="244" spans="1:40" x14ac:dyDescent="0.3">
      <c r="A244" t="str">
        <f>"20200111153833327"</f>
        <v>20200111153833327</v>
      </c>
      <c r="B244" t="str">
        <f>"1578728313320628"</f>
        <v>1578728313320628</v>
      </c>
      <c r="C244" t="s">
        <v>40</v>
      </c>
      <c r="D244">
        <v>5.3953660000000001</v>
      </c>
      <c r="E244">
        <v>0.63658669999999995</v>
      </c>
      <c r="F244" t="s">
        <v>42</v>
      </c>
      <c r="G244">
        <v>-393.44670000000002</v>
      </c>
      <c r="H244" s="1">
        <v>-4.4751999999999999E-6</v>
      </c>
      <c r="I244">
        <v>361.12599999999998</v>
      </c>
      <c r="J244">
        <v>-412.21300000000002</v>
      </c>
      <c r="K244">
        <v>1.054543</v>
      </c>
      <c r="L244">
        <v>367.50209999999998</v>
      </c>
      <c r="M244">
        <v>0.99989760000000005</v>
      </c>
      <c r="N244">
        <v>0</v>
      </c>
      <c r="O244">
        <v>-4.5154659999999998E-4</v>
      </c>
      <c r="P244">
        <v>0.99968659999999998</v>
      </c>
      <c r="Q244">
        <v>8.4505869999999903E-3</v>
      </c>
      <c r="R244">
        <v>2.3565470000000002E-2</v>
      </c>
      <c r="S244">
        <v>3.026672</v>
      </c>
      <c r="T244">
        <v>-0.16739960000000001</v>
      </c>
      <c r="U244">
        <v>-1.012146</v>
      </c>
      <c r="V244">
        <v>-2.4016260000000001E-2</v>
      </c>
      <c r="W244">
        <v>2.274491E-2</v>
      </c>
      <c r="X244">
        <v>0.99945280000000003</v>
      </c>
      <c r="Y244">
        <v>0.31628309999999998</v>
      </c>
      <c r="Z244">
        <v>-8.4844729999999993E-3</v>
      </c>
      <c r="AA244">
        <v>0.94862690000000005</v>
      </c>
      <c r="AB244">
        <v>31</v>
      </c>
      <c r="AC244">
        <v>18.766300000000001</v>
      </c>
      <c r="AD244">
        <v>-1.0545474751999999</v>
      </c>
      <c r="AE244">
        <v>-6.3761000000000001</v>
      </c>
      <c r="AF244">
        <v>6.3496492127900002</v>
      </c>
      <c r="AG244">
        <v>-1.0545474751999999</v>
      </c>
      <c r="AH244">
        <v>18.7161932581275</v>
      </c>
      <c r="AI244">
        <v>93.054240749332493</v>
      </c>
      <c r="AJ244">
        <v>71.259998669780401</v>
      </c>
      <c r="AK244">
        <v>19.792069259643199</v>
      </c>
      <c r="AL244">
        <v>88.6967002694782</v>
      </c>
      <c r="AM244">
        <v>91.376518814799596</v>
      </c>
      <c r="AN244">
        <v>1.0000000055515601</v>
      </c>
    </row>
    <row r="245" spans="1:40" x14ac:dyDescent="0.3">
      <c r="A245" t="str">
        <f>"20200111153833350"</f>
        <v>20200111153833350</v>
      </c>
      <c r="B245" t="str">
        <f>"1578728313341124"</f>
        <v>1578728313341124</v>
      </c>
      <c r="C245" t="s">
        <v>40</v>
      </c>
      <c r="D245">
        <v>5.4041739999999896</v>
      </c>
      <c r="E245">
        <v>0.63705619999999996</v>
      </c>
      <c r="F245" t="s">
        <v>42</v>
      </c>
      <c r="G245">
        <v>-393.2901</v>
      </c>
      <c r="H245" s="1">
        <v>-4.5218929999999999E-6</v>
      </c>
      <c r="I245">
        <v>361.1508</v>
      </c>
      <c r="J245">
        <v>-411.90019999999998</v>
      </c>
      <c r="K245">
        <v>1.05454</v>
      </c>
      <c r="L245">
        <v>367.50189999999998</v>
      </c>
      <c r="M245">
        <v>0.99989779999999995</v>
      </c>
      <c r="N245">
        <v>0</v>
      </c>
      <c r="O245">
        <v>-4.515206E-4</v>
      </c>
      <c r="P245">
        <v>0.99968820000000003</v>
      </c>
      <c r="Q245">
        <v>8.1373499999999998E-3</v>
      </c>
      <c r="R245">
        <v>2.3608759999999999E-2</v>
      </c>
      <c r="S245">
        <v>3.0262760000000002</v>
      </c>
      <c r="T245">
        <v>-0.16864989999999999</v>
      </c>
      <c r="U245">
        <v>-1.015717</v>
      </c>
      <c r="V245">
        <v>-2.405933E-2</v>
      </c>
      <c r="W245">
        <v>2.2427889999999999E-2</v>
      </c>
      <c r="X245">
        <v>0.99945890000000004</v>
      </c>
      <c r="Y245">
        <v>0.31731880000000001</v>
      </c>
      <c r="Z245">
        <v>-8.575325E-3</v>
      </c>
      <c r="AA245">
        <v>0.94828020000000002</v>
      </c>
      <c r="AB245">
        <v>30</v>
      </c>
      <c r="AC245">
        <v>18.6100999999999</v>
      </c>
      <c r="AD245">
        <v>-1.0545445218930001</v>
      </c>
      <c r="AE245">
        <v>-6.3510999999999704</v>
      </c>
      <c r="AF245">
        <v>6.3245064581505401</v>
      </c>
      <c r="AG245">
        <v>-1.0545445218930001</v>
      </c>
      <c r="AH245">
        <v>18.559588927711701</v>
      </c>
      <c r="AI245">
        <v>93.078541707248903</v>
      </c>
      <c r="AJ245">
        <v>71.1825533822675</v>
      </c>
      <c r="AK245">
        <v>19.635931025889299</v>
      </c>
      <c r="AL245">
        <v>88.714868775923705</v>
      </c>
      <c r="AM245">
        <v>91.378978054571803</v>
      </c>
      <c r="AN245">
        <v>0.99999997719955502</v>
      </c>
    </row>
    <row r="246" spans="1:40" x14ac:dyDescent="0.3">
      <c r="A246" t="str">
        <f>"20200111153833372"</f>
        <v>20200111153833372</v>
      </c>
      <c r="B246" t="str">
        <f>"1578728313360644"</f>
        <v>1578728313360644</v>
      </c>
      <c r="C246" t="s">
        <v>40</v>
      </c>
      <c r="D246">
        <v>5.4094249999999997</v>
      </c>
      <c r="E246">
        <v>0.63796090000000005</v>
      </c>
      <c r="F246" t="s">
        <v>42</v>
      </c>
      <c r="G246">
        <v>-392.8802</v>
      </c>
      <c r="H246" s="1">
        <v>-4.676815E-6</v>
      </c>
      <c r="I246">
        <v>361.09280000000001</v>
      </c>
      <c r="J246">
        <v>-411.6001</v>
      </c>
      <c r="K246">
        <v>1.0545370000000001</v>
      </c>
      <c r="L246">
        <v>367.5018</v>
      </c>
      <c r="M246">
        <v>0.99989779999999995</v>
      </c>
      <c r="N246">
        <v>0</v>
      </c>
      <c r="O246">
        <v>-4.5149630000000001E-4</v>
      </c>
      <c r="P246">
        <v>0.99968349999999995</v>
      </c>
      <c r="Q246">
        <v>8.2307660000000005E-3</v>
      </c>
      <c r="R246">
        <v>2.3772399999999999E-2</v>
      </c>
      <c r="S246">
        <v>3.0263979999999999</v>
      </c>
      <c r="T246">
        <v>-0.16779459999999999</v>
      </c>
      <c r="U246">
        <v>-1.0197750000000001</v>
      </c>
      <c r="V246">
        <v>-2.422322E-2</v>
      </c>
      <c r="W246">
        <v>2.2517990000000002E-2</v>
      </c>
      <c r="X246">
        <v>0.99945289999999998</v>
      </c>
      <c r="Y246">
        <v>0.31845269999999998</v>
      </c>
      <c r="Z246">
        <v>-8.5603709999999902E-3</v>
      </c>
      <c r="AA246">
        <v>0.94790010000000002</v>
      </c>
      <c r="AB246">
        <v>30</v>
      </c>
      <c r="AC246">
        <v>18.719899999999999</v>
      </c>
      <c r="AD246">
        <v>-1.054541676815</v>
      </c>
      <c r="AE246">
        <v>-6.40899999999999</v>
      </c>
      <c r="AF246">
        <v>6.3824176816526998</v>
      </c>
      <c r="AG246">
        <v>-1.054541676815</v>
      </c>
      <c r="AH246">
        <v>18.669761800098801</v>
      </c>
      <c r="AI246">
        <v>93.059382646408906</v>
      </c>
      <c r="AJ246">
        <v>71.126568211779599</v>
      </c>
      <c r="AK246">
        <v>19.758727673705099</v>
      </c>
      <c r="AL246">
        <v>88.709705102110703</v>
      </c>
      <c r="AM246">
        <v>91.388376196831402</v>
      </c>
      <c r="AN246">
        <v>0.99999996178960804</v>
      </c>
    </row>
    <row r="247" spans="1:40" x14ac:dyDescent="0.3">
      <c r="A247" t="str">
        <f>"20200111153833393"</f>
        <v>20200111153833393</v>
      </c>
      <c r="B247" t="str">
        <f>"1578728313390900"</f>
        <v>1578728313390900</v>
      </c>
      <c r="C247" t="s">
        <v>40</v>
      </c>
      <c r="D247">
        <v>5.2246040000000002</v>
      </c>
      <c r="E247">
        <v>0.60999080000000006</v>
      </c>
      <c r="F247" t="s">
        <v>42</v>
      </c>
      <c r="G247">
        <v>-392.39109999999999</v>
      </c>
      <c r="H247" s="1">
        <v>-4.8713630000000001E-6</v>
      </c>
      <c r="I247">
        <v>360.9873</v>
      </c>
      <c r="J247">
        <v>-411.31119999999999</v>
      </c>
      <c r="K247">
        <v>1.05454</v>
      </c>
      <c r="L247">
        <v>367.5016</v>
      </c>
      <c r="M247">
        <v>0.99989790000000001</v>
      </c>
      <c r="N247">
        <v>0</v>
      </c>
      <c r="O247">
        <v>-4.5147330000000003E-4</v>
      </c>
      <c r="P247">
        <v>0.99966999999999995</v>
      </c>
      <c r="Q247">
        <v>8.7298329999999993E-3</v>
      </c>
      <c r="R247">
        <v>2.4169880000000001E-2</v>
      </c>
      <c r="S247">
        <v>3.0267330000000001</v>
      </c>
      <c r="T247">
        <v>-0.16616139999999999</v>
      </c>
      <c r="U247">
        <v>-1.026459</v>
      </c>
      <c r="V247">
        <v>-2.4620409999999999E-2</v>
      </c>
      <c r="W247">
        <v>2.3013289999999999E-2</v>
      </c>
      <c r="X247">
        <v>0.99943199999999999</v>
      </c>
      <c r="Y247">
        <v>0.32030530000000002</v>
      </c>
      <c r="Z247">
        <v>-8.5228019999999995E-3</v>
      </c>
      <c r="AA247">
        <v>0.94727609999999995</v>
      </c>
      <c r="AB247">
        <v>30</v>
      </c>
      <c r="AC247">
        <v>18.920099999999898</v>
      </c>
      <c r="AD247">
        <v>-1.0545448713629999</v>
      </c>
      <c r="AE247">
        <v>-6.5142999999999898</v>
      </c>
      <c r="AF247">
        <v>6.4877378828535797</v>
      </c>
      <c r="AG247">
        <v>-1.0545448713629999</v>
      </c>
      <c r="AH247">
        <v>18.870629227701301</v>
      </c>
      <c r="AI247">
        <v>93.025087592204102</v>
      </c>
      <c r="AJ247">
        <v>71.026987949086404</v>
      </c>
      <c r="AK247">
        <v>19.982578791830299</v>
      </c>
      <c r="AL247">
        <v>88.681319259835703</v>
      </c>
      <c r="AM247">
        <v>91.411161874814198</v>
      </c>
      <c r="AN247">
        <v>1.00000004936459</v>
      </c>
    </row>
    <row r="248" spans="1:40" x14ac:dyDescent="0.3">
      <c r="A248" t="str">
        <f>"20200111153833417"</f>
        <v>20200111153833417</v>
      </c>
      <c r="B248" t="str">
        <f>"1578728313410420"</f>
        <v>1578728313410420</v>
      </c>
      <c r="C248" t="s">
        <v>40</v>
      </c>
      <c r="D248">
        <v>5.2112259999999999</v>
      </c>
      <c r="E248">
        <v>0.53590749999999998</v>
      </c>
      <c r="F248" t="s">
        <v>42</v>
      </c>
      <c r="G248">
        <v>-396.24549999999999</v>
      </c>
      <c r="H248" s="1">
        <v>-2.8895820000000002E-6</v>
      </c>
      <c r="I248">
        <v>363.50569999999999</v>
      </c>
      <c r="J248">
        <v>-410.99810000000002</v>
      </c>
      <c r="K248">
        <v>1.0545519999999999</v>
      </c>
      <c r="L248">
        <v>367.50150000000002</v>
      </c>
      <c r="M248">
        <v>0.99989799999999995</v>
      </c>
      <c r="N248">
        <v>0</v>
      </c>
      <c r="O248">
        <v>-4.5168729999999998E-4</v>
      </c>
      <c r="P248">
        <v>0.99965090000000001</v>
      </c>
      <c r="Q248">
        <v>9.3600679999999992E-3</v>
      </c>
      <c r="R248">
        <v>2.4716709999999999E-2</v>
      </c>
      <c r="S248">
        <v>3.022186</v>
      </c>
      <c r="T248">
        <v>-0.2115417</v>
      </c>
      <c r="U248">
        <v>-0.80157469999999997</v>
      </c>
      <c r="V248">
        <v>-2.5167129999999999E-2</v>
      </c>
      <c r="W248">
        <v>2.3639690000000001E-2</v>
      </c>
      <c r="X248">
        <v>0.99940370000000001</v>
      </c>
      <c r="Y248">
        <v>0.25534669999999998</v>
      </c>
      <c r="Z248">
        <v>-8.7435389999999998E-3</v>
      </c>
      <c r="AA248">
        <v>0.96680999999999995</v>
      </c>
      <c r="AB248">
        <v>30</v>
      </c>
      <c r="AC248">
        <v>14.752599999999999</v>
      </c>
      <c r="AD248">
        <v>-1.0545548895819901</v>
      </c>
      <c r="AE248">
        <v>-3.9958000000000302</v>
      </c>
      <c r="AF248">
        <v>3.9702349382902198</v>
      </c>
      <c r="AG248">
        <v>-1.0545548895819901</v>
      </c>
      <c r="AH248">
        <v>14.684497575274399</v>
      </c>
      <c r="AI248">
        <v>93.965687154597504</v>
      </c>
      <c r="AJ248">
        <v>74.870713783461696</v>
      </c>
      <c r="AK248">
        <v>15.248256310759</v>
      </c>
      <c r="AL248">
        <v>88.645419332550304</v>
      </c>
      <c r="AM248">
        <v>91.442525821604306</v>
      </c>
      <c r="AN248">
        <v>0.99999998747471097</v>
      </c>
    </row>
    <row r="249" spans="1:40" x14ac:dyDescent="0.3">
      <c r="A249" t="str">
        <f>"20200111153833439"</f>
        <v>20200111153833439</v>
      </c>
      <c r="B249" t="str">
        <f>"1578728313430916"</f>
        <v>1578728313430916</v>
      </c>
      <c r="C249" t="s">
        <v>40</v>
      </c>
      <c r="D249">
        <v>5.161448</v>
      </c>
      <c r="E249">
        <v>0.51185959999999997</v>
      </c>
      <c r="F249" t="s">
        <v>42</v>
      </c>
      <c r="G249">
        <v>-382.2285</v>
      </c>
      <c r="H249" s="1">
        <v>-4.0485030000000002E-6</v>
      </c>
      <c r="I249">
        <v>365.48820000000001</v>
      </c>
      <c r="J249">
        <v>-410.69830000000002</v>
      </c>
      <c r="K249">
        <v>1.054551</v>
      </c>
      <c r="L249">
        <v>367.50139999999999</v>
      </c>
      <c r="M249">
        <v>0.99989799999999995</v>
      </c>
      <c r="N249">
        <v>0</v>
      </c>
      <c r="O249">
        <v>-4.51664E-4</v>
      </c>
      <c r="P249">
        <v>0.99962720000000005</v>
      </c>
      <c r="Q249">
        <v>9.7054020000000001E-3</v>
      </c>
      <c r="R249">
        <v>2.5518059999999999E-2</v>
      </c>
      <c r="S249">
        <v>3.0073240000000001</v>
      </c>
      <c r="T249">
        <v>-0.1102339</v>
      </c>
      <c r="U249">
        <v>-0.2104492</v>
      </c>
      <c r="V249">
        <v>-2.5968950000000001E-2</v>
      </c>
      <c r="W249">
        <v>2.3981479999999999E-2</v>
      </c>
      <c r="X249">
        <v>0.99937500000000001</v>
      </c>
      <c r="Y249">
        <v>6.9311540000000005E-2</v>
      </c>
      <c r="Z249">
        <v>-1.2518049999999999E-3</v>
      </c>
      <c r="AA249">
        <v>0.99759430000000004</v>
      </c>
      <c r="AB249">
        <v>30</v>
      </c>
      <c r="AC249">
        <v>28.469799999999999</v>
      </c>
      <c r="AD249">
        <v>-1.054555048503</v>
      </c>
      <c r="AE249">
        <v>-2.0131999999999799</v>
      </c>
      <c r="AF249">
        <v>1.9976125148655299</v>
      </c>
      <c r="AG249">
        <v>-1.054555048503</v>
      </c>
      <c r="AH249">
        <v>28.4318906209019</v>
      </c>
      <c r="AI249">
        <v>92.118940680444496</v>
      </c>
      <c r="AJ249">
        <v>85.981027368817493</v>
      </c>
      <c r="AK249">
        <v>28.521482191302798</v>
      </c>
      <c r="AL249">
        <v>88.625830594603499</v>
      </c>
      <c r="AM249">
        <v>91.488506791574807</v>
      </c>
      <c r="AN249">
        <v>0.99999994418604399</v>
      </c>
    </row>
    <row r="250" spans="1:40" x14ac:dyDescent="0.3">
      <c r="A250" t="str">
        <f>"20200111153833464"</f>
        <v>20200111153833464</v>
      </c>
      <c r="B250" t="str">
        <f>"1578728313460195"</f>
        <v>1578728313460195</v>
      </c>
      <c r="C250" t="s">
        <v>40</v>
      </c>
      <c r="D250">
        <v>5.1100490000000001</v>
      </c>
      <c r="E250">
        <v>0.49952639999999998</v>
      </c>
      <c r="F250" t="s">
        <v>42</v>
      </c>
      <c r="G250">
        <v>-373.95159999999998</v>
      </c>
      <c r="H250" s="1">
        <v>-2.987747E-6</v>
      </c>
      <c r="I250">
        <v>367.30110000000002</v>
      </c>
      <c r="J250">
        <v>-410.37180000000001</v>
      </c>
      <c r="K250">
        <v>1.0545519999999999</v>
      </c>
      <c r="L250">
        <v>367.50119999999998</v>
      </c>
      <c r="M250">
        <v>0.99989799999999995</v>
      </c>
      <c r="N250">
        <v>0</v>
      </c>
      <c r="O250">
        <v>-4.5163860000000002E-4</v>
      </c>
      <c r="P250">
        <v>0.99961480000000003</v>
      </c>
      <c r="Q250">
        <v>9.9110569999999992E-3</v>
      </c>
      <c r="R250">
        <v>2.5925139999999999E-2</v>
      </c>
      <c r="S250">
        <v>3.0024109999999999</v>
      </c>
      <c r="T250">
        <v>-8.6162810000000006E-2</v>
      </c>
      <c r="U250">
        <v>-1.6357420000000001E-2</v>
      </c>
      <c r="V250">
        <v>-2.637579E-2</v>
      </c>
      <c r="W250">
        <v>2.41836E-2</v>
      </c>
      <c r="X250">
        <v>0.99935949999999996</v>
      </c>
      <c r="Y250">
        <v>4.9944669999999998E-3</v>
      </c>
      <c r="Z250" s="1">
        <v>-5.8690400000000003E-5</v>
      </c>
      <c r="AA250">
        <v>0.99998750000000003</v>
      </c>
      <c r="AB250">
        <v>30</v>
      </c>
      <c r="AC250">
        <v>36.420200000000001</v>
      </c>
      <c r="AD250">
        <v>-1.054554987747</v>
      </c>
      <c r="AE250">
        <v>-0.200099999999963</v>
      </c>
      <c r="AF250">
        <v>0.18349569613393199</v>
      </c>
      <c r="AG250">
        <v>-1.054554987747</v>
      </c>
      <c r="AH250">
        <v>36.389778219479901</v>
      </c>
      <c r="AI250">
        <v>91.659913301932093</v>
      </c>
      <c r="AJ250">
        <v>89.711088103463595</v>
      </c>
      <c r="AK250">
        <v>36.405517655372201</v>
      </c>
      <c r="AL250">
        <v>88.614246646439099</v>
      </c>
      <c r="AM250">
        <v>91.511839035119806</v>
      </c>
      <c r="AN250">
        <v>0.99999996952366599</v>
      </c>
    </row>
    <row r="251" spans="1:40" x14ac:dyDescent="0.3">
      <c r="A251" t="str">
        <f>"20200111153833486"</f>
        <v>20200111153833486</v>
      </c>
      <c r="B251" t="str">
        <f>"1578728313480692"</f>
        <v>1578728313480692</v>
      </c>
      <c r="C251" t="s">
        <v>40</v>
      </c>
      <c r="D251">
        <v>5.0697929999999998</v>
      </c>
      <c r="E251">
        <v>0.4968012</v>
      </c>
      <c r="F251" t="s">
        <v>42</v>
      </c>
      <c r="G251">
        <v>-375.0455</v>
      </c>
      <c r="H251" s="1">
        <v>-2.309411E-6</v>
      </c>
      <c r="I251">
        <v>368.47969999999998</v>
      </c>
      <c r="J251">
        <v>-410.07260000000002</v>
      </c>
      <c r="K251">
        <v>1.054557</v>
      </c>
      <c r="L251">
        <v>367.50110000000001</v>
      </c>
      <c r="M251">
        <v>0.99989810000000001</v>
      </c>
      <c r="N251">
        <v>0</v>
      </c>
      <c r="O251">
        <v>-4.5161529999999999E-4</v>
      </c>
      <c r="P251">
        <v>0.99960020000000005</v>
      </c>
      <c r="Q251">
        <v>1.022083E-2</v>
      </c>
      <c r="R251">
        <v>2.6364430000000001E-2</v>
      </c>
      <c r="S251">
        <v>2.999908</v>
      </c>
      <c r="T251">
        <v>-8.9552399999999893E-2</v>
      </c>
      <c r="U251">
        <v>8.3099370000000006E-2</v>
      </c>
      <c r="V251">
        <v>-2.6814950000000001E-2</v>
      </c>
      <c r="W251">
        <v>2.448964E-2</v>
      </c>
      <c r="X251">
        <v>0.99934040000000002</v>
      </c>
      <c r="Y251">
        <v>-2.8128770000000001E-2</v>
      </c>
      <c r="Z251">
        <v>4.331494E-4</v>
      </c>
      <c r="AA251">
        <v>0.99960420000000005</v>
      </c>
      <c r="AB251">
        <v>30</v>
      </c>
      <c r="AC251">
        <v>35.027099999999997</v>
      </c>
      <c r="AD251">
        <v>-1.054559309411</v>
      </c>
      <c r="AE251">
        <v>0.97859999999997105</v>
      </c>
      <c r="AF251">
        <v>-0.99352043187601302</v>
      </c>
      <c r="AG251">
        <v>-1.054559309411</v>
      </c>
      <c r="AH251">
        <v>34.994958736210897</v>
      </c>
      <c r="AI251">
        <v>91.725368642153995</v>
      </c>
      <c r="AJ251">
        <v>91.626212547843807</v>
      </c>
      <c r="AK251">
        <v>35.024938474388797</v>
      </c>
      <c r="AL251">
        <v>88.596706706656207</v>
      </c>
      <c r="AM251">
        <v>91.537028718759899</v>
      </c>
      <c r="AN251">
        <v>1.00000000954149</v>
      </c>
    </row>
    <row r="252" spans="1:40" x14ac:dyDescent="0.3">
      <c r="A252" t="str">
        <f>"20200111153833506"</f>
        <v>20200111153833506</v>
      </c>
      <c r="B252" t="str">
        <f>"1578728313500212"</f>
        <v>1578728313500212</v>
      </c>
      <c r="C252" t="s">
        <v>40</v>
      </c>
      <c r="D252">
        <v>5.0565369999999996</v>
      </c>
      <c r="E252">
        <v>0.49535709999999999</v>
      </c>
      <c r="F252" t="s">
        <v>42</v>
      </c>
      <c r="G252">
        <v>-374.54149999999998</v>
      </c>
      <c r="H252" s="1">
        <v>-2.4758699999999999E-6</v>
      </c>
      <c r="I252">
        <v>368.7602</v>
      </c>
      <c r="J252">
        <v>-409.7944</v>
      </c>
      <c r="K252">
        <v>1.0545610000000001</v>
      </c>
      <c r="L252">
        <v>367.50099999999998</v>
      </c>
      <c r="M252">
        <v>0.99989819999999996</v>
      </c>
      <c r="N252">
        <v>0</v>
      </c>
      <c r="O252">
        <v>-4.5159449999999999E-4</v>
      </c>
      <c r="P252">
        <v>0.99958460000000005</v>
      </c>
      <c r="Q252">
        <v>1.0419339999999999E-2</v>
      </c>
      <c r="R252">
        <v>2.6882799999999998E-2</v>
      </c>
      <c r="S252">
        <v>2.999298</v>
      </c>
      <c r="T252">
        <v>-8.9018520000000004E-2</v>
      </c>
      <c r="U252">
        <v>0.1062927</v>
      </c>
      <c r="V252">
        <v>-2.733375E-2</v>
      </c>
      <c r="W252">
        <v>2.468509E-2</v>
      </c>
      <c r="X252">
        <v>0.99932149999999997</v>
      </c>
      <c r="Y252">
        <v>-3.585236E-2</v>
      </c>
      <c r="Z252">
        <v>5.451586E-4</v>
      </c>
      <c r="AA252">
        <v>0.99935689999999999</v>
      </c>
      <c r="AB252">
        <v>30</v>
      </c>
      <c r="AC252">
        <v>35.252899999999997</v>
      </c>
      <c r="AD252">
        <v>-1.05456347587</v>
      </c>
      <c r="AE252">
        <v>1.2592000000000201</v>
      </c>
      <c r="AF252">
        <v>-1.27398292110386</v>
      </c>
      <c r="AG252">
        <v>-1.05456347587</v>
      </c>
      <c r="AH252">
        <v>35.220850082033401</v>
      </c>
      <c r="AI252">
        <v>91.713886439619102</v>
      </c>
      <c r="AJ252">
        <v>92.071558047337405</v>
      </c>
      <c r="AK252">
        <v>35.259657075884597</v>
      </c>
      <c r="AL252">
        <v>88.585504809813301</v>
      </c>
      <c r="AM252">
        <v>91.566781188801301</v>
      </c>
      <c r="AN252">
        <v>0.999999973959809</v>
      </c>
    </row>
    <row r="253" spans="1:40" x14ac:dyDescent="0.3">
      <c r="A253" t="str">
        <f>"20200111153833530"</f>
        <v>20200111153833530</v>
      </c>
      <c r="B253" t="str">
        <f>"1578728313520707"</f>
        <v>1578728313520707</v>
      </c>
      <c r="C253" t="s">
        <v>40</v>
      </c>
      <c r="D253">
        <v>5.0760069999999997</v>
      </c>
      <c r="E253">
        <v>0.4944171</v>
      </c>
      <c r="F253" t="s">
        <v>42</v>
      </c>
      <c r="G253">
        <v>-375.24560000000002</v>
      </c>
      <c r="H253" s="1">
        <v>-2.1538940000000001E-6</v>
      </c>
      <c r="I253">
        <v>368.8723</v>
      </c>
      <c r="J253">
        <v>-409.48289999999997</v>
      </c>
      <c r="K253">
        <v>1.054562</v>
      </c>
      <c r="L253">
        <v>367.50080000000003</v>
      </c>
      <c r="M253">
        <v>0.99989830000000002</v>
      </c>
      <c r="N253">
        <v>0</v>
      </c>
      <c r="O253">
        <v>-4.5169029999999997E-4</v>
      </c>
      <c r="P253">
        <v>0.99956290000000003</v>
      </c>
      <c r="Q253">
        <v>1.101239E-2</v>
      </c>
      <c r="R253">
        <v>2.744541E-2</v>
      </c>
      <c r="S253">
        <v>2.9990230000000002</v>
      </c>
      <c r="T253">
        <v>-9.1541650000000002E-2</v>
      </c>
      <c r="U253">
        <v>0.1190491</v>
      </c>
      <c r="V253">
        <v>-2.7895619999999999E-2</v>
      </c>
      <c r="W253">
        <v>2.5274270000000001E-2</v>
      </c>
      <c r="X253">
        <v>0.99929129999999999</v>
      </c>
      <c r="Y253">
        <v>-4.0097229999999998E-2</v>
      </c>
      <c r="Z253">
        <v>6.2535719999999996E-4</v>
      </c>
      <c r="AA253">
        <v>0.99919559999999996</v>
      </c>
      <c r="AB253">
        <v>30</v>
      </c>
      <c r="AC253">
        <v>34.237299999999898</v>
      </c>
      <c r="AD253">
        <v>-1.054564153894</v>
      </c>
      <c r="AE253">
        <v>1.37149999999996</v>
      </c>
      <c r="AF253">
        <v>-1.3856535695916701</v>
      </c>
      <c r="AG253">
        <v>-1.054564153894</v>
      </c>
      <c r="AH253">
        <v>34.2042779905304</v>
      </c>
      <c r="AI253">
        <v>91.764500570801403</v>
      </c>
      <c r="AJ253">
        <v>92.319847613051095</v>
      </c>
      <c r="AK253">
        <v>34.248573316608201</v>
      </c>
      <c r="AL253">
        <v>88.551736822765307</v>
      </c>
      <c r="AM253">
        <v>91.599019542771302</v>
      </c>
      <c r="AN253">
        <v>1.0000000282974499</v>
      </c>
    </row>
    <row r="254" spans="1:40" x14ac:dyDescent="0.3">
      <c r="A254" t="str">
        <f>"20200111153833551"</f>
        <v>20200111153833551</v>
      </c>
      <c r="B254" t="str">
        <f>"1578728313540227"</f>
        <v>1578728313540227</v>
      </c>
      <c r="C254" t="s">
        <v>40</v>
      </c>
      <c r="D254">
        <v>5.09</v>
      </c>
      <c r="E254">
        <v>0.49367220000000001</v>
      </c>
      <c r="F254" t="s">
        <v>42</v>
      </c>
      <c r="G254">
        <v>-375.59750000000003</v>
      </c>
      <c r="H254" s="1">
        <v>-1.9891359999999999E-6</v>
      </c>
      <c r="I254">
        <v>368.95010000000002</v>
      </c>
      <c r="J254">
        <v>-409.18220000000002</v>
      </c>
      <c r="K254">
        <v>1.0545629999999999</v>
      </c>
      <c r="L254">
        <v>367.50069999999999</v>
      </c>
      <c r="M254">
        <v>0.99989810000000001</v>
      </c>
      <c r="N254">
        <v>0</v>
      </c>
      <c r="O254">
        <v>-4.5130970000000002E-4</v>
      </c>
      <c r="P254">
        <v>0.99954160000000003</v>
      </c>
      <c r="Q254">
        <v>1.110949E-2</v>
      </c>
      <c r="R254">
        <v>2.816018E-2</v>
      </c>
      <c r="S254">
        <v>2.9988100000000002</v>
      </c>
      <c r="T254">
        <v>-9.3327400000000005E-2</v>
      </c>
      <c r="U254">
        <v>0.1282654</v>
      </c>
      <c r="V254">
        <v>-2.8610759999999999E-2</v>
      </c>
      <c r="W254">
        <v>2.5368180000000001E-2</v>
      </c>
      <c r="X254">
        <v>0.99926870000000001</v>
      </c>
      <c r="Y254">
        <v>-4.3162890000000002E-2</v>
      </c>
      <c r="Z254">
        <v>6.8521439999999999E-4</v>
      </c>
      <c r="AA254">
        <v>0.99906779999999995</v>
      </c>
      <c r="AB254">
        <v>30</v>
      </c>
      <c r="AC254">
        <v>33.584699999999998</v>
      </c>
      <c r="AD254">
        <v>-1.0545649891359901</v>
      </c>
      <c r="AE254">
        <v>1.44940000000002</v>
      </c>
      <c r="AF254">
        <v>-1.46311858697988</v>
      </c>
      <c r="AG254">
        <v>-1.0545649891359901</v>
      </c>
      <c r="AH254">
        <v>33.5510235747455</v>
      </c>
      <c r="AI254">
        <v>91.798601524440897</v>
      </c>
      <c r="AJ254">
        <v>92.497015910353099</v>
      </c>
      <c r="AK254">
        <v>33.599464374138499</v>
      </c>
      <c r="AL254">
        <v>88.546354449291997</v>
      </c>
      <c r="AM254">
        <v>91.640027423607805</v>
      </c>
      <c r="AN254">
        <v>1.00000002747198</v>
      </c>
    </row>
    <row r="255" spans="1:40" x14ac:dyDescent="0.3">
      <c r="A255" t="str">
        <f>"20200111153833574"</f>
        <v>20200111153833574</v>
      </c>
      <c r="B255" t="str">
        <f>"1578728313570484"</f>
        <v>1578728313570484</v>
      </c>
      <c r="C255" t="s">
        <v>40</v>
      </c>
      <c r="D255">
        <v>5.1293600000000001</v>
      </c>
      <c r="E255">
        <v>0.49321169999999998</v>
      </c>
      <c r="F255" t="s">
        <v>42</v>
      </c>
      <c r="G255">
        <v>-375.65570000000002</v>
      </c>
      <c r="H255" s="1">
        <v>-1.9503959999999999E-6</v>
      </c>
      <c r="I255">
        <v>369.02789999999999</v>
      </c>
      <c r="J255">
        <v>-408.88560000000001</v>
      </c>
      <c r="K255">
        <v>1.054567</v>
      </c>
      <c r="L255">
        <v>367.50060000000002</v>
      </c>
      <c r="M255">
        <v>0.99989830000000002</v>
      </c>
      <c r="N255">
        <v>0</v>
      </c>
      <c r="O255">
        <v>-4.515252E-4</v>
      </c>
      <c r="P255">
        <v>0.99952379999999996</v>
      </c>
      <c r="Q255">
        <v>1.141548E-2</v>
      </c>
      <c r="R255">
        <v>2.8670480000000002E-2</v>
      </c>
      <c r="S255">
        <v>2.9985659999999998</v>
      </c>
      <c r="T255">
        <v>-9.4318750000000007E-2</v>
      </c>
      <c r="U255">
        <v>0.13659669999999999</v>
      </c>
      <c r="V255">
        <v>-2.9120859999999998E-2</v>
      </c>
      <c r="W255">
        <v>2.5670869999999998E-2</v>
      </c>
      <c r="X255">
        <v>0.99924619999999997</v>
      </c>
      <c r="Y255">
        <v>-4.593502E-2</v>
      </c>
      <c r="Z255">
        <v>7.3607489999999995E-4</v>
      </c>
      <c r="AA255">
        <v>0.99894419999999995</v>
      </c>
      <c r="AB255">
        <v>30</v>
      </c>
      <c r="AC255">
        <v>33.229899999999901</v>
      </c>
      <c r="AD255">
        <v>-1.0545689503960001</v>
      </c>
      <c r="AE255">
        <v>1.5272999999999599</v>
      </c>
      <c r="AF255">
        <v>-1.5407570118859999</v>
      </c>
      <c r="AG255">
        <v>-1.0545689503960001</v>
      </c>
      <c r="AH255">
        <v>33.195844384522999</v>
      </c>
      <c r="AI255">
        <v>91.817610740889194</v>
      </c>
      <c r="AJ255">
        <v>92.657427916085496</v>
      </c>
      <c r="AK255">
        <v>33.248310216344599</v>
      </c>
      <c r="AL255">
        <v>88.529005889684598</v>
      </c>
      <c r="AM255">
        <v>91.669288568594595</v>
      </c>
      <c r="AN255">
        <v>0.99999999313406795</v>
      </c>
    </row>
    <row r="256" spans="1:40" x14ac:dyDescent="0.3">
      <c r="A256" t="str">
        <f>"20200111153833596"</f>
        <v>20200111153833596</v>
      </c>
      <c r="B256" t="str">
        <f>"1578728313590981"</f>
        <v>1578728313590981</v>
      </c>
      <c r="C256" t="s">
        <v>40</v>
      </c>
      <c r="D256">
        <v>5.0928399999999998</v>
      </c>
      <c r="E256">
        <v>0.49295879999999997</v>
      </c>
      <c r="F256" t="s">
        <v>42</v>
      </c>
      <c r="G256">
        <v>-376.16520000000003</v>
      </c>
      <c r="H256" s="1">
        <v>-1.7284419999999999E-6</v>
      </c>
      <c r="I256">
        <v>369.04700000000003</v>
      </c>
      <c r="J256">
        <v>-408.5926</v>
      </c>
      <c r="K256">
        <v>1.0545719999999901</v>
      </c>
      <c r="L256">
        <v>367.50049999999999</v>
      </c>
      <c r="M256">
        <v>0.99989839999999997</v>
      </c>
      <c r="N256">
        <v>0</v>
      </c>
      <c r="O256">
        <v>-4.5162190000000001E-4</v>
      </c>
      <c r="P256">
        <v>0.99949790000000005</v>
      </c>
      <c r="Q256">
        <v>1.19182E-2</v>
      </c>
      <c r="R256">
        <v>2.9368200000000001E-2</v>
      </c>
      <c r="S256">
        <v>2.998535</v>
      </c>
      <c r="T256">
        <v>-9.6641599999999994E-2</v>
      </c>
      <c r="U256">
        <v>0.14172360000000001</v>
      </c>
      <c r="V256">
        <v>-2.9818500000000001E-2</v>
      </c>
      <c r="W256">
        <v>2.6169479999999998E-2</v>
      </c>
      <c r="X256">
        <v>0.99921269999999995</v>
      </c>
      <c r="Y256">
        <v>-4.7637840000000001E-2</v>
      </c>
      <c r="Z256">
        <v>7.8159240000000004E-4</v>
      </c>
      <c r="AA256">
        <v>0.99886439999999999</v>
      </c>
      <c r="AB256">
        <v>30</v>
      </c>
      <c r="AC256">
        <v>32.427399999999899</v>
      </c>
      <c r="AD256">
        <v>-1.05457372844199</v>
      </c>
      <c r="AE256">
        <v>1.54649999999998</v>
      </c>
      <c r="AF256">
        <v>-1.5595006366991799</v>
      </c>
      <c r="AG256">
        <v>-1.05457372844199</v>
      </c>
      <c r="AH256">
        <v>32.392516959038304</v>
      </c>
      <c r="AI256">
        <v>91.862512285947901</v>
      </c>
      <c r="AJ256">
        <v>92.756311456087005</v>
      </c>
      <c r="AK256">
        <v>32.447177426182598</v>
      </c>
      <c r="AL256">
        <v>88.500428052511197</v>
      </c>
      <c r="AM256">
        <v>91.709313056880802</v>
      </c>
      <c r="AN256">
        <v>1.0000000022335001</v>
      </c>
    </row>
    <row r="257" spans="1:40" x14ac:dyDescent="0.3">
      <c r="A257" t="str">
        <f>"20200111153833618"</f>
        <v>20200111153833618</v>
      </c>
      <c r="B257" t="str">
        <f>"1578728313610499"</f>
        <v>1578728313610499</v>
      </c>
      <c r="C257" t="s">
        <v>40</v>
      </c>
      <c r="D257">
        <v>5.0809049999999996</v>
      </c>
      <c r="E257">
        <v>0.49259829999999999</v>
      </c>
      <c r="F257" t="s">
        <v>42</v>
      </c>
      <c r="G257">
        <v>-375.48700000000002</v>
      </c>
      <c r="H257" s="1">
        <v>-2.0084979999999999E-6</v>
      </c>
      <c r="I257">
        <v>369.10829999999999</v>
      </c>
      <c r="J257">
        <v>-408.28339999999997</v>
      </c>
      <c r="K257">
        <v>1.0545719999999901</v>
      </c>
      <c r="L257">
        <v>367.50029999999998</v>
      </c>
      <c r="M257">
        <v>0.99989839999999997</v>
      </c>
      <c r="N257">
        <v>0</v>
      </c>
      <c r="O257">
        <v>-4.5147870000000002E-4</v>
      </c>
      <c r="P257">
        <v>0.99948159999999997</v>
      </c>
      <c r="Q257">
        <v>1.237567E-2</v>
      </c>
      <c r="R257">
        <v>2.9724150000000001E-2</v>
      </c>
      <c r="S257">
        <v>2.998383</v>
      </c>
      <c r="T257">
        <v>-9.5512749999999993E-2</v>
      </c>
      <c r="U257">
        <v>0.14562990000000001</v>
      </c>
      <c r="V257">
        <v>-3.0174530000000001E-2</v>
      </c>
      <c r="W257">
        <v>2.662374E-2</v>
      </c>
      <c r="X257">
        <v>0.99919000000000002</v>
      </c>
      <c r="Y257">
        <v>-4.8938290000000002E-2</v>
      </c>
      <c r="Z257">
        <v>7.9317350000000005E-4</v>
      </c>
      <c r="AA257">
        <v>0.99880150000000001</v>
      </c>
      <c r="AB257">
        <v>30</v>
      </c>
      <c r="AC257">
        <v>32.796399999999998</v>
      </c>
      <c r="AD257">
        <v>-1.05457400849799</v>
      </c>
      <c r="AE257">
        <v>1.6080000000000001</v>
      </c>
      <c r="AF257">
        <v>-1.62113605261974</v>
      </c>
      <c r="AG257">
        <v>-1.05457400849799</v>
      </c>
      <c r="AH257">
        <v>32.761877523232499</v>
      </c>
      <c r="AI257">
        <v>91.841409222615695</v>
      </c>
      <c r="AJ257">
        <v>92.832821644367996</v>
      </c>
      <c r="AK257">
        <v>32.818909599311603</v>
      </c>
      <c r="AL257">
        <v>88.474391781955006</v>
      </c>
      <c r="AM257">
        <v>91.729749036510498</v>
      </c>
      <c r="AN257">
        <v>0.99999999094615399</v>
      </c>
    </row>
    <row r="258" spans="1:40" x14ac:dyDescent="0.3">
      <c r="A258" t="str">
        <f>"20200111153833640"</f>
        <v>20200111153833640</v>
      </c>
      <c r="B258" t="str">
        <f>"1578728313630022"</f>
        <v>1578728313630022</v>
      </c>
      <c r="C258" t="s">
        <v>40</v>
      </c>
      <c r="D258">
        <v>5.0422849999999997</v>
      </c>
      <c r="E258">
        <v>0.49295109999999998</v>
      </c>
      <c r="F258" t="s">
        <v>42</v>
      </c>
      <c r="G258">
        <v>-374.9101</v>
      </c>
      <c r="H258" s="1">
        <v>-2.2453599999999999E-6</v>
      </c>
      <c r="I258">
        <v>369.16809999999998</v>
      </c>
      <c r="J258">
        <v>-407.99470000000002</v>
      </c>
      <c r="K258">
        <v>1.054576</v>
      </c>
      <c r="L258">
        <v>367.50009999999997</v>
      </c>
      <c r="M258">
        <v>0.99989839999999997</v>
      </c>
      <c r="N258">
        <v>0</v>
      </c>
      <c r="O258">
        <v>-4.5145629999999998E-4</v>
      </c>
      <c r="P258">
        <v>0.99946670000000004</v>
      </c>
      <c r="Q258">
        <v>1.267624E-2</v>
      </c>
      <c r="R258">
        <v>3.0095009999999998E-2</v>
      </c>
      <c r="S258">
        <v>2.9982600000000001</v>
      </c>
      <c r="T258">
        <v>-9.474283E-2</v>
      </c>
      <c r="U258">
        <v>0.14984129999999901</v>
      </c>
      <c r="V258">
        <v>-3.0544970000000001E-2</v>
      </c>
      <c r="W258">
        <v>2.692071E-2</v>
      </c>
      <c r="X258">
        <v>0.99917080000000003</v>
      </c>
      <c r="Y258">
        <v>-5.0339439999999999E-2</v>
      </c>
      <c r="Z258">
        <v>8.0890539999999998E-4</v>
      </c>
      <c r="AA258">
        <v>0.99873190000000001</v>
      </c>
      <c r="AB258">
        <v>30</v>
      </c>
      <c r="AC258">
        <v>33.084600000000002</v>
      </c>
      <c r="AD258">
        <v>-1.0545782453600001</v>
      </c>
      <c r="AE258">
        <v>1.6679999999999999</v>
      </c>
      <c r="AF258">
        <v>-1.6812337468765901</v>
      </c>
      <c r="AG258">
        <v>-1.0545782453600001</v>
      </c>
      <c r="AH258">
        <v>33.050348567336002</v>
      </c>
      <c r="AI258">
        <v>91.825228652752401</v>
      </c>
      <c r="AJ258">
        <v>92.912061261308494</v>
      </c>
      <c r="AK258">
        <v>33.109881041912999</v>
      </c>
      <c r="AL258">
        <v>88.457370572675401</v>
      </c>
      <c r="AM258">
        <v>91.751004923744503</v>
      </c>
      <c r="AN258">
        <v>1.00000000369592</v>
      </c>
    </row>
    <row r="259" spans="1:40" x14ac:dyDescent="0.3">
      <c r="A259" t="str">
        <f>"20200111153833663"</f>
        <v>20200111153833663</v>
      </c>
      <c r="B259" t="str">
        <f>"1578728313650515"</f>
        <v>1578728313650515</v>
      </c>
      <c r="C259" t="s">
        <v>40</v>
      </c>
      <c r="D259">
        <v>5.1473690000000003</v>
      </c>
      <c r="E259">
        <v>0.4932279</v>
      </c>
      <c r="F259" t="s">
        <v>42</v>
      </c>
      <c r="G259">
        <v>-373.15649999999999</v>
      </c>
      <c r="H259" s="1">
        <v>-2.988674E-6</v>
      </c>
      <c r="I259">
        <v>369.21879999999999</v>
      </c>
      <c r="J259">
        <v>-407.6986</v>
      </c>
      <c r="K259">
        <v>1.054581</v>
      </c>
      <c r="L259">
        <v>367.5</v>
      </c>
      <c r="M259">
        <v>0.99989839999999997</v>
      </c>
      <c r="N259">
        <v>0</v>
      </c>
      <c r="O259">
        <v>-4.5143350000000001E-4</v>
      </c>
      <c r="P259">
        <v>0.99945320000000004</v>
      </c>
      <c r="Q259">
        <v>1.338578E-2</v>
      </c>
      <c r="R259">
        <v>3.0237590000000002E-2</v>
      </c>
      <c r="S259">
        <v>2.998291</v>
      </c>
      <c r="T259">
        <v>-9.0760469999999996E-2</v>
      </c>
      <c r="U259">
        <v>0.14791869999999999</v>
      </c>
      <c r="V259">
        <v>-3.0687780000000001E-2</v>
      </c>
      <c r="W259">
        <v>2.7626640000000001E-2</v>
      </c>
      <c r="X259">
        <v>0.99914720000000001</v>
      </c>
      <c r="Y259">
        <v>-4.9702440000000001E-2</v>
      </c>
      <c r="Z259">
        <v>7.6529089999999896E-4</v>
      </c>
      <c r="AA259">
        <v>0.99876379999999998</v>
      </c>
      <c r="AB259">
        <v>30</v>
      </c>
      <c r="AC259">
        <v>34.542099999999998</v>
      </c>
      <c r="AD259">
        <v>-1.0545839886740001</v>
      </c>
      <c r="AE259">
        <v>1.7187999999999799</v>
      </c>
      <c r="AF259">
        <v>-1.7327837215172499</v>
      </c>
      <c r="AG259">
        <v>-1.0545839886740001</v>
      </c>
      <c r="AH259">
        <v>34.509233692420899</v>
      </c>
      <c r="AI259">
        <v>91.748183010351099</v>
      </c>
      <c r="AJ259">
        <v>92.874531580223405</v>
      </c>
      <c r="AK259">
        <v>34.568799470806603</v>
      </c>
      <c r="AL259">
        <v>88.416908782719005</v>
      </c>
      <c r="AM259">
        <v>91.759227968830899</v>
      </c>
      <c r="AN259">
        <v>1.00000004917342</v>
      </c>
    </row>
    <row r="260" spans="1:40" x14ac:dyDescent="0.3">
      <c r="A260" t="str">
        <f>"20200111153833687"</f>
        <v>20200111153833687</v>
      </c>
      <c r="B260" t="str">
        <f>"1578728313680773"</f>
        <v>1578728313680773</v>
      </c>
      <c r="C260" t="s">
        <v>40</v>
      </c>
      <c r="D260">
        <v>5.0536890000000003</v>
      </c>
      <c r="E260">
        <v>0.49353979999999997</v>
      </c>
      <c r="F260" t="s">
        <v>42</v>
      </c>
      <c r="G260">
        <v>-371.24959999999999</v>
      </c>
      <c r="H260" s="1">
        <v>-3.7966619999999998E-6</v>
      </c>
      <c r="I260">
        <v>369.27550000000002</v>
      </c>
      <c r="J260">
        <v>-407.37369999999999</v>
      </c>
      <c r="K260">
        <v>1.0545869999999999</v>
      </c>
      <c r="L260">
        <v>367.49990000000003</v>
      </c>
      <c r="M260">
        <v>0.99989859999999997</v>
      </c>
      <c r="N260">
        <v>0</v>
      </c>
      <c r="O260">
        <v>-4.5140860000000003E-4</v>
      </c>
      <c r="P260">
        <v>0.99943720000000003</v>
      </c>
      <c r="Q260">
        <v>1.4261579999999999E-2</v>
      </c>
      <c r="R260">
        <v>3.0368249999999999E-2</v>
      </c>
      <c r="S260">
        <v>2.9983219999999999</v>
      </c>
      <c r="T260">
        <v>-8.6750750000000001E-2</v>
      </c>
      <c r="U260">
        <v>0.1460571</v>
      </c>
      <c r="V260">
        <v>-3.0818519999999999E-2</v>
      </c>
      <c r="W260">
        <v>2.8498909999999999E-2</v>
      </c>
      <c r="X260">
        <v>0.99911859999999997</v>
      </c>
      <c r="Y260">
        <v>-4.9085509999999999E-2</v>
      </c>
      <c r="Z260">
        <v>7.225806E-4</v>
      </c>
      <c r="AA260">
        <v>0.99879430000000002</v>
      </c>
      <c r="AB260">
        <v>30</v>
      </c>
      <c r="AC260">
        <v>36.124099999999999</v>
      </c>
      <c r="AD260">
        <v>-1.0545907966620001</v>
      </c>
      <c r="AE260">
        <v>1.7755999999999901</v>
      </c>
      <c r="AF260">
        <v>-1.7903859974962499</v>
      </c>
      <c r="AG260">
        <v>-1.0545907966620001</v>
      </c>
      <c r="AH260">
        <v>36.092608442060602</v>
      </c>
      <c r="AI260">
        <v>91.671596370331201</v>
      </c>
      <c r="AJ260">
        <v>92.839848637532498</v>
      </c>
      <c r="AK260">
        <v>36.1523723691868</v>
      </c>
      <c r="AL260">
        <v>88.366911578778797</v>
      </c>
      <c r="AM260">
        <v>91.766768657392802</v>
      </c>
      <c r="AN260">
        <v>0.99999997295606802</v>
      </c>
    </row>
    <row r="261" spans="1:40" x14ac:dyDescent="0.3">
      <c r="A261" t="str">
        <f>"20200111153833719"</f>
        <v>20200111153833719</v>
      </c>
      <c r="B261" t="str">
        <f>"1578728313710052"</f>
        <v>1578728313710052</v>
      </c>
      <c r="C261" t="s">
        <v>40</v>
      </c>
      <c r="D261">
        <v>5.0178580000000004</v>
      </c>
      <c r="E261">
        <v>0.49353999999999998</v>
      </c>
      <c r="F261" t="s">
        <v>42</v>
      </c>
      <c r="G261">
        <v>-368.738</v>
      </c>
      <c r="H261" s="1">
        <v>-5.6942389999999999E-7</v>
      </c>
      <c r="I261">
        <v>369.35860000000002</v>
      </c>
      <c r="J261">
        <v>-406.94630000000001</v>
      </c>
      <c r="K261">
        <v>1.054589</v>
      </c>
      <c r="L261">
        <v>367.49959999999999</v>
      </c>
      <c r="M261">
        <v>0.99989859999999997</v>
      </c>
      <c r="N261">
        <v>0</v>
      </c>
      <c r="O261">
        <v>-4.5137580000000001E-4</v>
      </c>
      <c r="P261">
        <v>0.99946570000000001</v>
      </c>
      <c r="Q261">
        <v>1.35861E-2</v>
      </c>
      <c r="R261">
        <v>2.9729100000000001E-2</v>
      </c>
      <c r="S261">
        <v>2.9984739999999999</v>
      </c>
      <c r="T261">
        <v>-8.1845280000000006E-2</v>
      </c>
      <c r="U261">
        <v>0.14425660000000001</v>
      </c>
      <c r="V261">
        <v>-3.0179270000000001E-2</v>
      </c>
      <c r="W261">
        <v>2.781921E-2</v>
      </c>
      <c r="X261">
        <v>0.99915730000000003</v>
      </c>
      <c r="Y261">
        <v>-4.8487130000000003E-2</v>
      </c>
      <c r="Z261">
        <v>6.7355080000000003E-4</v>
      </c>
      <c r="AA261">
        <v>0.99882360000000003</v>
      </c>
      <c r="AB261">
        <v>30</v>
      </c>
      <c r="AC261">
        <v>38.208299999999902</v>
      </c>
      <c r="AD261">
        <v>-1.0545895694239</v>
      </c>
      <c r="AE261">
        <v>1.85900000000003</v>
      </c>
      <c r="AF261">
        <v>-1.8748229580444</v>
      </c>
      <c r="AG261">
        <v>-1.0545895694239</v>
      </c>
      <c r="AH261">
        <v>38.178440560954101</v>
      </c>
      <c r="AI261">
        <v>91.580355336446402</v>
      </c>
      <c r="AJ261">
        <v>92.811356861678107</v>
      </c>
      <c r="AK261">
        <v>38.238991147129603</v>
      </c>
      <c r="AL261">
        <v>88.405871019714994</v>
      </c>
      <c r="AM261">
        <v>91.730077175951607</v>
      </c>
      <c r="AN261">
        <v>1.0000000034630201</v>
      </c>
    </row>
    <row r="262" spans="1:40" x14ac:dyDescent="0.3">
      <c r="A262" t="str">
        <f>"20200111153833741"</f>
        <v>20200111153833741</v>
      </c>
      <c r="B262" t="str">
        <f>"1578728313730547"</f>
        <v>1578728313730547</v>
      </c>
      <c r="C262" t="s">
        <v>40</v>
      </c>
      <c r="D262">
        <v>5.0326089999999999</v>
      </c>
      <c r="E262">
        <v>0.49361680000000002</v>
      </c>
      <c r="F262" t="s">
        <v>42</v>
      </c>
      <c r="G262">
        <v>-370.18029999999999</v>
      </c>
      <c r="H262" s="1">
        <v>-4.2607679999999999E-6</v>
      </c>
      <c r="I262">
        <v>369.24509999999998</v>
      </c>
      <c r="J262">
        <v>-406.65249999999997</v>
      </c>
      <c r="K262">
        <v>1.0545850000000001</v>
      </c>
      <c r="L262">
        <v>367.49950000000001</v>
      </c>
      <c r="M262">
        <v>0.99989870000000003</v>
      </c>
      <c r="N262">
        <v>0</v>
      </c>
      <c r="O262">
        <v>-4.513532E-4</v>
      </c>
      <c r="P262">
        <v>0.99948380000000003</v>
      </c>
      <c r="Q262">
        <v>1.349415E-2</v>
      </c>
      <c r="R262">
        <v>2.9161550000000001E-2</v>
      </c>
      <c r="S262">
        <v>2.9985659999999998</v>
      </c>
      <c r="T262">
        <v>-8.6010580000000003E-2</v>
      </c>
      <c r="U262">
        <v>0.1423645</v>
      </c>
      <c r="V262">
        <v>-2.9611430000000001E-2</v>
      </c>
      <c r="W262">
        <v>2.772436E-2</v>
      </c>
      <c r="X262">
        <v>0.99917690000000003</v>
      </c>
      <c r="Y262">
        <v>-4.7855179999999997E-2</v>
      </c>
      <c r="Z262">
        <v>6.9874759999999998E-4</v>
      </c>
      <c r="AA262">
        <v>0.99885400000000002</v>
      </c>
      <c r="AB262">
        <v>30</v>
      </c>
      <c r="AC262">
        <v>36.472200000000001</v>
      </c>
      <c r="AD262">
        <v>-1.0545892607680001</v>
      </c>
      <c r="AE262">
        <v>1.7455999999999601</v>
      </c>
      <c r="AF262">
        <v>-1.7605947156994299</v>
      </c>
      <c r="AG262">
        <v>-1.0545892607680001</v>
      </c>
      <c r="AH262">
        <v>36.441010708946301</v>
      </c>
      <c r="AI262">
        <v>91.655725639277605</v>
      </c>
      <c r="AJ262">
        <v>92.766011898143105</v>
      </c>
      <c r="AK262">
        <v>36.498754961661596</v>
      </c>
      <c r="AL262">
        <v>88.411307579618295</v>
      </c>
      <c r="AM262">
        <v>91.697510746348996</v>
      </c>
      <c r="AN262">
        <v>0.99999997720883205</v>
      </c>
    </row>
    <row r="263" spans="1:40" x14ac:dyDescent="0.3">
      <c r="A263" t="str">
        <f>"20200111153833764"</f>
        <v>20200111153833764</v>
      </c>
      <c r="B263" t="str">
        <f>"1578728313760804"</f>
        <v>1578728313760804</v>
      </c>
      <c r="C263" t="s">
        <v>40</v>
      </c>
      <c r="D263">
        <v>5.2739409999999998</v>
      </c>
      <c r="E263">
        <v>0.52547529999999998</v>
      </c>
      <c r="F263" t="s">
        <v>42</v>
      </c>
      <c r="G263">
        <v>-370.51710000000003</v>
      </c>
      <c r="H263" s="1">
        <v>-4.1264549999999996E-6</v>
      </c>
      <c r="I263">
        <v>369.18779999999998</v>
      </c>
      <c r="J263">
        <v>-406.351</v>
      </c>
      <c r="K263">
        <v>1.054581</v>
      </c>
      <c r="L263">
        <v>367.49939999999998</v>
      </c>
      <c r="M263">
        <v>0.99989870000000003</v>
      </c>
      <c r="N263">
        <v>0</v>
      </c>
      <c r="O263">
        <v>-4.5133E-4</v>
      </c>
      <c r="P263">
        <v>0.9995058</v>
      </c>
      <c r="Q263">
        <v>1.2826829999999999E-2</v>
      </c>
      <c r="R263">
        <v>2.8707179999999999E-2</v>
      </c>
      <c r="S263">
        <v>2.998688</v>
      </c>
      <c r="T263">
        <v>-8.7514880000000003E-2</v>
      </c>
      <c r="U263">
        <v>0.14010619999999999</v>
      </c>
      <c r="V263">
        <v>-2.915744E-2</v>
      </c>
      <c r="W263">
        <v>2.70537E-2</v>
      </c>
      <c r="X263">
        <v>0.9992086</v>
      </c>
      <c r="Y263">
        <v>-4.7102270000000002E-2</v>
      </c>
      <c r="Z263">
        <v>6.9996800000000003E-4</v>
      </c>
      <c r="AA263">
        <v>0.99888980000000005</v>
      </c>
      <c r="AB263">
        <v>30</v>
      </c>
      <c r="AC263">
        <v>35.8338999999999</v>
      </c>
      <c r="AD263">
        <v>-1.0545851264549999</v>
      </c>
      <c r="AE263">
        <v>1.6883999999999999</v>
      </c>
      <c r="AF263">
        <v>-1.7031025652084899</v>
      </c>
      <c r="AG263">
        <v>-1.0545851264549999</v>
      </c>
      <c r="AH263">
        <v>35.802194148830097</v>
      </c>
      <c r="AI263">
        <v>91.685305090478707</v>
      </c>
      <c r="AJ263">
        <v>92.723494652597594</v>
      </c>
      <c r="AK263">
        <v>35.858190333689201</v>
      </c>
      <c r="AL263">
        <v>88.449747936035195</v>
      </c>
      <c r="AM263">
        <v>91.671447105315195</v>
      </c>
      <c r="AN263">
        <v>0.99999994265250003</v>
      </c>
    </row>
    <row r="264" spans="1:40" x14ac:dyDescent="0.3">
      <c r="A264" t="str">
        <f>"20200111153833785"</f>
        <v>20200111153833785</v>
      </c>
      <c r="B264" t="str">
        <f>"1578728313780324"</f>
        <v>1578728313780324</v>
      </c>
      <c r="C264" t="s">
        <v>40</v>
      </c>
      <c r="D264">
        <v>5.2104839999999903</v>
      </c>
      <c r="E264">
        <v>0.58612350000000002</v>
      </c>
      <c r="F264" t="s">
        <v>42</v>
      </c>
      <c r="G264">
        <v>-375.67160000000001</v>
      </c>
      <c r="H264" s="1">
        <v>-2.4231499999999998E-6</v>
      </c>
      <c r="I264">
        <v>366.32420000000002</v>
      </c>
      <c r="J264">
        <v>-406.06900000000002</v>
      </c>
      <c r="K264">
        <v>1.0545739999999999</v>
      </c>
      <c r="L264">
        <v>367.49930000000001</v>
      </c>
      <c r="M264">
        <v>0.99989859999999997</v>
      </c>
      <c r="N264">
        <v>0</v>
      </c>
      <c r="O264">
        <v>-4.5106980000000002E-4</v>
      </c>
      <c r="P264">
        <v>0.99952010000000002</v>
      </c>
      <c r="Q264">
        <v>1.187115E-2</v>
      </c>
      <c r="R264">
        <v>2.861499E-2</v>
      </c>
      <c r="S264">
        <v>3.0061040000000001</v>
      </c>
      <c r="T264">
        <v>-0.1033328</v>
      </c>
      <c r="U264">
        <v>-0.1151428</v>
      </c>
      <c r="V264">
        <v>-2.9065259999999999E-2</v>
      </c>
      <c r="W264">
        <v>2.6095589999999998E-2</v>
      </c>
      <c r="X264">
        <v>0.99923680000000004</v>
      </c>
      <c r="Y264">
        <v>3.7802130000000003E-2</v>
      </c>
      <c r="Z264">
        <v>-6.3378519999999995E-4</v>
      </c>
      <c r="AA264">
        <v>0.99928499999999998</v>
      </c>
      <c r="AB264">
        <v>30</v>
      </c>
      <c r="AC264">
        <v>30.397400000000001</v>
      </c>
      <c r="AD264">
        <v>-1.0545764231500001</v>
      </c>
      <c r="AE264">
        <v>-1.17509999999998</v>
      </c>
      <c r="AF264">
        <v>1.1599930545410599</v>
      </c>
      <c r="AG264">
        <v>-1.0545764231500001</v>
      </c>
      <c r="AH264">
        <v>30.361438426153001</v>
      </c>
      <c r="AI264">
        <v>91.987866887518507</v>
      </c>
      <c r="AJ264">
        <v>87.8120142093249</v>
      </c>
      <c r="AK264">
        <v>30.401885774141199</v>
      </c>
      <c r="AL264">
        <v>88.504663044456095</v>
      </c>
      <c r="AM264">
        <v>91.666118884769205</v>
      </c>
      <c r="AN264">
        <v>0.999999975815277</v>
      </c>
    </row>
    <row r="265" spans="1:40" x14ac:dyDescent="0.3">
      <c r="A265" t="str">
        <f>"20200111153833806"</f>
        <v>20200111153833806</v>
      </c>
      <c r="B265" t="str">
        <f>"1578728313800819"</f>
        <v>1578728313800819</v>
      </c>
      <c r="C265" t="s">
        <v>40</v>
      </c>
      <c r="D265">
        <v>5.2717429999999998</v>
      </c>
      <c r="E265">
        <v>0.58300019999999997</v>
      </c>
      <c r="F265" t="s">
        <v>42</v>
      </c>
      <c r="G265">
        <v>-342.96749999999997</v>
      </c>
      <c r="H265">
        <v>7.9985860000000006E-2</v>
      </c>
      <c r="I265">
        <v>354.96080000000001</v>
      </c>
      <c r="J265">
        <v>-405.7808</v>
      </c>
      <c r="K265">
        <v>1.0545719999999901</v>
      </c>
      <c r="L265">
        <v>367.4991</v>
      </c>
      <c r="M265">
        <v>0.99989870000000003</v>
      </c>
      <c r="N265">
        <v>0</v>
      </c>
      <c r="O265">
        <v>-4.5128589999999998E-4</v>
      </c>
      <c r="P265">
        <v>0.99954460000000001</v>
      </c>
      <c r="Q265">
        <v>1.1068430000000001E-2</v>
      </c>
      <c r="R265">
        <v>2.807538E-2</v>
      </c>
      <c r="S265">
        <v>3.0191650000000001</v>
      </c>
      <c r="T265">
        <v>-4.663026E-2</v>
      </c>
      <c r="U265">
        <v>-0.59991459999999996</v>
      </c>
      <c r="V265">
        <v>-2.852553E-2</v>
      </c>
      <c r="W265">
        <v>2.5290480000000001E-2</v>
      </c>
      <c r="X265">
        <v>0.99927310000000003</v>
      </c>
      <c r="Y265">
        <v>0.19442699999999999</v>
      </c>
      <c r="Z265">
        <v>-1.479915E-3</v>
      </c>
      <c r="AA265">
        <v>0.9809158</v>
      </c>
      <c r="AB265">
        <v>30</v>
      </c>
      <c r="AC265">
        <v>62.813299999999998</v>
      </c>
      <c r="AD265">
        <v>-0.97458613999999999</v>
      </c>
      <c r="AE265">
        <v>-12.5382999999999</v>
      </c>
      <c r="AF265">
        <v>12.507053596989699</v>
      </c>
      <c r="AG265">
        <v>-0.97458613999999999</v>
      </c>
      <c r="AH265">
        <v>62.8044127214432</v>
      </c>
      <c r="AI265">
        <v>90.871914598065203</v>
      </c>
      <c r="AJ265">
        <v>78.737294107544699</v>
      </c>
      <c r="AK265">
        <v>64.045065891976606</v>
      </c>
      <c r="AL265">
        <v>88.550807751105495</v>
      </c>
      <c r="AM265">
        <v>91.635137325538594</v>
      </c>
      <c r="AN265">
        <v>1.0000000213120099</v>
      </c>
    </row>
    <row r="266" spans="1:40" x14ac:dyDescent="0.3">
      <c r="A266" t="str">
        <f>"20200111153833830"</f>
        <v>20200111153833830</v>
      </c>
      <c r="B266" t="str">
        <f>"1578728313820339"</f>
        <v>1578728313820339</v>
      </c>
      <c r="C266" t="s">
        <v>40</v>
      </c>
      <c r="D266">
        <v>5.2629760000000001</v>
      </c>
      <c r="E266">
        <v>0.57915969999999894</v>
      </c>
      <c r="F266" t="s">
        <v>42</v>
      </c>
      <c r="G266">
        <v>-367.56880000000001</v>
      </c>
      <c r="H266" s="1">
        <v>-3.3162539999999999E-6</v>
      </c>
      <c r="I266">
        <v>360.2097</v>
      </c>
      <c r="J266">
        <v>-405.47710000000001</v>
      </c>
      <c r="K266">
        <v>1.05457</v>
      </c>
      <c r="L266">
        <v>367.49900000000002</v>
      </c>
      <c r="M266">
        <v>0.99989870000000003</v>
      </c>
      <c r="N266">
        <v>0</v>
      </c>
      <c r="O266">
        <v>-4.510238E-4</v>
      </c>
      <c r="P266">
        <v>0.99955260000000001</v>
      </c>
      <c r="Q266">
        <v>1.094585E-2</v>
      </c>
      <c r="R266">
        <v>2.7836960000000001E-2</v>
      </c>
      <c r="S266">
        <v>3.0184630000000001</v>
      </c>
      <c r="T266">
        <v>-8.3303450000000001E-2</v>
      </c>
      <c r="U266">
        <v>-0.57580569999999998</v>
      </c>
      <c r="V266">
        <v>-2.82869E-2</v>
      </c>
      <c r="W266">
        <v>2.5164639999999999E-2</v>
      </c>
      <c r="X266">
        <v>0.99928300000000003</v>
      </c>
      <c r="Y266">
        <v>0.1868707</v>
      </c>
      <c r="Z266">
        <v>-2.5427750000000002E-3</v>
      </c>
      <c r="AA266">
        <v>0.98238119999999995</v>
      </c>
      <c r="AB266">
        <v>30</v>
      </c>
      <c r="AC266">
        <v>37.908299999999997</v>
      </c>
      <c r="AD266">
        <v>-1.0545733162540001</v>
      </c>
      <c r="AE266">
        <v>-7.2893000000000203</v>
      </c>
      <c r="AF266">
        <v>7.2667767446391496</v>
      </c>
      <c r="AG266">
        <v>-1.0545733162540001</v>
      </c>
      <c r="AH266">
        <v>37.883311587628299</v>
      </c>
      <c r="AI266">
        <v>91.566018473616495</v>
      </c>
      <c r="AJ266">
        <v>79.141421683912398</v>
      </c>
      <c r="AK266">
        <v>38.588385117559802</v>
      </c>
      <c r="AL266">
        <v>88.558020060253398</v>
      </c>
      <c r="AM266">
        <v>91.621449880197204</v>
      </c>
      <c r="AN266">
        <v>0.99999996095346899</v>
      </c>
    </row>
    <row r="267" spans="1:40" x14ac:dyDescent="0.3">
      <c r="A267" t="str">
        <f>"20200111153833852"</f>
        <v>20200111153833852</v>
      </c>
      <c r="B267" t="str">
        <f>"1578728313840839"</f>
        <v>1578728313840839</v>
      </c>
      <c r="C267" t="s">
        <v>40</v>
      </c>
      <c r="D267">
        <v>5.1940359999999997</v>
      </c>
      <c r="E267">
        <v>0.57726980000000006</v>
      </c>
      <c r="F267" t="s">
        <v>42</v>
      </c>
      <c r="G267">
        <v>-370.79559999999998</v>
      </c>
      <c r="H267" s="1">
        <v>-5.4194610000000004E-6</v>
      </c>
      <c r="I267">
        <v>361.22500000000002</v>
      </c>
      <c r="J267">
        <v>-405.18470000000002</v>
      </c>
      <c r="K267">
        <v>1.0545690000000001</v>
      </c>
      <c r="L267">
        <v>367.49880000000002</v>
      </c>
      <c r="M267">
        <v>0.99989890000000003</v>
      </c>
      <c r="N267">
        <v>0</v>
      </c>
      <c r="O267">
        <v>-4.5123940000000001E-4</v>
      </c>
      <c r="P267">
        <v>0.99954770000000004</v>
      </c>
      <c r="Q267">
        <v>1.1432019999999999E-2</v>
      </c>
      <c r="R267">
        <v>2.7818280000000001E-2</v>
      </c>
      <c r="S267">
        <v>3.0175169999999998</v>
      </c>
      <c r="T267">
        <v>-9.1754619999999995E-2</v>
      </c>
      <c r="U267">
        <v>-0.54586789999999996</v>
      </c>
      <c r="V267">
        <v>-2.8268919999999999E-2</v>
      </c>
      <c r="W267">
        <v>2.5647039999999999E-2</v>
      </c>
      <c r="X267">
        <v>0.99927129999999997</v>
      </c>
      <c r="Y267">
        <v>0.17748710000000001</v>
      </c>
      <c r="Z267">
        <v>-2.6625189999999999E-3</v>
      </c>
      <c r="AA267">
        <v>0.98411950000000004</v>
      </c>
      <c r="AB267">
        <v>30</v>
      </c>
      <c r="AC267">
        <v>34.389099999999999</v>
      </c>
      <c r="AD267">
        <v>-1.0545744194610001</v>
      </c>
      <c r="AE267">
        <v>-6.2737999999999898</v>
      </c>
      <c r="AF267">
        <v>6.2525895357181902</v>
      </c>
      <c r="AG267">
        <v>-1.0545744194610001</v>
      </c>
      <c r="AH267">
        <v>34.360655810498898</v>
      </c>
      <c r="AI267">
        <v>91.729547895303995</v>
      </c>
      <c r="AJ267">
        <v>79.686764238632506</v>
      </c>
      <c r="AK267">
        <v>34.940830998073402</v>
      </c>
      <c r="AL267">
        <v>88.530371732521601</v>
      </c>
      <c r="AM267">
        <v>91.620438750421101</v>
      </c>
      <c r="AN267">
        <v>1.0000000167512</v>
      </c>
    </row>
    <row r="268" spans="1:40" x14ac:dyDescent="0.3">
      <c r="A268" t="str">
        <f>"20200111153833874"</f>
        <v>20200111153833874</v>
      </c>
      <c r="B268" t="str">
        <f>"1578728313871093"</f>
        <v>1578728313871093</v>
      </c>
      <c r="C268" t="s">
        <v>40</v>
      </c>
      <c r="D268">
        <v>5.1292429999999998</v>
      </c>
      <c r="E268">
        <v>0.57664169999999904</v>
      </c>
      <c r="F268" t="s">
        <v>42</v>
      </c>
      <c r="G268">
        <v>-370.90199999999999</v>
      </c>
      <c r="H268" s="1">
        <v>-5.3304970000000002E-6</v>
      </c>
      <c r="I268">
        <v>361.46899999999999</v>
      </c>
      <c r="J268">
        <v>-404.90320000000003</v>
      </c>
      <c r="K268">
        <v>1.05457</v>
      </c>
      <c r="L268">
        <v>367.49869999999999</v>
      </c>
      <c r="M268">
        <v>0.99989879999999998</v>
      </c>
      <c r="N268">
        <v>0</v>
      </c>
      <c r="O268">
        <v>-4.5097909999999999E-4</v>
      </c>
      <c r="P268">
        <v>0.99954829999999995</v>
      </c>
      <c r="Q268">
        <v>1.14535E-2</v>
      </c>
      <c r="R268">
        <v>2.7787579999999999E-2</v>
      </c>
      <c r="S268">
        <v>3.0171809999999999</v>
      </c>
      <c r="T268">
        <v>-9.2811939999999996E-2</v>
      </c>
      <c r="U268">
        <v>-0.53067019999999998</v>
      </c>
      <c r="V268">
        <v>-2.823794E-2</v>
      </c>
      <c r="W268">
        <v>2.5665629999999998E-2</v>
      </c>
      <c r="X268">
        <v>0.99927169999999998</v>
      </c>
      <c r="Y268">
        <v>0.17270060000000001</v>
      </c>
      <c r="Z268">
        <v>-2.621628E-3</v>
      </c>
      <c r="AA268">
        <v>0.98497089999999998</v>
      </c>
      <c r="AB268">
        <v>30</v>
      </c>
      <c r="AC268">
        <v>34.001199999999997</v>
      </c>
      <c r="AD268">
        <v>-1.054575330497</v>
      </c>
      <c r="AE268">
        <v>-6.0296999999999903</v>
      </c>
      <c r="AF268">
        <v>6.0087599307500197</v>
      </c>
      <c r="AG268">
        <v>-1.054575330497</v>
      </c>
      <c r="AH268">
        <v>33.972231854688999</v>
      </c>
      <c r="AI268">
        <v>91.750861607095203</v>
      </c>
      <c r="AJ268">
        <v>79.969678971720398</v>
      </c>
      <c r="AK268">
        <v>34.515646629055396</v>
      </c>
      <c r="AL268">
        <v>88.529306255279195</v>
      </c>
      <c r="AM268">
        <v>91.618663204067801</v>
      </c>
      <c r="AN268">
        <v>1.0000000181198101</v>
      </c>
    </row>
    <row r="269" spans="1:40" x14ac:dyDescent="0.3">
      <c r="A269" t="str">
        <f>"20200111153833897"</f>
        <v>20200111153833897</v>
      </c>
      <c r="B269" t="str">
        <f>"1578728313890611"</f>
        <v>1578728313890611</v>
      </c>
      <c r="C269" t="s">
        <v>40</v>
      </c>
      <c r="D269">
        <v>5.1644040000000002</v>
      </c>
      <c r="E269">
        <v>0.5763857</v>
      </c>
      <c r="F269" t="s">
        <v>42</v>
      </c>
      <c r="G269">
        <v>-366.61180000000002</v>
      </c>
      <c r="H269" s="1">
        <v>-3.478904E-6</v>
      </c>
      <c r="I269">
        <v>360.82249999999999</v>
      </c>
      <c r="J269">
        <v>-404.601</v>
      </c>
      <c r="K269">
        <v>1.054573</v>
      </c>
      <c r="L269">
        <v>367.49849999999998</v>
      </c>
      <c r="M269">
        <v>0.99989879999999998</v>
      </c>
      <c r="N269">
        <v>0</v>
      </c>
      <c r="O269">
        <v>-4.5095539999999998E-4</v>
      </c>
      <c r="P269">
        <v>0.99954339999999997</v>
      </c>
      <c r="Q269">
        <v>1.171138E-2</v>
      </c>
      <c r="R269">
        <v>2.7853929999999999E-2</v>
      </c>
      <c r="S269">
        <v>3.016937</v>
      </c>
      <c r="T269">
        <v>-8.3088399999999896E-2</v>
      </c>
      <c r="U269">
        <v>-0.52600100000000005</v>
      </c>
      <c r="V269">
        <v>-2.8303499999999999E-2</v>
      </c>
      <c r="W269">
        <v>2.5920180000000001E-2</v>
      </c>
      <c r="X269">
        <v>0.99926320000000002</v>
      </c>
      <c r="Y269">
        <v>0.17125119999999999</v>
      </c>
      <c r="Z269">
        <v>-2.3277720000000001E-3</v>
      </c>
      <c r="AA269">
        <v>0.98522469999999995</v>
      </c>
      <c r="AB269">
        <v>30</v>
      </c>
      <c r="AC269">
        <v>37.989199999999897</v>
      </c>
      <c r="AD269">
        <v>-1.054576478904</v>
      </c>
      <c r="AE269">
        <v>-6.6759999999999797</v>
      </c>
      <c r="AF269">
        <v>6.6538921920533998</v>
      </c>
      <c r="AG269">
        <v>-1.054576478904</v>
      </c>
      <c r="AH269">
        <v>37.963828044565602</v>
      </c>
      <c r="AI269">
        <v>91.567300116846198</v>
      </c>
      <c r="AJ269">
        <v>80.058785932422296</v>
      </c>
      <c r="AK269">
        <v>38.556953363182998</v>
      </c>
      <c r="AL269">
        <v>88.514716649950401</v>
      </c>
      <c r="AM269">
        <v>91.622433040109598</v>
      </c>
      <c r="AN269">
        <v>0.999999943358859</v>
      </c>
    </row>
    <row r="270" spans="1:40" x14ac:dyDescent="0.3">
      <c r="A270" t="str">
        <f>"20200111153833919"</f>
        <v>20200111153833919</v>
      </c>
      <c r="B270" t="str">
        <f>"1578728313911108"</f>
        <v>1578728313911108</v>
      </c>
      <c r="C270" t="s">
        <v>40</v>
      </c>
      <c r="D270">
        <v>5.1729580000000004</v>
      </c>
      <c r="E270">
        <v>0.5751638</v>
      </c>
      <c r="F270" t="s">
        <v>42</v>
      </c>
      <c r="G270">
        <v>-366.3116</v>
      </c>
      <c r="H270" s="1">
        <v>-3.5727519999999999E-6</v>
      </c>
      <c r="I270">
        <v>360.8537</v>
      </c>
      <c r="J270">
        <v>-404.29809999999998</v>
      </c>
      <c r="K270">
        <v>1.054575</v>
      </c>
      <c r="L270">
        <v>367.4984</v>
      </c>
      <c r="M270">
        <v>0.99989899999999998</v>
      </c>
      <c r="N270">
        <v>0</v>
      </c>
      <c r="O270">
        <v>-4.5117030000000003E-4</v>
      </c>
      <c r="P270">
        <v>0.9995444</v>
      </c>
      <c r="Q270">
        <v>1.217532E-2</v>
      </c>
      <c r="R270">
        <v>2.7623459999999999E-2</v>
      </c>
      <c r="S270">
        <v>3.016937</v>
      </c>
      <c r="T270">
        <v>-8.3093109999999998E-2</v>
      </c>
      <c r="U270">
        <v>-0.52355959999999901</v>
      </c>
      <c r="V270">
        <v>-2.8073500000000001E-2</v>
      </c>
      <c r="W270">
        <v>2.6381120000000001E-2</v>
      </c>
      <c r="X270">
        <v>0.99925770000000003</v>
      </c>
      <c r="Y270">
        <v>0.1704773</v>
      </c>
      <c r="Z270">
        <v>-2.317482E-3</v>
      </c>
      <c r="AA270">
        <v>0.98535890000000004</v>
      </c>
      <c r="AB270">
        <v>29</v>
      </c>
      <c r="AC270">
        <v>37.9864999999999</v>
      </c>
      <c r="AD270">
        <v>-1.0545785727519901</v>
      </c>
      <c r="AE270">
        <v>-6.6447000000000003</v>
      </c>
      <c r="AF270">
        <v>6.6226065479379699</v>
      </c>
      <c r="AG270">
        <v>-1.0545785727519901</v>
      </c>
      <c r="AH270">
        <v>37.961105404617797</v>
      </c>
      <c r="AI270">
        <v>91.567631328937907</v>
      </c>
      <c r="AJ270">
        <v>80.103906343974003</v>
      </c>
      <c r="AK270">
        <v>38.548885548033702</v>
      </c>
      <c r="AL270">
        <v>88.488297809467795</v>
      </c>
      <c r="AM270">
        <v>91.609264632958102</v>
      </c>
      <c r="AN270">
        <v>1.0000000179519899</v>
      </c>
    </row>
    <row r="271" spans="1:40" x14ac:dyDescent="0.3">
      <c r="A271" t="str">
        <f>"20200111153833942"</f>
        <v>20200111153833942</v>
      </c>
      <c r="B271" t="str">
        <f>"1578728313930627"</f>
        <v>1578728313930627</v>
      </c>
      <c r="C271" t="s">
        <v>40</v>
      </c>
      <c r="D271">
        <v>5.155195</v>
      </c>
      <c r="E271">
        <v>0.57512890000000005</v>
      </c>
      <c r="F271" t="s">
        <v>42</v>
      </c>
      <c r="G271">
        <v>-366.94439999999997</v>
      </c>
      <c r="H271" s="1">
        <v>-3.2847430000000002E-6</v>
      </c>
      <c r="I271">
        <v>361.12670000000003</v>
      </c>
      <c r="J271">
        <v>-403.9984</v>
      </c>
      <c r="K271">
        <v>1.054576</v>
      </c>
      <c r="L271">
        <v>367.49829999999997</v>
      </c>
      <c r="M271">
        <v>0.99989899999999998</v>
      </c>
      <c r="N271">
        <v>0</v>
      </c>
      <c r="O271">
        <v>-4.5114709999999998E-4</v>
      </c>
      <c r="P271">
        <v>0.99953320000000001</v>
      </c>
      <c r="Q271">
        <v>1.2975240000000001E-2</v>
      </c>
      <c r="R271">
        <v>2.7663710000000001E-2</v>
      </c>
      <c r="S271">
        <v>3.016632</v>
      </c>
      <c r="T271">
        <v>-8.5166160000000005E-2</v>
      </c>
      <c r="U271">
        <v>-0.51455689999999998</v>
      </c>
      <c r="V271">
        <v>-2.8113880000000001E-2</v>
      </c>
      <c r="W271">
        <v>2.7177630000000001E-2</v>
      </c>
      <c r="X271">
        <v>0.99923519999999999</v>
      </c>
      <c r="Y271">
        <v>0.16763520000000001</v>
      </c>
      <c r="Z271">
        <v>-2.3362869999999998E-3</v>
      </c>
      <c r="AA271">
        <v>0.98584629999999995</v>
      </c>
      <c r="AB271">
        <v>29</v>
      </c>
      <c r="AC271">
        <v>37.054000000000002</v>
      </c>
      <c r="AD271">
        <v>-1.054579284743</v>
      </c>
      <c r="AE271">
        <v>-6.3715999999999404</v>
      </c>
      <c r="AF271">
        <v>6.3498851297918204</v>
      </c>
      <c r="AG271">
        <v>-1.054579284743</v>
      </c>
      <c r="AH271">
        <v>37.027739717844497</v>
      </c>
      <c r="AI271">
        <v>91.607928357532401</v>
      </c>
      <c r="AJ271">
        <v>80.269005303712305</v>
      </c>
      <c r="AK271">
        <v>37.583063835214404</v>
      </c>
      <c r="AL271">
        <v>88.442644746163396</v>
      </c>
      <c r="AM271">
        <v>91.611614395670998</v>
      </c>
      <c r="AN271">
        <v>0.99999999937005501</v>
      </c>
    </row>
    <row r="272" spans="1:40" x14ac:dyDescent="0.3">
      <c r="A272" t="str">
        <f>"20200111153833963"</f>
        <v>20200111153833963</v>
      </c>
      <c r="B272" t="str">
        <f>"1578728313960883"</f>
        <v>1578728313960883</v>
      </c>
      <c r="C272" t="s">
        <v>40</v>
      </c>
      <c r="D272">
        <v>5.1631359999999997</v>
      </c>
      <c r="E272">
        <v>0.5754416</v>
      </c>
      <c r="F272" t="s">
        <v>42</v>
      </c>
      <c r="G272">
        <v>-365.84280000000001</v>
      </c>
      <c r="H272" s="1">
        <v>-3.6940219999999999E-6</v>
      </c>
      <c r="I272">
        <v>360.9975</v>
      </c>
      <c r="J272">
        <v>-403.71800000000002</v>
      </c>
      <c r="K272">
        <v>1.0545800000000001</v>
      </c>
      <c r="L272">
        <v>367.49810000000002</v>
      </c>
      <c r="M272">
        <v>0.99989910000000004</v>
      </c>
      <c r="N272">
        <v>0</v>
      </c>
      <c r="O272">
        <v>-4.511254E-4</v>
      </c>
      <c r="P272">
        <v>0.99952540000000001</v>
      </c>
      <c r="Q272">
        <v>1.320049E-2</v>
      </c>
      <c r="R272">
        <v>2.7835100000000002E-2</v>
      </c>
      <c r="S272">
        <v>3.0167540000000002</v>
      </c>
      <c r="T272">
        <v>-8.3379750000000002E-2</v>
      </c>
      <c r="U272">
        <v>-0.51397709999999996</v>
      </c>
      <c r="V272">
        <v>-2.8284750000000001E-2</v>
      </c>
      <c r="W272">
        <v>2.739927E-2</v>
      </c>
      <c r="X272">
        <v>0.99922429999999995</v>
      </c>
      <c r="Y272">
        <v>0.16744729999999999</v>
      </c>
      <c r="Z272">
        <v>-2.2846680000000001E-3</v>
      </c>
      <c r="AA272">
        <v>0.98587840000000004</v>
      </c>
      <c r="AB272">
        <v>29</v>
      </c>
      <c r="AC272">
        <v>37.8752</v>
      </c>
      <c r="AD272">
        <v>-1.0545836940219999</v>
      </c>
      <c r="AE272">
        <v>-6.5006000000000101</v>
      </c>
      <c r="AF272">
        <v>6.4786321928923298</v>
      </c>
      <c r="AG272">
        <v>-1.0545836940219999</v>
      </c>
      <c r="AH272">
        <v>37.849625055938503</v>
      </c>
      <c r="AI272">
        <v>91.573121660909607</v>
      </c>
      <c r="AJ272">
        <v>80.286943776518498</v>
      </c>
      <c r="AK272">
        <v>38.414566751866502</v>
      </c>
      <c r="AL272">
        <v>88.429940939464103</v>
      </c>
      <c r="AM272">
        <v>91.621421899494493</v>
      </c>
      <c r="AN272">
        <v>0.99999997439479205</v>
      </c>
    </row>
    <row r="273" spans="1:40" x14ac:dyDescent="0.3">
      <c r="A273" t="str">
        <f>"20200111153833986"</f>
        <v>20200111153833986</v>
      </c>
      <c r="B273" t="str">
        <f>"1578728313980404"</f>
        <v>1578728313980404</v>
      </c>
      <c r="C273" t="s">
        <v>40</v>
      </c>
      <c r="D273">
        <v>5.1310129999999896</v>
      </c>
      <c r="E273">
        <v>0.57567760000000001</v>
      </c>
      <c r="F273" t="s">
        <v>42</v>
      </c>
      <c r="G273">
        <v>-364.22699999999998</v>
      </c>
      <c r="H273" s="1">
        <v>-4.3112049999999998E-6</v>
      </c>
      <c r="I273">
        <v>360.74450000000002</v>
      </c>
      <c r="J273">
        <v>-403.43290000000002</v>
      </c>
      <c r="K273">
        <v>1.0545800000000001</v>
      </c>
      <c r="L273">
        <v>367.49799999999999</v>
      </c>
      <c r="M273">
        <v>0.99989910000000004</v>
      </c>
      <c r="N273">
        <v>0</v>
      </c>
      <c r="O273">
        <v>-4.5110339999999998E-4</v>
      </c>
      <c r="P273">
        <v>0.99950890000000003</v>
      </c>
      <c r="Q273">
        <v>1.3860569999999999E-2</v>
      </c>
      <c r="R273">
        <v>2.8109800000000001E-2</v>
      </c>
      <c r="S273">
        <v>3.0168759999999999</v>
      </c>
      <c r="T273">
        <v>-8.0563780000000002E-2</v>
      </c>
      <c r="U273">
        <v>-0.51593020000000001</v>
      </c>
      <c r="V273">
        <v>-2.8559629999999999E-2</v>
      </c>
      <c r="W273">
        <v>2.80561E-2</v>
      </c>
      <c r="X273">
        <v>0.99919829999999998</v>
      </c>
      <c r="Y273">
        <v>0.16806470000000001</v>
      </c>
      <c r="Z273">
        <v>-2.2155130000000001E-3</v>
      </c>
      <c r="AA273">
        <v>0.98577340000000002</v>
      </c>
      <c r="AB273">
        <v>29</v>
      </c>
      <c r="AC273">
        <v>39.2059</v>
      </c>
      <c r="AD273">
        <v>-1.054584311205</v>
      </c>
      <c r="AE273">
        <v>-6.75350000000003</v>
      </c>
      <c r="AF273">
        <v>6.73108178552277</v>
      </c>
      <c r="AG273">
        <v>-1.054584311205</v>
      </c>
      <c r="AH273">
        <v>39.181410658525799</v>
      </c>
      <c r="AI273">
        <v>91.519519126397</v>
      </c>
      <c r="AJ273">
        <v>80.252153189995099</v>
      </c>
      <c r="AK273">
        <v>39.769366996029497</v>
      </c>
      <c r="AL273">
        <v>88.3922929490912</v>
      </c>
      <c r="AM273">
        <v>91.637213424931304</v>
      </c>
      <c r="AN273">
        <v>1.00000001996791</v>
      </c>
    </row>
    <row r="274" spans="1:40" x14ac:dyDescent="0.3">
      <c r="A274" t="str">
        <f>"20200111153834008"</f>
        <v>20200111153834008</v>
      </c>
      <c r="B274" t="str">
        <f>"1578728314000900"</f>
        <v>1578728314000900</v>
      </c>
      <c r="C274" t="s">
        <v>40</v>
      </c>
      <c r="D274">
        <v>5.233778</v>
      </c>
      <c r="E274">
        <v>0.57530439999999905</v>
      </c>
      <c r="F274" t="s">
        <v>42</v>
      </c>
      <c r="G274">
        <v>-362.52539999999999</v>
      </c>
      <c r="H274" s="1">
        <v>-4.9593869999999998E-6</v>
      </c>
      <c r="I274">
        <v>360.48469999999998</v>
      </c>
      <c r="J274">
        <v>-403.1302</v>
      </c>
      <c r="K274">
        <v>1.0545789999999999</v>
      </c>
      <c r="L274">
        <v>367.49790000000002</v>
      </c>
      <c r="M274">
        <v>0.99989910000000004</v>
      </c>
      <c r="N274">
        <v>0</v>
      </c>
      <c r="O274">
        <v>-4.5107140000000002E-4</v>
      </c>
      <c r="P274">
        <v>0.99950030000000001</v>
      </c>
      <c r="Q274">
        <v>1.405258E-2</v>
      </c>
      <c r="R274">
        <v>2.8313499999999998E-2</v>
      </c>
      <c r="S274">
        <v>3.0170590000000002</v>
      </c>
      <c r="T274">
        <v>-7.7778819999999999E-2</v>
      </c>
      <c r="U274">
        <v>-0.51724239999999999</v>
      </c>
      <c r="V274">
        <v>-2.8763400000000001E-2</v>
      </c>
      <c r="W274">
        <v>2.8243420000000002E-2</v>
      </c>
      <c r="X274">
        <v>0.99918720000000005</v>
      </c>
      <c r="Y274">
        <v>0.16847519999999999</v>
      </c>
      <c r="Z274">
        <v>-2.1439969999999999E-3</v>
      </c>
      <c r="AA274">
        <v>0.98570360000000001</v>
      </c>
      <c r="AB274">
        <v>29</v>
      </c>
      <c r="AC274">
        <v>40.604799999999997</v>
      </c>
      <c r="AD274">
        <v>-1.0545839593869999</v>
      </c>
      <c r="AE274">
        <v>-7.0132000000000403</v>
      </c>
      <c r="AF274">
        <v>6.99030312722748</v>
      </c>
      <c r="AG274">
        <v>-1.0545839593869999</v>
      </c>
      <c r="AH274">
        <v>40.581378836571098</v>
      </c>
      <c r="AI274">
        <v>91.467008890896494</v>
      </c>
      <c r="AJ274">
        <v>80.226486707996202</v>
      </c>
      <c r="AK274">
        <v>41.192533224059197</v>
      </c>
      <c r="AL274">
        <v>88.381556085170601</v>
      </c>
      <c r="AM274">
        <v>91.648906654665694</v>
      </c>
      <c r="AN274">
        <v>1.0000000422983399</v>
      </c>
    </row>
    <row r="275" spans="1:40" x14ac:dyDescent="0.3">
      <c r="A275" t="str">
        <f>"20200111153834031"</f>
        <v>20200111153834031</v>
      </c>
      <c r="B275" t="str">
        <f>"1578728314020419"</f>
        <v>1578728314020419</v>
      </c>
      <c r="C275" t="s">
        <v>40</v>
      </c>
      <c r="D275">
        <v>5.264113</v>
      </c>
      <c r="E275">
        <v>0.57509679999999996</v>
      </c>
      <c r="F275" t="s">
        <v>42</v>
      </c>
      <c r="G275">
        <v>-364.98910000000001</v>
      </c>
      <c r="H275" s="1">
        <v>-3.98176999999999E-6</v>
      </c>
      <c r="I275">
        <v>361.00779999999997</v>
      </c>
      <c r="J275">
        <v>-402.83580000000001</v>
      </c>
      <c r="K275">
        <v>1.0545800000000001</v>
      </c>
      <c r="L275">
        <v>367.49770000000001</v>
      </c>
      <c r="M275">
        <v>0.99989930000000005</v>
      </c>
      <c r="N275">
        <v>0</v>
      </c>
      <c r="O275">
        <v>-4.5102670000000001E-4</v>
      </c>
      <c r="P275">
        <v>0.99949429999999995</v>
      </c>
      <c r="Q275">
        <v>1.429572E-2</v>
      </c>
      <c r="R275">
        <v>2.8413669999999999E-2</v>
      </c>
      <c r="S275">
        <v>3.0172119999999998</v>
      </c>
      <c r="T275">
        <v>-8.3424209999999999E-2</v>
      </c>
      <c r="U275">
        <v>-0.5133972</v>
      </c>
      <c r="V275">
        <v>-2.8863739999999999E-2</v>
      </c>
      <c r="W275">
        <v>2.848032E-2</v>
      </c>
      <c r="X275">
        <v>0.99917750000000005</v>
      </c>
      <c r="Y275">
        <v>0.16723850000000001</v>
      </c>
      <c r="Z275">
        <v>-2.282718E-3</v>
      </c>
      <c r="AA275">
        <v>0.98591379999999995</v>
      </c>
      <c r="AB275">
        <v>29</v>
      </c>
      <c r="AC275">
        <v>37.846699999999998</v>
      </c>
      <c r="AD275">
        <v>-1.05458398176999</v>
      </c>
      <c r="AE275">
        <v>-6.4899000000000298</v>
      </c>
      <c r="AF275">
        <v>6.4679492461304404</v>
      </c>
      <c r="AG275">
        <v>-1.05458398176999</v>
      </c>
      <c r="AH275">
        <v>37.821096688367</v>
      </c>
      <c r="AI275">
        <v>91.574348205503298</v>
      </c>
      <c r="AJ275">
        <v>80.295480127339104</v>
      </c>
      <c r="AK275">
        <v>38.384656694256499</v>
      </c>
      <c r="AL275">
        <v>88.3679771192283</v>
      </c>
      <c r="AM275">
        <v>91.654671663578995</v>
      </c>
      <c r="AN275">
        <v>0.99999996031016902</v>
      </c>
    </row>
    <row r="276" spans="1:40" x14ac:dyDescent="0.3">
      <c r="A276" t="str">
        <f>"20200111153834052"</f>
        <v>20200111153834052</v>
      </c>
      <c r="B276" t="str">
        <f>"1578728314040918"</f>
        <v>1578728314040918</v>
      </c>
      <c r="C276" t="s">
        <v>40</v>
      </c>
      <c r="D276">
        <v>5.2162329999999999</v>
      </c>
      <c r="E276">
        <v>0.57498349999999998</v>
      </c>
      <c r="F276" t="s">
        <v>42</v>
      </c>
      <c r="G276">
        <v>-366.267</v>
      </c>
      <c r="H276" s="1">
        <v>-3.469907E-6</v>
      </c>
      <c r="I276">
        <v>361.29719999999998</v>
      </c>
      <c r="J276">
        <v>-402.5573</v>
      </c>
      <c r="K276">
        <v>1.054584</v>
      </c>
      <c r="L276">
        <v>367.49759999999998</v>
      </c>
      <c r="M276">
        <v>0.99989939999999999</v>
      </c>
      <c r="N276">
        <v>0</v>
      </c>
      <c r="O276">
        <v>-4.5094969999999999E-4</v>
      </c>
      <c r="P276">
        <v>0.99950050000000001</v>
      </c>
      <c r="Q276">
        <v>1.4306930000000001E-2</v>
      </c>
      <c r="R276">
        <v>2.8184290000000001E-2</v>
      </c>
      <c r="S276">
        <v>3.0173030000000001</v>
      </c>
      <c r="T276">
        <v>-8.7013720000000003E-2</v>
      </c>
      <c r="U276">
        <v>-0.51159670000000002</v>
      </c>
      <c r="V276">
        <v>-2.8633619999999999E-2</v>
      </c>
      <c r="W276">
        <v>2.8480800000000001E-2</v>
      </c>
      <c r="X276">
        <v>0.99918410000000002</v>
      </c>
      <c r="Y276">
        <v>0.16665650000000001</v>
      </c>
      <c r="Z276">
        <v>-2.372617E-3</v>
      </c>
      <c r="AA276">
        <v>0.98601220000000001</v>
      </c>
      <c r="AB276">
        <v>29</v>
      </c>
      <c r="AC276">
        <v>36.290300000000002</v>
      </c>
      <c r="AD276">
        <v>-1.0545874699069999</v>
      </c>
      <c r="AE276">
        <v>-6.2004000000000001</v>
      </c>
      <c r="AF276">
        <v>6.1789626776377702</v>
      </c>
      <c r="AG276">
        <v>-1.0545874699069999</v>
      </c>
      <c r="AH276">
        <v>36.263337955162299</v>
      </c>
      <c r="AI276">
        <v>91.642115968048003</v>
      </c>
      <c r="AJ276">
        <v>80.330157726899699</v>
      </c>
      <c r="AK276">
        <v>36.801106153941099</v>
      </c>
      <c r="AL276">
        <v>88.367949594040695</v>
      </c>
      <c r="AM276">
        <v>91.641475983660897</v>
      </c>
      <c r="AN276">
        <v>0.99999995292787602</v>
      </c>
    </row>
    <row r="277" spans="1:40" x14ac:dyDescent="0.3">
      <c r="A277" t="str">
        <f>"20200111153834075"</f>
        <v>20200111153834075</v>
      </c>
      <c r="B277" t="str">
        <f>"1578728314070195"</f>
        <v>1578728314070195</v>
      </c>
      <c r="C277" t="s">
        <v>40</v>
      </c>
      <c r="D277">
        <v>5.2023479999999998</v>
      </c>
      <c r="E277">
        <v>0.57514759999999998</v>
      </c>
      <c r="F277" t="s">
        <v>42</v>
      </c>
      <c r="G277">
        <v>-367.65449999999998</v>
      </c>
      <c r="H277" s="1">
        <v>-2.921428E-6</v>
      </c>
      <c r="I277">
        <v>361.584</v>
      </c>
      <c r="J277">
        <v>-402.26900000000001</v>
      </c>
      <c r="K277">
        <v>1.0545850000000001</v>
      </c>
      <c r="L277">
        <v>367.49740000000003</v>
      </c>
      <c r="M277">
        <v>0.99989969999999995</v>
      </c>
      <c r="N277">
        <v>0</v>
      </c>
      <c r="O277">
        <v>-4.509591E-4</v>
      </c>
      <c r="P277">
        <v>0.99950150000000004</v>
      </c>
      <c r="Q277">
        <v>1.462746E-2</v>
      </c>
      <c r="R277">
        <v>2.7980330000000001E-2</v>
      </c>
      <c r="S277">
        <v>3.0172119999999998</v>
      </c>
      <c r="T277">
        <v>-9.1164770000000006E-2</v>
      </c>
      <c r="U277">
        <v>-0.51119999999999999</v>
      </c>
      <c r="V277">
        <v>-2.8430400000000002E-2</v>
      </c>
      <c r="W277">
        <v>2.8785850000000002E-2</v>
      </c>
      <c r="X277">
        <v>0.99918119999999999</v>
      </c>
      <c r="Y277">
        <v>0.16652890000000001</v>
      </c>
      <c r="Z277">
        <v>-2.4839419999999998E-3</v>
      </c>
      <c r="AA277">
        <v>0.98603339999999995</v>
      </c>
      <c r="AB277">
        <v>29</v>
      </c>
      <c r="AC277">
        <v>34.6145</v>
      </c>
      <c r="AD277">
        <v>-1.0545879214280001</v>
      </c>
      <c r="AE277">
        <v>-5.9134000000000198</v>
      </c>
      <c r="AF277">
        <v>5.8924737171568999</v>
      </c>
      <c r="AG277">
        <v>-1.0545879214280001</v>
      </c>
      <c r="AH277">
        <v>34.585970529443102</v>
      </c>
      <c r="AI277">
        <v>91.721715628344896</v>
      </c>
      <c r="AJ277">
        <v>80.331252279737299</v>
      </c>
      <c r="AK277">
        <v>35.100181760995397</v>
      </c>
      <c r="AL277">
        <v>88.350464410187598</v>
      </c>
      <c r="AM277">
        <v>91.629837049721104</v>
      </c>
      <c r="AN277">
        <v>0.99999999161891096</v>
      </c>
    </row>
    <row r="278" spans="1:40" x14ac:dyDescent="0.3">
      <c r="A278" t="str">
        <f>"20200111153834098"</f>
        <v>20200111153834098</v>
      </c>
      <c r="B278" t="str">
        <f>"1578728314090691"</f>
        <v>1578728314090691</v>
      </c>
      <c r="C278" t="s">
        <v>40</v>
      </c>
      <c r="D278">
        <v>5.3641719999999999</v>
      </c>
      <c r="E278">
        <v>0.57652990000000004</v>
      </c>
      <c r="F278" t="s">
        <v>42</v>
      </c>
      <c r="G278">
        <v>-367.99900000000002</v>
      </c>
      <c r="H278" s="1">
        <v>-2.7812480000000002E-6</v>
      </c>
      <c r="I278">
        <v>361.6703</v>
      </c>
      <c r="J278">
        <v>-401.96640000000002</v>
      </c>
      <c r="K278">
        <v>1.0545869999999999</v>
      </c>
      <c r="L278">
        <v>367.4973</v>
      </c>
      <c r="M278">
        <v>0.99989980000000001</v>
      </c>
      <c r="N278">
        <v>0</v>
      </c>
      <c r="O278">
        <v>-4.5083930000000002E-4</v>
      </c>
      <c r="P278">
        <v>0.99951060000000003</v>
      </c>
      <c r="Q278">
        <v>1.4698650000000001E-2</v>
      </c>
      <c r="R278">
        <v>2.7613470000000001E-2</v>
      </c>
      <c r="S278">
        <v>3.017242</v>
      </c>
      <c r="T278">
        <v>-9.2848899999999998E-2</v>
      </c>
      <c r="U278">
        <v>-0.51303100000000001</v>
      </c>
      <c r="V278">
        <v>-2.806349E-2</v>
      </c>
      <c r="W278">
        <v>2.884018E-2</v>
      </c>
      <c r="X278">
        <v>0.99919000000000002</v>
      </c>
      <c r="Y278">
        <v>0.167106</v>
      </c>
      <c r="Z278">
        <v>-2.5384729999999999E-3</v>
      </c>
      <c r="AA278">
        <v>0.98593569999999997</v>
      </c>
      <c r="AB278">
        <v>29</v>
      </c>
      <c r="AC278">
        <v>33.967399999999998</v>
      </c>
      <c r="AD278">
        <v>-1.0545897812480001</v>
      </c>
      <c r="AE278">
        <v>-5.8269999999999902</v>
      </c>
      <c r="AF278">
        <v>5.8062472537782099</v>
      </c>
      <c r="AG278">
        <v>-1.0545897812480001</v>
      </c>
      <c r="AH278">
        <v>33.938245176340899</v>
      </c>
      <c r="AI278">
        <v>91.754351237749503</v>
      </c>
      <c r="AJ278">
        <v>80.291672736915203</v>
      </c>
      <c r="AK278">
        <v>34.447483978197099</v>
      </c>
      <c r="AL278">
        <v>88.347350227856694</v>
      </c>
      <c r="AM278">
        <v>91.608800068055899</v>
      </c>
      <c r="AN278">
        <v>0.99999998577670601</v>
      </c>
    </row>
    <row r="279" spans="1:40" x14ac:dyDescent="0.3">
      <c r="A279" t="str">
        <f>"20200111153834120"</f>
        <v>20200111153834120</v>
      </c>
      <c r="B279" t="str">
        <f>"1578728314110214"</f>
        <v>1578728314110214</v>
      </c>
      <c r="C279" t="s">
        <v>40</v>
      </c>
      <c r="D279">
        <v>5.3859339999999998</v>
      </c>
      <c r="E279">
        <v>0.57850140000000005</v>
      </c>
      <c r="F279" t="s">
        <v>42</v>
      </c>
      <c r="G279">
        <v>-367.81540000000001</v>
      </c>
      <c r="H279" s="1">
        <v>-2.8751720000000001E-6</v>
      </c>
      <c r="I279">
        <v>361.5521</v>
      </c>
      <c r="J279">
        <v>-401.6703</v>
      </c>
      <c r="K279">
        <v>1.054589</v>
      </c>
      <c r="L279">
        <v>367.49720000000002</v>
      </c>
      <c r="M279">
        <v>0.99990000000000001</v>
      </c>
      <c r="N279">
        <v>0</v>
      </c>
      <c r="O279">
        <v>-4.5096699999999998E-4</v>
      </c>
      <c r="P279">
        <v>0.99950550000000005</v>
      </c>
      <c r="Q279">
        <v>1.541729E-2</v>
      </c>
      <c r="R279">
        <v>2.7407890000000001E-2</v>
      </c>
      <c r="S279">
        <v>3.0173649999999999</v>
      </c>
      <c r="T279">
        <v>-9.3176540000000002E-2</v>
      </c>
      <c r="U279">
        <v>-0.52526859999999997</v>
      </c>
      <c r="V279">
        <v>-2.7857570000000002E-2</v>
      </c>
      <c r="W279">
        <v>2.9543219999999999E-2</v>
      </c>
      <c r="X279">
        <v>0.99917529999999999</v>
      </c>
      <c r="Y279">
        <v>0.170979399999999</v>
      </c>
      <c r="Z279">
        <v>-2.605797E-3</v>
      </c>
      <c r="AA279">
        <v>0.98527120000000001</v>
      </c>
      <c r="AB279">
        <v>29</v>
      </c>
      <c r="AC279">
        <v>33.854899999999901</v>
      </c>
      <c r="AD279">
        <v>-1.054591875172</v>
      </c>
      <c r="AE279">
        <v>-5.9451000000000196</v>
      </c>
      <c r="AF279">
        <v>5.9242538293331499</v>
      </c>
      <c r="AG279">
        <v>-1.054591875172</v>
      </c>
      <c r="AH279">
        <v>33.825737143440797</v>
      </c>
      <c r="AI279">
        <v>91.758986952107804</v>
      </c>
      <c r="AJ279">
        <v>80.065948245644293</v>
      </c>
      <c r="AK279">
        <v>34.356796136349701</v>
      </c>
      <c r="AL279">
        <v>88.3070519586431</v>
      </c>
      <c r="AM279">
        <v>91.597024878961506</v>
      </c>
      <c r="AN279">
        <v>1.0000000630921699</v>
      </c>
    </row>
    <row r="280" spans="1:40" x14ac:dyDescent="0.3">
      <c r="A280" t="str">
        <f>"20200111153834142"</f>
        <v>20200111153834142</v>
      </c>
      <c r="B280" t="str">
        <f>"1578728314140467"</f>
        <v>1578728314140467</v>
      </c>
      <c r="C280" t="s">
        <v>40</v>
      </c>
      <c r="D280">
        <v>5.3418330000000003</v>
      </c>
      <c r="E280">
        <v>0.58088479999999998</v>
      </c>
      <c r="F280" t="s">
        <v>42</v>
      </c>
      <c r="G280">
        <v>-369.98950000000002</v>
      </c>
      <c r="H280" s="1">
        <v>-5.6610289999999998E-6</v>
      </c>
      <c r="I280">
        <v>361.8125</v>
      </c>
      <c r="J280">
        <v>-401.39049999999997</v>
      </c>
      <c r="K280">
        <v>1.054592</v>
      </c>
      <c r="L280">
        <v>367.49700000000001</v>
      </c>
      <c r="M280">
        <v>0.99990029999999996</v>
      </c>
      <c r="N280">
        <v>0</v>
      </c>
      <c r="O280">
        <v>-4.508677E-4</v>
      </c>
      <c r="P280">
        <v>0.99949619999999995</v>
      </c>
      <c r="Q280">
        <v>1.6030220000000001E-2</v>
      </c>
      <c r="R280">
        <v>2.7397999999999999E-2</v>
      </c>
      <c r="S280">
        <v>3.0178530000000001</v>
      </c>
      <c r="T280">
        <v>-0.1004586</v>
      </c>
      <c r="U280">
        <v>-0.54150390000000004</v>
      </c>
      <c r="V280">
        <v>-2.784754E-2</v>
      </c>
      <c r="W280">
        <v>3.0141859999999999E-2</v>
      </c>
      <c r="X280">
        <v>0.99915759999999998</v>
      </c>
      <c r="Y280">
        <v>0.176074799999999</v>
      </c>
      <c r="Z280">
        <v>-2.89171E-3</v>
      </c>
      <c r="AA280">
        <v>0.98437260000000004</v>
      </c>
      <c r="AB280">
        <v>29</v>
      </c>
      <c r="AC280">
        <v>31.4009999999999</v>
      </c>
      <c r="AD280">
        <v>-1.054597661029</v>
      </c>
      <c r="AE280">
        <v>-5.6844999999999501</v>
      </c>
      <c r="AF280">
        <v>5.66415420815221</v>
      </c>
      <c r="AG280">
        <v>-1.054597661029</v>
      </c>
      <c r="AH280">
        <v>31.36930003354</v>
      </c>
      <c r="AI280">
        <v>91.894870329319204</v>
      </c>
      <c r="AJ280">
        <v>79.764750054178805</v>
      </c>
      <c r="AK280">
        <v>31.894008900021099</v>
      </c>
      <c r="AL280">
        <v>88.272736959235601</v>
      </c>
      <c r="AM280">
        <v>91.596478440894003</v>
      </c>
      <c r="AN280">
        <v>0.99999996342303499</v>
      </c>
    </row>
    <row r="281" spans="1:40" x14ac:dyDescent="0.3">
      <c r="A281" t="str">
        <f>"20200111153834164"</f>
        <v>20200111153834164</v>
      </c>
      <c r="B281" t="str">
        <f>"1578728314160963"</f>
        <v>1578728314160963</v>
      </c>
      <c r="C281" t="s">
        <v>40</v>
      </c>
      <c r="D281">
        <v>5.3834989999999996</v>
      </c>
      <c r="E281">
        <v>0.58218380000000003</v>
      </c>
      <c r="F281" t="s">
        <v>42</v>
      </c>
      <c r="G281">
        <v>-373.03480000000002</v>
      </c>
      <c r="H281" s="1">
        <v>-4.3206639999999998E-6</v>
      </c>
      <c r="I281">
        <v>362.2337</v>
      </c>
      <c r="J281">
        <v>-401.10359999999997</v>
      </c>
      <c r="K281">
        <v>1.054716</v>
      </c>
      <c r="L281">
        <v>367.49689999999998</v>
      </c>
      <c r="M281">
        <v>0.99989410000000001</v>
      </c>
      <c r="N281">
        <v>0</v>
      </c>
      <c r="O281">
        <v>-4.5116930000000001E-4</v>
      </c>
      <c r="P281">
        <v>0.99948930000000002</v>
      </c>
      <c r="Q281">
        <v>1.5943010000000001E-2</v>
      </c>
      <c r="R281">
        <v>2.7701509999999999E-2</v>
      </c>
      <c r="S281">
        <v>3.0186459999999999</v>
      </c>
      <c r="T281">
        <v>-0.1122683</v>
      </c>
      <c r="U281">
        <v>-0.56030269999999904</v>
      </c>
      <c r="V281">
        <v>-2.8151679999999998E-2</v>
      </c>
      <c r="W281">
        <v>3.0494549999999999E-2</v>
      </c>
      <c r="X281">
        <v>0.99913839999999998</v>
      </c>
      <c r="Y281">
        <v>0.18193190000000001</v>
      </c>
      <c r="Z281">
        <v>-3.336758E-3</v>
      </c>
      <c r="AA281">
        <v>0.98330550000000005</v>
      </c>
      <c r="AB281">
        <v>29</v>
      </c>
      <c r="AC281">
        <v>28.0687999999999</v>
      </c>
      <c r="AD281">
        <v>-1.0547203206639999</v>
      </c>
      <c r="AE281">
        <v>-5.2631999999999799</v>
      </c>
      <c r="AF281">
        <v>5.2433822880634304</v>
      </c>
      <c r="AG281">
        <v>-1.0547203206639999</v>
      </c>
      <c r="AH281">
        <v>28.032934627375798</v>
      </c>
      <c r="AI281">
        <v>92.118002177121099</v>
      </c>
      <c r="AJ281">
        <v>79.405605976901995</v>
      </c>
      <c r="AK281">
        <v>28.5385864505642</v>
      </c>
      <c r="AL281">
        <v>88.252520059989607</v>
      </c>
      <c r="AM281">
        <v>91.613936383038507</v>
      </c>
      <c r="AN281">
        <v>0.99999998851054195</v>
      </c>
    </row>
    <row r="282" spans="1:40" x14ac:dyDescent="0.3">
      <c r="A282" t="str">
        <f>"20200111153834186"</f>
        <v>20200111153834186</v>
      </c>
      <c r="B282" t="str">
        <f>"1578728314180483"</f>
        <v>1578728314180483</v>
      </c>
      <c r="C282" t="s">
        <v>40</v>
      </c>
      <c r="D282">
        <v>5.4200330000000001</v>
      </c>
      <c r="E282">
        <v>0.58337269999999997</v>
      </c>
      <c r="F282" t="s">
        <v>42</v>
      </c>
      <c r="G282">
        <v>-374.42829999999998</v>
      </c>
      <c r="H282" s="1">
        <v>-3.7853559999999998E-6</v>
      </c>
      <c r="I282">
        <v>362.46339999999998</v>
      </c>
      <c r="J282">
        <v>-400.83089999999999</v>
      </c>
      <c r="K282">
        <v>1.055169</v>
      </c>
      <c r="L282">
        <v>367.49680000000001</v>
      </c>
      <c r="M282">
        <v>0.99987760000000003</v>
      </c>
      <c r="N282">
        <v>0</v>
      </c>
      <c r="O282">
        <v>-4.5140190000000002E-4</v>
      </c>
      <c r="P282">
        <v>0.99950079999999997</v>
      </c>
      <c r="Q282">
        <v>1.465166E-2</v>
      </c>
      <c r="R282">
        <v>2.7993939999999998E-2</v>
      </c>
      <c r="S282">
        <v>3.0192260000000002</v>
      </c>
      <c r="T282">
        <v>-0.11937739999999999</v>
      </c>
      <c r="U282">
        <v>-0.56970209999999999</v>
      </c>
      <c r="V282">
        <v>-2.8443909999999999E-2</v>
      </c>
      <c r="W282">
        <v>3.0288659999999999E-2</v>
      </c>
      <c r="X282">
        <v>0.99913640000000004</v>
      </c>
      <c r="Y282">
        <v>0.18483669999999999</v>
      </c>
      <c r="Z282">
        <v>-3.603111E-3</v>
      </c>
      <c r="AA282">
        <v>0.98276260000000004</v>
      </c>
      <c r="AB282">
        <v>29</v>
      </c>
      <c r="AC282">
        <v>26.4026</v>
      </c>
      <c r="AD282">
        <v>-1.055172785356</v>
      </c>
      <c r="AE282">
        <v>-5.0334000000000199</v>
      </c>
      <c r="AF282">
        <v>5.0137528107661398</v>
      </c>
      <c r="AG282">
        <v>-1.055172785356</v>
      </c>
      <c r="AH282">
        <v>26.364237957159801</v>
      </c>
      <c r="AI282">
        <v>92.251607910322207</v>
      </c>
      <c r="AJ282">
        <v>79.232494541982504</v>
      </c>
      <c r="AK282">
        <v>26.857478472786099</v>
      </c>
      <c r="AL282">
        <v>88.264322164010693</v>
      </c>
      <c r="AM282">
        <v>91.630684198073894</v>
      </c>
      <c r="AN282">
        <v>1.0000000023728199</v>
      </c>
    </row>
    <row r="283" spans="1:40" x14ac:dyDescent="0.3">
      <c r="A283" t="str">
        <f>"20200111153834209"</f>
        <v>20200111153834209</v>
      </c>
      <c r="B283" t="str">
        <f>"1578728314200981"</f>
        <v>1578728314200981</v>
      </c>
      <c r="C283" t="s">
        <v>40</v>
      </c>
      <c r="D283">
        <v>5.383038</v>
      </c>
      <c r="E283">
        <v>0.58455709999999905</v>
      </c>
      <c r="F283" t="s">
        <v>42</v>
      </c>
      <c r="G283">
        <v>-376.2876</v>
      </c>
      <c r="H283" s="1">
        <v>-3.0639509999999999E-6</v>
      </c>
      <c r="I283">
        <v>362.79669999999999</v>
      </c>
      <c r="J283">
        <v>-400.53440000000001</v>
      </c>
      <c r="K283">
        <v>1.0558799999999999</v>
      </c>
      <c r="L283">
        <v>367.4966</v>
      </c>
      <c r="M283">
        <v>0.99987190000000004</v>
      </c>
      <c r="N283">
        <v>0</v>
      </c>
      <c r="O283">
        <v>-4.5184810000000001E-4</v>
      </c>
      <c r="P283">
        <v>0.99951480000000004</v>
      </c>
      <c r="Q283">
        <v>1.426375E-2</v>
      </c>
      <c r="R283">
        <v>2.7695890000000001E-2</v>
      </c>
      <c r="S283">
        <v>3.0195919999999998</v>
      </c>
      <c r="T283">
        <v>-0.1298184</v>
      </c>
      <c r="U283">
        <v>-0.57824709999999901</v>
      </c>
      <c r="V283">
        <v>-2.8147120000000001E-2</v>
      </c>
      <c r="W283">
        <v>3.0256729999999999E-2</v>
      </c>
      <c r="X283">
        <v>0.99914570000000003</v>
      </c>
      <c r="Y283">
        <v>0.18747030000000001</v>
      </c>
      <c r="Z283">
        <v>-3.9725430000000003E-3</v>
      </c>
      <c r="AA283">
        <v>0.98226230000000003</v>
      </c>
      <c r="AB283">
        <v>29</v>
      </c>
      <c r="AC283">
        <v>24.2468</v>
      </c>
      <c r="AD283">
        <v>-1.055883063951</v>
      </c>
      <c r="AE283">
        <v>-4.6999000000000102</v>
      </c>
      <c r="AF283">
        <v>4.68038791222643</v>
      </c>
      <c r="AG283">
        <v>-1.055883063951</v>
      </c>
      <c r="AH283">
        <v>24.204682590965501</v>
      </c>
      <c r="AI283">
        <v>92.4524633279688</v>
      </c>
      <c r="AJ283">
        <v>79.055952742808003</v>
      </c>
      <c r="AK283">
        <v>24.675647496733301</v>
      </c>
      <c r="AL283">
        <v>88.266152331505893</v>
      </c>
      <c r="AM283">
        <v>91.613663312711694</v>
      </c>
      <c r="AN283">
        <v>0.99999992995153597</v>
      </c>
    </row>
    <row r="284" spans="1:40" x14ac:dyDescent="0.3">
      <c r="A284" t="str">
        <f>"20200111153834232"</f>
        <v>20200111153834232</v>
      </c>
      <c r="B284" t="str">
        <f>"1578728314220499"</f>
        <v>1578728314220499</v>
      </c>
      <c r="C284" t="s">
        <v>40</v>
      </c>
      <c r="D284">
        <v>5.4121180000000004</v>
      </c>
      <c r="E284">
        <v>0.58558909999999997</v>
      </c>
      <c r="F284" t="s">
        <v>42</v>
      </c>
      <c r="G284">
        <v>-377.13380000000001</v>
      </c>
      <c r="H284" s="1">
        <v>-2.7383629999999999E-6</v>
      </c>
      <c r="I284">
        <v>362.93799999999999</v>
      </c>
      <c r="J284">
        <v>-400.2534</v>
      </c>
      <c r="K284">
        <v>1.0565340000000001</v>
      </c>
      <c r="L284">
        <v>367.49650000000003</v>
      </c>
      <c r="M284">
        <v>0.99989430000000001</v>
      </c>
      <c r="N284">
        <v>0</v>
      </c>
      <c r="O284">
        <v>-4.5183799999999998E-4</v>
      </c>
      <c r="P284">
        <v>0.99949929999999998</v>
      </c>
      <c r="Q284">
        <v>1.522946E-2</v>
      </c>
      <c r="R284">
        <v>2.773629E-2</v>
      </c>
      <c r="S284">
        <v>3.019714</v>
      </c>
      <c r="T284">
        <v>-0.1362556</v>
      </c>
      <c r="U284">
        <v>-0.58825680000000002</v>
      </c>
      <c r="V284">
        <v>-2.8186610000000001E-2</v>
      </c>
      <c r="W284">
        <v>2.9755799999999999E-2</v>
      </c>
      <c r="X284">
        <v>0.99915969999999998</v>
      </c>
      <c r="Y284">
        <v>0.1905811</v>
      </c>
      <c r="Z284">
        <v>-4.2373710000000002E-3</v>
      </c>
      <c r="AA284">
        <v>0.98166229999999999</v>
      </c>
      <c r="AB284">
        <v>28</v>
      </c>
      <c r="AC284">
        <v>23.119599999999899</v>
      </c>
      <c r="AD284">
        <v>-1.056536738363</v>
      </c>
      <c r="AE284">
        <v>-4.55849999999998</v>
      </c>
      <c r="AF284">
        <v>4.5389278486190401</v>
      </c>
      <c r="AG284">
        <v>-1.056536738363</v>
      </c>
      <c r="AH284">
        <v>23.075271060177101</v>
      </c>
      <c r="AI284">
        <v>92.5723215643348</v>
      </c>
      <c r="AJ284">
        <v>78.871933613867796</v>
      </c>
      <c r="AK284">
        <v>23.5411611947059</v>
      </c>
      <c r="AL284">
        <v>88.294866556693904</v>
      </c>
      <c r="AM284">
        <v>91.615903429386904</v>
      </c>
      <c r="AN284">
        <v>0.99999999936051098</v>
      </c>
    </row>
    <row r="285" spans="1:40" x14ac:dyDescent="0.3">
      <c r="A285" t="str">
        <f>"20200111153834254"</f>
        <v>20200111153834254</v>
      </c>
      <c r="B285" t="str">
        <f>"1578728314250756"</f>
        <v>1578728314250756</v>
      </c>
      <c r="C285" t="s">
        <v>40</v>
      </c>
      <c r="D285">
        <v>5.4330189999999998</v>
      </c>
      <c r="E285">
        <v>0.58706000000000003</v>
      </c>
      <c r="F285" t="s">
        <v>42</v>
      </c>
      <c r="G285">
        <v>-377.3347</v>
      </c>
      <c r="H285" s="1">
        <v>-2.6610360000000002E-6</v>
      </c>
      <c r="I285">
        <v>362.9717</v>
      </c>
      <c r="J285">
        <v>-399.96719999999999</v>
      </c>
      <c r="K285">
        <v>1.0574669999999999</v>
      </c>
      <c r="L285">
        <v>367.49639999999999</v>
      </c>
      <c r="M285">
        <v>0.99992340000000002</v>
      </c>
      <c r="N285">
        <v>0</v>
      </c>
      <c r="O285">
        <v>-4.5113500000000002E-4</v>
      </c>
      <c r="P285">
        <v>0.99948440000000005</v>
      </c>
      <c r="Q285">
        <v>1.6710949999999999E-2</v>
      </c>
      <c r="R285">
        <v>2.7424569999999999E-2</v>
      </c>
      <c r="S285">
        <v>3.0201419999999999</v>
      </c>
      <c r="T285">
        <v>-0.13922599999999999</v>
      </c>
      <c r="U285">
        <v>-0.59625240000000002</v>
      </c>
      <c r="V285">
        <v>-2.7874139999999999E-2</v>
      </c>
      <c r="W285">
        <v>2.9084220000000001E-2</v>
      </c>
      <c r="X285">
        <v>0.99918819999999997</v>
      </c>
      <c r="Y285">
        <v>0.19304730000000001</v>
      </c>
      <c r="Z285">
        <v>-4.3842619999999999E-3</v>
      </c>
      <c r="AA285">
        <v>0.98117969999999999</v>
      </c>
      <c r="AB285">
        <v>28</v>
      </c>
      <c r="AC285">
        <v>22.6325</v>
      </c>
      <c r="AD285">
        <v>-1.0574696610359999</v>
      </c>
      <c r="AE285">
        <v>-4.5246999999999904</v>
      </c>
      <c r="AF285">
        <v>4.5050315507513403</v>
      </c>
      <c r="AG285">
        <v>-1.0574696610359999</v>
      </c>
      <c r="AH285">
        <v>22.5871245498601</v>
      </c>
      <c r="AI285">
        <v>92.628777404084303</v>
      </c>
      <c r="AJ285">
        <v>78.720299267946302</v>
      </c>
      <c r="AK285">
        <v>23.056273480078399</v>
      </c>
      <c r="AL285">
        <v>88.3333618534121</v>
      </c>
      <c r="AM285">
        <v>91.597953695256606</v>
      </c>
      <c r="AN285">
        <v>0.99999995927649299</v>
      </c>
    </row>
    <row r="286" spans="1:40" x14ac:dyDescent="0.3">
      <c r="A286" t="str">
        <f>"20200111153834278"</f>
        <v>20200111153834278</v>
      </c>
      <c r="B286" t="str">
        <f>"1578728314270276"</f>
        <v>1578728314270276</v>
      </c>
      <c r="C286" t="s">
        <v>40</v>
      </c>
      <c r="D286">
        <v>5.5046549999999996</v>
      </c>
      <c r="E286">
        <v>0.58794969999999902</v>
      </c>
      <c r="F286" t="s">
        <v>42</v>
      </c>
      <c r="G286">
        <v>-377.42899999999997</v>
      </c>
      <c r="H286" s="1">
        <v>-2.6342339999999998E-6</v>
      </c>
      <c r="I286">
        <v>362.95179999999999</v>
      </c>
      <c r="J286">
        <v>-399.67950000000002</v>
      </c>
      <c r="K286">
        <v>1.058837</v>
      </c>
      <c r="L286">
        <v>367.49630000000002</v>
      </c>
      <c r="M286">
        <v>0.99994490000000003</v>
      </c>
      <c r="N286">
        <v>0</v>
      </c>
      <c r="O286">
        <v>-4.5021850000000001E-4</v>
      </c>
      <c r="P286">
        <v>0.9994537</v>
      </c>
      <c r="Q286">
        <v>1.7991730000000001E-2</v>
      </c>
      <c r="R286">
        <v>2.7727789999999999E-2</v>
      </c>
      <c r="S286">
        <v>3.0206300000000001</v>
      </c>
      <c r="T286">
        <v>-0.14172509999999999</v>
      </c>
      <c r="U286">
        <v>-0.60906979999999999</v>
      </c>
      <c r="V286">
        <v>-2.8176699999999999E-2</v>
      </c>
      <c r="W286">
        <v>2.848127E-2</v>
      </c>
      <c r="X286">
        <v>0.99919709999999995</v>
      </c>
      <c r="Y286">
        <v>0.1970094</v>
      </c>
      <c r="Z286">
        <v>-4.5523559999999996E-3</v>
      </c>
      <c r="AA286">
        <v>0.98039100000000001</v>
      </c>
      <c r="AB286">
        <v>29</v>
      </c>
      <c r="AC286">
        <v>22.250499999999899</v>
      </c>
      <c r="AD286">
        <v>-1.0588396342340001</v>
      </c>
      <c r="AE286">
        <v>-4.5445000000000197</v>
      </c>
      <c r="AF286">
        <v>4.5246454485719401</v>
      </c>
      <c r="AG286">
        <v>-1.0588396342340001</v>
      </c>
      <c r="AH286">
        <v>22.204274854317902</v>
      </c>
      <c r="AI286">
        <v>92.675259294079098</v>
      </c>
      <c r="AJ286">
        <v>78.482322607144098</v>
      </c>
      <c r="AK286">
        <v>22.685311979613701</v>
      </c>
      <c r="AL286">
        <v>88.367922693239294</v>
      </c>
      <c r="AM286">
        <v>91.615275172352696</v>
      </c>
      <c r="AN286">
        <v>0.99999997690605602</v>
      </c>
    </row>
    <row r="287" spans="1:40" x14ac:dyDescent="0.3">
      <c r="A287" t="str">
        <f>"20200111153834299"</f>
        <v>20200111153834299</v>
      </c>
      <c r="B287" t="str">
        <f>"1578728314290771"</f>
        <v>1578728314290771</v>
      </c>
      <c r="C287" t="s">
        <v>40</v>
      </c>
      <c r="D287">
        <v>5.462161</v>
      </c>
      <c r="E287">
        <v>0.58884409999999998</v>
      </c>
      <c r="F287" t="s">
        <v>42</v>
      </c>
      <c r="G287">
        <v>-377.17899999999997</v>
      </c>
      <c r="H287" s="1">
        <v>-2.729665E-6</v>
      </c>
      <c r="I287">
        <v>362.91289999999998</v>
      </c>
      <c r="J287">
        <v>-399.3972</v>
      </c>
      <c r="K287">
        <v>1.060397</v>
      </c>
      <c r="L287">
        <v>367.49610000000001</v>
      </c>
      <c r="M287">
        <v>0.99996130000000005</v>
      </c>
      <c r="N287">
        <v>0</v>
      </c>
      <c r="O287">
        <v>-4.4974570000000001E-4</v>
      </c>
      <c r="P287">
        <v>0.99941369999999896</v>
      </c>
      <c r="Q287">
        <v>1.9669140000000002E-2</v>
      </c>
      <c r="R287">
        <v>2.802588E-2</v>
      </c>
      <c r="S287">
        <v>3.0212400000000001</v>
      </c>
      <c r="T287">
        <v>-0.14217469999999999</v>
      </c>
      <c r="U287">
        <v>-0.61541749999999995</v>
      </c>
      <c r="V287">
        <v>-2.8474019999999999E-2</v>
      </c>
      <c r="W287">
        <v>2.8462210000000002E-2</v>
      </c>
      <c r="X287">
        <v>0.99918929999999995</v>
      </c>
      <c r="Y287">
        <v>0.1989465</v>
      </c>
      <c r="Z287">
        <v>-4.6100519999999999E-3</v>
      </c>
      <c r="AA287">
        <v>0.97999950000000002</v>
      </c>
      <c r="AB287">
        <v>29</v>
      </c>
      <c r="AC287">
        <v>22.2181999999999</v>
      </c>
      <c r="AD287">
        <v>-1.0603997296650001</v>
      </c>
      <c r="AE287">
        <v>-4.5832000000000299</v>
      </c>
      <c r="AF287">
        <v>4.5632365745880996</v>
      </c>
      <c r="AG287">
        <v>-1.0603997296650001</v>
      </c>
      <c r="AH287">
        <v>22.171816775869999</v>
      </c>
      <c r="AI287">
        <v>92.682038286078395</v>
      </c>
      <c r="AJ287">
        <v>78.370206738765106</v>
      </c>
      <c r="AK287">
        <v>22.661355536796201</v>
      </c>
      <c r="AL287">
        <v>88.369015332913605</v>
      </c>
      <c r="AM287">
        <v>91.632323087644806</v>
      </c>
      <c r="AN287">
        <v>1.0000000622237599</v>
      </c>
    </row>
    <row r="288" spans="1:40" x14ac:dyDescent="0.3">
      <c r="A288" t="str">
        <f>"20200111153834321"</f>
        <v>20200111153834321</v>
      </c>
      <c r="B288" t="str">
        <f>"1578728314310799"</f>
        <v>1578728314310799</v>
      </c>
      <c r="C288" t="s">
        <v>40</v>
      </c>
      <c r="D288">
        <v>5.4214669999999998</v>
      </c>
      <c r="E288">
        <v>0.58964609999999995</v>
      </c>
      <c r="F288" t="s">
        <v>42</v>
      </c>
      <c r="G288">
        <v>-376.637</v>
      </c>
      <c r="H288" s="1">
        <v>-2.939562E-6</v>
      </c>
      <c r="I288">
        <v>362.81729999999999</v>
      </c>
      <c r="J288">
        <v>-399.1035</v>
      </c>
      <c r="K288">
        <v>1.062076</v>
      </c>
      <c r="L288">
        <v>367.49599999999998</v>
      </c>
      <c r="M288">
        <v>0.99997510000000001</v>
      </c>
      <c r="N288">
        <v>0</v>
      </c>
      <c r="O288">
        <v>-4.4989820000000002E-4</v>
      </c>
      <c r="P288">
        <v>0.99938179999999999</v>
      </c>
      <c r="Q288">
        <v>2.1053909999999999E-2</v>
      </c>
      <c r="R288">
        <v>2.8158320000000001E-2</v>
      </c>
      <c r="S288">
        <v>3.0219420000000001</v>
      </c>
      <c r="T288">
        <v>-0.14079239999999901</v>
      </c>
      <c r="U288">
        <v>-0.62121579999999998</v>
      </c>
      <c r="V288">
        <v>-2.8606779999999998E-2</v>
      </c>
      <c r="W288">
        <v>2.8088519999999999E-2</v>
      </c>
      <c r="X288">
        <v>0.99919599999999997</v>
      </c>
      <c r="Y288">
        <v>0.20070879999999999</v>
      </c>
      <c r="Z288">
        <v>-4.6039710000000001E-3</v>
      </c>
      <c r="AA288">
        <v>0.97964010000000001</v>
      </c>
      <c r="AB288">
        <v>29</v>
      </c>
      <c r="AC288">
        <v>22.4665</v>
      </c>
      <c r="AD288">
        <v>-1.0620789395620001</v>
      </c>
      <c r="AE288">
        <v>-4.6786999999999903</v>
      </c>
      <c r="AF288">
        <v>4.6586132249226599</v>
      </c>
      <c r="AG288">
        <v>-1.0620789395620001</v>
      </c>
      <c r="AH288">
        <v>22.420579455626601</v>
      </c>
      <c r="AI288">
        <v>92.655480757826695</v>
      </c>
      <c r="AJ288">
        <v>78.261939513490006</v>
      </c>
      <c r="AK288">
        <v>22.924071889159499</v>
      </c>
      <c r="AL288">
        <v>88.390434622641607</v>
      </c>
      <c r="AM288">
        <v>91.639918650610696</v>
      </c>
      <c r="AN288">
        <v>0.99999997961687903</v>
      </c>
    </row>
    <row r="289" spans="1:40" x14ac:dyDescent="0.3">
      <c r="A289" t="str">
        <f>"20200111153834343"</f>
        <v>20200111153834343</v>
      </c>
      <c r="B289" t="str">
        <f>"1578728314341055"</f>
        <v>1578728314341055</v>
      </c>
      <c r="C289" t="s">
        <v>40</v>
      </c>
      <c r="D289">
        <v>5.4334239999999996</v>
      </c>
      <c r="E289">
        <v>0.59086229999999995</v>
      </c>
      <c r="F289" t="s">
        <v>42</v>
      </c>
      <c r="G289">
        <v>-376.20519999999999</v>
      </c>
      <c r="H289" s="1">
        <v>-3.1064629999999999E-6</v>
      </c>
      <c r="I289">
        <v>362.74220000000003</v>
      </c>
      <c r="J289">
        <v>-398.83920000000001</v>
      </c>
      <c r="K289">
        <v>1.063582</v>
      </c>
      <c r="L289">
        <v>367.49579999999997</v>
      </c>
      <c r="M289">
        <v>0.99998480000000001</v>
      </c>
      <c r="N289">
        <v>0</v>
      </c>
      <c r="O289">
        <v>-4.5021390000000002E-4</v>
      </c>
      <c r="P289">
        <v>0.99934520000000004</v>
      </c>
      <c r="Q289">
        <v>2.2238790000000001E-2</v>
      </c>
      <c r="R289">
        <v>2.8543740000000001E-2</v>
      </c>
      <c r="S289">
        <v>3.022491</v>
      </c>
      <c r="T289">
        <v>-0.14019039999999999</v>
      </c>
      <c r="U289">
        <v>-0.62747189999999997</v>
      </c>
      <c r="V289">
        <v>-2.8992500000000001E-2</v>
      </c>
      <c r="W289">
        <v>2.7751049999999999E-2</v>
      </c>
      <c r="X289">
        <v>0.99919429999999998</v>
      </c>
      <c r="Y289">
        <v>0.20261770000000001</v>
      </c>
      <c r="Z289">
        <v>-4.626308E-3</v>
      </c>
      <c r="AA289">
        <v>0.97924699999999998</v>
      </c>
      <c r="AB289">
        <v>29</v>
      </c>
      <c r="AC289">
        <v>22.634</v>
      </c>
      <c r="AD289">
        <v>-1.063585106463</v>
      </c>
      <c r="AE289">
        <v>-4.7535999999999401</v>
      </c>
      <c r="AF289">
        <v>4.7333988714441304</v>
      </c>
      <c r="AG289">
        <v>-1.063585106463</v>
      </c>
      <c r="AH289">
        <v>22.5883672346237</v>
      </c>
      <c r="AI289">
        <v>92.638584873587902</v>
      </c>
      <c r="AJ289">
        <v>78.164901367921502</v>
      </c>
      <c r="AK289">
        <v>23.103476199072301</v>
      </c>
      <c r="AL289">
        <v>88.409777751155701</v>
      </c>
      <c r="AM289">
        <v>91.662021028031106</v>
      </c>
      <c r="AN289">
        <v>0.99999996749242004</v>
      </c>
    </row>
    <row r="290" spans="1:40" x14ac:dyDescent="0.3">
      <c r="A290" t="str">
        <f>"20200111153834365"</f>
        <v>20200111153834365</v>
      </c>
      <c r="B290" t="str">
        <f>"1578728314360574"</f>
        <v>1578728314360574</v>
      </c>
      <c r="C290" t="s">
        <v>40</v>
      </c>
      <c r="D290">
        <v>5.4149219999999998</v>
      </c>
      <c r="E290">
        <v>0.59166619999999903</v>
      </c>
      <c r="F290" t="s">
        <v>42</v>
      </c>
      <c r="G290">
        <v>-375.92680000000001</v>
      </c>
      <c r="H290" s="1">
        <v>-3.2188940000000001E-6</v>
      </c>
      <c r="I290">
        <v>362.67579999999998</v>
      </c>
      <c r="J290">
        <v>-398.55619999999999</v>
      </c>
      <c r="K290">
        <v>1.0652710000000001</v>
      </c>
      <c r="L290">
        <v>367.4957</v>
      </c>
      <c r="M290">
        <v>0.9999905</v>
      </c>
      <c r="N290">
        <v>0</v>
      </c>
      <c r="O290">
        <v>-4.5022250000000002E-4</v>
      </c>
      <c r="P290">
        <v>0.99931349999999997</v>
      </c>
      <c r="Q290">
        <v>2.3497170000000001E-2</v>
      </c>
      <c r="R290">
        <v>2.8648259999999998E-2</v>
      </c>
      <c r="S290">
        <v>3.0232239999999999</v>
      </c>
      <c r="T290">
        <v>-0.1403364</v>
      </c>
      <c r="U290">
        <v>-0.6359863</v>
      </c>
      <c r="V290">
        <v>-2.909722E-2</v>
      </c>
      <c r="W290">
        <v>2.7864969999999999E-2</v>
      </c>
      <c r="X290">
        <v>0.99918810000000002</v>
      </c>
      <c r="Y290">
        <v>0.20520939999999999</v>
      </c>
      <c r="Z290">
        <v>-4.6881780000000003E-3</v>
      </c>
      <c r="AA290">
        <v>0.97870690000000005</v>
      </c>
      <c r="AB290">
        <v>29</v>
      </c>
      <c r="AC290">
        <v>22.629399999999901</v>
      </c>
      <c r="AD290">
        <v>-1.0652742188940001</v>
      </c>
      <c r="AE290">
        <v>-4.8199000000000103</v>
      </c>
      <c r="AF290">
        <v>4.7995367759387104</v>
      </c>
      <c r="AG290">
        <v>-1.0652742188940001</v>
      </c>
      <c r="AH290">
        <v>22.583693350931298</v>
      </c>
      <c r="AI290">
        <v>92.641731085813802</v>
      </c>
      <c r="AJ290">
        <v>78.001882276886604</v>
      </c>
      <c r="AK290">
        <v>23.11262788594</v>
      </c>
      <c r="AL290">
        <v>88.403248113732005</v>
      </c>
      <c r="AM290">
        <v>91.668031154844996</v>
      </c>
      <c r="AN290">
        <v>0.99999998197321904</v>
      </c>
    </row>
    <row r="291" spans="1:40" x14ac:dyDescent="0.3">
      <c r="A291" t="str">
        <f>"20200111153834388"</f>
        <v>20200111153834388</v>
      </c>
      <c r="B291" t="str">
        <f>"1578728314381071"</f>
        <v>1578728314381071</v>
      </c>
      <c r="C291" t="s">
        <v>40</v>
      </c>
      <c r="D291">
        <v>5.4118559999999896</v>
      </c>
      <c r="E291">
        <v>0.59241739999999998</v>
      </c>
      <c r="F291" t="s">
        <v>42</v>
      </c>
      <c r="G291">
        <v>-375.37810000000002</v>
      </c>
      <c r="H291" s="1">
        <v>-3.432809E-6</v>
      </c>
      <c r="I291">
        <v>362.5736</v>
      </c>
      <c r="J291">
        <v>-398.26310000000001</v>
      </c>
      <c r="K291">
        <v>1.067399</v>
      </c>
      <c r="L291">
        <v>367.49560000000002</v>
      </c>
      <c r="M291">
        <v>0.99999090000000002</v>
      </c>
      <c r="N291">
        <v>0</v>
      </c>
      <c r="O291">
        <v>-4.5018990000000002E-4</v>
      </c>
      <c r="P291">
        <v>0.999305</v>
      </c>
      <c r="Q291">
        <v>2.3742840000000001E-2</v>
      </c>
      <c r="R291">
        <v>2.8737229999999999E-2</v>
      </c>
      <c r="S291">
        <v>3.0237729999999998</v>
      </c>
      <c r="T291">
        <v>-0.1389734</v>
      </c>
      <c r="U291">
        <v>-0.64212040000000004</v>
      </c>
      <c r="V291">
        <v>-2.9186219999999999E-2</v>
      </c>
      <c r="W291">
        <v>2.7986029999999999E-2</v>
      </c>
      <c r="X291">
        <v>0.99918220000000002</v>
      </c>
      <c r="Y291">
        <v>0.20707610000000001</v>
      </c>
      <c r="Z291">
        <v>-4.6833079999999997E-3</v>
      </c>
      <c r="AA291">
        <v>0.97831360000000001</v>
      </c>
      <c r="AB291">
        <v>29</v>
      </c>
      <c r="AC291">
        <v>22.884999999999899</v>
      </c>
      <c r="AD291">
        <v>-1.0674024328089999</v>
      </c>
      <c r="AE291">
        <v>-4.9220000000000201</v>
      </c>
      <c r="AF291">
        <v>4.9015051402426097</v>
      </c>
      <c r="AG291">
        <v>-1.0674024328089999</v>
      </c>
      <c r="AH291">
        <v>22.839723026341801</v>
      </c>
      <c r="AI291">
        <v>92.616258960936506</v>
      </c>
      <c r="AJ291">
        <v>77.887786145255802</v>
      </c>
      <c r="AK291">
        <v>23.384119579607798</v>
      </c>
      <c r="AL291">
        <v>88.396309307256303</v>
      </c>
      <c r="AM291">
        <v>91.673140159231494</v>
      </c>
      <c r="AN291">
        <v>1.00000006105494</v>
      </c>
    </row>
    <row r="292" spans="1:40" x14ac:dyDescent="0.3">
      <c r="A292" t="str">
        <f>"20200111153834410"</f>
        <v>20200111153834410</v>
      </c>
      <c r="B292" t="str">
        <f>"1578728314401101"</f>
        <v>1578728314401101</v>
      </c>
      <c r="C292" t="s">
        <v>40</v>
      </c>
      <c r="D292">
        <v>5.4590439999999996</v>
      </c>
      <c r="E292">
        <v>0.59310039999999997</v>
      </c>
      <c r="F292" t="s">
        <v>42</v>
      </c>
      <c r="G292">
        <v>-375.31619999999998</v>
      </c>
      <c r="H292" s="1">
        <v>-3.4522350000000001E-6</v>
      </c>
      <c r="I292">
        <v>362.5797</v>
      </c>
      <c r="J292">
        <v>-397.97820000000002</v>
      </c>
      <c r="K292">
        <v>1.0698669999999999</v>
      </c>
      <c r="L292">
        <v>367.49549999999999</v>
      </c>
      <c r="M292">
        <v>0.99998969999999998</v>
      </c>
      <c r="N292">
        <v>0</v>
      </c>
      <c r="O292">
        <v>-4.5055090000000001E-4</v>
      </c>
      <c r="P292">
        <v>0.99930540000000001</v>
      </c>
      <c r="Q292">
        <v>2.42058E-2</v>
      </c>
      <c r="R292">
        <v>2.834304E-2</v>
      </c>
      <c r="S292">
        <v>3.0240480000000001</v>
      </c>
      <c r="T292">
        <v>-0.14066699999999999</v>
      </c>
      <c r="U292">
        <v>-0.64782709999999999</v>
      </c>
      <c r="V292">
        <v>-2.879255E-2</v>
      </c>
      <c r="W292">
        <v>2.872007E-2</v>
      </c>
      <c r="X292">
        <v>0.99917270000000002</v>
      </c>
      <c r="Y292">
        <v>0.20881649999999999</v>
      </c>
      <c r="Z292">
        <v>-4.7789670000000003E-3</v>
      </c>
      <c r="AA292">
        <v>0.97794320000000001</v>
      </c>
      <c r="AB292">
        <v>28</v>
      </c>
      <c r="AC292">
        <v>22.661999999999999</v>
      </c>
      <c r="AD292">
        <v>-1.069870452235</v>
      </c>
      <c r="AE292">
        <v>-4.9157999999999902</v>
      </c>
      <c r="AF292">
        <v>4.8951690838828696</v>
      </c>
      <c r="AG292">
        <v>-1.069870452235</v>
      </c>
      <c r="AH292">
        <v>22.616071639508899</v>
      </c>
      <c r="AI292">
        <v>92.647191998971707</v>
      </c>
      <c r="AJ292">
        <v>77.786927989174501</v>
      </c>
      <c r="AK292">
        <v>23.164498689757298</v>
      </c>
      <c r="AL292">
        <v>88.354234848090698</v>
      </c>
      <c r="AM292">
        <v>91.650600739769502</v>
      </c>
      <c r="AN292">
        <v>0.99999996889079801</v>
      </c>
    </row>
    <row r="293" spans="1:40" x14ac:dyDescent="0.3">
      <c r="A293" t="str">
        <f>"20200111153834432"</f>
        <v>20200111153834432</v>
      </c>
      <c r="B293" t="str">
        <f>"1578728314420636"</f>
        <v>1578728314420636</v>
      </c>
      <c r="C293" t="s">
        <v>40</v>
      </c>
      <c r="D293">
        <v>5.4626039999999998</v>
      </c>
      <c r="E293">
        <v>0.59374269999999996</v>
      </c>
      <c r="F293" t="s">
        <v>42</v>
      </c>
      <c r="G293">
        <v>-375.166</v>
      </c>
      <c r="H293" s="1">
        <v>-3.5085520000000001E-6</v>
      </c>
      <c r="I293">
        <v>362.56009999999998</v>
      </c>
      <c r="J293">
        <v>-397.7079</v>
      </c>
      <c r="K293">
        <v>1.072368</v>
      </c>
      <c r="L293">
        <v>367.49529999999999</v>
      </c>
      <c r="M293">
        <v>0.99998969999999998</v>
      </c>
      <c r="N293">
        <v>0</v>
      </c>
      <c r="O293">
        <v>-4.509162E-4</v>
      </c>
      <c r="P293">
        <v>0.99928470000000003</v>
      </c>
      <c r="Q293">
        <v>2.525525E-2</v>
      </c>
      <c r="R293">
        <v>2.814902E-2</v>
      </c>
      <c r="S293">
        <v>3.0240779999999998</v>
      </c>
      <c r="T293">
        <v>-0.14182629999999999</v>
      </c>
      <c r="U293">
        <v>-0.65423580000000003</v>
      </c>
      <c r="V293">
        <v>-2.8598709999999999E-2</v>
      </c>
      <c r="W293">
        <v>2.977248E-2</v>
      </c>
      <c r="X293">
        <v>0.99914749999999997</v>
      </c>
      <c r="Y293">
        <v>0.2107888</v>
      </c>
      <c r="Z293">
        <v>-4.8628839999999996E-3</v>
      </c>
      <c r="AA293">
        <v>0.97751949999999999</v>
      </c>
      <c r="AB293">
        <v>28</v>
      </c>
      <c r="AC293">
        <v>22.541899999999998</v>
      </c>
      <c r="AD293">
        <v>-1.072371508552</v>
      </c>
      <c r="AE293">
        <v>-4.9352</v>
      </c>
      <c r="AF293">
        <v>4.91442162988794</v>
      </c>
      <c r="AG293">
        <v>-1.072371508552</v>
      </c>
      <c r="AH293">
        <v>22.495541392420598</v>
      </c>
      <c r="AI293">
        <v>92.666453205014506</v>
      </c>
      <c r="AJ293">
        <v>77.676659684113602</v>
      </c>
      <c r="AK293">
        <v>23.051049935887399</v>
      </c>
      <c r="AL293">
        <v>88.293910452123995</v>
      </c>
      <c r="AM293">
        <v>91.639535818539898</v>
      </c>
      <c r="AN293">
        <v>1.00000000676763</v>
      </c>
    </row>
    <row r="294" spans="1:40" x14ac:dyDescent="0.3">
      <c r="A294" t="str">
        <f>"20200111153834454"</f>
        <v>20200111153834454</v>
      </c>
      <c r="B294" t="str">
        <f>"1578728314450874"</f>
        <v>1578728314450874</v>
      </c>
      <c r="C294" t="s">
        <v>40</v>
      </c>
      <c r="D294">
        <v>5.4663979999999999</v>
      </c>
      <c r="E294">
        <v>0.59475239999999996</v>
      </c>
      <c r="F294" t="s">
        <v>42</v>
      </c>
      <c r="G294">
        <v>-374.76330000000002</v>
      </c>
      <c r="H294" s="1">
        <v>-3.664846E-6</v>
      </c>
      <c r="I294">
        <v>362.48779999999999</v>
      </c>
      <c r="J294">
        <v>-397.43299999999999</v>
      </c>
      <c r="K294">
        <v>1.075048</v>
      </c>
      <c r="L294">
        <v>367.49520000000001</v>
      </c>
      <c r="M294">
        <v>0.99998989999999999</v>
      </c>
      <c r="N294">
        <v>0</v>
      </c>
      <c r="O294">
        <v>-4.5104470000000002E-4</v>
      </c>
      <c r="P294">
        <v>0.9992837</v>
      </c>
      <c r="Q294">
        <v>2.543453E-2</v>
      </c>
      <c r="R294">
        <v>2.8021040000000001E-2</v>
      </c>
      <c r="S294">
        <v>3.0243229999999999</v>
      </c>
      <c r="T294">
        <v>-0.141349</v>
      </c>
      <c r="U294">
        <v>-0.66003420000000002</v>
      </c>
      <c r="V294">
        <v>-2.847092E-2</v>
      </c>
      <c r="W294">
        <v>2.990307E-2</v>
      </c>
      <c r="X294">
        <v>0.99914720000000001</v>
      </c>
      <c r="Y294">
        <v>0.21256149999999999</v>
      </c>
      <c r="Z294">
        <v>-4.8860960000000004E-3</v>
      </c>
      <c r="AA294">
        <v>0.97713550000000005</v>
      </c>
      <c r="AB294">
        <v>28</v>
      </c>
      <c r="AC294">
        <v>22.669699999999999</v>
      </c>
      <c r="AD294">
        <v>-1.075051664846</v>
      </c>
      <c r="AE294">
        <v>-5.0074000000000103</v>
      </c>
      <c r="AF294">
        <v>4.98648200082072</v>
      </c>
      <c r="AG294">
        <v>-1.075051664846</v>
      </c>
      <c r="AH294">
        <v>22.6234456119358</v>
      </c>
      <c r="AI294">
        <v>92.656933377329906</v>
      </c>
      <c r="AJ294">
        <v>77.570059834260505</v>
      </c>
      <c r="AK294">
        <v>23.191399918565001</v>
      </c>
      <c r="AL294">
        <v>88.286424778219498</v>
      </c>
      <c r="AM294">
        <v>91.632214205614304</v>
      </c>
      <c r="AN294">
        <v>0.99999995707445399</v>
      </c>
    </row>
    <row r="295" spans="1:40" x14ac:dyDescent="0.3">
      <c r="A295" t="str">
        <f>"20200111153834478"</f>
        <v>20200111153834478</v>
      </c>
      <c r="B295" t="str">
        <f>"1578728314470395"</f>
        <v>1578728314470395</v>
      </c>
      <c r="C295" t="s">
        <v>40</v>
      </c>
      <c r="D295">
        <v>5.4660089999999997</v>
      </c>
      <c r="E295">
        <v>0.59540219999999999</v>
      </c>
      <c r="F295" t="s">
        <v>42</v>
      </c>
      <c r="G295">
        <v>-374.8415</v>
      </c>
      <c r="H295" s="1">
        <v>-3.6347210000000001E-6</v>
      </c>
      <c r="I295">
        <v>362.50099999999998</v>
      </c>
      <c r="J295">
        <v>-397.1379</v>
      </c>
      <c r="K295">
        <v>1.0780510000000001</v>
      </c>
      <c r="L295">
        <v>367.495</v>
      </c>
      <c r="M295">
        <v>0.99998920000000002</v>
      </c>
      <c r="N295">
        <v>0</v>
      </c>
      <c r="O295">
        <v>-4.5077460000000002E-4</v>
      </c>
      <c r="P295">
        <v>0.99928119999999998</v>
      </c>
      <c r="Q295">
        <v>2.522491E-2</v>
      </c>
      <c r="R295">
        <v>2.8302339999999999E-2</v>
      </c>
      <c r="S295">
        <v>3.0245669999999998</v>
      </c>
      <c r="T295">
        <v>-0.1439281</v>
      </c>
      <c r="U295">
        <v>-0.66860959999999903</v>
      </c>
      <c r="V295">
        <v>-2.8751550000000001E-2</v>
      </c>
      <c r="W295">
        <v>2.9886869999999999E-2</v>
      </c>
      <c r="X295">
        <v>0.99913969999999996</v>
      </c>
      <c r="Y295">
        <v>0.2151767</v>
      </c>
      <c r="Z295">
        <v>-5.0347309999999998E-3</v>
      </c>
      <c r="AA295">
        <v>0.97656209999999999</v>
      </c>
      <c r="AB295">
        <v>28</v>
      </c>
      <c r="AC295">
        <v>22.296399999999998</v>
      </c>
      <c r="AD295">
        <v>-1.078054634721</v>
      </c>
      <c r="AE295">
        <v>-4.9940000000000202</v>
      </c>
      <c r="AF295">
        <v>4.9728783915109496</v>
      </c>
      <c r="AG295">
        <v>-1.078054634721</v>
      </c>
      <c r="AH295">
        <v>22.2491191866858</v>
      </c>
      <c r="AI295">
        <v>92.707332420591797</v>
      </c>
      <c r="AJ295">
        <v>77.400954005075903</v>
      </c>
      <c r="AK295">
        <v>22.823562953131301</v>
      </c>
      <c r="AL295">
        <v>88.287353472811404</v>
      </c>
      <c r="AM295">
        <v>91.648306024773206</v>
      </c>
      <c r="AN295">
        <v>1.0000000083709399</v>
      </c>
    </row>
    <row r="296" spans="1:40" x14ac:dyDescent="0.3">
      <c r="A296" t="str">
        <f>"20200111153834500"</f>
        <v>20200111153834500</v>
      </c>
      <c r="B296" t="str">
        <f>"1578728314490890"</f>
        <v>1578728314490890</v>
      </c>
      <c r="C296" t="s">
        <v>40</v>
      </c>
      <c r="D296">
        <v>5.4908510000000001</v>
      </c>
      <c r="E296">
        <v>0.59596759999999904</v>
      </c>
      <c r="F296" t="s">
        <v>42</v>
      </c>
      <c r="G296">
        <v>-374.94450000000001</v>
      </c>
      <c r="H296" s="1">
        <v>-3.5850649999999999E-6</v>
      </c>
      <c r="I296">
        <v>362.55590000000001</v>
      </c>
      <c r="J296">
        <v>-396.84930000000003</v>
      </c>
      <c r="K296">
        <v>1.080991</v>
      </c>
      <c r="L296">
        <v>367.49489999999997</v>
      </c>
      <c r="M296">
        <v>0.99998679999999995</v>
      </c>
      <c r="N296">
        <v>0</v>
      </c>
      <c r="O296">
        <v>-4.4985469999999999E-4</v>
      </c>
      <c r="P296">
        <v>0.99928410000000001</v>
      </c>
      <c r="Q296">
        <v>2.449807E-2</v>
      </c>
      <c r="R296">
        <v>2.8825190000000001E-2</v>
      </c>
      <c r="S296">
        <v>3.0249329999999999</v>
      </c>
      <c r="T296">
        <v>-0.14693699999999901</v>
      </c>
      <c r="U296">
        <v>-0.67318730000000004</v>
      </c>
      <c r="V296">
        <v>-2.9273469999999999E-2</v>
      </c>
      <c r="W296">
        <v>2.9608990000000002E-2</v>
      </c>
      <c r="X296">
        <v>0.99913280000000004</v>
      </c>
      <c r="Y296">
        <v>0.21654989999999999</v>
      </c>
      <c r="Z296">
        <v>-5.1714020000000003E-3</v>
      </c>
      <c r="AA296">
        <v>0.97625790000000001</v>
      </c>
      <c r="AB296">
        <v>28</v>
      </c>
      <c r="AC296">
        <v>21.904800000000002</v>
      </c>
      <c r="AD296">
        <v>-1.080994585065</v>
      </c>
      <c r="AE296">
        <v>-4.9389999999999601</v>
      </c>
      <c r="AF296">
        <v>4.9177481868901198</v>
      </c>
      <c r="AG296">
        <v>-1.080994585065</v>
      </c>
      <c r="AH296">
        <v>21.856366069463999</v>
      </c>
      <c r="AI296">
        <v>92.762532080209297</v>
      </c>
      <c r="AJ296">
        <v>77.319452274259007</v>
      </c>
      <c r="AK296">
        <v>22.428854948146999</v>
      </c>
      <c r="AL296">
        <v>88.303281842469502</v>
      </c>
      <c r="AM296">
        <v>91.678221954191798</v>
      </c>
      <c r="AN296">
        <v>0.99999999018524999</v>
      </c>
    </row>
    <row r="297" spans="1:40" x14ac:dyDescent="0.3">
      <c r="A297" t="str">
        <f>"20200111153834521"</f>
        <v>20200111153834521</v>
      </c>
      <c r="B297" t="str">
        <f>"1578728314510920"</f>
        <v>1578728314510920</v>
      </c>
      <c r="C297" t="s">
        <v>40</v>
      </c>
      <c r="D297">
        <v>5.5079349999999998</v>
      </c>
      <c r="E297">
        <v>0.59645269999999995</v>
      </c>
      <c r="F297" t="s">
        <v>42</v>
      </c>
      <c r="G297">
        <v>-375.35930000000002</v>
      </c>
      <c r="H297" s="1">
        <v>-3.4070530000000001E-6</v>
      </c>
      <c r="I297">
        <v>362.69439999999997</v>
      </c>
      <c r="J297">
        <v>-396.58280000000002</v>
      </c>
      <c r="K297">
        <v>1.0836250000000001</v>
      </c>
      <c r="L297">
        <v>367.4948</v>
      </c>
      <c r="M297">
        <v>0.99998399999999998</v>
      </c>
      <c r="N297">
        <v>0</v>
      </c>
      <c r="O297">
        <v>-4.4980539999999998E-4</v>
      </c>
      <c r="P297">
        <v>0.99929979999999996</v>
      </c>
      <c r="Q297">
        <v>2.3457619999999998E-2</v>
      </c>
      <c r="R297">
        <v>2.915044E-2</v>
      </c>
      <c r="S297">
        <v>3.0253909999999999</v>
      </c>
      <c r="T297">
        <v>-0.1521835</v>
      </c>
      <c r="U297">
        <v>-0.67581179999999996</v>
      </c>
      <c r="V297">
        <v>-2.959929E-2</v>
      </c>
      <c r="W297">
        <v>2.9121879999999999E-2</v>
      </c>
      <c r="X297">
        <v>0.99913750000000001</v>
      </c>
      <c r="Y297">
        <v>0.2173069</v>
      </c>
      <c r="Z297">
        <v>-5.3733399999999999E-3</v>
      </c>
      <c r="AA297">
        <v>0.97608850000000003</v>
      </c>
      <c r="AB297">
        <v>28</v>
      </c>
      <c r="AC297">
        <v>21.223500000000001</v>
      </c>
      <c r="AD297">
        <v>-1.083628407053</v>
      </c>
      <c r="AE297">
        <v>-4.8004000000000202</v>
      </c>
      <c r="AF297">
        <v>4.7790008123740897</v>
      </c>
      <c r="AG297">
        <v>-1.083628407053</v>
      </c>
      <c r="AH297">
        <v>21.173146916676099</v>
      </c>
      <c r="AI297">
        <v>92.858032403115899</v>
      </c>
      <c r="AJ297">
        <v>77.280877297693905</v>
      </c>
      <c r="AK297">
        <v>21.732815041876101</v>
      </c>
      <c r="AL297">
        <v>88.331203202604897</v>
      </c>
      <c r="AM297">
        <v>91.6968820863258</v>
      </c>
      <c r="AN297">
        <v>0.99999997288474396</v>
      </c>
    </row>
    <row r="298" spans="1:40" x14ac:dyDescent="0.3">
      <c r="A298" t="str">
        <f>"20200111153834544"</f>
        <v>20200111153834544</v>
      </c>
      <c r="B298" t="str">
        <f>"1578728314540197"</f>
        <v>1578728314540197</v>
      </c>
      <c r="C298" t="s">
        <v>40</v>
      </c>
      <c r="D298">
        <v>5.5026669999999998</v>
      </c>
      <c r="E298">
        <v>0.59717949999999997</v>
      </c>
      <c r="F298" t="s">
        <v>42</v>
      </c>
      <c r="G298">
        <v>-375.84089999999998</v>
      </c>
      <c r="H298" s="1">
        <v>-3.2035260000000002E-6</v>
      </c>
      <c r="I298">
        <v>362.84339999999997</v>
      </c>
      <c r="J298">
        <v>-396.30680000000001</v>
      </c>
      <c r="K298">
        <v>1.086195</v>
      </c>
      <c r="L298">
        <v>367.49470000000002</v>
      </c>
      <c r="M298">
        <v>0.99998010000000004</v>
      </c>
      <c r="N298">
        <v>0</v>
      </c>
      <c r="O298">
        <v>-4.4969710000000002E-4</v>
      </c>
      <c r="P298">
        <v>0.99931599999999998</v>
      </c>
      <c r="Q298">
        <v>2.2216380000000001E-2</v>
      </c>
      <c r="R298">
        <v>2.9564750000000001E-2</v>
      </c>
      <c r="S298">
        <v>3.0255740000000002</v>
      </c>
      <c r="T298">
        <v>-0.15806529999999999</v>
      </c>
      <c r="U298">
        <v>-0.67846680000000004</v>
      </c>
      <c r="V298">
        <v>-3.0013350000000001E-2</v>
      </c>
      <c r="W298">
        <v>2.851797E-2</v>
      </c>
      <c r="X298">
        <v>0.99914259999999999</v>
      </c>
      <c r="Y298">
        <v>0.21808859999999999</v>
      </c>
      <c r="Z298">
        <v>-5.6000520000000003E-3</v>
      </c>
      <c r="AA298">
        <v>0.97591289999999997</v>
      </c>
      <c r="AB298">
        <v>28</v>
      </c>
      <c r="AC298">
        <v>20.465900000000001</v>
      </c>
      <c r="AD298">
        <v>-1.0861982035259901</v>
      </c>
      <c r="AE298">
        <v>-4.65130000000004</v>
      </c>
      <c r="AF298">
        <v>4.6296954587631101</v>
      </c>
      <c r="AG298">
        <v>-1.0861982035259901</v>
      </c>
      <c r="AH298">
        <v>20.413313498274</v>
      </c>
      <c r="AI298">
        <v>92.9705519613115</v>
      </c>
      <c r="AJ298">
        <v>77.221609094497794</v>
      </c>
      <c r="AK298">
        <v>20.959896816469499</v>
      </c>
      <c r="AL298">
        <v>88.365819130283001</v>
      </c>
      <c r="AM298">
        <v>91.720596566091999</v>
      </c>
      <c r="AN298">
        <v>1.0000000054629501</v>
      </c>
    </row>
    <row r="299" spans="1:40" x14ac:dyDescent="0.3">
      <c r="A299" t="str">
        <f>"20200111153834567"</f>
        <v>20200111153834567</v>
      </c>
      <c r="B299" t="str">
        <f>"1578728314560693"</f>
        <v>1578728314560693</v>
      </c>
      <c r="C299" t="s">
        <v>40</v>
      </c>
      <c r="D299">
        <v>5.4792569999999996</v>
      </c>
      <c r="E299">
        <v>0.59765789999999996</v>
      </c>
      <c r="F299" t="s">
        <v>42</v>
      </c>
      <c r="G299">
        <v>-376.4547</v>
      </c>
      <c r="H299" s="1">
        <v>-2.9493179999999999E-6</v>
      </c>
      <c r="I299">
        <v>363.0138</v>
      </c>
      <c r="J299">
        <v>-396.00630000000001</v>
      </c>
      <c r="K299">
        <v>1.0887690000000001</v>
      </c>
      <c r="L299">
        <v>367.49450000000002</v>
      </c>
      <c r="M299">
        <v>0.99997539999999996</v>
      </c>
      <c r="N299">
        <v>0</v>
      </c>
      <c r="O299">
        <v>-4.4984000000000002E-4</v>
      </c>
      <c r="P299">
        <v>0.99934089999999998</v>
      </c>
      <c r="Q299">
        <v>2.054959E-2</v>
      </c>
      <c r="R299">
        <v>2.9930999999999999E-2</v>
      </c>
      <c r="S299">
        <v>3.0259399999999999</v>
      </c>
      <c r="T299">
        <v>-0.16556199999999999</v>
      </c>
      <c r="U299">
        <v>-0.68298340000000002</v>
      </c>
      <c r="V299">
        <v>-3.037958E-2</v>
      </c>
      <c r="W299">
        <v>2.757039E-2</v>
      </c>
      <c r="X299">
        <v>0.99915810000000005</v>
      </c>
      <c r="Y299">
        <v>0.21942039999999999</v>
      </c>
      <c r="Z299">
        <v>-5.8995890000000002E-3</v>
      </c>
      <c r="AA299">
        <v>0.97561260000000005</v>
      </c>
      <c r="AB299">
        <v>28</v>
      </c>
      <c r="AC299">
        <v>19.551600000000001</v>
      </c>
      <c r="AD299">
        <v>-1.0887719493179999</v>
      </c>
      <c r="AE299">
        <v>-4.4807000000000103</v>
      </c>
      <c r="AF299">
        <v>4.4587673189167001</v>
      </c>
      <c r="AG299">
        <v>-1.0887719493179999</v>
      </c>
      <c r="AH299">
        <v>19.4961718604129</v>
      </c>
      <c r="AI299">
        <v>93.1160987344105</v>
      </c>
      <c r="AJ299">
        <v>77.118017861470705</v>
      </c>
      <c r="AK299">
        <v>20.0291474499694</v>
      </c>
      <c r="AL299">
        <v>88.420132784272297</v>
      </c>
      <c r="AM299">
        <v>91.741551840199605</v>
      </c>
      <c r="AN299">
        <v>0.99999997704066901</v>
      </c>
    </row>
    <row r="300" spans="1:40" x14ac:dyDescent="0.3">
      <c r="A300" t="str">
        <f>"20200111153834589"</f>
        <v>20200111153834589</v>
      </c>
      <c r="B300" t="str">
        <f>"1578728314581189"</f>
        <v>1578728314581189</v>
      </c>
      <c r="C300" t="s">
        <v>40</v>
      </c>
      <c r="D300">
        <v>5.5250430000000001</v>
      </c>
      <c r="E300">
        <v>0.59807600000000005</v>
      </c>
      <c r="F300" t="s">
        <v>42</v>
      </c>
      <c r="G300">
        <v>-376.91890000000001</v>
      </c>
      <c r="H300" s="1">
        <v>-2.7504989999999999E-6</v>
      </c>
      <c r="I300">
        <v>363.16730000000001</v>
      </c>
      <c r="J300">
        <v>-395.72629999999998</v>
      </c>
      <c r="K300">
        <v>1.090938</v>
      </c>
      <c r="L300">
        <v>367.49439999999998</v>
      </c>
      <c r="M300">
        <v>0.99997040000000004</v>
      </c>
      <c r="N300">
        <v>0</v>
      </c>
      <c r="O300">
        <v>-4.4955080000000001E-4</v>
      </c>
      <c r="P300">
        <v>0.99936029999999998</v>
      </c>
      <c r="Q300">
        <v>1.9131809999999999E-2</v>
      </c>
      <c r="R300">
        <v>3.0218060000000001E-2</v>
      </c>
      <c r="S300">
        <v>3.026062</v>
      </c>
      <c r="T300">
        <v>-0.17260929999999999</v>
      </c>
      <c r="U300">
        <v>-0.68600459999999996</v>
      </c>
      <c r="V300">
        <v>-3.0666550000000001E-2</v>
      </c>
      <c r="W300">
        <v>2.6816320000000001E-2</v>
      </c>
      <c r="X300">
        <v>0.99916990000000006</v>
      </c>
      <c r="Y300">
        <v>0.22031049999999999</v>
      </c>
      <c r="Z300">
        <v>-6.1744809999999999E-3</v>
      </c>
      <c r="AA300">
        <v>0.97541029999999995</v>
      </c>
      <c r="AB300">
        <v>28</v>
      </c>
      <c r="AC300">
        <v>18.807399999999902</v>
      </c>
      <c r="AD300">
        <v>-1.0909407504990001</v>
      </c>
      <c r="AE300">
        <v>-4.3270999999999704</v>
      </c>
      <c r="AF300">
        <v>4.3048880114038397</v>
      </c>
      <c r="AG300">
        <v>-1.0909407504990001</v>
      </c>
      <c r="AH300">
        <v>18.749428952162202</v>
      </c>
      <c r="AI300">
        <v>93.245750222970301</v>
      </c>
      <c r="AJ300">
        <v>77.068948719461204</v>
      </c>
      <c r="AK300">
        <v>19.268193961656301</v>
      </c>
      <c r="AL300">
        <v>88.463353865295403</v>
      </c>
      <c r="AM300">
        <v>91.757971772835006</v>
      </c>
      <c r="AN300">
        <v>1.00000002068662</v>
      </c>
    </row>
    <row r="301" spans="1:40" x14ac:dyDescent="0.3">
      <c r="A301" t="str">
        <f>"20200111153834611"</f>
        <v>20200111153834611</v>
      </c>
      <c r="B301" t="str">
        <f>"1578728314600241"</f>
        <v>1578728314600241</v>
      </c>
      <c r="C301" t="s">
        <v>40</v>
      </c>
      <c r="D301">
        <v>5.679983</v>
      </c>
      <c r="E301">
        <v>0.59857119999999997</v>
      </c>
      <c r="F301" t="s">
        <v>42</v>
      </c>
      <c r="G301">
        <v>-377.34730000000002</v>
      </c>
      <c r="H301" s="1">
        <v>-2.565798E-6</v>
      </c>
      <c r="I301">
        <v>363.31349999999998</v>
      </c>
      <c r="J301">
        <v>-395.44729999999998</v>
      </c>
      <c r="K301">
        <v>1.092875</v>
      </c>
      <c r="L301">
        <v>367.49419999999998</v>
      </c>
      <c r="M301">
        <v>0.99996529999999995</v>
      </c>
      <c r="N301">
        <v>0</v>
      </c>
      <c r="O301">
        <v>-4.497134E-4</v>
      </c>
      <c r="P301">
        <v>0.9993744</v>
      </c>
      <c r="Q301">
        <v>1.8279150000000001E-2</v>
      </c>
      <c r="R301">
        <v>3.028001E-2</v>
      </c>
      <c r="S301">
        <v>3.0261840000000002</v>
      </c>
      <c r="T301">
        <v>-0.179627799999999</v>
      </c>
      <c r="U301">
        <v>-0.68838500000000002</v>
      </c>
      <c r="V301">
        <v>-3.0728189999999999E-2</v>
      </c>
      <c r="W301">
        <v>2.6597050000000001E-2</v>
      </c>
      <c r="X301">
        <v>0.9991738</v>
      </c>
      <c r="Y301">
        <v>0.22100210000000001</v>
      </c>
      <c r="Z301">
        <v>-6.4445650000000002E-3</v>
      </c>
      <c r="AA301">
        <v>0.97525200000000001</v>
      </c>
      <c r="AB301">
        <v>28</v>
      </c>
      <c r="AC301">
        <v>18.099999999999898</v>
      </c>
      <c r="AD301">
        <v>-1.0928775657979899</v>
      </c>
      <c r="AE301">
        <v>-4.1806999999999999</v>
      </c>
      <c r="AF301">
        <v>4.1581676919369501</v>
      </c>
      <c r="AG301">
        <v>-1.0928775657979899</v>
      </c>
      <c r="AH301">
        <v>18.039442224940899</v>
      </c>
      <c r="AI301">
        <v>93.378514868910997</v>
      </c>
      <c r="AJ301">
        <v>77.0197999131979</v>
      </c>
      <c r="AK301">
        <v>18.5447085637676</v>
      </c>
      <c r="AL301">
        <v>88.475921491215303</v>
      </c>
      <c r="AM301">
        <v>91.761496214393503</v>
      </c>
      <c r="AN301">
        <v>0.99999995366790795</v>
      </c>
    </row>
    <row r="302" spans="1:40" x14ac:dyDescent="0.3">
      <c r="A302" t="str">
        <f>"20200111153834633"</f>
        <v>20200111153834633</v>
      </c>
      <c r="B302" t="str">
        <f>"1578728314630495"</f>
        <v>1578728314630495</v>
      </c>
      <c r="C302" t="s">
        <v>40</v>
      </c>
      <c r="D302">
        <v>5.444178</v>
      </c>
      <c r="E302">
        <v>0.59947379999999995</v>
      </c>
      <c r="F302" t="s">
        <v>42</v>
      </c>
      <c r="G302">
        <v>-377.40769999999998</v>
      </c>
      <c r="H302" s="1">
        <v>-2.5306099999999998E-6</v>
      </c>
      <c r="I302">
        <v>363.36849999999998</v>
      </c>
      <c r="J302">
        <v>-395.17669999999998</v>
      </c>
      <c r="K302">
        <v>1.09453</v>
      </c>
      <c r="L302">
        <v>367.4941</v>
      </c>
      <c r="M302">
        <v>0.99996039999999997</v>
      </c>
      <c r="N302">
        <v>0</v>
      </c>
      <c r="O302">
        <v>-4.4969589999999999E-4</v>
      </c>
      <c r="P302">
        <v>0.99938009999999999</v>
      </c>
      <c r="Q302">
        <v>1.7590700000000001E-2</v>
      </c>
      <c r="R302">
        <v>3.0499559999999998E-2</v>
      </c>
      <c r="S302">
        <v>3.0262449999999999</v>
      </c>
      <c r="T302">
        <v>-0.18333650000000001</v>
      </c>
      <c r="U302">
        <v>-0.69210819999999995</v>
      </c>
      <c r="V302">
        <v>-3.0948389999999999E-2</v>
      </c>
      <c r="W302">
        <v>2.64836E-2</v>
      </c>
      <c r="X302">
        <v>0.99917009999999995</v>
      </c>
      <c r="Y302">
        <v>0.22212109999999999</v>
      </c>
      <c r="Z302">
        <v>-6.6098069999999997E-3</v>
      </c>
      <c r="AA302">
        <v>0.97499669999999905</v>
      </c>
      <c r="AB302">
        <v>28</v>
      </c>
      <c r="AC302">
        <v>17.768999999999998</v>
      </c>
      <c r="AD302">
        <v>-1.09453253061</v>
      </c>
      <c r="AE302">
        <v>-4.1256000000000199</v>
      </c>
      <c r="AF302">
        <v>4.1028375069933203</v>
      </c>
      <c r="AG302">
        <v>-1.09453253061</v>
      </c>
      <c r="AH302">
        <v>17.707104088457701</v>
      </c>
      <c r="AI302">
        <v>93.446067031330003</v>
      </c>
      <c r="AJ302">
        <v>76.954449150455403</v>
      </c>
      <c r="AK302">
        <v>18.2091408987033</v>
      </c>
      <c r="AL302">
        <v>88.482424113717698</v>
      </c>
      <c r="AM302">
        <v>91.774117726189601</v>
      </c>
      <c r="AN302">
        <v>1.0000000363232799</v>
      </c>
    </row>
    <row r="303" spans="1:40" x14ac:dyDescent="0.3">
      <c r="A303" t="str">
        <f>"20200111153834655"</f>
        <v>20200111153834655</v>
      </c>
      <c r="B303" t="str">
        <f>"1578728314650992"</f>
        <v>1578728314650992</v>
      </c>
      <c r="C303" t="s">
        <v>40</v>
      </c>
      <c r="D303">
        <v>5.4148820000000004</v>
      </c>
      <c r="E303">
        <v>0.60038859999999905</v>
      </c>
      <c r="F303" t="s">
        <v>42</v>
      </c>
      <c r="G303">
        <v>-377.572</v>
      </c>
      <c r="H303" s="1">
        <v>-2.4581170000000001E-6</v>
      </c>
      <c r="I303">
        <v>363.43079999999998</v>
      </c>
      <c r="J303">
        <v>-394.89920000000001</v>
      </c>
      <c r="K303">
        <v>1.0960270000000001</v>
      </c>
      <c r="L303">
        <v>367.49400000000003</v>
      </c>
      <c r="M303">
        <v>0.99995540000000005</v>
      </c>
      <c r="N303">
        <v>0</v>
      </c>
      <c r="O303">
        <v>-4.4934389999999998E-4</v>
      </c>
      <c r="P303">
        <v>0.99939020000000001</v>
      </c>
      <c r="Q303">
        <v>1.707003E-2</v>
      </c>
      <c r="R303">
        <v>3.046511E-2</v>
      </c>
      <c r="S303">
        <v>3.0264890000000002</v>
      </c>
      <c r="T303">
        <v>-0.188164</v>
      </c>
      <c r="U303">
        <v>-0.69851680000000005</v>
      </c>
      <c r="V303">
        <v>-3.0913590000000001E-2</v>
      </c>
      <c r="W303">
        <v>2.650744E-2</v>
      </c>
      <c r="X303">
        <v>0.99917049999999996</v>
      </c>
      <c r="Y303">
        <v>0.2240412</v>
      </c>
      <c r="Z303">
        <v>-6.8402999999999997E-3</v>
      </c>
      <c r="AA303">
        <v>0.97455570000000002</v>
      </c>
      <c r="AB303">
        <v>28</v>
      </c>
      <c r="AC303">
        <v>17.327200000000001</v>
      </c>
      <c r="AD303">
        <v>-1.096029458117</v>
      </c>
      <c r="AE303">
        <v>-4.0632000000000499</v>
      </c>
      <c r="AF303">
        <v>4.0400908347118598</v>
      </c>
      <c r="AG303">
        <v>-1.096029458117</v>
      </c>
      <c r="AH303">
        <v>17.263549988329601</v>
      </c>
      <c r="AI303">
        <v>93.537399488175495</v>
      </c>
      <c r="AJ303">
        <v>76.828436107805302</v>
      </c>
      <c r="AK303">
        <v>17.763833277908699</v>
      </c>
      <c r="AL303">
        <v>88.481057634195096</v>
      </c>
      <c r="AM303">
        <v>91.772123378506805</v>
      </c>
      <c r="AN303">
        <v>0.99999999124614503</v>
      </c>
    </row>
    <row r="304" spans="1:40" x14ac:dyDescent="0.3">
      <c r="A304" t="str">
        <f>"20200111153834678"</f>
        <v>20200111153834678</v>
      </c>
      <c r="B304" t="str">
        <f>"1578728314670511"</f>
        <v>1578728314670511</v>
      </c>
      <c r="C304" t="s">
        <v>40</v>
      </c>
      <c r="D304">
        <v>5.4002540000000003</v>
      </c>
      <c r="E304">
        <v>0.60122259999999905</v>
      </c>
      <c r="F304" t="s">
        <v>42</v>
      </c>
      <c r="G304">
        <v>-377.54419999999999</v>
      </c>
      <c r="H304" s="1">
        <v>-2.4638130000000002E-6</v>
      </c>
      <c r="I304">
        <v>363.44499999999999</v>
      </c>
      <c r="J304">
        <v>-394.608</v>
      </c>
      <c r="K304">
        <v>1.097383</v>
      </c>
      <c r="L304">
        <v>367.49380000000002</v>
      </c>
      <c r="M304">
        <v>0.99995020000000001</v>
      </c>
      <c r="N304">
        <v>0</v>
      </c>
      <c r="O304">
        <v>-4.4936649999999999E-4</v>
      </c>
      <c r="P304">
        <v>0.99940309999999999</v>
      </c>
      <c r="Q304">
        <v>1.6916560000000001E-2</v>
      </c>
      <c r="R304">
        <v>3.0122570000000001E-2</v>
      </c>
      <c r="S304">
        <v>3.0265810000000002</v>
      </c>
      <c r="T304">
        <v>-0.1911379</v>
      </c>
      <c r="U304">
        <v>-0.70608519999999997</v>
      </c>
      <c r="V304">
        <v>-3.0570739999999999E-2</v>
      </c>
      <c r="W304">
        <v>2.6873040000000001E-2</v>
      </c>
      <c r="X304">
        <v>0.99917129999999998</v>
      </c>
      <c r="Y304">
        <v>0.22632949999999999</v>
      </c>
      <c r="Z304">
        <v>-7.0172999999999998E-3</v>
      </c>
      <c r="AA304">
        <v>0.97402549999999999</v>
      </c>
      <c r="AB304">
        <v>28</v>
      </c>
      <c r="AC304">
        <v>17.063800000000001</v>
      </c>
      <c r="AD304">
        <v>-1.0973854638130001</v>
      </c>
      <c r="AE304">
        <v>-4.0488000000000204</v>
      </c>
      <c r="AF304">
        <v>4.0253702348459397</v>
      </c>
      <c r="AG304">
        <v>-1.0973854638130001</v>
      </c>
      <c r="AH304">
        <v>16.9990590532637</v>
      </c>
      <c r="AI304">
        <v>93.5945081941708</v>
      </c>
      <c r="AJ304">
        <v>76.677775254719506</v>
      </c>
      <c r="AK304">
        <v>17.5035958899912</v>
      </c>
      <c r="AL304">
        <v>88.460102858503902</v>
      </c>
      <c r="AM304">
        <v>91.752480404016794</v>
      </c>
      <c r="AN304">
        <v>1.00000000858333</v>
      </c>
    </row>
    <row r="305" spans="1:40" x14ac:dyDescent="0.3">
      <c r="A305" t="str">
        <f>"20200111153834702"</f>
        <v>20200111153834702</v>
      </c>
      <c r="B305" t="str">
        <f>"1578728314691006"</f>
        <v>1578728314691006</v>
      </c>
      <c r="C305" t="s">
        <v>40</v>
      </c>
      <c r="D305">
        <v>5.1621540000000001</v>
      </c>
      <c r="E305">
        <v>0.60239419999999899</v>
      </c>
      <c r="F305" t="s">
        <v>42</v>
      </c>
      <c r="G305">
        <v>-377.4742</v>
      </c>
      <c r="H305" s="1">
        <v>-2.4851359999999999E-6</v>
      </c>
      <c r="I305">
        <v>363.45440000000002</v>
      </c>
      <c r="J305">
        <v>-394.31189999999998</v>
      </c>
      <c r="K305">
        <v>1.0985720000000001</v>
      </c>
      <c r="L305">
        <v>367.49369999999999</v>
      </c>
      <c r="M305">
        <v>0.99994550000000004</v>
      </c>
      <c r="N305">
        <v>0</v>
      </c>
      <c r="O305">
        <v>-4.4942650000000001E-4</v>
      </c>
      <c r="P305">
        <v>0.9994208</v>
      </c>
      <c r="Q305">
        <v>1.6653859999999999E-2</v>
      </c>
      <c r="R305">
        <v>2.968264E-2</v>
      </c>
      <c r="S305">
        <v>3.0266109999999999</v>
      </c>
      <c r="T305">
        <v>-0.1938474</v>
      </c>
      <c r="U305">
        <v>-0.71353149999999999</v>
      </c>
      <c r="V305">
        <v>-3.0130799999999999E-2</v>
      </c>
      <c r="W305">
        <v>2.7088009999999999E-2</v>
      </c>
      <c r="X305">
        <v>0.99917880000000003</v>
      </c>
      <c r="Y305">
        <v>0.2285818</v>
      </c>
      <c r="Z305">
        <v>-7.1856230000000004E-3</v>
      </c>
      <c r="AA305">
        <v>0.97349819999999998</v>
      </c>
      <c r="AB305">
        <v>28</v>
      </c>
      <c r="AC305">
        <v>16.837699999999899</v>
      </c>
      <c r="AD305">
        <v>-1.098574485136</v>
      </c>
      <c r="AE305">
        <v>-4.0392999999999599</v>
      </c>
      <c r="AF305">
        <v>4.0155682192068101</v>
      </c>
      <c r="AG305">
        <v>-1.098574485136</v>
      </c>
      <c r="AH305">
        <v>16.772002320267099</v>
      </c>
      <c r="AI305">
        <v>93.644828770780194</v>
      </c>
      <c r="AJ305">
        <v>76.5356426833509</v>
      </c>
      <c r="AK305">
        <v>17.280963973504001</v>
      </c>
      <c r="AL305">
        <v>88.447781408249</v>
      </c>
      <c r="AM305">
        <v>91.727263091703406</v>
      </c>
      <c r="AN305">
        <v>0.99999994988191798</v>
      </c>
    </row>
    <row r="306" spans="1:40" x14ac:dyDescent="0.3">
      <c r="A306" t="str">
        <f>"20200111153834724"</f>
        <v>20200111153834724</v>
      </c>
      <c r="B306" t="str">
        <f>"1578728314720794"</f>
        <v>1578728314720794</v>
      </c>
      <c r="C306" t="s">
        <v>40</v>
      </c>
      <c r="D306">
        <v>5.4145370000000002</v>
      </c>
      <c r="E306">
        <v>0.6038924</v>
      </c>
      <c r="F306" t="s">
        <v>42</v>
      </c>
      <c r="G306">
        <v>-376.90019999999998</v>
      </c>
      <c r="H306" s="1">
        <v>-2.714585E-6</v>
      </c>
      <c r="I306">
        <v>363.3261</v>
      </c>
      <c r="J306">
        <v>-394.03620000000001</v>
      </c>
      <c r="K306">
        <v>1.0995140000000001</v>
      </c>
      <c r="L306">
        <v>367.49349999999998</v>
      </c>
      <c r="M306">
        <v>0.99994119999999997</v>
      </c>
      <c r="N306">
        <v>0</v>
      </c>
      <c r="O306">
        <v>-4.4954290000000002E-4</v>
      </c>
      <c r="P306">
        <v>0.9994499</v>
      </c>
      <c r="Q306">
        <v>1.653369E-2</v>
      </c>
      <c r="R306">
        <v>2.8746770000000001E-2</v>
      </c>
      <c r="S306">
        <v>3.0264280000000001</v>
      </c>
      <c r="T306">
        <v>-0.19094920000000001</v>
      </c>
      <c r="U306">
        <v>-0.72436519999999904</v>
      </c>
      <c r="V306">
        <v>-2.9194830000000001E-2</v>
      </c>
      <c r="W306">
        <v>2.736924E-2</v>
      </c>
      <c r="X306">
        <v>0.99919899999999995</v>
      </c>
      <c r="Y306">
        <v>0.23189950000000001</v>
      </c>
      <c r="Z306">
        <v>-7.1790329999999996E-3</v>
      </c>
      <c r="AA306">
        <v>0.97271319999999994</v>
      </c>
      <c r="AB306">
        <v>28</v>
      </c>
      <c r="AC306">
        <v>17.135999999999999</v>
      </c>
      <c r="AD306">
        <v>-1.09951671458499</v>
      </c>
      <c r="AE306">
        <v>-4.1673999999999802</v>
      </c>
      <c r="AF306">
        <v>4.1435890662016002</v>
      </c>
      <c r="AG306">
        <v>-1.09951671458499</v>
      </c>
      <c r="AH306">
        <v>17.071512516238698</v>
      </c>
      <c r="AI306">
        <v>93.581428073510807</v>
      </c>
      <c r="AJ306">
        <v>76.357027960316799</v>
      </c>
      <c r="AK306">
        <v>17.601556946682098</v>
      </c>
      <c r="AL306">
        <v>88.431662260570107</v>
      </c>
      <c r="AM306">
        <v>91.673605335057104</v>
      </c>
      <c r="AN306">
        <v>1.00000002749895</v>
      </c>
    </row>
    <row r="307" spans="1:40" x14ac:dyDescent="0.3">
      <c r="A307" t="str">
        <f>"20200111153834757"</f>
        <v>20200111153834757</v>
      </c>
      <c r="B307" t="str">
        <f>"1578728314751050"</f>
        <v>1578728314751050</v>
      </c>
      <c r="C307" t="s">
        <v>40</v>
      </c>
      <c r="D307">
        <v>5.4405150000000004</v>
      </c>
      <c r="E307">
        <v>0.60495909999999997</v>
      </c>
      <c r="F307" t="s">
        <v>42</v>
      </c>
      <c r="G307">
        <v>-376.37169999999998</v>
      </c>
      <c r="H307" s="1">
        <v>-2.9338319999999998E-6</v>
      </c>
      <c r="I307">
        <v>363.17809999999997</v>
      </c>
      <c r="J307">
        <v>-393.62700000000001</v>
      </c>
      <c r="K307">
        <v>1.100679</v>
      </c>
      <c r="L307">
        <v>367.49340000000001</v>
      </c>
      <c r="M307">
        <v>0.99993540000000003</v>
      </c>
      <c r="N307">
        <v>0</v>
      </c>
      <c r="O307">
        <v>-4.4937070000000001E-4</v>
      </c>
      <c r="P307">
        <v>0.99946219999999997</v>
      </c>
      <c r="Q307">
        <v>1.588757E-2</v>
      </c>
      <c r="R307">
        <v>2.8690219999999999E-2</v>
      </c>
      <c r="S307">
        <v>3.0260009999999999</v>
      </c>
      <c r="T307">
        <v>-0.1883513</v>
      </c>
      <c r="U307">
        <v>-0.73922730000000003</v>
      </c>
      <c r="V307">
        <v>-2.91387E-2</v>
      </c>
      <c r="W307">
        <v>2.7248169999999999E-2</v>
      </c>
      <c r="X307">
        <v>0.99920390000000003</v>
      </c>
      <c r="Y307">
        <v>0.23644560000000001</v>
      </c>
      <c r="Z307">
        <v>-7.2178110000000002E-3</v>
      </c>
      <c r="AA307">
        <v>0.97161790000000003</v>
      </c>
      <c r="AB307">
        <v>28</v>
      </c>
      <c r="AC307">
        <v>17.255299999999899</v>
      </c>
      <c r="AD307">
        <v>-1.100681933832</v>
      </c>
      <c r="AE307">
        <v>-4.3153000000000299</v>
      </c>
      <c r="AF307">
        <v>4.2911125943902402</v>
      </c>
      <c r="AG307">
        <v>-1.100681933832</v>
      </c>
      <c r="AH307">
        <v>17.1914045595156</v>
      </c>
      <c r="AI307">
        <v>93.554602000820196</v>
      </c>
      <c r="AJ307">
        <v>75.984895731413005</v>
      </c>
      <c r="AK307">
        <v>17.753014919898401</v>
      </c>
      <c r="AL307">
        <v>88.438601574583799</v>
      </c>
      <c r="AM307">
        <v>91.6703812981863</v>
      </c>
      <c r="AN307">
        <v>0.99999998019062397</v>
      </c>
    </row>
    <row r="308" spans="1:40" x14ac:dyDescent="0.3">
      <c r="A308" t="str">
        <f>"20200111153834780"</f>
        <v>20200111153834780</v>
      </c>
      <c r="B308" t="str">
        <f>"1578728314770571"</f>
        <v>1578728314770571</v>
      </c>
      <c r="C308" t="s">
        <v>40</v>
      </c>
      <c r="D308">
        <v>5.0119179999999997</v>
      </c>
      <c r="E308">
        <v>0.60643970000000003</v>
      </c>
      <c r="F308" t="s">
        <v>42</v>
      </c>
      <c r="G308">
        <v>-376.37200000000001</v>
      </c>
      <c r="H308" s="1">
        <v>-2.920255E-6</v>
      </c>
      <c r="I308">
        <v>363.2287</v>
      </c>
      <c r="J308">
        <v>-393.33909999999997</v>
      </c>
      <c r="K308">
        <v>1.1013389999999901</v>
      </c>
      <c r="L308">
        <v>367.4932</v>
      </c>
      <c r="M308">
        <v>0.99993160000000003</v>
      </c>
      <c r="N308">
        <v>0</v>
      </c>
      <c r="O308">
        <v>-4.4906930000000001E-4</v>
      </c>
      <c r="P308">
        <v>0.99945569999999895</v>
      </c>
      <c r="Q308">
        <v>1.594245E-2</v>
      </c>
      <c r="R308">
        <v>2.887369E-2</v>
      </c>
      <c r="S308">
        <v>3.0261840000000002</v>
      </c>
      <c r="T308">
        <v>-0.1930374</v>
      </c>
      <c r="U308">
        <v>-0.74792479999999995</v>
      </c>
      <c r="V308">
        <v>-2.9321349999999999E-2</v>
      </c>
      <c r="W308">
        <v>2.762187E-2</v>
      </c>
      <c r="X308">
        <v>0.99918830000000003</v>
      </c>
      <c r="Y308">
        <v>0.2390388</v>
      </c>
      <c r="Z308">
        <v>-7.4755380000000003E-3</v>
      </c>
      <c r="AA308">
        <v>0.97098119999999999</v>
      </c>
      <c r="AB308">
        <v>28</v>
      </c>
      <c r="AC308">
        <v>16.967099999999999</v>
      </c>
      <c r="AD308">
        <v>-1.1013419202550001</v>
      </c>
      <c r="AE308">
        <v>-4.2644999999999902</v>
      </c>
      <c r="AF308">
        <v>4.2400761576608099</v>
      </c>
      <c r="AG308">
        <v>-1.1013419202550001</v>
      </c>
      <c r="AH308">
        <v>16.902030464694501</v>
      </c>
      <c r="AI308">
        <v>93.616395973101703</v>
      </c>
      <c r="AJ308">
        <v>75.917285456618004</v>
      </c>
      <c r="AK308">
        <v>17.460522147906602</v>
      </c>
      <c r="AL308">
        <v>88.417182084826393</v>
      </c>
      <c r="AM308">
        <v>91.680871982583596</v>
      </c>
      <c r="AN308">
        <v>0.99999998406250401</v>
      </c>
    </row>
    <row r="309" spans="1:40" x14ac:dyDescent="0.3">
      <c r="A309" t="str">
        <f>"20200111153834803"</f>
        <v>20200111153834803</v>
      </c>
      <c r="B309" t="str">
        <f>"1578728314791066"</f>
        <v>1578728314791066</v>
      </c>
      <c r="C309" t="s">
        <v>40</v>
      </c>
      <c r="D309">
        <v>5.0450809999999997</v>
      </c>
      <c r="E309">
        <v>0.60789169999999904</v>
      </c>
      <c r="F309" t="s">
        <v>42</v>
      </c>
      <c r="G309">
        <v>-375.11709999999999</v>
      </c>
      <c r="H309" s="1">
        <v>-3.42878E-6</v>
      </c>
      <c r="I309">
        <v>362.92259999999999</v>
      </c>
      <c r="J309">
        <v>-393.05509999999998</v>
      </c>
      <c r="K309">
        <v>1.1018889999999999</v>
      </c>
      <c r="L309">
        <v>367.49310000000003</v>
      </c>
      <c r="M309">
        <v>0.99992840000000005</v>
      </c>
      <c r="N309">
        <v>0</v>
      </c>
      <c r="O309">
        <v>-4.4918650000000003E-4</v>
      </c>
      <c r="P309">
        <v>0.9994442</v>
      </c>
      <c r="Q309">
        <v>1.5910359999999998E-2</v>
      </c>
      <c r="R309">
        <v>2.9298629999999999E-2</v>
      </c>
      <c r="S309">
        <v>3.0265200000000001</v>
      </c>
      <c r="T309">
        <v>-0.18292249999999999</v>
      </c>
      <c r="U309">
        <v>-0.75912480000000004</v>
      </c>
      <c r="V309">
        <v>-2.9746620000000001E-2</v>
      </c>
      <c r="W309">
        <v>2.787069E-2</v>
      </c>
      <c r="X309">
        <v>0.99916879999999997</v>
      </c>
      <c r="Y309">
        <v>0.24243690000000001</v>
      </c>
      <c r="Z309">
        <v>-7.1816889999999998E-3</v>
      </c>
      <c r="AA309">
        <v>0.97014060000000002</v>
      </c>
      <c r="AB309">
        <v>28</v>
      </c>
      <c r="AC309">
        <v>17.937999999999899</v>
      </c>
      <c r="AD309">
        <v>-1.1018924287799901</v>
      </c>
      <c r="AE309">
        <v>-4.5705000000000302</v>
      </c>
      <c r="AF309">
        <v>4.5463322360404002</v>
      </c>
      <c r="AG309">
        <v>-1.1018924287799901</v>
      </c>
      <c r="AH309">
        <v>17.876708017020601</v>
      </c>
      <c r="AI309">
        <v>93.418610577564493</v>
      </c>
      <c r="AJ309">
        <v>75.731253654688203</v>
      </c>
      <c r="AK309">
        <v>18.478636130701599</v>
      </c>
      <c r="AL309">
        <v>88.402920225545301</v>
      </c>
      <c r="AM309">
        <v>91.705269925799897</v>
      </c>
      <c r="AN309">
        <v>0.99999996382796896</v>
      </c>
    </row>
    <row r="310" spans="1:40" x14ac:dyDescent="0.3">
      <c r="A310" t="str">
        <f>"20200111153834824"</f>
        <v>20200111153834824</v>
      </c>
      <c r="B310" t="str">
        <f>"1578728314820855"</f>
        <v>1578728314820855</v>
      </c>
      <c r="C310" t="s">
        <v>40</v>
      </c>
      <c r="D310">
        <v>5.4271079999999996</v>
      </c>
      <c r="E310">
        <v>0.60927589999999998</v>
      </c>
      <c r="F310" t="s">
        <v>42</v>
      </c>
      <c r="G310">
        <v>-373.73759999999999</v>
      </c>
      <c r="H310" s="1">
        <v>-3.988606E-6</v>
      </c>
      <c r="I310">
        <v>362.58280000000002</v>
      </c>
      <c r="J310">
        <v>-392.7996</v>
      </c>
      <c r="K310">
        <v>1.1023069999999999</v>
      </c>
      <c r="L310">
        <v>367.49299999999999</v>
      </c>
      <c r="M310">
        <v>0.99992559999999997</v>
      </c>
      <c r="N310">
        <v>0</v>
      </c>
      <c r="O310">
        <v>-4.4912849999999998E-4</v>
      </c>
      <c r="P310">
        <v>0.99942900000000001</v>
      </c>
      <c r="Q310">
        <v>1.558736E-2</v>
      </c>
      <c r="R310">
        <v>2.997996E-2</v>
      </c>
      <c r="S310">
        <v>3.0270079999999999</v>
      </c>
      <c r="T310">
        <v>-0.1726637</v>
      </c>
      <c r="U310">
        <v>-0.76940920000000002</v>
      </c>
      <c r="V310">
        <v>-3.0428E-2</v>
      </c>
      <c r="W310">
        <v>2.7773929999999999E-2</v>
      </c>
      <c r="X310">
        <v>0.99915100000000001</v>
      </c>
      <c r="Y310">
        <v>0.24553839999999999</v>
      </c>
      <c r="Z310">
        <v>-6.862745E-3</v>
      </c>
      <c r="AA310">
        <v>0.96936259999999996</v>
      </c>
      <c r="AB310">
        <v>28</v>
      </c>
      <c r="AC310">
        <v>19.062000000000001</v>
      </c>
      <c r="AD310">
        <v>-1.1023109886060001</v>
      </c>
      <c r="AE310">
        <v>-4.9102000000000299</v>
      </c>
      <c r="AF310">
        <v>4.8863143026649496</v>
      </c>
      <c r="AG310">
        <v>-1.1023109886060001</v>
      </c>
      <c r="AH310">
        <v>19.004605898141399</v>
      </c>
      <c r="AI310">
        <v>93.215225021866004</v>
      </c>
      <c r="AJ310">
        <v>75.580879359450805</v>
      </c>
      <c r="AK310">
        <v>19.653656207527899</v>
      </c>
      <c r="AL310">
        <v>88.408466350171395</v>
      </c>
      <c r="AM310">
        <v>91.744338258430901</v>
      </c>
      <c r="AN310">
        <v>0.99999998758632203</v>
      </c>
    </row>
    <row r="311" spans="1:40" x14ac:dyDescent="0.3">
      <c r="A311" t="str">
        <f>"20200111153834845"</f>
        <v>20200111153834845</v>
      </c>
      <c r="B311" t="str">
        <f>"1578728314840375"</f>
        <v>1578728314840375</v>
      </c>
      <c r="C311" t="s">
        <v>40</v>
      </c>
      <c r="D311">
        <v>5.5255510000000001</v>
      </c>
      <c r="E311">
        <v>0.60917310000000002</v>
      </c>
      <c r="F311" t="s">
        <v>42</v>
      </c>
      <c r="G311">
        <v>-373.13139999999999</v>
      </c>
      <c r="H311" s="1">
        <v>-4.2342689999999996E-6</v>
      </c>
      <c r="I311">
        <v>362.4348</v>
      </c>
      <c r="J311">
        <v>-392.53339999999997</v>
      </c>
      <c r="K311">
        <v>1.1026849999999999</v>
      </c>
      <c r="L311">
        <v>367.49279999999999</v>
      </c>
      <c r="M311">
        <v>0.99992309999999995</v>
      </c>
      <c r="N311">
        <v>0</v>
      </c>
      <c r="O311">
        <v>-4.492411E-4</v>
      </c>
      <c r="P311">
        <v>0.99939929999999999</v>
      </c>
      <c r="Q311">
        <v>1.5431230000000001E-2</v>
      </c>
      <c r="R311">
        <v>3.1034099999999998E-2</v>
      </c>
      <c r="S311">
        <v>3.0277099999999999</v>
      </c>
      <c r="T311">
        <v>-0.1696888</v>
      </c>
      <c r="U311">
        <v>-0.77862549999999997</v>
      </c>
      <c r="V311">
        <v>-3.1481809999999999E-2</v>
      </c>
      <c r="W311">
        <v>2.7828740000000001E-2</v>
      </c>
      <c r="X311">
        <v>0.99911680000000003</v>
      </c>
      <c r="Y311">
        <v>0.2482626</v>
      </c>
      <c r="Z311">
        <v>-6.8157259999999898E-3</v>
      </c>
      <c r="AA311">
        <v>0.9686688</v>
      </c>
      <c r="AB311">
        <v>28</v>
      </c>
      <c r="AC311">
        <v>19.401999999999902</v>
      </c>
      <c r="AD311">
        <v>-1.102689234269</v>
      </c>
      <c r="AE311">
        <v>-5.0579999999999901</v>
      </c>
      <c r="AF311">
        <v>5.0340569994978397</v>
      </c>
      <c r="AG311">
        <v>-1.102689234269</v>
      </c>
      <c r="AH311">
        <v>19.345758695125099</v>
      </c>
      <c r="AI311">
        <v>93.157352344619795</v>
      </c>
      <c r="AJ311">
        <v>75.414244710622896</v>
      </c>
      <c r="AK311">
        <v>20.020390428549899</v>
      </c>
      <c r="AL311">
        <v>88.4053247126581</v>
      </c>
      <c r="AM311">
        <v>91.804772210901405</v>
      </c>
      <c r="AN311">
        <v>0.99999996158655102</v>
      </c>
    </row>
    <row r="312" spans="1:40" x14ac:dyDescent="0.3">
      <c r="A312" t="str">
        <f>"20200111153834868"</f>
        <v>20200111153834868</v>
      </c>
      <c r="B312" t="str">
        <f>"1578728314860871"</f>
        <v>1578728314860871</v>
      </c>
      <c r="C312" t="s">
        <v>40</v>
      </c>
      <c r="D312">
        <v>5.0946530000000001</v>
      </c>
      <c r="E312">
        <v>0.54140600000000005</v>
      </c>
      <c r="F312" t="s">
        <v>42</v>
      </c>
      <c r="G312">
        <v>-373.35289999999998</v>
      </c>
      <c r="H312" s="1">
        <v>-4.1188240000000001E-6</v>
      </c>
      <c r="I312">
        <v>362.58550000000002</v>
      </c>
      <c r="J312">
        <v>-392.23899999999998</v>
      </c>
      <c r="K312">
        <v>1.103032</v>
      </c>
      <c r="L312">
        <v>367.49270000000001</v>
      </c>
      <c r="M312">
        <v>0.99992040000000004</v>
      </c>
      <c r="N312">
        <v>0</v>
      </c>
      <c r="O312">
        <v>-4.4899570000000001E-4</v>
      </c>
      <c r="P312">
        <v>0.99937370000000003</v>
      </c>
      <c r="Q312">
        <v>1.5400759999999999E-2</v>
      </c>
      <c r="R312">
        <v>3.185905E-2</v>
      </c>
      <c r="S312">
        <v>3.0285639999999998</v>
      </c>
      <c r="T312">
        <v>-0.17411170000000001</v>
      </c>
      <c r="U312">
        <v>-0.77484129999999996</v>
      </c>
      <c r="V312">
        <v>-3.2306790000000002E-2</v>
      </c>
      <c r="W312">
        <v>2.8006050000000001E-2</v>
      </c>
      <c r="X312">
        <v>0.99908549999999996</v>
      </c>
      <c r="Y312">
        <v>0.24704380000000001</v>
      </c>
      <c r="Z312">
        <v>-6.9578219999999998E-3</v>
      </c>
      <c r="AA312">
        <v>0.96897940000000005</v>
      </c>
      <c r="AB312">
        <v>28</v>
      </c>
      <c r="AC312">
        <v>18.886099999999999</v>
      </c>
      <c r="AD312">
        <v>-1.1030361188240001</v>
      </c>
      <c r="AE312">
        <v>-4.90719999999998</v>
      </c>
      <c r="AF312">
        <v>4.8831156614492297</v>
      </c>
      <c r="AG312">
        <v>-1.1030361188240001</v>
      </c>
      <c r="AH312">
        <v>18.8281385954255</v>
      </c>
      <c r="AI312">
        <v>93.245669288668296</v>
      </c>
      <c r="AJ312">
        <v>75.460565300515796</v>
      </c>
      <c r="AK312">
        <v>19.482307620276199</v>
      </c>
      <c r="AL312">
        <v>88.395161620834998</v>
      </c>
      <c r="AM312">
        <v>91.852091683988306</v>
      </c>
      <c r="AN312">
        <v>0.99999995191347701</v>
      </c>
    </row>
    <row r="313" spans="1:40" x14ac:dyDescent="0.3">
      <c r="A313" t="str">
        <f>"20200111153834891"</f>
        <v>20200111153834891</v>
      </c>
      <c r="B313" t="str">
        <f>"1578728314880390"</f>
        <v>1578728314880390</v>
      </c>
      <c r="C313" t="s">
        <v>40</v>
      </c>
      <c r="D313">
        <v>5.3332050000000004</v>
      </c>
      <c r="E313">
        <v>0.52466279999999998</v>
      </c>
      <c r="F313" t="s">
        <v>42</v>
      </c>
      <c r="G313">
        <v>-334.1352</v>
      </c>
      <c r="H313" s="1">
        <v>-3.7452269999999998E-6</v>
      </c>
      <c r="I313">
        <v>362.98919999999998</v>
      </c>
      <c r="J313">
        <v>-391.96499999999997</v>
      </c>
      <c r="K313">
        <v>1.1033059999999999</v>
      </c>
      <c r="L313">
        <v>367.49259999999998</v>
      </c>
      <c r="M313">
        <v>0.99991819999999998</v>
      </c>
      <c r="N313">
        <v>0</v>
      </c>
      <c r="O313">
        <v>-4.4925199999999997E-4</v>
      </c>
      <c r="P313">
        <v>0.9993493</v>
      </c>
      <c r="Q313">
        <v>1.5693550000000001E-2</v>
      </c>
      <c r="R313">
        <v>3.2478920000000001E-2</v>
      </c>
      <c r="S313">
        <v>3.0101619999999998</v>
      </c>
      <c r="T313">
        <v>-5.7144519999999997E-2</v>
      </c>
      <c r="U313">
        <v>-0.23330690000000001</v>
      </c>
      <c r="V313">
        <v>-3.2926629999999998E-2</v>
      </c>
      <c r="W313">
        <v>2.8469830000000002E-2</v>
      </c>
      <c r="X313">
        <v>0.99905219999999995</v>
      </c>
      <c r="Y313">
        <v>7.6813030000000004E-2</v>
      </c>
      <c r="Z313">
        <v>-7.1943159999999996E-4</v>
      </c>
      <c r="AA313">
        <v>0.99704530000000002</v>
      </c>
      <c r="AB313">
        <v>28</v>
      </c>
      <c r="AC313">
        <v>57.829799999999899</v>
      </c>
      <c r="AD313">
        <v>-1.103309745227</v>
      </c>
      <c r="AE313">
        <v>-4.5033999999999903</v>
      </c>
      <c r="AF313">
        <v>4.4757979360128797</v>
      </c>
      <c r="AG313">
        <v>-1.103309745227</v>
      </c>
      <c r="AH313">
        <v>57.810901638461402</v>
      </c>
      <c r="AI313">
        <v>91.090084662615993</v>
      </c>
      <c r="AJ313">
        <v>85.572914831178196</v>
      </c>
      <c r="AK313">
        <v>57.994399796961297</v>
      </c>
      <c r="AL313">
        <v>88.368578454450798</v>
      </c>
      <c r="AM313">
        <v>91.887663432221899</v>
      </c>
      <c r="AN313">
        <v>0.99999999625411196</v>
      </c>
    </row>
    <row r="314" spans="1:40" x14ac:dyDescent="0.3">
      <c r="A314" t="str">
        <f>"20200111153834912"</f>
        <v>20200111153834912</v>
      </c>
      <c r="B314" t="str">
        <f>"1578728314900889"</f>
        <v>1578728314900889</v>
      </c>
      <c r="C314" t="s">
        <v>40</v>
      </c>
      <c r="D314">
        <v>5.0291199999999998</v>
      </c>
      <c r="E314">
        <v>0.44567020000000002</v>
      </c>
      <c r="F314" t="s">
        <v>42</v>
      </c>
      <c r="G314">
        <v>-325.91520000000003</v>
      </c>
      <c r="H314" s="1">
        <v>-2.5152609999999999E-6</v>
      </c>
      <c r="I314">
        <v>365.33530000000002</v>
      </c>
      <c r="J314">
        <v>-391.7011</v>
      </c>
      <c r="K314">
        <v>1.1035189999999999</v>
      </c>
      <c r="L314">
        <v>367.49239999999998</v>
      </c>
      <c r="M314">
        <v>0.99991629999999998</v>
      </c>
      <c r="N314">
        <v>0</v>
      </c>
      <c r="O314">
        <v>-4.4912359999999999E-4</v>
      </c>
      <c r="P314">
        <v>0.99932810000000005</v>
      </c>
      <c r="Q314">
        <v>1.6588120000000001E-2</v>
      </c>
      <c r="R314">
        <v>3.2685600000000002E-2</v>
      </c>
      <c r="S314">
        <v>3.005951</v>
      </c>
      <c r="T314">
        <v>-5.0211909999999998E-2</v>
      </c>
      <c r="U314">
        <v>-9.817505E-2</v>
      </c>
      <c r="V314">
        <v>-3.3133799999999998E-2</v>
      </c>
      <c r="W314">
        <v>2.9509859999999999E-2</v>
      </c>
      <c r="X314">
        <v>0.99901519999999999</v>
      </c>
      <c r="Y314">
        <v>3.2189479999999999E-2</v>
      </c>
      <c r="Z314">
        <v>-2.6125850000000001E-4</v>
      </c>
      <c r="AA314">
        <v>0.99948170000000003</v>
      </c>
      <c r="AB314">
        <v>28</v>
      </c>
      <c r="AC314">
        <v>65.785899999999899</v>
      </c>
      <c r="AD314">
        <v>-1.1035215152609901</v>
      </c>
      <c r="AE314">
        <v>-2.1570999999999501</v>
      </c>
      <c r="AF314">
        <v>2.1269534687751301</v>
      </c>
      <c r="AG314">
        <v>-1.1035215152609901</v>
      </c>
      <c r="AH314">
        <v>65.768376102575402</v>
      </c>
      <c r="AI314">
        <v>90.960768197648505</v>
      </c>
      <c r="AJ314">
        <v>88.147696426380406</v>
      </c>
      <c r="AK314">
        <v>65.812012474644703</v>
      </c>
      <c r="AL314">
        <v>88.308964115341197</v>
      </c>
      <c r="AM314">
        <v>91.899601987474398</v>
      </c>
      <c r="AN314">
        <v>1.00000002518534</v>
      </c>
    </row>
    <row r="315" spans="1:40" x14ac:dyDescent="0.3">
      <c r="A315" t="str">
        <f>"20200111153834935"</f>
        <v>20200111153834935</v>
      </c>
      <c r="B315" t="str">
        <f>"1578728314931143"</f>
        <v>1578728314931143</v>
      </c>
      <c r="C315" t="s">
        <v>40</v>
      </c>
      <c r="D315">
        <v>4.7815250000000002</v>
      </c>
      <c r="E315">
        <v>0.42487229999999998</v>
      </c>
      <c r="F315" t="s">
        <v>42</v>
      </c>
      <c r="G315">
        <v>-372.48770000000002</v>
      </c>
      <c r="H315" s="1">
        <v>-3.5531630000000002E-6</v>
      </c>
      <c r="I315">
        <v>370.9246</v>
      </c>
      <c r="J315">
        <v>-391.42559999999997</v>
      </c>
      <c r="K315">
        <v>1.1037110000000001</v>
      </c>
      <c r="L315">
        <v>367.4923</v>
      </c>
      <c r="M315">
        <v>0.99991459999999999</v>
      </c>
      <c r="N315">
        <v>0</v>
      </c>
      <c r="O315">
        <v>-4.4941499999999999E-4</v>
      </c>
      <c r="P315">
        <v>0.99932350000000003</v>
      </c>
      <c r="Q315">
        <v>1.6609059999999998E-2</v>
      </c>
      <c r="R315">
        <v>3.2816390000000001E-2</v>
      </c>
      <c r="S315">
        <v>2.9873959999999999</v>
      </c>
      <c r="T315">
        <v>-0.17158119999999999</v>
      </c>
      <c r="U315">
        <v>0.53366089999999999</v>
      </c>
      <c r="V315">
        <v>-3.326465E-2</v>
      </c>
      <c r="W315">
        <v>2.9667140000000002E-2</v>
      </c>
      <c r="X315">
        <v>0.99900619999999996</v>
      </c>
      <c r="Y315">
        <v>-0.17601420000000001</v>
      </c>
      <c r="Z315">
        <v>5.0365560000000002E-3</v>
      </c>
      <c r="AA315">
        <v>0.98437479999999999</v>
      </c>
      <c r="AB315">
        <v>28</v>
      </c>
      <c r="AC315">
        <v>18.9378999999999</v>
      </c>
      <c r="AD315">
        <v>-1.1037145531629999</v>
      </c>
      <c r="AE315">
        <v>3.4322999999999899</v>
      </c>
      <c r="AF315">
        <v>-3.42953292874645</v>
      </c>
      <c r="AG315">
        <v>-1.1037145531629999</v>
      </c>
      <c r="AH315">
        <v>18.874285097050301</v>
      </c>
      <c r="AI315">
        <v>93.292886550380999</v>
      </c>
      <c r="AJ315">
        <v>100.298513052488</v>
      </c>
      <c r="AK315">
        <v>19.215059714946399</v>
      </c>
      <c r="AL315">
        <v>88.299948699479401</v>
      </c>
      <c r="AM315">
        <v>91.907115420364207</v>
      </c>
      <c r="AN315">
        <v>1.00000003188692</v>
      </c>
    </row>
    <row r="316" spans="1:40" x14ac:dyDescent="0.3">
      <c r="A316" t="str">
        <f>"20200111153834958"</f>
        <v>20200111153834958</v>
      </c>
      <c r="B316" t="str">
        <f>"1578728314950663"</f>
        <v>1578728314950663</v>
      </c>
      <c r="C316" t="s">
        <v>40</v>
      </c>
      <c r="D316">
        <v>4.783741</v>
      </c>
      <c r="E316">
        <v>0.41936190000000001</v>
      </c>
      <c r="F316" t="s">
        <v>42</v>
      </c>
      <c r="G316">
        <v>-374.51130000000001</v>
      </c>
      <c r="H316" s="1">
        <v>-2.8282840000000001E-6</v>
      </c>
      <c r="I316">
        <v>371.46280000000002</v>
      </c>
      <c r="J316">
        <v>-391.142</v>
      </c>
      <c r="K316">
        <v>1.1038680000000001</v>
      </c>
      <c r="L316">
        <v>367.49220000000003</v>
      </c>
      <c r="M316">
        <v>0.99991300000000005</v>
      </c>
      <c r="N316">
        <v>0</v>
      </c>
      <c r="O316">
        <v>-4.4938500000000001E-4</v>
      </c>
      <c r="P316">
        <v>0.99934020000000001</v>
      </c>
      <c r="Q316">
        <v>1.5952540000000001E-2</v>
      </c>
      <c r="R316">
        <v>3.2629499999999999E-2</v>
      </c>
      <c r="S316">
        <v>2.9822389999999999</v>
      </c>
      <c r="T316">
        <v>-0.19459989999999999</v>
      </c>
      <c r="U316">
        <v>0.70007319999999995</v>
      </c>
      <c r="V316">
        <v>-3.3077960000000003E-2</v>
      </c>
      <c r="W316">
        <v>2.913236E-2</v>
      </c>
      <c r="X316">
        <v>0.99902809999999997</v>
      </c>
      <c r="Y316">
        <v>-0.22851109999999999</v>
      </c>
      <c r="Z316">
        <v>7.3769350000000003E-3</v>
      </c>
      <c r="AA316">
        <v>0.97351339999999997</v>
      </c>
      <c r="AB316">
        <v>28</v>
      </c>
      <c r="AC316">
        <v>16.630699999999901</v>
      </c>
      <c r="AD316">
        <v>-1.103870828284</v>
      </c>
      <c r="AE316">
        <v>3.9705999999999899</v>
      </c>
      <c r="AF316">
        <v>-3.96156159543732</v>
      </c>
      <c r="AG316">
        <v>-1.103870828284</v>
      </c>
      <c r="AH316">
        <v>16.5598903272416</v>
      </c>
      <c r="AI316">
        <v>93.709296245316196</v>
      </c>
      <c r="AJ316">
        <v>103.453811506104</v>
      </c>
      <c r="AK316">
        <v>17.0628974306901</v>
      </c>
      <c r="AL316">
        <v>88.3306025252311</v>
      </c>
      <c r="AM316">
        <v>91.896378480816594</v>
      </c>
      <c r="AN316">
        <v>0.99999999521326999</v>
      </c>
    </row>
    <row r="317" spans="1:40" x14ac:dyDescent="0.3">
      <c r="A317" t="str">
        <f>"20200111153834979"</f>
        <v>20200111153834979</v>
      </c>
      <c r="B317" t="str">
        <f>"1578728314971158"</f>
        <v>1578728314971158</v>
      </c>
      <c r="C317" t="s">
        <v>40</v>
      </c>
      <c r="D317">
        <v>4.8186879999999999</v>
      </c>
      <c r="E317">
        <v>0.41695120000000002</v>
      </c>
      <c r="F317" t="s">
        <v>42</v>
      </c>
      <c r="G317">
        <v>-374.95359999999999</v>
      </c>
      <c r="H317" s="1">
        <v>-2.6560000000000001E-6</v>
      </c>
      <c r="I317">
        <v>371.52859999999998</v>
      </c>
      <c r="J317">
        <v>-390.87040000000002</v>
      </c>
      <c r="K317">
        <v>1.103988</v>
      </c>
      <c r="L317">
        <v>367.49200000000002</v>
      </c>
      <c r="M317">
        <v>0.99991160000000001</v>
      </c>
      <c r="N317">
        <v>0</v>
      </c>
      <c r="O317">
        <v>-4.490001E-4</v>
      </c>
      <c r="P317">
        <v>0.99934409999999896</v>
      </c>
      <c r="Q317">
        <v>1.554174E-2</v>
      </c>
      <c r="R317">
        <v>3.2705100000000001E-2</v>
      </c>
      <c r="S317">
        <v>2.9809570000000001</v>
      </c>
      <c r="T317">
        <v>-0.2032688</v>
      </c>
      <c r="U317">
        <v>0.74328609999999995</v>
      </c>
      <c r="V317">
        <v>-3.3152569999999999E-2</v>
      </c>
      <c r="W317">
        <v>2.8825409999999999E-2</v>
      </c>
      <c r="X317">
        <v>0.99903450000000005</v>
      </c>
      <c r="Y317">
        <v>-0.24184320000000001</v>
      </c>
      <c r="Z317">
        <v>8.1423329999999999E-3</v>
      </c>
      <c r="AA317">
        <v>0.97028119999999995</v>
      </c>
      <c r="AB317">
        <v>28</v>
      </c>
      <c r="AC317">
        <v>15.9168</v>
      </c>
      <c r="AD317">
        <v>-1.1039906559999999</v>
      </c>
      <c r="AE317">
        <v>4.0366000000000204</v>
      </c>
      <c r="AF317">
        <v>-4.0255509513883201</v>
      </c>
      <c r="AG317">
        <v>-1.1039906559999999</v>
      </c>
      <c r="AH317">
        <v>15.843372078163499</v>
      </c>
      <c r="AI317">
        <v>93.863639544848496</v>
      </c>
      <c r="AJ317">
        <v>104.256274685625</v>
      </c>
      <c r="AK317">
        <v>16.384025593177299</v>
      </c>
      <c r="AL317">
        <v>88.348196803645806</v>
      </c>
      <c r="AM317">
        <v>91.900640614266806</v>
      </c>
      <c r="AN317">
        <v>0.99999996467476004</v>
      </c>
    </row>
    <row r="318" spans="1:40" x14ac:dyDescent="0.3">
      <c r="A318" t="str">
        <f>"20200111153835002"</f>
        <v>20200111153835002</v>
      </c>
      <c r="B318" t="str">
        <f>"1578728314990679"</f>
        <v>1578728314990679</v>
      </c>
      <c r="C318" t="s">
        <v>40</v>
      </c>
      <c r="D318">
        <v>4.7321809999999997</v>
      </c>
      <c r="E318">
        <v>0.41578900000000002</v>
      </c>
      <c r="F318" t="s">
        <v>42</v>
      </c>
      <c r="G318">
        <v>-375.09480000000002</v>
      </c>
      <c r="H318" s="1">
        <v>-2.5961680000000002E-6</v>
      </c>
      <c r="I318">
        <v>371.53129999999999</v>
      </c>
      <c r="J318">
        <v>-390.59249999999997</v>
      </c>
      <c r="K318">
        <v>1.104098</v>
      </c>
      <c r="L318">
        <v>367.49189999999999</v>
      </c>
      <c r="M318">
        <v>0.99991039999999998</v>
      </c>
      <c r="N318">
        <v>0</v>
      </c>
      <c r="O318">
        <v>-4.4878870000000001E-4</v>
      </c>
      <c r="P318">
        <v>0.99936789999999998</v>
      </c>
      <c r="Q318">
        <v>1.503589E-2</v>
      </c>
      <c r="R318">
        <v>3.2223219999999997E-2</v>
      </c>
      <c r="S318">
        <v>2.9802249999999999</v>
      </c>
      <c r="T318">
        <v>-0.2085581</v>
      </c>
      <c r="U318">
        <v>0.76309199999999999</v>
      </c>
      <c r="V318">
        <v>-3.2670860000000003E-2</v>
      </c>
      <c r="W318">
        <v>2.8412630000000001E-2</v>
      </c>
      <c r="X318">
        <v>0.99906220000000001</v>
      </c>
      <c r="Y318">
        <v>-0.2479142</v>
      </c>
      <c r="Z318">
        <v>8.5578319999999996E-3</v>
      </c>
      <c r="AA318">
        <v>0.96874420000000006</v>
      </c>
      <c r="AB318">
        <v>28</v>
      </c>
      <c r="AC318">
        <v>15.497699999999901</v>
      </c>
      <c r="AD318">
        <v>-1.1041005961679999</v>
      </c>
      <c r="AE318">
        <v>4.0393999999999997</v>
      </c>
      <c r="AF318">
        <v>-4.0272153847725498</v>
      </c>
      <c r="AG318">
        <v>-1.1041005961679999</v>
      </c>
      <c r="AH318">
        <v>15.422586981640601</v>
      </c>
      <c r="AI318">
        <v>93.962392303068398</v>
      </c>
      <c r="AJ318">
        <v>104.634549377526</v>
      </c>
      <c r="AK318">
        <v>15.9779126010902</v>
      </c>
      <c r="AL318">
        <v>88.371857058331301</v>
      </c>
      <c r="AM318">
        <v>91.872992046312703</v>
      </c>
      <c r="AN318">
        <v>0.99999997105274696</v>
      </c>
    </row>
    <row r="319" spans="1:40" x14ac:dyDescent="0.3">
      <c r="A319" t="str">
        <f>"20200111153835023"</f>
        <v>20200111153835023</v>
      </c>
      <c r="B319" t="str">
        <f>"1578728315020934"</f>
        <v>1578728315020934</v>
      </c>
      <c r="C319" t="s">
        <v>40</v>
      </c>
      <c r="D319">
        <v>4.7271609999999997</v>
      </c>
      <c r="E319">
        <v>0.41452909999999998</v>
      </c>
      <c r="F319" t="s">
        <v>42</v>
      </c>
      <c r="G319">
        <v>-374.99200000000002</v>
      </c>
      <c r="H319" s="1">
        <v>-2.6393919999999999E-6</v>
      </c>
      <c r="I319">
        <v>371.52800000000002</v>
      </c>
      <c r="J319">
        <v>-390.33409999999998</v>
      </c>
      <c r="K319">
        <v>1.1041810000000001</v>
      </c>
      <c r="L319">
        <v>367.49169999999998</v>
      </c>
      <c r="M319">
        <v>0.9999093</v>
      </c>
      <c r="N319">
        <v>0</v>
      </c>
      <c r="O319">
        <v>-4.4846840000000002E-4</v>
      </c>
      <c r="P319">
        <v>0.99938910000000003</v>
      </c>
      <c r="Q319">
        <v>1.4303679999999999E-2</v>
      </c>
      <c r="R319">
        <v>3.1892589999999998E-2</v>
      </c>
      <c r="S319">
        <v>2.980194</v>
      </c>
      <c r="T319">
        <v>-0.21091850000000001</v>
      </c>
      <c r="U319">
        <v>0.77105709999999905</v>
      </c>
      <c r="V319">
        <v>-3.2339890000000003E-2</v>
      </c>
      <c r="W319">
        <v>2.7757250000000001E-2</v>
      </c>
      <c r="X319">
        <v>0.99909139999999996</v>
      </c>
      <c r="Y319">
        <v>-0.25032559999999998</v>
      </c>
      <c r="Z319">
        <v>8.7355430000000001E-3</v>
      </c>
      <c r="AA319">
        <v>0.96812229999999999</v>
      </c>
      <c r="AB319">
        <v>27</v>
      </c>
      <c r="AC319">
        <v>15.3421</v>
      </c>
      <c r="AD319">
        <v>-1.1041836393919999</v>
      </c>
      <c r="AE319">
        <v>4.0363000000000397</v>
      </c>
      <c r="AF319">
        <v>-4.0236879447545402</v>
      </c>
      <c r="AG319">
        <v>-1.1041836393919999</v>
      </c>
      <c r="AH319">
        <v>15.266330540108701</v>
      </c>
      <c r="AI319">
        <v>94.000727161855906</v>
      </c>
      <c r="AJ319">
        <v>104.765436888956</v>
      </c>
      <c r="AK319">
        <v>15.8262482713409</v>
      </c>
      <c r="AL319">
        <v>88.409422399492499</v>
      </c>
      <c r="AM319">
        <v>91.853976984563801</v>
      </c>
      <c r="AN319">
        <v>0.99999997948336705</v>
      </c>
    </row>
    <row r="320" spans="1:40" x14ac:dyDescent="0.3">
      <c r="A320" t="str">
        <f>"20200111153835046"</f>
        <v>20200111153835046</v>
      </c>
      <c r="B320" t="str">
        <f>"1578728315040455"</f>
        <v>1578728315040455</v>
      </c>
      <c r="C320" t="s">
        <v>40</v>
      </c>
      <c r="D320">
        <v>4.6530250000000004</v>
      </c>
      <c r="E320">
        <v>0.4135934</v>
      </c>
      <c r="F320" t="s">
        <v>42</v>
      </c>
      <c r="G320">
        <v>-374.81659999999999</v>
      </c>
      <c r="H320" s="1">
        <v>-2.7215440000000001E-6</v>
      </c>
      <c r="I320">
        <v>371.55380000000002</v>
      </c>
      <c r="J320">
        <v>-390.05180000000001</v>
      </c>
      <c r="K320">
        <v>1.104249</v>
      </c>
      <c r="L320">
        <v>367.49160000000001</v>
      </c>
      <c r="M320">
        <v>0.99990840000000003</v>
      </c>
      <c r="N320">
        <v>0</v>
      </c>
      <c r="O320">
        <v>-4.4848920000000001E-4</v>
      </c>
      <c r="P320">
        <v>0.99938979999999999</v>
      </c>
      <c r="Q320">
        <v>1.346001E-2</v>
      </c>
      <c r="R320">
        <v>3.2237559999999998E-2</v>
      </c>
      <c r="S320">
        <v>2.9799500000000001</v>
      </c>
      <c r="T320">
        <v>-0.2120438</v>
      </c>
      <c r="U320">
        <v>0.78009030000000001</v>
      </c>
      <c r="V320">
        <v>-3.2685020000000002E-2</v>
      </c>
      <c r="W320">
        <v>2.6987440000000001E-2</v>
      </c>
      <c r="X320">
        <v>0.99910129999999997</v>
      </c>
      <c r="Y320">
        <v>-0.25308000000000003</v>
      </c>
      <c r="Z320">
        <v>8.8757039999999999E-3</v>
      </c>
      <c r="AA320">
        <v>0.96740459999999995</v>
      </c>
      <c r="AB320">
        <v>27</v>
      </c>
      <c r="AC320">
        <v>15.235200000000001</v>
      </c>
      <c r="AD320">
        <v>-1.104251721544</v>
      </c>
      <c r="AE320">
        <v>4.0622000000000096</v>
      </c>
      <c r="AF320">
        <v>-4.0491730484612596</v>
      </c>
      <c r="AG320">
        <v>-1.104251721544</v>
      </c>
      <c r="AH320">
        <v>15.159025929343899</v>
      </c>
      <c r="AI320">
        <v>94.025672010009998</v>
      </c>
      <c r="AJ320">
        <v>104.955290294901</v>
      </c>
      <c r="AK320">
        <v>15.7293115350748</v>
      </c>
      <c r="AL320">
        <v>88.453545860997494</v>
      </c>
      <c r="AM320">
        <v>91.873729968906204</v>
      </c>
      <c r="AN320">
        <v>1.00000002005592</v>
      </c>
    </row>
    <row r="321" spans="1:40" x14ac:dyDescent="0.3">
      <c r="A321" t="str">
        <f>"20200111153835069"</f>
        <v>20200111153835069</v>
      </c>
      <c r="B321" t="str">
        <f>"1578728315060950"</f>
        <v>1578728315060950</v>
      </c>
      <c r="C321" t="s">
        <v>40</v>
      </c>
      <c r="D321">
        <v>4.6299270000000003</v>
      </c>
      <c r="E321">
        <v>0.41283520000000001</v>
      </c>
      <c r="F321" t="s">
        <v>42</v>
      </c>
      <c r="G321">
        <v>-374.62950000000001</v>
      </c>
      <c r="H321" s="1">
        <v>-2.8069370000000001E-6</v>
      </c>
      <c r="I321">
        <v>371.57310000000001</v>
      </c>
      <c r="J321">
        <v>-389.76889999999997</v>
      </c>
      <c r="K321">
        <v>1.1043019999999999</v>
      </c>
      <c r="L321">
        <v>367.49149999999997</v>
      </c>
      <c r="M321">
        <v>0.9999074</v>
      </c>
      <c r="N321">
        <v>0</v>
      </c>
      <c r="O321">
        <v>-4.480935E-4</v>
      </c>
      <c r="P321">
        <v>0.99939169999999999</v>
      </c>
      <c r="Q321">
        <v>1.267888E-2</v>
      </c>
      <c r="R321">
        <v>3.248815E-2</v>
      </c>
      <c r="S321">
        <v>2.979279</v>
      </c>
      <c r="T321">
        <v>-0.21331849999999999</v>
      </c>
      <c r="U321">
        <v>0.78848269999999998</v>
      </c>
      <c r="V321">
        <v>-3.2935279999999997E-2</v>
      </c>
      <c r="W321">
        <v>2.627053E-2</v>
      </c>
      <c r="X321">
        <v>0.99911220000000001</v>
      </c>
      <c r="Y321">
        <v>-0.25566749999999999</v>
      </c>
      <c r="Z321">
        <v>9.0186659999999998E-3</v>
      </c>
      <c r="AA321">
        <v>0.96672270000000005</v>
      </c>
      <c r="AB321">
        <v>27</v>
      </c>
      <c r="AC321">
        <v>15.139399999999901</v>
      </c>
      <c r="AD321">
        <v>-1.1043048069370001</v>
      </c>
      <c r="AE321">
        <v>4.0816000000000301</v>
      </c>
      <c r="AF321">
        <v>-4.0682054694854397</v>
      </c>
      <c r="AG321">
        <v>-1.1043048069370001</v>
      </c>
      <c r="AH321">
        <v>15.062856434856901</v>
      </c>
      <c r="AI321">
        <v>94.048480603886901</v>
      </c>
      <c r="AJ321">
        <v>105.113950785904</v>
      </c>
      <c r="AK321">
        <v>15.6415929120306</v>
      </c>
      <c r="AL321">
        <v>88.494636365801199</v>
      </c>
      <c r="AM321">
        <v>91.888045664353896</v>
      </c>
      <c r="AN321">
        <v>1.0000000308019901</v>
      </c>
    </row>
    <row r="322" spans="1:40" x14ac:dyDescent="0.3">
      <c r="A322" t="str">
        <f>"20200111153835091"</f>
        <v>20200111153835091</v>
      </c>
      <c r="B322" t="str">
        <f>"1578728315080470"</f>
        <v>1578728315080470</v>
      </c>
      <c r="C322" t="s">
        <v>40</v>
      </c>
      <c r="D322">
        <v>4.6498879999999998</v>
      </c>
      <c r="E322">
        <v>0.4120415</v>
      </c>
      <c r="F322" t="s">
        <v>42</v>
      </c>
      <c r="G322">
        <v>-374.48680000000002</v>
      </c>
      <c r="H322" s="1">
        <v>-2.867721E-6</v>
      </c>
      <c r="I322">
        <v>371.57159999999999</v>
      </c>
      <c r="J322">
        <v>-389.50439999999998</v>
      </c>
      <c r="K322">
        <v>1.104344</v>
      </c>
      <c r="L322">
        <v>367.49130000000002</v>
      </c>
      <c r="M322">
        <v>0.99990670000000004</v>
      </c>
      <c r="N322">
        <v>0</v>
      </c>
      <c r="O322">
        <v>-4.4785689999999998E-4</v>
      </c>
      <c r="P322">
        <v>0.99939330000000004</v>
      </c>
      <c r="Q322">
        <v>1.246122E-2</v>
      </c>
      <c r="R322">
        <v>3.2525230000000002E-2</v>
      </c>
      <c r="S322">
        <v>2.9786990000000002</v>
      </c>
      <c r="T322">
        <v>-0.21524470000000001</v>
      </c>
      <c r="U322">
        <v>0.79528809999999905</v>
      </c>
      <c r="V322">
        <v>-3.2972109999999999E-2</v>
      </c>
      <c r="W322">
        <v>2.61056E-2</v>
      </c>
      <c r="X322">
        <v>0.99911530000000004</v>
      </c>
      <c r="Y322">
        <v>-0.25776009999999999</v>
      </c>
      <c r="Z322">
        <v>9.1731880000000005E-3</v>
      </c>
      <c r="AA322">
        <v>0.96616539999999995</v>
      </c>
      <c r="AB322">
        <v>27</v>
      </c>
      <c r="AC322">
        <v>15.0175999999999</v>
      </c>
      <c r="AD322">
        <v>-1.104346867721</v>
      </c>
      <c r="AE322">
        <v>4.0802999999999603</v>
      </c>
      <c r="AF322">
        <v>-4.0665471938744799</v>
      </c>
      <c r="AG322">
        <v>-1.104346867721</v>
      </c>
      <c r="AH322">
        <v>14.940531782017199</v>
      </c>
      <c r="AI322">
        <v>94.079513366983903</v>
      </c>
      <c r="AJ322">
        <v>105.226047790515</v>
      </c>
      <c r="AK322">
        <v>15.5233977599532</v>
      </c>
      <c r="AL322">
        <v>88.504089388147406</v>
      </c>
      <c r="AM322">
        <v>91.890149587415806</v>
      </c>
      <c r="AN322">
        <v>1.0000000225416501</v>
      </c>
    </row>
    <row r="323" spans="1:40" x14ac:dyDescent="0.3">
      <c r="A323" t="str">
        <f>"20200111153835114"</f>
        <v>20200111153835114</v>
      </c>
      <c r="B323" t="str">
        <f>"1578728315110333"</f>
        <v>1578728315110333</v>
      </c>
      <c r="C323" t="s">
        <v>40</v>
      </c>
      <c r="D323">
        <v>4.6366019999999999</v>
      </c>
      <c r="E323">
        <v>0.41099780000000002</v>
      </c>
      <c r="F323" t="s">
        <v>42</v>
      </c>
      <c r="G323">
        <v>-374.28210000000001</v>
      </c>
      <c r="H323" s="1">
        <v>-2.96012E-6</v>
      </c>
      <c r="I323">
        <v>371.58870000000002</v>
      </c>
      <c r="J323">
        <v>-389.2353</v>
      </c>
      <c r="K323">
        <v>1.104387</v>
      </c>
      <c r="L323">
        <v>367.49119999999999</v>
      </c>
      <c r="M323">
        <v>0.99990610000000002</v>
      </c>
      <c r="N323">
        <v>0</v>
      </c>
      <c r="O323">
        <v>-4.476889E-4</v>
      </c>
      <c r="P323">
        <v>0.9993763</v>
      </c>
      <c r="Q323">
        <v>1.260673E-2</v>
      </c>
      <c r="R323">
        <v>3.2989530000000003E-2</v>
      </c>
      <c r="S323">
        <v>2.978424</v>
      </c>
      <c r="T323">
        <v>-0.21607760000000001</v>
      </c>
      <c r="U323">
        <v>0.80172730000000003</v>
      </c>
      <c r="V323">
        <v>-3.3436439999999998E-2</v>
      </c>
      <c r="W323">
        <v>2.6295789999999999E-2</v>
      </c>
      <c r="X323">
        <v>0.99909479999999995</v>
      </c>
      <c r="Y323">
        <v>-0.25972099999999998</v>
      </c>
      <c r="Z323">
        <v>9.2766800000000007E-3</v>
      </c>
      <c r="AA323">
        <v>0.96563909999999997</v>
      </c>
      <c r="AB323">
        <v>27</v>
      </c>
      <c r="AC323">
        <v>14.953199999999899</v>
      </c>
      <c r="AD323">
        <v>-1.10438996012</v>
      </c>
      <c r="AE323">
        <v>4.0975000000000197</v>
      </c>
      <c r="AF323">
        <v>-4.0834758914261702</v>
      </c>
      <c r="AG323">
        <v>-1.10438996012</v>
      </c>
      <c r="AH323">
        <v>14.8758867678087</v>
      </c>
      <c r="AI323">
        <v>94.094930891522907</v>
      </c>
      <c r="AJ323">
        <v>105.34977521286901</v>
      </c>
      <c r="AK323">
        <v>15.4656541946514</v>
      </c>
      <c r="AL323">
        <v>88.493188440066803</v>
      </c>
      <c r="AM323">
        <v>91.916787216118095</v>
      </c>
      <c r="AN323">
        <v>0.99999994173931706</v>
      </c>
    </row>
    <row r="324" spans="1:40" x14ac:dyDescent="0.3">
      <c r="A324" t="str">
        <f>"20200111153835135"</f>
        <v>20200111153835135</v>
      </c>
      <c r="B324" t="str">
        <f>"1578728315130830"</f>
        <v>1578728315130830</v>
      </c>
      <c r="C324" t="s">
        <v>40</v>
      </c>
      <c r="D324">
        <v>4.7007209999999997</v>
      </c>
      <c r="E324">
        <v>0.41026800000000002</v>
      </c>
      <c r="F324" t="s">
        <v>42</v>
      </c>
      <c r="G324">
        <v>-373.92649999999998</v>
      </c>
      <c r="H324" s="1">
        <v>-3.1317730000000001E-6</v>
      </c>
      <c r="I324">
        <v>371.66059999999999</v>
      </c>
      <c r="J324">
        <v>-388.97030000000001</v>
      </c>
      <c r="K324">
        <v>1.104406</v>
      </c>
      <c r="L324">
        <v>367.49110000000002</v>
      </c>
      <c r="M324">
        <v>0.99990619999999997</v>
      </c>
      <c r="N324">
        <v>0</v>
      </c>
      <c r="O324">
        <v>-4.4730049999999998E-4</v>
      </c>
      <c r="P324">
        <v>0.99936700000000001</v>
      </c>
      <c r="Q324">
        <v>1.2949179999999999E-2</v>
      </c>
      <c r="R324">
        <v>3.3138569999999999E-2</v>
      </c>
      <c r="S324">
        <v>2.977814</v>
      </c>
      <c r="T324">
        <v>-0.21482129999999999</v>
      </c>
      <c r="U324">
        <v>0.81103519999999996</v>
      </c>
      <c r="V324">
        <v>-3.3584299999999997E-2</v>
      </c>
      <c r="W324">
        <v>2.6633279999999999E-2</v>
      </c>
      <c r="X324">
        <v>0.999081</v>
      </c>
      <c r="Y324">
        <v>-0.26258209999999998</v>
      </c>
      <c r="Z324">
        <v>9.3222119999999999E-3</v>
      </c>
      <c r="AA324">
        <v>0.96486459999999996</v>
      </c>
      <c r="AB324">
        <v>27</v>
      </c>
      <c r="AC324">
        <v>15.043799999999999</v>
      </c>
      <c r="AD324">
        <v>-1.104409131773</v>
      </c>
      <c r="AE324">
        <v>4.16949999999997</v>
      </c>
      <c r="AF324">
        <v>-4.1554314162006998</v>
      </c>
      <c r="AG324">
        <v>-1.104409131773</v>
      </c>
      <c r="AH324">
        <v>14.9670234841302</v>
      </c>
      <c r="AI324">
        <v>94.066888614104997</v>
      </c>
      <c r="AJ324">
        <v>105.516735983046</v>
      </c>
      <c r="AK324">
        <v>15.5723833037719</v>
      </c>
      <c r="AL324">
        <v>88.473845062246795</v>
      </c>
      <c r="AM324">
        <v>91.925283690140304</v>
      </c>
      <c r="AN324">
        <v>1.0000000406855201</v>
      </c>
    </row>
    <row r="325" spans="1:40" x14ac:dyDescent="0.3">
      <c r="A325" t="str">
        <f>"20200111153835158"</f>
        <v>20200111153835158</v>
      </c>
      <c r="B325" t="str">
        <f>"1578728315150350"</f>
        <v>1578728315150350</v>
      </c>
      <c r="C325" t="s">
        <v>40</v>
      </c>
      <c r="D325">
        <v>4.6930769999999997</v>
      </c>
      <c r="E325">
        <v>0.4099196</v>
      </c>
      <c r="F325" t="s">
        <v>42</v>
      </c>
      <c r="G325">
        <v>-373.5147</v>
      </c>
      <c r="H325" s="1">
        <v>-3.3284219999999999E-6</v>
      </c>
      <c r="I325">
        <v>371.73570000000001</v>
      </c>
      <c r="J325">
        <v>-388.68979999999999</v>
      </c>
      <c r="K325">
        <v>1.1043959999999999</v>
      </c>
      <c r="L325">
        <v>367.49090000000001</v>
      </c>
      <c r="M325">
        <v>0.99990780000000001</v>
      </c>
      <c r="N325">
        <v>0</v>
      </c>
      <c r="O325">
        <v>-4.4721950000000001E-4</v>
      </c>
      <c r="P325">
        <v>0.99935079999999998</v>
      </c>
      <c r="Q325">
        <v>1.362941E-2</v>
      </c>
      <c r="R325">
        <v>3.3353140000000003E-2</v>
      </c>
      <c r="S325">
        <v>2.9775390000000002</v>
      </c>
      <c r="T325">
        <v>-0.21276490000000001</v>
      </c>
      <c r="U325">
        <v>0.81774899999999995</v>
      </c>
      <c r="V325">
        <v>-3.3799120000000002E-2</v>
      </c>
      <c r="W325">
        <v>2.7196700000000001E-2</v>
      </c>
      <c r="X325">
        <v>0.99905849999999996</v>
      </c>
      <c r="Y325">
        <v>-0.26463579999999998</v>
      </c>
      <c r="Z325">
        <v>9.3032710000000001E-3</v>
      </c>
      <c r="AA325">
        <v>0.96430360000000004</v>
      </c>
      <c r="AB325">
        <v>27</v>
      </c>
      <c r="AC325">
        <v>15.175099999999899</v>
      </c>
      <c r="AD325">
        <v>-1.1043993284219999</v>
      </c>
      <c r="AE325">
        <v>4.2447999999999899</v>
      </c>
      <c r="AF325">
        <v>-4.2308044335149999</v>
      </c>
      <c r="AG325">
        <v>-1.1043993284219999</v>
      </c>
      <c r="AH325">
        <v>15.0990311667518</v>
      </c>
      <c r="AI325">
        <v>94.028748867934297</v>
      </c>
      <c r="AJ325">
        <v>105.653068659148</v>
      </c>
      <c r="AK325">
        <v>15.7194193978598</v>
      </c>
      <c r="AL325">
        <v>88.441551656035401</v>
      </c>
      <c r="AM325">
        <v>91.937632900552899</v>
      </c>
      <c r="AN325">
        <v>0.99999996371295596</v>
      </c>
    </row>
    <row r="326" spans="1:40" x14ac:dyDescent="0.3">
      <c r="A326" t="str">
        <f>"20200111153835181"</f>
        <v>20200111153835181</v>
      </c>
      <c r="B326" t="str">
        <f>"1578728315170848"</f>
        <v>1578728315170848</v>
      </c>
      <c r="C326" t="s">
        <v>40</v>
      </c>
      <c r="D326">
        <v>4.6404329999999998</v>
      </c>
      <c r="E326">
        <v>0.3771755</v>
      </c>
      <c r="F326" t="s">
        <v>42</v>
      </c>
      <c r="G326">
        <v>-373.09690000000001</v>
      </c>
      <c r="H326" s="1">
        <v>-3.5223059999999999E-6</v>
      </c>
      <c r="I326">
        <v>371.79070000000002</v>
      </c>
      <c r="J326">
        <v>-388.41039999999998</v>
      </c>
      <c r="K326">
        <v>1.1043719999999999</v>
      </c>
      <c r="L326">
        <v>367.49079999999998</v>
      </c>
      <c r="M326">
        <v>0.99991030000000003</v>
      </c>
      <c r="N326">
        <v>0</v>
      </c>
      <c r="O326">
        <v>-4.4684759999999999E-4</v>
      </c>
      <c r="P326">
        <v>0.99933439999999996</v>
      </c>
      <c r="Q326">
        <v>1.426491E-2</v>
      </c>
      <c r="R326">
        <v>3.3579829999999998E-2</v>
      </c>
      <c r="S326">
        <v>2.977417</v>
      </c>
      <c r="T326">
        <v>-0.2108807</v>
      </c>
      <c r="U326">
        <v>0.82104489999999997</v>
      </c>
      <c r="V326">
        <v>-3.4025449999999999E-2</v>
      </c>
      <c r="W326">
        <v>2.765333E-2</v>
      </c>
      <c r="X326">
        <v>0.99903830000000005</v>
      </c>
      <c r="Y326">
        <v>-0.26564650000000001</v>
      </c>
      <c r="Z326">
        <v>9.2551879999999993E-3</v>
      </c>
      <c r="AA326">
        <v>0.9640261</v>
      </c>
      <c r="AB326">
        <v>27</v>
      </c>
      <c r="AC326">
        <v>15.3134999999999</v>
      </c>
      <c r="AD326">
        <v>-1.1043755223059999</v>
      </c>
      <c r="AE326">
        <v>4.2999000000000303</v>
      </c>
      <c r="AF326">
        <v>-4.28608031943621</v>
      </c>
      <c r="AG326">
        <v>-1.1043755223059999</v>
      </c>
      <c r="AH326">
        <v>15.2381158199686</v>
      </c>
      <c r="AI326">
        <v>93.990902712868206</v>
      </c>
      <c r="AJ326">
        <v>105.709893062196</v>
      </c>
      <c r="AK326">
        <v>15.8679016741882</v>
      </c>
      <c r="AL326">
        <v>88.415378866521607</v>
      </c>
      <c r="AM326">
        <v>91.950637345994593</v>
      </c>
      <c r="AN326">
        <v>0.99999998138734003</v>
      </c>
    </row>
    <row r="327" spans="1:40" x14ac:dyDescent="0.3">
      <c r="A327" t="str">
        <f>"20200111153835203"</f>
        <v>20200111153835203</v>
      </c>
      <c r="B327" t="str">
        <f>"1578728315201102"</f>
        <v>1578728315201102</v>
      </c>
      <c r="C327" t="s">
        <v>40</v>
      </c>
      <c r="D327">
        <v>4.6241589999999997</v>
      </c>
      <c r="E327">
        <v>0.32418550000000002</v>
      </c>
      <c r="F327" t="s">
        <v>42</v>
      </c>
      <c r="G327">
        <v>-376.33690000000001</v>
      </c>
      <c r="H327" s="1">
        <v>-2.1608070000000001E-6</v>
      </c>
      <c r="I327">
        <v>371.89769999999999</v>
      </c>
      <c r="J327">
        <v>-388.13869999999997</v>
      </c>
      <c r="K327">
        <v>1.1043400000000001</v>
      </c>
      <c r="L327">
        <v>367.49059999999997</v>
      </c>
      <c r="M327">
        <v>0.99991339999999995</v>
      </c>
      <c r="N327">
        <v>0</v>
      </c>
      <c r="O327">
        <v>-4.4652389999999998E-4</v>
      </c>
      <c r="P327">
        <v>0.99932960000000004</v>
      </c>
      <c r="Q327">
        <v>1.4250179999999999E-2</v>
      </c>
      <c r="R327">
        <v>3.3724369999999997E-2</v>
      </c>
      <c r="S327">
        <v>2.969452</v>
      </c>
      <c r="T327">
        <v>-0.27161780000000002</v>
      </c>
      <c r="U327">
        <v>1.083893</v>
      </c>
      <c r="V327">
        <v>-3.4169560000000002E-2</v>
      </c>
      <c r="W327">
        <v>2.739308E-2</v>
      </c>
      <c r="X327">
        <v>0.9990405</v>
      </c>
      <c r="Y327">
        <v>-0.342043599999999</v>
      </c>
      <c r="Z327">
        <v>1.516524E-2</v>
      </c>
      <c r="AA327">
        <v>0.93956170000000006</v>
      </c>
      <c r="AB327">
        <v>27</v>
      </c>
      <c r="AC327">
        <v>11.801799999999901</v>
      </c>
      <c r="AD327">
        <v>-1.1043421608070001</v>
      </c>
      <c r="AE327">
        <v>4.4071000000000096</v>
      </c>
      <c r="AF327">
        <v>-4.3787214364740601</v>
      </c>
      <c r="AG327">
        <v>-1.1043421608070001</v>
      </c>
      <c r="AH327">
        <v>11.7098462478051</v>
      </c>
      <c r="AI327">
        <v>95.048120795739393</v>
      </c>
      <c r="AJ327">
        <v>110.502529849029</v>
      </c>
      <c r="AK327">
        <v>12.550429162925401</v>
      </c>
      <c r="AL327">
        <v>88.430295664052295</v>
      </c>
      <c r="AM327">
        <v>91.958888262380995</v>
      </c>
      <c r="AN327">
        <v>0.99999993015136202</v>
      </c>
    </row>
    <row r="328" spans="1:40" x14ac:dyDescent="0.3">
      <c r="A328" t="str">
        <f>"20200111153835224"</f>
        <v>20200111153835224</v>
      </c>
      <c r="B328" t="str">
        <f>"1578728315220621"</f>
        <v>1578728315220621</v>
      </c>
      <c r="C328" t="s">
        <v>40</v>
      </c>
      <c r="D328">
        <v>4.6635419999999996</v>
      </c>
      <c r="E328">
        <v>0.32678279999999998</v>
      </c>
      <c r="F328" t="s">
        <v>50</v>
      </c>
      <c r="G328">
        <v>-362.35230000000001</v>
      </c>
      <c r="H328">
        <v>0.73171409999999903</v>
      </c>
      <c r="I328">
        <v>380.62439999999998</v>
      </c>
      <c r="J328">
        <v>-387.87720000000002</v>
      </c>
      <c r="K328">
        <v>1.104287</v>
      </c>
      <c r="L328">
        <v>367.4905</v>
      </c>
      <c r="M328">
        <v>0.99991799999999997</v>
      </c>
      <c r="N328">
        <v>0</v>
      </c>
      <c r="O328">
        <v>-4.4656539999999998E-4</v>
      </c>
      <c r="P328">
        <v>0.99931150000000002</v>
      </c>
      <c r="Q328">
        <v>1.5010249999999999E-2</v>
      </c>
      <c r="R328">
        <v>3.3940159999999997E-2</v>
      </c>
      <c r="S328">
        <v>2.9518430000000002</v>
      </c>
      <c r="T328">
        <v>-4.2646770000000001E-2</v>
      </c>
      <c r="U328">
        <v>1.5034479999999999</v>
      </c>
      <c r="V328">
        <v>-3.4385449999999998E-2</v>
      </c>
      <c r="W328">
        <v>2.7811579999999999E-2</v>
      </c>
      <c r="X328">
        <v>0.99902159999999995</v>
      </c>
      <c r="Y328">
        <v>-0.45420909999999898</v>
      </c>
      <c r="Z328">
        <v>3.0980560000000001E-3</v>
      </c>
      <c r="AA328">
        <v>0.89088969999999901</v>
      </c>
      <c r="AB328">
        <v>27</v>
      </c>
      <c r="AC328">
        <v>25.524899999999999</v>
      </c>
      <c r="AD328">
        <v>-0.37257289999999998</v>
      </c>
      <c r="AE328">
        <v>13.133899999999899</v>
      </c>
      <c r="AF328">
        <v>-13.143084137941001</v>
      </c>
      <c r="AG328">
        <v>-0.37257289999999998</v>
      </c>
      <c r="AH328">
        <v>25.514733734957399</v>
      </c>
      <c r="AI328">
        <v>90.743727462398795</v>
      </c>
      <c r="AJ328">
        <v>117.253785118981</v>
      </c>
      <c r="AK328">
        <v>28.703329228306998</v>
      </c>
      <c r="AL328">
        <v>88.406308350541096</v>
      </c>
      <c r="AM328">
        <v>91.971292433586697</v>
      </c>
      <c r="AN328">
        <v>1.0000000002101701</v>
      </c>
    </row>
    <row r="329" spans="1:40" x14ac:dyDescent="0.3">
      <c r="A329" t="str">
        <f>"20200111153835247"</f>
        <v>20200111153835247</v>
      </c>
      <c r="B329" t="str">
        <f>"1578728315241117"</f>
        <v>1578728315241117</v>
      </c>
      <c r="C329" t="s">
        <v>40</v>
      </c>
      <c r="D329">
        <v>4.6308999999999996</v>
      </c>
      <c r="E329">
        <v>0.32874609999999999</v>
      </c>
      <c r="F329" t="s">
        <v>50</v>
      </c>
      <c r="G329">
        <v>-361.89609999999999</v>
      </c>
      <c r="H329">
        <v>0.39761730000000001</v>
      </c>
      <c r="I329">
        <v>380.5496</v>
      </c>
      <c r="J329">
        <v>-387.59429999999998</v>
      </c>
      <c r="K329">
        <v>1.1042099999999999</v>
      </c>
      <c r="L329">
        <v>367.49040000000002</v>
      </c>
      <c r="M329">
        <v>0.99992389999999998</v>
      </c>
      <c r="N329">
        <v>0</v>
      </c>
      <c r="O329">
        <v>-4.4599659999999998E-4</v>
      </c>
      <c r="P329">
        <v>0.99930390000000002</v>
      </c>
      <c r="Q329">
        <v>1.592799E-2</v>
      </c>
      <c r="R329">
        <v>3.3736519999999999E-2</v>
      </c>
      <c r="S329">
        <v>2.9528810000000001</v>
      </c>
      <c r="T329">
        <v>-8.0307600000000007E-2</v>
      </c>
      <c r="U329">
        <v>1.4842219999999999</v>
      </c>
      <c r="V329">
        <v>-3.418115E-2</v>
      </c>
      <c r="W329">
        <v>2.8242E-2</v>
      </c>
      <c r="X329">
        <v>0.99901649999999997</v>
      </c>
      <c r="Y329">
        <v>-0.44936199999999998</v>
      </c>
      <c r="Z329">
        <v>5.7773099999999999E-3</v>
      </c>
      <c r="AA329">
        <v>0.89333109999999905</v>
      </c>
      <c r="AB329">
        <v>27</v>
      </c>
      <c r="AC329">
        <v>25.6981999999999</v>
      </c>
      <c r="AD329">
        <v>-0.70659269999999996</v>
      </c>
      <c r="AE329">
        <v>13.059199999999899</v>
      </c>
      <c r="AF329">
        <v>-13.062812046802501</v>
      </c>
      <c r="AG329">
        <v>-0.70659269999999996</v>
      </c>
      <c r="AH329">
        <v>25.6769445626256</v>
      </c>
      <c r="AI329">
        <v>91.405014160904102</v>
      </c>
      <c r="AJ329">
        <v>116.96412513292501</v>
      </c>
      <c r="AK329">
        <v>28.817387353574102</v>
      </c>
      <c r="AL329">
        <v>88.381637351582299</v>
      </c>
      <c r="AM329">
        <v>91.959599220173004</v>
      </c>
      <c r="AN329">
        <v>0.99999996442578498</v>
      </c>
    </row>
    <row r="330" spans="1:40" x14ac:dyDescent="0.3">
      <c r="A330" t="str">
        <f>"20200111153835270"</f>
        <v>20200111153835270</v>
      </c>
      <c r="B330" t="str">
        <f>"1578728315260640"</f>
        <v>1578728315260640</v>
      </c>
      <c r="C330" t="s">
        <v>40</v>
      </c>
      <c r="D330">
        <v>4.6462469999999998</v>
      </c>
      <c r="E330">
        <v>0.33000970000000002</v>
      </c>
      <c r="F330" t="s">
        <v>50</v>
      </c>
      <c r="G330">
        <v>-361.83819999999997</v>
      </c>
      <c r="H330">
        <v>0.18772639999999999</v>
      </c>
      <c r="I330">
        <v>380.2928</v>
      </c>
      <c r="J330">
        <v>-387.30889999999999</v>
      </c>
      <c r="K330">
        <v>1.1041179999999999</v>
      </c>
      <c r="L330">
        <v>367.49020000000002</v>
      </c>
      <c r="M330">
        <v>0.99993100000000001</v>
      </c>
      <c r="N330">
        <v>0</v>
      </c>
      <c r="O330">
        <v>-4.4556789999999999E-4</v>
      </c>
      <c r="P330">
        <v>0.99928839999999997</v>
      </c>
      <c r="Q330">
        <v>1.7050260000000001E-2</v>
      </c>
      <c r="R330">
        <v>3.3645010000000003E-2</v>
      </c>
      <c r="S330">
        <v>2.9541930000000001</v>
      </c>
      <c r="T330">
        <v>-0.1051108</v>
      </c>
      <c r="U330">
        <v>1.4684140000000001</v>
      </c>
      <c r="V330">
        <v>-3.408916E-2</v>
      </c>
      <c r="W330">
        <v>2.8779180000000001E-2</v>
      </c>
      <c r="X330">
        <v>0.99900440000000001</v>
      </c>
      <c r="Y330">
        <v>-0.4452797</v>
      </c>
      <c r="Z330">
        <v>7.4977219999999897E-3</v>
      </c>
      <c r="AA330">
        <v>0.89536009999999999</v>
      </c>
      <c r="AB330">
        <v>27</v>
      </c>
      <c r="AC330">
        <v>25.470700000000001</v>
      </c>
      <c r="AD330">
        <v>-0.91639159999999997</v>
      </c>
      <c r="AE330">
        <v>12.802599999999901</v>
      </c>
      <c r="AF330">
        <v>-12.8007206845972</v>
      </c>
      <c r="AG330">
        <v>-0.91639159999999997</v>
      </c>
      <c r="AH330">
        <v>25.438705310190699</v>
      </c>
      <c r="AI330">
        <v>91.843092659987306</v>
      </c>
      <c r="AJ330">
        <v>116.711476156354</v>
      </c>
      <c r="AK330">
        <v>28.492559580851101</v>
      </c>
      <c r="AL330">
        <v>88.350846830423606</v>
      </c>
      <c r="AM330">
        <v>91.954353197608796</v>
      </c>
      <c r="AN330">
        <v>1.0000000516251599</v>
      </c>
    </row>
    <row r="331" spans="1:40" x14ac:dyDescent="0.3">
      <c r="A331" t="str">
        <f>"20200111153835291"</f>
        <v>20200111153835291</v>
      </c>
      <c r="B331" t="str">
        <f>"1578728315281136"</f>
        <v>1578728315281136</v>
      </c>
      <c r="C331" t="s">
        <v>40</v>
      </c>
      <c r="D331">
        <v>4.6670669999999896</v>
      </c>
      <c r="E331">
        <v>0.33083950000000001</v>
      </c>
      <c r="F331" t="s">
        <v>42</v>
      </c>
      <c r="G331">
        <v>-362.68740000000003</v>
      </c>
      <c r="H331">
        <v>7.3265800000000006E-2</v>
      </c>
      <c r="I331">
        <v>379.63959999999997</v>
      </c>
      <c r="J331">
        <v>-387.0489</v>
      </c>
      <c r="K331">
        <v>1.1040289999999999</v>
      </c>
      <c r="L331">
        <v>367.49009999999998</v>
      </c>
      <c r="M331">
        <v>0.99993770000000004</v>
      </c>
      <c r="N331">
        <v>0</v>
      </c>
      <c r="O331">
        <v>-4.45184E-4</v>
      </c>
      <c r="P331">
        <v>0.99927929999999998</v>
      </c>
      <c r="Q331">
        <v>1.7802829999999999E-2</v>
      </c>
      <c r="R331">
        <v>3.3526800000000002E-2</v>
      </c>
      <c r="S331">
        <v>2.9551090000000002</v>
      </c>
      <c r="T331">
        <v>-0.12372379999999999</v>
      </c>
      <c r="U331">
        <v>1.458191</v>
      </c>
      <c r="V331">
        <v>-3.3970859999999999E-2</v>
      </c>
      <c r="W331">
        <v>2.8946E-2</v>
      </c>
      <c r="X331">
        <v>0.99900350000000004</v>
      </c>
      <c r="Y331">
        <v>-0.44259359999999998</v>
      </c>
      <c r="Z331">
        <v>8.7752950000000007E-3</v>
      </c>
      <c r="AA331">
        <v>0.89667940000000002</v>
      </c>
      <c r="AB331">
        <v>28</v>
      </c>
      <c r="AC331">
        <v>24.3614999999999</v>
      </c>
      <c r="AD331">
        <v>-1.0307632</v>
      </c>
      <c r="AE331">
        <v>12.1494999999999</v>
      </c>
      <c r="AF331">
        <v>-12.1429360225187</v>
      </c>
      <c r="AG331">
        <v>-1.0307632</v>
      </c>
      <c r="AH331">
        <v>24.32122021296</v>
      </c>
      <c r="AI331">
        <v>92.171497564535898</v>
      </c>
      <c r="AJ331">
        <v>116.53173229800601</v>
      </c>
      <c r="AK331">
        <v>27.203586540541799</v>
      </c>
      <c r="AL331">
        <v>88.341284582799403</v>
      </c>
      <c r="AM331">
        <v>91.947577968800999</v>
      </c>
      <c r="AN331">
        <v>0.99999994162869299</v>
      </c>
    </row>
    <row r="332" spans="1:40" x14ac:dyDescent="0.3">
      <c r="A332" t="str">
        <f>"20200111153835314"</f>
        <v>20200111153835314</v>
      </c>
      <c r="B332" t="str">
        <f>"1578728315310414"</f>
        <v>1578728315310414</v>
      </c>
      <c r="C332" t="s">
        <v>40</v>
      </c>
      <c r="D332">
        <v>4.6658010000000001</v>
      </c>
      <c r="E332">
        <v>0.33152579999999998</v>
      </c>
      <c r="F332" t="s">
        <v>42</v>
      </c>
      <c r="G332">
        <v>-362.90519999999998</v>
      </c>
      <c r="H332" s="1">
        <v>-5.0135899999999999E-6</v>
      </c>
      <c r="I332">
        <v>379.34780000000001</v>
      </c>
      <c r="J332">
        <v>-386.77789999999999</v>
      </c>
      <c r="K332">
        <v>1.1039350000000001</v>
      </c>
      <c r="L332">
        <v>367.48989999999998</v>
      </c>
      <c r="M332">
        <v>0.99994459999999996</v>
      </c>
      <c r="N332">
        <v>0</v>
      </c>
      <c r="O332">
        <v>-4.445963E-4</v>
      </c>
      <c r="P332">
        <v>0.99927529999999998</v>
      </c>
      <c r="Q332">
        <v>1.818409E-2</v>
      </c>
      <c r="R332">
        <v>3.3442239999999998E-2</v>
      </c>
      <c r="S332">
        <v>2.9558719999999998</v>
      </c>
      <c r="T332">
        <v>-0.1351646</v>
      </c>
      <c r="U332">
        <v>1.45172099999999</v>
      </c>
      <c r="V332">
        <v>-3.3885350000000002E-2</v>
      </c>
      <c r="W332">
        <v>2.8693380000000001E-2</v>
      </c>
      <c r="X332">
        <v>0.9990137</v>
      </c>
      <c r="Y332">
        <v>-0.44086150000000002</v>
      </c>
      <c r="Z332">
        <v>9.5507439999999999E-3</v>
      </c>
      <c r="AA332">
        <v>0.8975244</v>
      </c>
      <c r="AB332">
        <v>28</v>
      </c>
      <c r="AC332">
        <v>23.872699999999998</v>
      </c>
      <c r="AD332">
        <v>-1.1039400135899999</v>
      </c>
      <c r="AE332">
        <v>11.857900000000001</v>
      </c>
      <c r="AF332">
        <v>-11.8481909917337</v>
      </c>
      <c r="AG332">
        <v>-1.1039400135899999</v>
      </c>
      <c r="AH332">
        <v>23.8265578168734</v>
      </c>
      <c r="AI332">
        <v>92.375617952714805</v>
      </c>
      <c r="AJ332">
        <v>116.439700754171</v>
      </c>
      <c r="AK332">
        <v>26.6327462108401</v>
      </c>
      <c r="AL332">
        <v>88.3557646717382</v>
      </c>
      <c r="AM332">
        <v>91.942659550031195</v>
      </c>
      <c r="AN332">
        <v>0.99999994989406704</v>
      </c>
    </row>
    <row r="333" spans="1:40" x14ac:dyDescent="0.3">
      <c r="A333" t="str">
        <f>"20200111153835337"</f>
        <v>20200111153835337</v>
      </c>
      <c r="B333" t="str">
        <f>"1578728315330909"</f>
        <v>1578728315330909</v>
      </c>
      <c r="C333" t="s">
        <v>40</v>
      </c>
      <c r="D333">
        <v>4.6423230000000002</v>
      </c>
      <c r="E333">
        <v>0.3316865</v>
      </c>
      <c r="F333" t="s">
        <v>42</v>
      </c>
      <c r="G333">
        <v>-365.05450000000002</v>
      </c>
      <c r="H333" s="1">
        <v>-4.0633030000000004E-6</v>
      </c>
      <c r="I333">
        <v>378.1139</v>
      </c>
      <c r="J333">
        <v>-386.48570000000001</v>
      </c>
      <c r="K333">
        <v>1.1038479999999999</v>
      </c>
      <c r="L333">
        <v>367.4898</v>
      </c>
      <c r="M333">
        <v>0.99995160000000005</v>
      </c>
      <c r="N333">
        <v>0</v>
      </c>
      <c r="O333">
        <v>-4.4411880000000002E-4</v>
      </c>
      <c r="P333">
        <v>0.99927069999999996</v>
      </c>
      <c r="Q333">
        <v>1.850197E-2</v>
      </c>
      <c r="R333">
        <v>3.3402630000000003E-2</v>
      </c>
      <c r="S333">
        <v>2.9564819999999998</v>
      </c>
      <c r="T333">
        <v>-0.15024209999999999</v>
      </c>
      <c r="U333">
        <v>1.445892</v>
      </c>
      <c r="V333">
        <v>-3.3845220000000002E-2</v>
      </c>
      <c r="W333">
        <v>2.8334459999999999E-2</v>
      </c>
      <c r="X333">
        <v>0.9990253</v>
      </c>
      <c r="Y333">
        <v>-0.439274</v>
      </c>
      <c r="Z333">
        <v>1.057922E-2</v>
      </c>
      <c r="AA333">
        <v>0.89829079999999994</v>
      </c>
      <c r="AB333">
        <v>28</v>
      </c>
      <c r="AC333">
        <v>21.431199999999901</v>
      </c>
      <c r="AD333">
        <v>-1.103852063303</v>
      </c>
      <c r="AE333">
        <v>10.6241</v>
      </c>
      <c r="AF333">
        <v>-10.611020168118699</v>
      </c>
      <c r="AG333">
        <v>-1.103852063303</v>
      </c>
      <c r="AH333">
        <v>21.3809464039959</v>
      </c>
      <c r="AI333">
        <v>92.647807194858899</v>
      </c>
      <c r="AJ333">
        <v>116.394466144104</v>
      </c>
      <c r="AK333">
        <v>23.894708776556101</v>
      </c>
      <c r="AL333">
        <v>88.376337631646606</v>
      </c>
      <c r="AM333">
        <v>91.940338129188106</v>
      </c>
      <c r="AN333">
        <v>0.99999994529021297</v>
      </c>
    </row>
    <row r="334" spans="1:40" x14ac:dyDescent="0.3">
      <c r="A334" t="str">
        <f>"20200111153835360"</f>
        <v>20200111153835360</v>
      </c>
      <c r="B334" t="str">
        <f>"1578728315350429"</f>
        <v>1578728315350429</v>
      </c>
      <c r="C334" t="s">
        <v>40</v>
      </c>
      <c r="D334">
        <v>4.6721839999999997</v>
      </c>
      <c r="E334">
        <v>0.33169789999999999</v>
      </c>
      <c r="F334" t="s">
        <v>41</v>
      </c>
      <c r="G334">
        <v>-385.54430000000002</v>
      </c>
      <c r="H334">
        <v>1.053291</v>
      </c>
      <c r="I334">
        <v>367.94970000000001</v>
      </c>
      <c r="J334">
        <v>-386.19529999999997</v>
      </c>
      <c r="K334">
        <v>1.103774</v>
      </c>
      <c r="L334">
        <v>367.48970000000003</v>
      </c>
      <c r="M334">
        <v>0.9999576</v>
      </c>
      <c r="N334">
        <v>0</v>
      </c>
      <c r="O334">
        <v>-4.4331630000000002E-4</v>
      </c>
      <c r="P334">
        <v>0.99925359999999996</v>
      </c>
      <c r="Q334">
        <v>1.8912700000000001E-2</v>
      </c>
      <c r="R334">
        <v>3.368314E-2</v>
      </c>
      <c r="S334">
        <v>2.9568180000000002</v>
      </c>
      <c r="T334">
        <v>-0.15876860000000001</v>
      </c>
      <c r="U334">
        <v>1.444855</v>
      </c>
      <c r="V334">
        <v>-3.4125059999999999E-2</v>
      </c>
      <c r="W334">
        <v>2.810329E-2</v>
      </c>
      <c r="X334">
        <v>0.99902239999999998</v>
      </c>
      <c r="Y334">
        <v>-0.43892559999999903</v>
      </c>
      <c r="Z334">
        <v>1.116968E-2</v>
      </c>
      <c r="AA334">
        <v>0.89845399999999997</v>
      </c>
      <c r="AB334">
        <v>28</v>
      </c>
      <c r="AC334">
        <v>0.65099999999995295</v>
      </c>
      <c r="AD334">
        <v>-5.0483E-2</v>
      </c>
      <c r="AE334">
        <v>0.45999999999997898</v>
      </c>
      <c r="AF334">
        <v>-0.45844976727668202</v>
      </c>
      <c r="AG334">
        <v>-5.0483E-2</v>
      </c>
      <c r="AH334">
        <v>0.64819614848059803</v>
      </c>
      <c r="AI334">
        <v>93.638295662240793</v>
      </c>
      <c r="AJ334">
        <v>125.270628259375</v>
      </c>
      <c r="AK334">
        <v>0.79553942033699698</v>
      </c>
      <c r="AL334">
        <v>88.389588119232698</v>
      </c>
      <c r="AM334">
        <v>91.956374546388304</v>
      </c>
      <c r="AN334">
        <v>1.00000003516529</v>
      </c>
    </row>
    <row r="335" spans="1:40" x14ac:dyDescent="0.3">
      <c r="A335" t="str">
        <f>"20200111153835381"</f>
        <v>20200111153835381</v>
      </c>
      <c r="B335" t="str">
        <f>"1578728315370928"</f>
        <v>1578728315370928</v>
      </c>
      <c r="C335" t="s">
        <v>40</v>
      </c>
      <c r="D335">
        <v>4.7447670000000004</v>
      </c>
      <c r="E335">
        <v>0.33161980000000002</v>
      </c>
      <c r="F335" t="s">
        <v>41</v>
      </c>
      <c r="G335">
        <v>-385.28820000000002</v>
      </c>
      <c r="H335">
        <v>1.0532079999999999</v>
      </c>
      <c r="I335">
        <v>367.93299999999999</v>
      </c>
      <c r="J335">
        <v>-385.92309999999998</v>
      </c>
      <c r="K335">
        <v>1.1037110000000001</v>
      </c>
      <c r="L335">
        <v>367.48950000000002</v>
      </c>
      <c r="M335">
        <v>0.99996269999999998</v>
      </c>
      <c r="N335">
        <v>0</v>
      </c>
      <c r="O335">
        <v>-4.4294290000000002E-4</v>
      </c>
      <c r="P335">
        <v>0.99925079999999999</v>
      </c>
      <c r="Q335">
        <v>1.8909209999999999E-2</v>
      </c>
      <c r="R335">
        <v>3.3772259999999998E-2</v>
      </c>
      <c r="S335">
        <v>2.9566349999999999</v>
      </c>
      <c r="T335">
        <v>-0.16480880000000001</v>
      </c>
      <c r="U335">
        <v>1.4458009999999999</v>
      </c>
      <c r="V335">
        <v>-3.4213729999999998E-2</v>
      </c>
      <c r="W335">
        <v>2.7537510000000001E-2</v>
      </c>
      <c r="X335">
        <v>0.99903509999999995</v>
      </c>
      <c r="Y335">
        <v>-0.43913940000000001</v>
      </c>
      <c r="Z335">
        <v>1.159956E-2</v>
      </c>
      <c r="AA335">
        <v>0.89834400000000003</v>
      </c>
      <c r="AB335">
        <v>28</v>
      </c>
      <c r="AC335">
        <v>0.63489999999995905</v>
      </c>
      <c r="AD335">
        <v>-5.0503000000000103E-2</v>
      </c>
      <c r="AE335">
        <v>0.44350000000002798</v>
      </c>
      <c r="AF335">
        <v>-0.44190204353398599</v>
      </c>
      <c r="AG335">
        <v>-5.0503000000000103E-2</v>
      </c>
      <c r="AH335">
        <v>0.63201589566182703</v>
      </c>
      <c r="AI335">
        <v>93.746823985493094</v>
      </c>
      <c r="AJ335">
        <v>124.961034473879</v>
      </c>
      <c r="AK335">
        <v>0.77283378643647205</v>
      </c>
      <c r="AL335">
        <v>88.422017440913393</v>
      </c>
      <c r="AM335">
        <v>91.961429077474193</v>
      </c>
      <c r="AN335">
        <v>1.0000000124047601</v>
      </c>
    </row>
    <row r="336" spans="1:40" x14ac:dyDescent="0.3">
      <c r="A336" t="str">
        <f>"20200111153835403"</f>
        <v>20200111153835403</v>
      </c>
      <c r="B336" t="str">
        <f>"1578728315400206"</f>
        <v>1578728315400206</v>
      </c>
      <c r="C336" t="s">
        <v>40</v>
      </c>
      <c r="D336">
        <v>4.7136620000000002</v>
      </c>
      <c r="E336">
        <v>0.33155449999999997</v>
      </c>
      <c r="F336" t="s">
        <v>41</v>
      </c>
      <c r="G336">
        <v>-385.03280000000001</v>
      </c>
      <c r="H336">
        <v>1.0524739999999999</v>
      </c>
      <c r="I336">
        <v>367.92489999999998</v>
      </c>
      <c r="J336">
        <v>-385.6456</v>
      </c>
      <c r="K336">
        <v>1.103661</v>
      </c>
      <c r="L336">
        <v>367.48939999999999</v>
      </c>
      <c r="M336">
        <v>0.9999671</v>
      </c>
      <c r="N336">
        <v>0</v>
      </c>
      <c r="O336">
        <v>-4.4224260000000001E-4</v>
      </c>
      <c r="P336">
        <v>0.99921700000000002</v>
      </c>
      <c r="Q336">
        <v>1.9388590000000001E-2</v>
      </c>
      <c r="R336">
        <v>3.4485710000000003E-2</v>
      </c>
      <c r="S336">
        <v>2.956604</v>
      </c>
      <c r="T336">
        <v>-0.1701473</v>
      </c>
      <c r="U336">
        <v>1.4462889999999999</v>
      </c>
      <c r="V336">
        <v>-3.4926909999999999E-2</v>
      </c>
      <c r="W336">
        <v>2.748126E-2</v>
      </c>
      <c r="X336">
        <v>0.99901189999999995</v>
      </c>
      <c r="Y336">
        <v>-0.4392257</v>
      </c>
      <c r="Z336">
        <v>1.1976789999999999E-2</v>
      </c>
      <c r="AA336">
        <v>0.89829689999999995</v>
      </c>
      <c r="AB336">
        <v>28</v>
      </c>
      <c r="AC336">
        <v>0.61279999999999202</v>
      </c>
      <c r="AD336">
        <v>-5.1187000000000003E-2</v>
      </c>
      <c r="AE336">
        <v>0.43549999999999001</v>
      </c>
      <c r="AF336">
        <v>-0.43376012545320097</v>
      </c>
      <c r="AG336">
        <v>-5.1187000000000003E-2</v>
      </c>
      <c r="AH336">
        <v>0.60978048590564204</v>
      </c>
      <c r="AI336">
        <v>93.913091848898304</v>
      </c>
      <c r="AJ336">
        <v>125.425694056135</v>
      </c>
      <c r="AK336">
        <v>0.75006679462131798</v>
      </c>
      <c r="AL336">
        <v>88.4252414385669</v>
      </c>
      <c r="AM336">
        <v>92.002328289071002</v>
      </c>
      <c r="AN336">
        <v>0.99999994251747104</v>
      </c>
    </row>
    <row r="337" spans="1:40" x14ac:dyDescent="0.3">
      <c r="A337" t="str">
        <f>"20200111153835426"</f>
        <v>20200111153835426</v>
      </c>
      <c r="B337" t="str">
        <f>"1578728315420702"</f>
        <v>1578728315420702</v>
      </c>
      <c r="C337" t="s">
        <v>40</v>
      </c>
      <c r="D337">
        <v>4.7569749999999997</v>
      </c>
      <c r="E337">
        <v>0.33108910000000003</v>
      </c>
      <c r="F337" t="s">
        <v>41</v>
      </c>
      <c r="G337">
        <v>-384.7749</v>
      </c>
      <c r="H337">
        <v>1.052319</v>
      </c>
      <c r="I337">
        <v>367.91609999999997</v>
      </c>
      <c r="J337">
        <v>-385.34679999999997</v>
      </c>
      <c r="K337">
        <v>1.103618</v>
      </c>
      <c r="L337">
        <v>367.48930000000001</v>
      </c>
      <c r="M337">
        <v>0.99997139999999995</v>
      </c>
      <c r="N337">
        <v>0</v>
      </c>
      <c r="O337">
        <v>-4.4141880000000001E-4</v>
      </c>
      <c r="P337">
        <v>0.99918569999999995</v>
      </c>
      <c r="Q337">
        <v>1.9781739999999999E-2</v>
      </c>
      <c r="R337">
        <v>3.516205E-2</v>
      </c>
      <c r="S337">
        <v>2.9557190000000002</v>
      </c>
      <c r="T337">
        <v>-0.17425550000000001</v>
      </c>
      <c r="U337">
        <v>1.449249</v>
      </c>
      <c r="V337">
        <v>-3.5602059999999998E-2</v>
      </c>
      <c r="W337">
        <v>2.7332539999999999E-2</v>
      </c>
      <c r="X337">
        <v>0.9989922</v>
      </c>
      <c r="Y337">
        <v>-0.4400269</v>
      </c>
      <c r="Z337">
        <v>1.228858E-2</v>
      </c>
      <c r="AA337">
        <v>0.89790049999999899</v>
      </c>
      <c r="AB337">
        <v>28</v>
      </c>
      <c r="AC337">
        <v>0.57189999999997099</v>
      </c>
      <c r="AD337">
        <v>-5.12989999999999E-2</v>
      </c>
      <c r="AE337">
        <v>0.42679999999995699</v>
      </c>
      <c r="AF337">
        <v>-0.42485683809138097</v>
      </c>
      <c r="AG337">
        <v>-5.12989999999999E-2</v>
      </c>
      <c r="AH337">
        <v>0.56877224049626196</v>
      </c>
      <c r="AI337">
        <v>94.132947251076899</v>
      </c>
      <c r="AJ337">
        <v>126.75869506957601</v>
      </c>
      <c r="AK337">
        <v>0.71178422420923604</v>
      </c>
      <c r="AL337">
        <v>88.433765751716194</v>
      </c>
      <c r="AM337">
        <v>92.041041819421196</v>
      </c>
      <c r="AN337">
        <v>0.99999999503996695</v>
      </c>
    </row>
    <row r="338" spans="1:40" x14ac:dyDescent="0.3">
      <c r="A338" t="str">
        <f>"20200111153835449"</f>
        <v>20200111153835449</v>
      </c>
      <c r="B338" t="str">
        <f>"1578728315441199"</f>
        <v>1578728315441199</v>
      </c>
      <c r="C338" t="s">
        <v>40</v>
      </c>
      <c r="D338">
        <v>4.7414839999999998</v>
      </c>
      <c r="E338">
        <v>0.33018940000000002</v>
      </c>
      <c r="F338" t="s">
        <v>41</v>
      </c>
      <c r="G338">
        <v>-384.47059999999999</v>
      </c>
      <c r="H338">
        <v>1.052457</v>
      </c>
      <c r="I338">
        <v>367.92079999999999</v>
      </c>
      <c r="J338">
        <v>-385.05770000000001</v>
      </c>
      <c r="K338">
        <v>1.10358</v>
      </c>
      <c r="L338">
        <v>367.48910000000001</v>
      </c>
      <c r="M338">
        <v>0.99997510000000001</v>
      </c>
      <c r="N338">
        <v>0</v>
      </c>
      <c r="O338">
        <v>-4.4077450000000001E-4</v>
      </c>
      <c r="P338">
        <v>0.99916079999999996</v>
      </c>
      <c r="Q338">
        <v>2.0659500000000001E-2</v>
      </c>
      <c r="R338">
        <v>3.537324E-2</v>
      </c>
      <c r="S338">
        <v>2.9546809999999999</v>
      </c>
      <c r="T338">
        <v>-0.1725352</v>
      </c>
      <c r="U338">
        <v>1.4550780000000001</v>
      </c>
      <c r="V338">
        <v>-3.5812709999999998E-2</v>
      </c>
      <c r="W338">
        <v>2.7710060000000002E-2</v>
      </c>
      <c r="X338">
        <v>0.99897429999999998</v>
      </c>
      <c r="Y338">
        <v>-0.44158710000000001</v>
      </c>
      <c r="Z338">
        <v>1.2209279999999999E-2</v>
      </c>
      <c r="AA338">
        <v>0.89713529999999997</v>
      </c>
      <c r="AB338">
        <v>29</v>
      </c>
      <c r="AC338">
        <v>0.58710000000002005</v>
      </c>
      <c r="AD338">
        <v>-5.1123000000000002E-2</v>
      </c>
      <c r="AE338">
        <v>0.43169999999997699</v>
      </c>
      <c r="AF338">
        <v>-0.42984327585656901</v>
      </c>
      <c r="AG338">
        <v>-5.1123000000000002E-2</v>
      </c>
      <c r="AH338">
        <v>0.58403533462156398</v>
      </c>
      <c r="AI338">
        <v>94.032597846777094</v>
      </c>
      <c r="AJ338">
        <v>126.35264001023</v>
      </c>
      <c r="AK338">
        <v>0.72696359951143996</v>
      </c>
      <c r="AL338">
        <v>88.412127299842098</v>
      </c>
      <c r="AM338">
        <v>92.053144692416893</v>
      </c>
      <c r="AN338">
        <v>1.0000000248416101</v>
      </c>
    </row>
    <row r="339" spans="1:40" x14ac:dyDescent="0.3">
      <c r="A339" t="str">
        <f>"20200111153835471"</f>
        <v>20200111153835471</v>
      </c>
      <c r="B339" t="str">
        <f>"1578728315460720"</f>
        <v>1578728315460720</v>
      </c>
      <c r="C339" t="s">
        <v>40</v>
      </c>
      <c r="D339">
        <v>4.7888630000000001</v>
      </c>
      <c r="E339">
        <v>0.3293509</v>
      </c>
      <c r="F339" t="s">
        <v>41</v>
      </c>
      <c r="G339">
        <v>-384.1653</v>
      </c>
      <c r="H339">
        <v>1.0538130000000001</v>
      </c>
      <c r="I339">
        <v>367.93079999999998</v>
      </c>
      <c r="J339">
        <v>-384.77170000000001</v>
      </c>
      <c r="K339">
        <v>1.103542</v>
      </c>
      <c r="L339">
        <v>367.48899999999998</v>
      </c>
      <c r="M339">
        <v>0.99997829999999999</v>
      </c>
      <c r="N339">
        <v>0</v>
      </c>
      <c r="O339">
        <v>-4.402195E-4</v>
      </c>
      <c r="P339">
        <v>0.99913890000000005</v>
      </c>
      <c r="Q339">
        <v>2.1279929999999999E-2</v>
      </c>
      <c r="R339">
        <v>3.5623679999999998E-2</v>
      </c>
      <c r="S339">
        <v>2.954132</v>
      </c>
      <c r="T339">
        <v>-0.16470119999999999</v>
      </c>
      <c r="U339">
        <v>1.4627380000000001</v>
      </c>
      <c r="V339">
        <v>-3.6062650000000002E-2</v>
      </c>
      <c r="W339">
        <v>2.7855910000000001E-2</v>
      </c>
      <c r="X339">
        <v>0.99896119999999999</v>
      </c>
      <c r="Y339">
        <v>-0.44357370000000002</v>
      </c>
      <c r="Z339">
        <v>1.170358E-2</v>
      </c>
      <c r="AA339">
        <v>0.89616149999999895</v>
      </c>
      <c r="AB339">
        <v>29</v>
      </c>
      <c r="AC339">
        <v>0.60640000000000704</v>
      </c>
      <c r="AD339">
        <v>-4.97290000000001E-2</v>
      </c>
      <c r="AE339">
        <v>0.44179999999994302</v>
      </c>
      <c r="AF339">
        <v>-0.440133314367953</v>
      </c>
      <c r="AG339">
        <v>-4.97290000000001E-2</v>
      </c>
      <c r="AH339">
        <v>0.60355390951963905</v>
      </c>
      <c r="AI339">
        <v>93.808701921380404</v>
      </c>
      <c r="AJ339">
        <v>126.100882122469</v>
      </c>
      <c r="AK339">
        <v>0.74864386029270302</v>
      </c>
      <c r="AL339">
        <v>88.403767400400397</v>
      </c>
      <c r="AM339">
        <v>92.067488463253298</v>
      </c>
      <c r="AN339">
        <v>0.99999997277619501</v>
      </c>
    </row>
    <row r="340" spans="1:40" x14ac:dyDescent="0.3">
      <c r="A340" t="str">
        <f>"20200111153835492"</f>
        <v>20200111153835492</v>
      </c>
      <c r="B340" t="str">
        <f>"1578728315490974"</f>
        <v>1578728315490974</v>
      </c>
      <c r="C340" t="s">
        <v>40</v>
      </c>
      <c r="D340">
        <v>4.7046700000000001</v>
      </c>
      <c r="E340">
        <v>0.32822390000000001</v>
      </c>
      <c r="F340" t="s">
        <v>42</v>
      </c>
      <c r="G340">
        <v>-364.20229999999998</v>
      </c>
      <c r="H340" s="1">
        <v>-4.2848489999999999E-6</v>
      </c>
      <c r="I340">
        <v>377.72789999999998</v>
      </c>
      <c r="J340">
        <v>-384.49470000000002</v>
      </c>
      <c r="K340">
        <v>1.1035029999999999</v>
      </c>
      <c r="L340">
        <v>367.4889</v>
      </c>
      <c r="M340">
        <v>0.99998120000000001</v>
      </c>
      <c r="N340">
        <v>0</v>
      </c>
      <c r="O340">
        <v>-4.396429E-4</v>
      </c>
      <c r="P340">
        <v>0.99912270000000003</v>
      </c>
      <c r="Q340">
        <v>2.199373E-2</v>
      </c>
      <c r="R340">
        <v>3.56403E-2</v>
      </c>
      <c r="S340">
        <v>2.953522</v>
      </c>
      <c r="T340">
        <v>-0.15845529999999999</v>
      </c>
      <c r="U340">
        <v>1.4701839999999999</v>
      </c>
      <c r="V340">
        <v>-3.6078569999999997E-2</v>
      </c>
      <c r="W340">
        <v>2.8129029999999999E-2</v>
      </c>
      <c r="X340">
        <v>0.99895299999999998</v>
      </c>
      <c r="Y340">
        <v>-0.4454977</v>
      </c>
      <c r="Z340">
        <v>1.130512E-2</v>
      </c>
      <c r="AA340">
        <v>0.89521170000000005</v>
      </c>
      <c r="AB340">
        <v>29</v>
      </c>
      <c r="AC340">
        <v>20.292400000000001</v>
      </c>
      <c r="AD340">
        <v>-1.103507284849</v>
      </c>
      <c r="AE340">
        <v>10.2389999999999</v>
      </c>
      <c r="AF340">
        <v>-10.2238218860697</v>
      </c>
      <c r="AG340">
        <v>-1.103507284849</v>
      </c>
      <c r="AH340">
        <v>20.240188045869701</v>
      </c>
      <c r="AI340">
        <v>92.786074980439693</v>
      </c>
      <c r="AJ340">
        <v>116.799474986128</v>
      </c>
      <c r="AK340">
        <v>22.702631442587499</v>
      </c>
      <c r="AL340">
        <v>88.388112687362494</v>
      </c>
      <c r="AM340">
        <v>92.068417335557797</v>
      </c>
      <c r="AN340">
        <v>1.0000000008754899</v>
      </c>
    </row>
    <row r="341" spans="1:40" x14ac:dyDescent="0.3">
      <c r="A341" t="str">
        <f>"20200111153835516"</f>
        <v>20200111153835516</v>
      </c>
      <c r="B341" t="str">
        <f>"1578728315510922"</f>
        <v>1578728315510922</v>
      </c>
      <c r="C341" t="s">
        <v>40</v>
      </c>
      <c r="D341">
        <v>4.8012449999999998</v>
      </c>
      <c r="E341">
        <v>0.32731739999999998</v>
      </c>
      <c r="F341" t="s">
        <v>42</v>
      </c>
      <c r="G341">
        <v>-363.01749999999998</v>
      </c>
      <c r="H341" s="1">
        <v>-4.7798499999999996E-6</v>
      </c>
      <c r="I341">
        <v>378.24540000000002</v>
      </c>
      <c r="J341">
        <v>-384.19060000000002</v>
      </c>
      <c r="K341">
        <v>1.103464</v>
      </c>
      <c r="L341">
        <v>367.48869999999999</v>
      </c>
      <c r="M341">
        <v>0.99998379999999998</v>
      </c>
      <c r="N341">
        <v>0</v>
      </c>
      <c r="O341">
        <v>-4.387514E-4</v>
      </c>
      <c r="P341">
        <v>0.9991082</v>
      </c>
      <c r="Q341">
        <v>2.261869E-2</v>
      </c>
      <c r="R341">
        <v>3.5659030000000001E-2</v>
      </c>
      <c r="S341">
        <v>2.9532470000000002</v>
      </c>
      <c r="T341">
        <v>-0.1517385</v>
      </c>
      <c r="U341">
        <v>1.479095</v>
      </c>
      <c r="V341">
        <v>-3.6096499999999997E-2</v>
      </c>
      <c r="W341">
        <v>2.8293949999999998E-2</v>
      </c>
      <c r="X341">
        <v>0.99894769999999999</v>
      </c>
      <c r="Y341">
        <v>-0.44773180000000001</v>
      </c>
      <c r="Z341">
        <v>1.087459E-2</v>
      </c>
      <c r="AA341">
        <v>0.89410179999999995</v>
      </c>
      <c r="AB341">
        <v>29</v>
      </c>
      <c r="AC341">
        <v>21.173100000000002</v>
      </c>
      <c r="AD341">
        <v>-1.10346877985</v>
      </c>
      <c r="AE341">
        <v>10.7567</v>
      </c>
      <c r="AF341">
        <v>-10.742796044688101</v>
      </c>
      <c r="AG341">
        <v>-1.10346877985</v>
      </c>
      <c r="AH341">
        <v>21.122776064612399</v>
      </c>
      <c r="AI341">
        <v>92.666020790333803</v>
      </c>
      <c r="AJ341">
        <v>116.95735444414299</v>
      </c>
      <c r="AK341">
        <v>23.7233424896584</v>
      </c>
      <c r="AL341">
        <v>88.378659713412404</v>
      </c>
      <c r="AM341">
        <v>92.069455355328799</v>
      </c>
      <c r="AN341">
        <v>1.00000000612707</v>
      </c>
    </row>
    <row r="342" spans="1:40" x14ac:dyDescent="0.3">
      <c r="A342" t="str">
        <f>"20200111153835538"</f>
        <v>20200111153835538</v>
      </c>
      <c r="B342" t="str">
        <f>"1578728315530443"</f>
        <v>1578728315530443</v>
      </c>
      <c r="C342" t="s">
        <v>40</v>
      </c>
      <c r="D342">
        <v>4.8323790000000004</v>
      </c>
      <c r="E342">
        <v>0.32667679999999999</v>
      </c>
      <c r="F342" t="s">
        <v>41</v>
      </c>
      <c r="G342">
        <v>-383.22919999999999</v>
      </c>
      <c r="H342">
        <v>1.055912</v>
      </c>
      <c r="I342">
        <v>367.97250000000003</v>
      </c>
      <c r="J342">
        <v>-383.89870000000002</v>
      </c>
      <c r="K342">
        <v>1.103421</v>
      </c>
      <c r="L342">
        <v>367.48860000000002</v>
      </c>
      <c r="M342">
        <v>0.99998620000000005</v>
      </c>
      <c r="N342">
        <v>0</v>
      </c>
      <c r="O342">
        <v>-4.3808859999999999E-4</v>
      </c>
      <c r="P342">
        <v>0.99908940000000002</v>
      </c>
      <c r="Q342">
        <v>2.3247210000000001E-2</v>
      </c>
      <c r="R342">
        <v>3.5782340000000003E-2</v>
      </c>
      <c r="S342">
        <v>2.9529109999999998</v>
      </c>
      <c r="T342">
        <v>-0.14601829999999999</v>
      </c>
      <c r="U342">
        <v>1.4863280000000001</v>
      </c>
      <c r="V342">
        <v>-3.6219170000000002E-2</v>
      </c>
      <c r="W342">
        <v>2.850892E-2</v>
      </c>
      <c r="X342">
        <v>0.99893710000000002</v>
      </c>
      <c r="Y342">
        <v>-0.4495536</v>
      </c>
      <c r="Z342">
        <v>1.0503169999999999E-2</v>
      </c>
      <c r="AA342">
        <v>0.89319159999999997</v>
      </c>
      <c r="AB342">
        <v>29</v>
      </c>
      <c r="AC342">
        <v>0.66950000000002696</v>
      </c>
      <c r="AD342">
        <v>-4.7508999999999801E-2</v>
      </c>
      <c r="AE342">
        <v>0.48390000000000499</v>
      </c>
      <c r="AF342">
        <v>-0.482596996240297</v>
      </c>
      <c r="AG342">
        <v>-4.7508999999999801E-2</v>
      </c>
      <c r="AH342">
        <v>0.66708147015605401</v>
      </c>
      <c r="AI342">
        <v>93.302441854299602</v>
      </c>
      <c r="AJ342">
        <v>125.88368337758401</v>
      </c>
      <c r="AK342">
        <v>0.82471489236385198</v>
      </c>
      <c r="AL342">
        <v>88.366337790889901</v>
      </c>
      <c r="AM342">
        <v>92.0765040413295</v>
      </c>
      <c r="AN342">
        <v>0.99999995827573096</v>
      </c>
    </row>
    <row r="343" spans="1:40" x14ac:dyDescent="0.3">
      <c r="A343" t="str">
        <f>"20200111153835560"</f>
        <v>20200111153835560</v>
      </c>
      <c r="B343" t="str">
        <f>"1578728315550938"</f>
        <v>1578728315550938</v>
      </c>
      <c r="C343" t="s">
        <v>40</v>
      </c>
      <c r="D343">
        <v>4.746486</v>
      </c>
      <c r="E343">
        <v>0.32715169999999999</v>
      </c>
      <c r="F343" t="s">
        <v>41</v>
      </c>
      <c r="G343">
        <v>-382.96190000000001</v>
      </c>
      <c r="H343">
        <v>1.0585150000000001</v>
      </c>
      <c r="I343">
        <v>367.96199999999999</v>
      </c>
      <c r="J343">
        <v>-383.59910000000002</v>
      </c>
      <c r="K343">
        <v>1.103383</v>
      </c>
      <c r="L343">
        <v>367.48840000000001</v>
      </c>
      <c r="M343">
        <v>0.99998810000000005</v>
      </c>
      <c r="N343">
        <v>0</v>
      </c>
      <c r="O343">
        <v>-4.3708339999999998E-4</v>
      </c>
      <c r="P343">
        <v>0.99907809999999997</v>
      </c>
      <c r="Q343">
        <v>2.363492E-2</v>
      </c>
      <c r="R343">
        <v>3.5843930000000003E-2</v>
      </c>
      <c r="S343">
        <v>2.9525760000000001</v>
      </c>
      <c r="T343">
        <v>-0.14152909999999999</v>
      </c>
      <c r="U343">
        <v>1.4918819999999999</v>
      </c>
      <c r="V343">
        <v>-3.6280159999999999E-2</v>
      </c>
      <c r="W343">
        <v>2.8503199999999999E-2</v>
      </c>
      <c r="X343">
        <v>0.99893509999999996</v>
      </c>
      <c r="Y343">
        <v>-0.45095800000000003</v>
      </c>
      <c r="Z343">
        <v>1.020923E-2</v>
      </c>
      <c r="AA343">
        <v>0.89248680000000002</v>
      </c>
      <c r="AB343">
        <v>29</v>
      </c>
      <c r="AC343">
        <v>0.63720000000000698</v>
      </c>
      <c r="AD343">
        <v>-4.4868000000000102E-2</v>
      </c>
      <c r="AE343">
        <v>0.47359999999997598</v>
      </c>
      <c r="AF343">
        <v>-0.47236979879833102</v>
      </c>
      <c r="AG343">
        <v>-4.4868000000000102E-2</v>
      </c>
      <c r="AH343">
        <v>0.63496496389722801</v>
      </c>
      <c r="AI343">
        <v>93.244880527062605</v>
      </c>
      <c r="AJ343">
        <v>126.646683912588</v>
      </c>
      <c r="AK343">
        <v>0.79267071954108703</v>
      </c>
      <c r="AL343">
        <v>88.366665737591504</v>
      </c>
      <c r="AM343">
        <v>92.080001789435102</v>
      </c>
      <c r="AN343">
        <v>1.0000000082159299</v>
      </c>
    </row>
    <row r="344" spans="1:40" x14ac:dyDescent="0.3">
      <c r="A344" t="str">
        <f>"20200111153835582"</f>
        <v>20200111153835582</v>
      </c>
      <c r="B344" t="str">
        <f>"1578728315570457"</f>
        <v>1578728315570457</v>
      </c>
      <c r="C344" t="s">
        <v>40</v>
      </c>
      <c r="D344">
        <v>4.7335750000000001</v>
      </c>
      <c r="E344">
        <v>0.32784289999999999</v>
      </c>
      <c r="F344" t="s">
        <v>41</v>
      </c>
      <c r="G344">
        <v>-382.69189999999998</v>
      </c>
      <c r="H344">
        <v>1.0607569999999999</v>
      </c>
      <c r="I344">
        <v>367.94529999999997</v>
      </c>
      <c r="J344">
        <v>-383.31310000000002</v>
      </c>
      <c r="K344">
        <v>1.103348</v>
      </c>
      <c r="L344">
        <v>367.48829999999998</v>
      </c>
      <c r="M344">
        <v>0.99998980000000004</v>
      </c>
      <c r="N344">
        <v>0</v>
      </c>
      <c r="O344">
        <v>-4.364894E-4</v>
      </c>
      <c r="P344">
        <v>0.99906899999999998</v>
      </c>
      <c r="Q344">
        <v>2.3883939999999999E-2</v>
      </c>
      <c r="R344">
        <v>3.5933519999999997E-2</v>
      </c>
      <c r="S344">
        <v>2.9526370000000002</v>
      </c>
      <c r="T344">
        <v>-0.13868900000000001</v>
      </c>
      <c r="U344">
        <v>1.4879150000000001</v>
      </c>
      <c r="V344">
        <v>-3.6368379999999999E-2</v>
      </c>
      <c r="W344">
        <v>2.8400249999999998E-2</v>
      </c>
      <c r="X344">
        <v>0.99893480000000001</v>
      </c>
      <c r="Y344">
        <v>-0.45001099999999999</v>
      </c>
      <c r="Z344">
        <v>9.9862219999999995E-3</v>
      </c>
      <c r="AA344">
        <v>0.89296719999999896</v>
      </c>
      <c r="AB344">
        <v>30</v>
      </c>
      <c r="AC344">
        <v>0.62120000000004405</v>
      </c>
      <c r="AD344">
        <v>-4.2590999999999997E-2</v>
      </c>
      <c r="AE344">
        <v>0.45699999999999302</v>
      </c>
      <c r="AF344">
        <v>-0.45588063901346099</v>
      </c>
      <c r="AG344">
        <v>-4.2590999999999997E-2</v>
      </c>
      <c r="AH344">
        <v>0.61911212843832797</v>
      </c>
      <c r="AI344">
        <v>93.170709298560197</v>
      </c>
      <c r="AJ344">
        <v>126.36591893503299</v>
      </c>
      <c r="AK344">
        <v>0.77002660855827498</v>
      </c>
      <c r="AL344">
        <v>88.372566687467796</v>
      </c>
      <c r="AM344">
        <v>92.085055755282497</v>
      </c>
      <c r="AN344">
        <v>0.99999998395746303</v>
      </c>
    </row>
    <row r="345" spans="1:40" x14ac:dyDescent="0.3">
      <c r="A345" t="str">
        <f>"20200111153835603"</f>
        <v>20200111153835603</v>
      </c>
      <c r="B345" t="str">
        <f>"1578728315600714"</f>
        <v>1578728315600714</v>
      </c>
      <c r="C345" t="s">
        <v>40</v>
      </c>
      <c r="D345">
        <v>4.7501199999999999</v>
      </c>
      <c r="E345">
        <v>0.32837909999999998</v>
      </c>
      <c r="F345" t="s">
        <v>41</v>
      </c>
      <c r="G345">
        <v>-382.42180000000002</v>
      </c>
      <c r="H345">
        <v>1.0625659999999999</v>
      </c>
      <c r="I345">
        <v>367.93599999999998</v>
      </c>
      <c r="J345">
        <v>-383.0215</v>
      </c>
      <c r="K345">
        <v>1.1033059999999999</v>
      </c>
      <c r="L345">
        <v>367.48820000000001</v>
      </c>
      <c r="M345">
        <v>0.99999130000000003</v>
      </c>
      <c r="N345">
        <v>0</v>
      </c>
      <c r="O345">
        <v>-4.3574450000000002E-4</v>
      </c>
      <c r="P345">
        <v>0.99902480000000005</v>
      </c>
      <c r="Q345">
        <v>2.42963E-2</v>
      </c>
      <c r="R345">
        <v>3.6872200000000001E-2</v>
      </c>
      <c r="S345">
        <v>2.9526669999999999</v>
      </c>
      <c r="T345">
        <v>-0.13510459999999999</v>
      </c>
      <c r="U345">
        <v>1.483063</v>
      </c>
      <c r="V345">
        <v>-3.730617E-2</v>
      </c>
      <c r="W345">
        <v>2.8473169999999999E-2</v>
      </c>
      <c r="X345">
        <v>0.99889810000000001</v>
      </c>
      <c r="Y345">
        <v>-0.44885599999999998</v>
      </c>
      <c r="Z345">
        <v>9.7066919999999994E-3</v>
      </c>
      <c r="AA345">
        <v>0.8935514</v>
      </c>
      <c r="AB345">
        <v>30</v>
      </c>
      <c r="AC345">
        <v>0.59969999999998402</v>
      </c>
      <c r="AD345">
        <v>-4.0739999999999998E-2</v>
      </c>
      <c r="AE345">
        <v>0.447799999999972</v>
      </c>
      <c r="AF345">
        <v>-0.44673760899405501</v>
      </c>
      <c r="AG345">
        <v>-4.0739999999999998E-2</v>
      </c>
      <c r="AH345">
        <v>0.59773375239285298</v>
      </c>
      <c r="AI345">
        <v>93.124925534587007</v>
      </c>
      <c r="AJ345">
        <v>126.773909667342</v>
      </c>
      <c r="AK345">
        <v>0.74734187467274005</v>
      </c>
      <c r="AL345">
        <v>88.368386921951199</v>
      </c>
      <c r="AM345">
        <v>92.138849915810397</v>
      </c>
      <c r="AN345">
        <v>0.99999994295676198</v>
      </c>
    </row>
    <row r="346" spans="1:40" x14ac:dyDescent="0.3">
      <c r="A346" t="str">
        <f>"20200111153835627"</f>
        <v>20200111153835627</v>
      </c>
      <c r="B346" t="str">
        <f>"1578728315620235"</f>
        <v>1578728315620235</v>
      </c>
      <c r="C346" t="s">
        <v>40</v>
      </c>
      <c r="D346">
        <v>4.7902459999999998</v>
      </c>
      <c r="E346">
        <v>0.32866109999999998</v>
      </c>
      <c r="F346" t="s">
        <v>41</v>
      </c>
      <c r="G346">
        <v>-382.14980000000003</v>
      </c>
      <c r="H346">
        <v>1.065342</v>
      </c>
      <c r="I346">
        <v>367.92559999999997</v>
      </c>
      <c r="J346">
        <v>-382.70699999999999</v>
      </c>
      <c r="K346">
        <v>1.1032630000000001</v>
      </c>
      <c r="L346">
        <v>367.488</v>
      </c>
      <c r="M346">
        <v>0.99999260000000001</v>
      </c>
      <c r="N346">
        <v>0</v>
      </c>
      <c r="O346">
        <v>-4.3467890000000001E-4</v>
      </c>
      <c r="P346">
        <v>0.99894019999999994</v>
      </c>
      <c r="Q346">
        <v>2.5218979999999998E-2</v>
      </c>
      <c r="R346">
        <v>3.8507189999999997E-2</v>
      </c>
      <c r="S346">
        <v>2.951355</v>
      </c>
      <c r="T346">
        <v>-0.12852479999999999</v>
      </c>
      <c r="U346">
        <v>1.4818119999999999</v>
      </c>
      <c r="V346">
        <v>-3.8940660000000002E-2</v>
      </c>
      <c r="W346">
        <v>2.904609E-2</v>
      </c>
      <c r="X346">
        <v>0.99881929999999997</v>
      </c>
      <c r="Y346">
        <v>-0.44874740000000002</v>
      </c>
      <c r="Z346">
        <v>9.2365680000000006E-3</v>
      </c>
      <c r="AA346">
        <v>0.89361089999999999</v>
      </c>
      <c r="AB346">
        <v>30</v>
      </c>
      <c r="AC346">
        <v>0.55719999999996594</v>
      </c>
      <c r="AD346">
        <v>-3.7920999999999802E-2</v>
      </c>
      <c r="AE346">
        <v>0.437599999999918</v>
      </c>
      <c r="AF346">
        <v>-0.43659144140694001</v>
      </c>
      <c r="AG346">
        <v>-3.7920999999999802E-2</v>
      </c>
      <c r="AH346">
        <v>0.555418599157536</v>
      </c>
      <c r="AI346">
        <v>93.072495288352101</v>
      </c>
      <c r="AJ346">
        <v>128.16941417596999</v>
      </c>
      <c r="AK346">
        <v>0.70748845166610996</v>
      </c>
      <c r="AL346">
        <v>88.335547569714095</v>
      </c>
      <c r="AM346">
        <v>92.232642166053097</v>
      </c>
      <c r="AN346">
        <v>1.000000022199</v>
      </c>
    </row>
    <row r="347" spans="1:40" x14ac:dyDescent="0.3">
      <c r="A347" t="str">
        <f>"20200111153835649"</f>
        <v>20200111153835649</v>
      </c>
      <c r="B347" t="str">
        <f>"1578728315640733"</f>
        <v>1578728315640733</v>
      </c>
      <c r="C347" t="s">
        <v>40</v>
      </c>
      <c r="D347">
        <v>4.7614210000000003</v>
      </c>
      <c r="E347">
        <v>0.32884649999999999</v>
      </c>
      <c r="F347" t="s">
        <v>41</v>
      </c>
      <c r="G347">
        <v>-381.86599999999999</v>
      </c>
      <c r="H347">
        <v>1.0683959999999999</v>
      </c>
      <c r="I347">
        <v>367.91129999999998</v>
      </c>
      <c r="J347">
        <v>-382.39280000000002</v>
      </c>
      <c r="K347">
        <v>1.1032189999999999</v>
      </c>
      <c r="L347">
        <v>367.48790000000002</v>
      </c>
      <c r="M347">
        <v>0.99999389999999999</v>
      </c>
      <c r="N347">
        <v>0</v>
      </c>
      <c r="O347">
        <v>-4.3381849999999999E-4</v>
      </c>
      <c r="P347">
        <v>0.99888100000000002</v>
      </c>
      <c r="Q347">
        <v>2.529313E-2</v>
      </c>
      <c r="R347">
        <v>3.9962780000000003E-2</v>
      </c>
      <c r="S347">
        <v>2.9490660000000002</v>
      </c>
      <c r="T347">
        <v>-0.1222466</v>
      </c>
      <c r="U347">
        <v>1.484497</v>
      </c>
      <c r="V347">
        <v>-4.0395470000000003E-2</v>
      </c>
      <c r="W347">
        <v>2.878441E-2</v>
      </c>
      <c r="X347">
        <v>0.99876900000000002</v>
      </c>
      <c r="Y347">
        <v>-0.44970529999999997</v>
      </c>
      <c r="Z347">
        <v>8.8087959999999903E-3</v>
      </c>
      <c r="AA347">
        <v>0.89313359999999997</v>
      </c>
      <c r="AB347">
        <v>30</v>
      </c>
      <c r="AC347">
        <v>0.52680000000003702</v>
      </c>
      <c r="AD347">
        <v>-3.4823E-2</v>
      </c>
      <c r="AE347">
        <v>0.42339999999995798</v>
      </c>
      <c r="AF347">
        <v>-0.422506857002661</v>
      </c>
      <c r="AG347">
        <v>-3.4823E-2</v>
      </c>
      <c r="AH347">
        <v>0.52522194998781802</v>
      </c>
      <c r="AI347">
        <v>92.957317921947904</v>
      </c>
      <c r="AJ347">
        <v>128.81441242748801</v>
      </c>
      <c r="AK347">
        <v>0.67496872689945697</v>
      </c>
      <c r="AL347">
        <v>88.350546841731997</v>
      </c>
      <c r="AM347">
        <v>92.316080245654405</v>
      </c>
      <c r="AN347">
        <v>0.99999992580828101</v>
      </c>
    </row>
    <row r="348" spans="1:40" x14ac:dyDescent="0.3">
      <c r="A348" t="str">
        <f>"20200111153835672"</f>
        <v>20200111153835672</v>
      </c>
      <c r="B348" t="str">
        <f>"1578728315660253"</f>
        <v>1578728315660253</v>
      </c>
      <c r="C348" t="s">
        <v>40</v>
      </c>
      <c r="D348">
        <v>4.7554759999999998</v>
      </c>
      <c r="E348">
        <v>0.32901249999999999</v>
      </c>
      <c r="F348" t="s">
        <v>41</v>
      </c>
      <c r="G348">
        <v>-381.52510000000001</v>
      </c>
      <c r="H348">
        <v>1.068068</v>
      </c>
      <c r="I348">
        <v>367.92559999999997</v>
      </c>
      <c r="J348">
        <v>-382.08580000000001</v>
      </c>
      <c r="K348">
        <v>1.1031770000000001</v>
      </c>
      <c r="L348">
        <v>367.48779999999999</v>
      </c>
      <c r="M348">
        <v>0.99999490000000002</v>
      </c>
      <c r="N348">
        <v>0</v>
      </c>
      <c r="O348">
        <v>-4.328181E-4</v>
      </c>
      <c r="P348">
        <v>0.99884090000000003</v>
      </c>
      <c r="Q348">
        <v>2.564779E-2</v>
      </c>
      <c r="R348">
        <v>4.0735059999999997E-2</v>
      </c>
      <c r="S348">
        <v>2.94693</v>
      </c>
      <c r="T348">
        <v>-0.1193699</v>
      </c>
      <c r="U348">
        <v>1.4870909999999999</v>
      </c>
      <c r="V348">
        <v>-4.116645E-2</v>
      </c>
      <c r="W348">
        <v>2.882827E-2</v>
      </c>
      <c r="X348">
        <v>0.99873630000000002</v>
      </c>
      <c r="Y348">
        <v>-0.45060459999999902</v>
      </c>
      <c r="Z348">
        <v>8.6227549999999993E-3</v>
      </c>
      <c r="AA348">
        <v>0.89268199999999998</v>
      </c>
      <c r="AB348">
        <v>30</v>
      </c>
      <c r="AC348">
        <v>0.56069999999999698</v>
      </c>
      <c r="AD348">
        <v>-3.5109000000000001E-2</v>
      </c>
      <c r="AE348">
        <v>0.43779999999998098</v>
      </c>
      <c r="AF348">
        <v>-0.43697825212505598</v>
      </c>
      <c r="AG348">
        <v>-3.5109000000000001E-2</v>
      </c>
      <c r="AH348">
        <v>0.55914848799730399</v>
      </c>
      <c r="AI348">
        <v>92.832341087275097</v>
      </c>
      <c r="AJ348">
        <v>128.00786221867699</v>
      </c>
      <c r="AK348">
        <v>0.710513663725716</v>
      </c>
      <c r="AL348">
        <v>88.348032880608699</v>
      </c>
      <c r="AM348">
        <v>92.360312164330907</v>
      </c>
      <c r="AN348">
        <v>0.99999997134724194</v>
      </c>
    </row>
    <row r="349" spans="1:40" x14ac:dyDescent="0.3">
      <c r="A349" t="str">
        <f>"20200111153835696"</f>
        <v>20200111153835696</v>
      </c>
      <c r="B349" t="str">
        <f>"1578728315690506"</f>
        <v>1578728315690506</v>
      </c>
      <c r="C349" t="s">
        <v>40</v>
      </c>
      <c r="D349">
        <v>4.7408609999999998</v>
      </c>
      <c r="E349">
        <v>0.32913310000000001</v>
      </c>
      <c r="F349" t="s">
        <v>42</v>
      </c>
      <c r="G349">
        <v>-356.02530000000002</v>
      </c>
      <c r="H349">
        <v>7.9985730000000005E-2</v>
      </c>
      <c r="I349">
        <v>380.65120000000002</v>
      </c>
      <c r="J349">
        <v>-381.77460000000002</v>
      </c>
      <c r="K349">
        <v>1.1031390000000001</v>
      </c>
      <c r="L349">
        <v>367.48759999999999</v>
      </c>
      <c r="M349">
        <v>0.99999570000000004</v>
      </c>
      <c r="N349">
        <v>0</v>
      </c>
      <c r="O349">
        <v>-4.317778E-4</v>
      </c>
      <c r="P349">
        <v>0.99886390000000003</v>
      </c>
      <c r="Q349">
        <v>2.5831690000000001E-2</v>
      </c>
      <c r="R349">
        <v>4.0043500000000003E-2</v>
      </c>
      <c r="S349">
        <v>2.94577</v>
      </c>
      <c r="T349">
        <v>-0.1156567</v>
      </c>
      <c r="U349">
        <v>1.487946</v>
      </c>
      <c r="V349">
        <v>-4.0473639999999998E-2</v>
      </c>
      <c r="W349">
        <v>2.8724360000000001E-2</v>
      </c>
      <c r="X349">
        <v>0.99876759999999998</v>
      </c>
      <c r="Y349">
        <v>-0.45096900000000001</v>
      </c>
      <c r="Z349">
        <v>8.3638329999999993E-3</v>
      </c>
      <c r="AA349">
        <v>0.89250049999999903</v>
      </c>
      <c r="AB349">
        <v>31</v>
      </c>
      <c r="AC349">
        <v>25.749300000000002</v>
      </c>
      <c r="AD349">
        <v>-1.0231532699999999</v>
      </c>
      <c r="AE349">
        <v>13.163600000000001</v>
      </c>
      <c r="AF349">
        <v>-13.158246031232601</v>
      </c>
      <c r="AG349">
        <v>-1.0231532699999999</v>
      </c>
      <c r="AH349">
        <v>25.7114296800465</v>
      </c>
      <c r="AI349">
        <v>92.028813999514199</v>
      </c>
      <c r="AJ349">
        <v>117.101841409158</v>
      </c>
      <c r="AK349">
        <v>28.900932466346799</v>
      </c>
      <c r="AL349">
        <v>88.353988935735998</v>
      </c>
      <c r="AM349">
        <v>92.320560488451804</v>
      </c>
      <c r="AN349">
        <v>0.99999996160100801</v>
      </c>
    </row>
    <row r="350" spans="1:40" x14ac:dyDescent="0.3">
      <c r="A350" t="str">
        <f>"20200111153835716"</f>
        <v>20200111153835716</v>
      </c>
      <c r="B350" t="str">
        <f>"1578728315711002"</f>
        <v>1578728315711002</v>
      </c>
      <c r="C350" t="s">
        <v>40</v>
      </c>
      <c r="D350">
        <v>4.7384599999999999</v>
      </c>
      <c r="E350">
        <v>0.32911780000000002</v>
      </c>
      <c r="F350" t="s">
        <v>41</v>
      </c>
      <c r="G350">
        <v>-380.78870000000001</v>
      </c>
      <c r="H350">
        <v>1.0653859999999999</v>
      </c>
      <c r="I350">
        <v>367.98439999999999</v>
      </c>
      <c r="J350">
        <v>-381.47340000000003</v>
      </c>
      <c r="K350">
        <v>1.1031070000000001</v>
      </c>
      <c r="L350">
        <v>367.48750000000001</v>
      </c>
      <c r="M350">
        <v>0.99999649999999995</v>
      </c>
      <c r="N350">
        <v>0</v>
      </c>
      <c r="O350">
        <v>-4.3107060000000002E-4</v>
      </c>
      <c r="P350">
        <v>0.99890319999999999</v>
      </c>
      <c r="Q350">
        <v>2.5899490000000001E-2</v>
      </c>
      <c r="R350">
        <v>3.9007E-2</v>
      </c>
      <c r="S350">
        <v>2.9468079999999999</v>
      </c>
      <c r="T350">
        <v>-0.1128324</v>
      </c>
      <c r="U350">
        <v>1.485107</v>
      </c>
      <c r="V350">
        <v>-3.9436550000000001E-2</v>
      </c>
      <c r="W350">
        <v>2.8543240000000001E-2</v>
      </c>
      <c r="X350">
        <v>0.99881430000000004</v>
      </c>
      <c r="Y350">
        <v>-0.45017020000000002</v>
      </c>
      <c r="Z350">
        <v>8.1443709999999992E-3</v>
      </c>
      <c r="AA350">
        <v>0.89290569999999903</v>
      </c>
      <c r="AB350">
        <v>31</v>
      </c>
      <c r="AC350">
        <v>0.68470000000001996</v>
      </c>
      <c r="AD350">
        <v>-3.7720999999999803E-2</v>
      </c>
      <c r="AE350">
        <v>0.49689999999998202</v>
      </c>
      <c r="AF350">
        <v>-0.49620863562365802</v>
      </c>
      <c r="AG350">
        <v>-3.7720999999999803E-2</v>
      </c>
      <c r="AH350">
        <v>0.68312766443908002</v>
      </c>
      <c r="AI350">
        <v>92.558037865944399</v>
      </c>
      <c r="AJ350">
        <v>125.99381474265699</v>
      </c>
      <c r="AK350">
        <v>0.84516820209381105</v>
      </c>
      <c r="AL350">
        <v>88.364370637844402</v>
      </c>
      <c r="AM350">
        <v>92.261055740777195</v>
      </c>
      <c r="AN350">
        <v>0.99999998195504403</v>
      </c>
    </row>
    <row r="351" spans="1:40" x14ac:dyDescent="0.3">
      <c r="A351" t="str">
        <f>"20200111153835738"</f>
        <v>20200111153835738</v>
      </c>
      <c r="B351" t="str">
        <f>"1578728315730521"</f>
        <v>1578728315730521</v>
      </c>
      <c r="C351" t="s">
        <v>40</v>
      </c>
      <c r="D351">
        <v>4.6984240000000002</v>
      </c>
      <c r="E351">
        <v>0.3291364</v>
      </c>
      <c r="F351" t="s">
        <v>41</v>
      </c>
      <c r="G351">
        <v>-380.50650000000002</v>
      </c>
      <c r="H351">
        <v>1.0665119999999999</v>
      </c>
      <c r="I351">
        <v>367.97329999999999</v>
      </c>
      <c r="J351">
        <v>-381.16309999999999</v>
      </c>
      <c r="K351">
        <v>1.1030789999999999</v>
      </c>
      <c r="L351">
        <v>367.4873</v>
      </c>
      <c r="M351">
        <v>0.99999709999999997</v>
      </c>
      <c r="N351">
        <v>0</v>
      </c>
      <c r="O351">
        <v>-4.3006259999999998E-4</v>
      </c>
      <c r="P351">
        <v>0.99894859999999996</v>
      </c>
      <c r="Q351">
        <v>2.6076729999999999E-2</v>
      </c>
      <c r="R351">
        <v>3.7707999999999998E-2</v>
      </c>
      <c r="S351">
        <v>2.9482729999999999</v>
      </c>
      <c r="T351">
        <v>-0.1115603</v>
      </c>
      <c r="U351">
        <v>1.482056</v>
      </c>
      <c r="V351">
        <v>-3.8136349999999999E-2</v>
      </c>
      <c r="W351">
        <v>2.8492710000000001E-2</v>
      </c>
      <c r="X351">
        <v>0.99886629999999998</v>
      </c>
      <c r="Y351">
        <v>-0.44925979999999999</v>
      </c>
      <c r="Z351">
        <v>8.0345160000000002E-3</v>
      </c>
      <c r="AA351">
        <v>0.89336499999999996</v>
      </c>
      <c r="AB351">
        <v>31</v>
      </c>
      <c r="AC351">
        <v>0.65659999999996899</v>
      </c>
      <c r="AD351">
        <v>-3.6567000000000002E-2</v>
      </c>
      <c r="AE351">
        <v>0.48599999999999</v>
      </c>
      <c r="AF351">
        <v>-0.48530989240369299</v>
      </c>
      <c r="AG351">
        <v>-3.6567000000000002E-2</v>
      </c>
      <c r="AH351">
        <v>0.65507831125397098</v>
      </c>
      <c r="AI351">
        <v>92.568167837573995</v>
      </c>
      <c r="AJ351">
        <v>126.532622061536</v>
      </c>
      <c r="AK351">
        <v>0.81608236779704901</v>
      </c>
      <c r="AL351">
        <v>88.367267083571093</v>
      </c>
      <c r="AM351">
        <v>92.1864699241913</v>
      </c>
      <c r="AN351">
        <v>1.0000000504950699</v>
      </c>
    </row>
    <row r="352" spans="1:40" x14ac:dyDescent="0.3">
      <c r="A352" t="str">
        <f>"20200111153835761"</f>
        <v>20200111153835761</v>
      </c>
      <c r="B352" t="str">
        <f>"1578728315751021"</f>
        <v>1578728315751021</v>
      </c>
      <c r="C352" t="s">
        <v>40</v>
      </c>
      <c r="D352">
        <v>4.685505</v>
      </c>
      <c r="E352">
        <v>0.3290283</v>
      </c>
      <c r="F352" t="s">
        <v>41</v>
      </c>
      <c r="G352">
        <v>-380.22089999999997</v>
      </c>
      <c r="H352">
        <v>1.068003</v>
      </c>
      <c r="I352">
        <v>367.95920000000001</v>
      </c>
      <c r="J352">
        <v>-380.84320000000002</v>
      </c>
      <c r="K352">
        <v>1.103054</v>
      </c>
      <c r="L352">
        <v>367.48719999999997</v>
      </c>
      <c r="M352">
        <v>0.99999740000000004</v>
      </c>
      <c r="N352">
        <v>0</v>
      </c>
      <c r="O352">
        <v>-4.2898639999999999E-4</v>
      </c>
      <c r="P352">
        <v>0.99897000000000002</v>
      </c>
      <c r="Q352">
        <v>2.6396159999999998E-2</v>
      </c>
      <c r="R352">
        <v>3.6906120000000001E-2</v>
      </c>
      <c r="S352">
        <v>2.9502259999999998</v>
      </c>
      <c r="T352">
        <v>-0.10981489999999999</v>
      </c>
      <c r="U352">
        <v>1.478027</v>
      </c>
      <c r="V352">
        <v>-3.7333659999999998E-2</v>
      </c>
      <c r="W352">
        <v>2.8607110000000002E-2</v>
      </c>
      <c r="X352">
        <v>0.99889329999999998</v>
      </c>
      <c r="Y352">
        <v>-0.44805529999999999</v>
      </c>
      <c r="Z352">
        <v>7.8852950000000005E-3</v>
      </c>
      <c r="AA352">
        <v>0.89397109999999902</v>
      </c>
      <c r="AB352">
        <v>31</v>
      </c>
      <c r="AC352">
        <v>0.62230000000005203</v>
      </c>
      <c r="AD352">
        <v>-3.5050999999999902E-2</v>
      </c>
      <c r="AE352">
        <v>0.472000000000036</v>
      </c>
      <c r="AF352">
        <v>-0.47131772064613198</v>
      </c>
      <c r="AG352">
        <v>-3.5050999999999902E-2</v>
      </c>
      <c r="AH352">
        <v>0.62084712599125902</v>
      </c>
      <c r="AI352">
        <v>92.574688657292199</v>
      </c>
      <c r="AJ352">
        <v>127.20404590163599</v>
      </c>
      <c r="AK352">
        <v>0.78026926137563002</v>
      </c>
      <c r="AL352">
        <v>88.360709685787896</v>
      </c>
      <c r="AM352">
        <v>92.140434792210101</v>
      </c>
      <c r="AN352">
        <v>0.99999999684821805</v>
      </c>
    </row>
    <row r="353" spans="1:40" x14ac:dyDescent="0.3">
      <c r="A353" t="str">
        <f>"20200111153835793"</f>
        <v>20200111153835793</v>
      </c>
      <c r="B353" t="str">
        <f>"1578728315791033"</f>
        <v>1578728315791033</v>
      </c>
      <c r="C353" t="s">
        <v>40</v>
      </c>
      <c r="D353">
        <v>4.6875989999999996</v>
      </c>
      <c r="E353">
        <v>0.32863530000000002</v>
      </c>
      <c r="F353" t="s">
        <v>41</v>
      </c>
      <c r="G353">
        <v>-379.9341</v>
      </c>
      <c r="H353">
        <v>1.070111</v>
      </c>
      <c r="I353">
        <v>367.9418</v>
      </c>
      <c r="J353">
        <v>-380.38279999999997</v>
      </c>
      <c r="K353">
        <v>1.1030230000000001</v>
      </c>
      <c r="L353">
        <v>367.48700000000002</v>
      </c>
      <c r="M353">
        <v>0.99999800000000005</v>
      </c>
      <c r="N353">
        <v>0</v>
      </c>
      <c r="O353">
        <v>-4.2752669999999998E-4</v>
      </c>
      <c r="P353">
        <v>0.99896110000000005</v>
      </c>
      <c r="Q353">
        <v>2.6741000000000001E-2</v>
      </c>
      <c r="R353">
        <v>3.6901089999999998E-2</v>
      </c>
      <c r="S353">
        <v>2.9513850000000001</v>
      </c>
      <c r="T353">
        <v>-0.106936</v>
      </c>
      <c r="U353">
        <v>1.476135</v>
      </c>
      <c r="V353">
        <v>-3.7327359999999997E-2</v>
      </c>
      <c r="W353">
        <v>2.8699570000000001E-2</v>
      </c>
      <c r="X353">
        <v>0.99889090000000003</v>
      </c>
      <c r="Y353">
        <v>-0.44746809999999998</v>
      </c>
      <c r="Z353">
        <v>7.6669399999999997E-3</v>
      </c>
      <c r="AA353">
        <v>0.89426700000000003</v>
      </c>
      <c r="AB353">
        <v>31</v>
      </c>
      <c r="AC353">
        <v>0.44869999999997301</v>
      </c>
      <c r="AD353">
        <v>-3.2911999999999803E-2</v>
      </c>
      <c r="AE353">
        <v>0.45480000000003401</v>
      </c>
      <c r="AF353">
        <v>-0.45378754460502102</v>
      </c>
      <c r="AG353">
        <v>-3.2911999999999803E-2</v>
      </c>
      <c r="AH353">
        <v>0.44731844152998701</v>
      </c>
      <c r="AI353">
        <v>92.956780400822495</v>
      </c>
      <c r="AJ353">
        <v>135.41132335335101</v>
      </c>
      <c r="AK353">
        <v>0.63804398243026295</v>
      </c>
      <c r="AL353">
        <v>88.355409969545505</v>
      </c>
      <c r="AM353">
        <v>92.140079069974206</v>
      </c>
      <c r="AN353">
        <v>1.00000001361278</v>
      </c>
    </row>
    <row r="354" spans="1:40" x14ac:dyDescent="0.3">
      <c r="A354" t="str">
        <f>"20200111153835818"</f>
        <v>20200111153835818</v>
      </c>
      <c r="B354" t="str">
        <f>"1578728315810554"</f>
        <v>1578728315810554</v>
      </c>
      <c r="C354" t="s">
        <v>40</v>
      </c>
      <c r="D354">
        <v>4.6812480000000001</v>
      </c>
      <c r="E354">
        <v>0.328416599999999</v>
      </c>
      <c r="F354" t="s">
        <v>42</v>
      </c>
      <c r="G354">
        <v>-349.72739999999999</v>
      </c>
      <c r="H354">
        <v>7.9986899999999903E-2</v>
      </c>
      <c r="I354">
        <v>382.85750000000002</v>
      </c>
      <c r="J354">
        <v>-380.0446</v>
      </c>
      <c r="K354">
        <v>1.1029979999999999</v>
      </c>
      <c r="L354">
        <v>367.48680000000002</v>
      </c>
      <c r="M354">
        <v>0.99999830000000001</v>
      </c>
      <c r="N354">
        <v>0</v>
      </c>
      <c r="O354">
        <v>-4.2666349999999999E-4</v>
      </c>
      <c r="P354">
        <v>0.99894769999999999</v>
      </c>
      <c r="Q354">
        <v>2.6473010000000002E-2</v>
      </c>
      <c r="R354">
        <v>3.7453729999999998E-2</v>
      </c>
      <c r="S354">
        <v>2.951111</v>
      </c>
      <c r="T354">
        <v>-9.8484870000000002E-2</v>
      </c>
      <c r="U354">
        <v>1.4796750000000001</v>
      </c>
      <c r="V354">
        <v>-3.7878910000000002E-2</v>
      </c>
      <c r="W354">
        <v>2.827727E-2</v>
      </c>
      <c r="X354">
        <v>0.99888220000000005</v>
      </c>
      <c r="Y354">
        <v>-0.4483934</v>
      </c>
      <c r="Z354">
        <v>7.0746649999999999E-3</v>
      </c>
      <c r="AA354">
        <v>0.8938083</v>
      </c>
      <c r="AB354">
        <v>32</v>
      </c>
      <c r="AC354">
        <v>30.3172</v>
      </c>
      <c r="AD354">
        <v>-1.0230111</v>
      </c>
      <c r="AE354">
        <v>15.370699999999999</v>
      </c>
      <c r="AF354">
        <v>-15.369711999083499</v>
      </c>
      <c r="AG354">
        <v>-1.0230111</v>
      </c>
      <c r="AH354">
        <v>30.283208621917499</v>
      </c>
      <c r="AI354">
        <v>91.725442032013106</v>
      </c>
      <c r="AJ354">
        <v>116.90927337249499</v>
      </c>
      <c r="AK354">
        <v>33.975687234904797</v>
      </c>
      <c r="AL354">
        <v>88.3796158325394</v>
      </c>
      <c r="AM354">
        <v>92.171689771129707</v>
      </c>
      <c r="AN354">
        <v>1.0000000326491401</v>
      </c>
    </row>
    <row r="355" spans="1:40" x14ac:dyDescent="0.3">
      <c r="A355" t="str">
        <f>"20200111153835839"</f>
        <v>20200111153835839</v>
      </c>
      <c r="B355" t="str">
        <f>"1578728315831053"</f>
        <v>1578728315831053</v>
      </c>
      <c r="C355" t="s">
        <v>40</v>
      </c>
      <c r="D355">
        <v>4.693092</v>
      </c>
      <c r="E355">
        <v>0.32828990000000002</v>
      </c>
      <c r="F355" t="s">
        <v>41</v>
      </c>
      <c r="G355">
        <v>-379.06420000000003</v>
      </c>
      <c r="H355">
        <v>1.071129</v>
      </c>
      <c r="I355">
        <v>367.9796</v>
      </c>
      <c r="J355">
        <v>-379.71890000000002</v>
      </c>
      <c r="K355">
        <v>1.1029770000000001</v>
      </c>
      <c r="L355">
        <v>367.48669999999998</v>
      </c>
      <c r="M355">
        <v>0.99999850000000001</v>
      </c>
      <c r="N355">
        <v>0</v>
      </c>
      <c r="O355">
        <v>-4.2559720000000001E-4</v>
      </c>
      <c r="P355">
        <v>0.99895250000000002</v>
      </c>
      <c r="Q355">
        <v>2.6018469999999998E-2</v>
      </c>
      <c r="R355">
        <v>3.7640229999999997E-2</v>
      </c>
      <c r="S355">
        <v>2.9501040000000001</v>
      </c>
      <c r="T355">
        <v>-9.5911620000000003E-2</v>
      </c>
      <c r="U355">
        <v>1.4828490000000001</v>
      </c>
      <c r="V355">
        <v>-3.806433E-2</v>
      </c>
      <c r="W355">
        <v>2.7696709999999999E-2</v>
      </c>
      <c r="X355">
        <v>0.99889139999999998</v>
      </c>
      <c r="Y355">
        <v>-0.44929229999999998</v>
      </c>
      <c r="Z355">
        <v>6.9041859999999997E-3</v>
      </c>
      <c r="AA355">
        <v>0.89335810000000004</v>
      </c>
      <c r="AB355">
        <v>32</v>
      </c>
      <c r="AC355">
        <v>0.65469999999999096</v>
      </c>
      <c r="AD355">
        <v>-3.1848000000000098E-2</v>
      </c>
      <c r="AE355">
        <v>0.49290000000001999</v>
      </c>
      <c r="AF355">
        <v>-0.49243486688701199</v>
      </c>
      <c r="AG355">
        <v>-3.1848000000000098E-2</v>
      </c>
      <c r="AH355">
        <v>0.65350317376195399</v>
      </c>
      <c r="AI355">
        <v>92.228904074071707</v>
      </c>
      <c r="AJ355">
        <v>126.999155787066</v>
      </c>
      <c r="AK355">
        <v>0.81888509044125102</v>
      </c>
      <c r="AL355">
        <v>88.412892476512198</v>
      </c>
      <c r="AM355">
        <v>92.1822900158474</v>
      </c>
      <c r="AN355">
        <v>1.0000000149785599</v>
      </c>
    </row>
    <row r="356" spans="1:40" x14ac:dyDescent="0.3">
      <c r="A356" t="str">
        <f>"20200111153835861"</f>
        <v>20200111153835861</v>
      </c>
      <c r="B356" t="str">
        <f>"1578728315850569"</f>
        <v>1578728315850569</v>
      </c>
      <c r="C356" t="s">
        <v>40</v>
      </c>
      <c r="D356">
        <v>4.7137589999999996</v>
      </c>
      <c r="E356">
        <v>0.32813419999999999</v>
      </c>
      <c r="F356" t="s">
        <v>41</v>
      </c>
      <c r="G356">
        <v>-378.72570000000002</v>
      </c>
      <c r="H356">
        <v>1.0711079999999999</v>
      </c>
      <c r="I356">
        <v>367.9864</v>
      </c>
      <c r="J356">
        <v>-379.40899999999999</v>
      </c>
      <c r="K356">
        <v>1.1029580000000001</v>
      </c>
      <c r="L356">
        <v>367.48660000000001</v>
      </c>
      <c r="M356">
        <v>0.99999870000000002</v>
      </c>
      <c r="N356">
        <v>0</v>
      </c>
      <c r="O356">
        <v>-4.2467630000000002E-4</v>
      </c>
      <c r="P356">
        <v>0.99896189999999996</v>
      </c>
      <c r="Q356">
        <v>2.5973969999999999E-2</v>
      </c>
      <c r="R356">
        <v>3.7424579999999999E-2</v>
      </c>
      <c r="S356">
        <v>2.9497070000000001</v>
      </c>
      <c r="T356">
        <v>-9.4622020000000001E-2</v>
      </c>
      <c r="U356">
        <v>1.4845889999999999</v>
      </c>
      <c r="V356">
        <v>-3.7847770000000003E-2</v>
      </c>
      <c r="W356">
        <v>2.7548469999999999E-2</v>
      </c>
      <c r="X356">
        <v>0.99890369999999995</v>
      </c>
      <c r="Y356">
        <v>-0.44976500000000003</v>
      </c>
      <c r="Z356">
        <v>6.8184860000000003E-3</v>
      </c>
      <c r="AA356">
        <v>0.8931209</v>
      </c>
      <c r="AB356">
        <v>32</v>
      </c>
      <c r="AC356">
        <v>0.68329999999997404</v>
      </c>
      <c r="AD356">
        <v>-3.1849999999999899E-2</v>
      </c>
      <c r="AE356">
        <v>0.49979999999999303</v>
      </c>
      <c r="AF356">
        <v>-0.49938330470566</v>
      </c>
      <c r="AG356">
        <v>-3.1849999999999899E-2</v>
      </c>
      <c r="AH356">
        <v>0.68212220264135703</v>
      </c>
      <c r="AI356">
        <v>92.157608305791101</v>
      </c>
      <c r="AJ356">
        <v>126.20794785802499</v>
      </c>
      <c r="AK356">
        <v>0.84598392824866597</v>
      </c>
      <c r="AL356">
        <v>88.421389200552795</v>
      </c>
      <c r="AM356">
        <v>92.169859487203894</v>
      </c>
      <c r="AN356">
        <v>0.999999986883501</v>
      </c>
    </row>
    <row r="357" spans="1:40" x14ac:dyDescent="0.3">
      <c r="A357" t="str">
        <f>"20200111153835883"</f>
        <v>20200111153835883</v>
      </c>
      <c r="B357" t="str">
        <f>"1578728315880826"</f>
        <v>1578728315880826</v>
      </c>
      <c r="C357" t="s">
        <v>40</v>
      </c>
      <c r="D357">
        <v>4.6689790000000002</v>
      </c>
      <c r="E357">
        <v>0.32778420000000003</v>
      </c>
      <c r="F357" t="s">
        <v>41</v>
      </c>
      <c r="G357">
        <v>-378.41230000000002</v>
      </c>
      <c r="H357">
        <v>1.0711280000000001</v>
      </c>
      <c r="I357">
        <v>367.98829999999998</v>
      </c>
      <c r="J357">
        <v>-379.08150000000001</v>
      </c>
      <c r="K357">
        <v>1.1029329999999999</v>
      </c>
      <c r="L357">
        <v>367.48649999999998</v>
      </c>
      <c r="M357">
        <v>0.99999890000000002</v>
      </c>
      <c r="N357">
        <v>0</v>
      </c>
      <c r="O357">
        <v>-4.2376730000000002E-4</v>
      </c>
      <c r="P357">
        <v>0.99895089999999997</v>
      </c>
      <c r="Q357">
        <v>2.5797549999999999E-2</v>
      </c>
      <c r="R357">
        <v>3.7839060000000001E-2</v>
      </c>
      <c r="S357">
        <v>2.949951</v>
      </c>
      <c r="T357">
        <v>-9.4215629999999995E-2</v>
      </c>
      <c r="U357">
        <v>1.48465</v>
      </c>
      <c r="V357">
        <v>-3.8261490000000002E-2</v>
      </c>
      <c r="W357">
        <v>2.72763E-2</v>
      </c>
      <c r="X357">
        <v>0.99889539999999999</v>
      </c>
      <c r="Y357">
        <v>-0.44975090000000001</v>
      </c>
      <c r="Z357">
        <v>6.7884440000000002E-3</v>
      </c>
      <c r="AA357">
        <v>0.89312819999999904</v>
      </c>
      <c r="AB357">
        <v>32</v>
      </c>
      <c r="AC357">
        <v>0.66919999999998903</v>
      </c>
      <c r="AD357">
        <v>-3.1804999999999799E-2</v>
      </c>
      <c r="AE357">
        <v>0.50180000000000202</v>
      </c>
      <c r="AF357">
        <v>-0.50135865428555104</v>
      </c>
      <c r="AG357">
        <v>-3.1804999999999799E-2</v>
      </c>
      <c r="AH357">
        <v>0.66802143898435795</v>
      </c>
      <c r="AI357">
        <v>92.180725108852201</v>
      </c>
      <c r="AJ357">
        <v>126.888697783379</v>
      </c>
      <c r="AK357">
        <v>0.83583772419935198</v>
      </c>
      <c r="AL357">
        <v>88.436989243370306</v>
      </c>
      <c r="AM357">
        <v>92.193573730380095</v>
      </c>
      <c r="AN357">
        <v>0.99999997914993399</v>
      </c>
    </row>
    <row r="358" spans="1:40" x14ac:dyDescent="0.3">
      <c r="A358" t="str">
        <f>"20200111153835905"</f>
        <v>20200111153835905</v>
      </c>
      <c r="B358" t="str">
        <f>"1578728315900346"</f>
        <v>1578728315900346</v>
      </c>
      <c r="C358" t="s">
        <v>40</v>
      </c>
      <c r="D358">
        <v>4.6808149999999999</v>
      </c>
      <c r="E358">
        <v>0.32756020000000002</v>
      </c>
      <c r="F358" t="s">
        <v>42</v>
      </c>
      <c r="G358">
        <v>-346.86959999999999</v>
      </c>
      <c r="H358">
        <v>7.9985970000000003E-2</v>
      </c>
      <c r="I358">
        <v>383.75060000000002</v>
      </c>
      <c r="J358">
        <v>-378.76580000000001</v>
      </c>
      <c r="K358">
        <v>1.10291299999999</v>
      </c>
      <c r="L358">
        <v>367.4864</v>
      </c>
      <c r="M358">
        <v>0.99999890000000002</v>
      </c>
      <c r="N358">
        <v>0</v>
      </c>
      <c r="O358">
        <v>-4.2263590000000002E-4</v>
      </c>
      <c r="P358">
        <v>0.99894609999999995</v>
      </c>
      <c r="Q358">
        <v>2.5581639999999999E-2</v>
      </c>
      <c r="R358">
        <v>3.8112159999999999E-2</v>
      </c>
      <c r="S358">
        <v>2.9491879999999999</v>
      </c>
      <c r="T358">
        <v>-9.3656660000000003E-2</v>
      </c>
      <c r="U358">
        <v>1.4890749999999999</v>
      </c>
      <c r="V358">
        <v>-3.8533770000000002E-2</v>
      </c>
      <c r="W358">
        <v>2.6981720000000001E-2</v>
      </c>
      <c r="X358">
        <v>0.99889300000000003</v>
      </c>
      <c r="Y358">
        <v>-0.45091249999999999</v>
      </c>
      <c r="Z358">
        <v>6.7649549999999996E-3</v>
      </c>
      <c r="AA358">
        <v>0.89254249999999902</v>
      </c>
      <c r="AB358">
        <v>33</v>
      </c>
      <c r="AC358">
        <v>31.8962</v>
      </c>
      <c r="AD358">
        <v>-1.02292702999999</v>
      </c>
      <c r="AE358">
        <v>16.264199999999999</v>
      </c>
      <c r="AF358">
        <v>-16.264402770482</v>
      </c>
      <c r="AG358">
        <v>-1.02292702999999</v>
      </c>
      <c r="AH358">
        <v>31.863313995965299</v>
      </c>
      <c r="AI358">
        <v>91.637863283440794</v>
      </c>
      <c r="AJ358">
        <v>117.041716832955</v>
      </c>
      <c r="AK358">
        <v>35.788936223288999</v>
      </c>
      <c r="AL358">
        <v>88.453873750885194</v>
      </c>
      <c r="AM358">
        <v>92.209173735747598</v>
      </c>
      <c r="AN358">
        <v>1.0000000450467801</v>
      </c>
    </row>
    <row r="359" spans="1:40" x14ac:dyDescent="0.3">
      <c r="A359" t="str">
        <f>"20200111153835928"</f>
        <v>20200111153835928</v>
      </c>
      <c r="B359" t="str">
        <f>"1578728315920842"</f>
        <v>1578728315920842</v>
      </c>
      <c r="C359" t="s">
        <v>40</v>
      </c>
      <c r="D359">
        <v>4.6576649999999997</v>
      </c>
      <c r="E359">
        <v>0.32745180000000002</v>
      </c>
      <c r="F359" t="s">
        <v>42</v>
      </c>
      <c r="G359">
        <v>-346.49740000000003</v>
      </c>
      <c r="H359">
        <v>7.9985840000000002E-2</v>
      </c>
      <c r="I359">
        <v>383.80430000000001</v>
      </c>
      <c r="J359">
        <v>-378.42020000000002</v>
      </c>
      <c r="K359">
        <v>1.102894</v>
      </c>
      <c r="L359">
        <v>367.4862</v>
      </c>
      <c r="M359">
        <v>0.99999910000000003</v>
      </c>
      <c r="N359">
        <v>0</v>
      </c>
      <c r="O359">
        <v>-4.2175019999999999E-4</v>
      </c>
      <c r="P359">
        <v>0.99892709999999996</v>
      </c>
      <c r="Q359">
        <v>2.5190799999999999E-2</v>
      </c>
      <c r="R359">
        <v>3.8861930000000003E-2</v>
      </c>
      <c r="S359">
        <v>2.9486690000000002</v>
      </c>
      <c r="T359">
        <v>-9.3474509999999997E-2</v>
      </c>
      <c r="U359">
        <v>1.4911190000000001</v>
      </c>
      <c r="V359">
        <v>-3.9282060000000001E-2</v>
      </c>
      <c r="W359">
        <v>2.651792E-2</v>
      </c>
      <c r="X359">
        <v>0.99887619999999999</v>
      </c>
      <c r="Y359">
        <v>-0.45146829999999999</v>
      </c>
      <c r="Z359">
        <v>6.7601500000000004E-3</v>
      </c>
      <c r="AA359">
        <v>0.89226149999999904</v>
      </c>
      <c r="AB359">
        <v>33</v>
      </c>
      <c r="AC359">
        <v>31.922799999999899</v>
      </c>
      <c r="AD359">
        <v>-1.0229081600000001</v>
      </c>
      <c r="AE359">
        <v>16.318100000000001</v>
      </c>
      <c r="AF359">
        <v>-16.318278042086</v>
      </c>
      <c r="AG359">
        <v>-1.0229081600000001</v>
      </c>
      <c r="AH359">
        <v>31.8899548376653</v>
      </c>
      <c r="AI359">
        <v>91.635628711881296</v>
      </c>
      <c r="AJ359">
        <v>117.099093991627</v>
      </c>
      <c r="AK359">
        <v>35.837156121977003</v>
      </c>
      <c r="AL359">
        <v>88.480456933445296</v>
      </c>
      <c r="AM359">
        <v>92.252067923311699</v>
      </c>
      <c r="AN359">
        <v>0.99999997162270404</v>
      </c>
    </row>
    <row r="360" spans="1:40" x14ac:dyDescent="0.3">
      <c r="A360" t="str">
        <f>"20200111153835951"</f>
        <v>20200111153835951</v>
      </c>
      <c r="B360" t="str">
        <f>"1578728315940366"</f>
        <v>1578728315940366</v>
      </c>
      <c r="C360" t="s">
        <v>40</v>
      </c>
      <c r="D360">
        <v>4.7192569999999998</v>
      </c>
      <c r="E360">
        <v>0.31783230000000001</v>
      </c>
      <c r="F360" t="s">
        <v>42</v>
      </c>
      <c r="G360">
        <v>-346.60590000000002</v>
      </c>
      <c r="H360">
        <v>7.9985870000000001E-2</v>
      </c>
      <c r="I360">
        <v>383.61160000000001</v>
      </c>
      <c r="J360">
        <v>-378.08789999999999</v>
      </c>
      <c r="K360">
        <v>1.1028720000000001</v>
      </c>
      <c r="L360">
        <v>367.48610000000002</v>
      </c>
      <c r="M360">
        <v>0.99999910000000003</v>
      </c>
      <c r="N360">
        <v>0</v>
      </c>
      <c r="O360">
        <v>-4.207584E-4</v>
      </c>
      <c r="P360">
        <v>0.99889059999999996</v>
      </c>
      <c r="Q360">
        <v>2.4902170000000001E-2</v>
      </c>
      <c r="R360">
        <v>3.9967669999999997E-2</v>
      </c>
      <c r="S360">
        <v>2.94754</v>
      </c>
      <c r="T360">
        <v>-9.4770789999999994E-2</v>
      </c>
      <c r="U360">
        <v>1.4939880000000001</v>
      </c>
      <c r="V360">
        <v>-4.0386940000000003E-2</v>
      </c>
      <c r="W360">
        <v>2.6171860000000002E-2</v>
      </c>
      <c r="X360">
        <v>0.99884130000000004</v>
      </c>
      <c r="Y360">
        <v>-0.45229059999999999</v>
      </c>
      <c r="Z360">
        <v>6.8672109999999998E-3</v>
      </c>
      <c r="AA360">
        <v>0.89184419999999898</v>
      </c>
      <c r="AB360">
        <v>33</v>
      </c>
      <c r="AC360">
        <v>31.4819999999999</v>
      </c>
      <c r="AD360">
        <v>-1.0228861299999901</v>
      </c>
      <c r="AE360">
        <v>16.125499999999899</v>
      </c>
      <c r="AF360">
        <v>-16.125259848403601</v>
      </c>
      <c r="AG360">
        <v>-1.0228861299999901</v>
      </c>
      <c r="AH360">
        <v>31.4489125254238</v>
      </c>
      <c r="AI360">
        <v>91.657820022333894</v>
      </c>
      <c r="AJ360">
        <v>117.14623745383901</v>
      </c>
      <c r="AK360">
        <v>35.356815470927899</v>
      </c>
      <c r="AL360">
        <v>88.500291648807206</v>
      </c>
      <c r="AM360">
        <v>92.315424280212099</v>
      </c>
      <c r="AN360">
        <v>1.00000000688205</v>
      </c>
    </row>
    <row r="361" spans="1:40" x14ac:dyDescent="0.3">
      <c r="A361" t="str">
        <f>"20200111153835971"</f>
        <v>20200111153835971</v>
      </c>
      <c r="B361" t="str">
        <f>"1578728315960861"</f>
        <v>1578728315960861</v>
      </c>
      <c r="C361" t="s">
        <v>40</v>
      </c>
      <c r="D361">
        <v>4.7448739999999896</v>
      </c>
      <c r="E361">
        <v>0.31816939999999999</v>
      </c>
      <c r="F361" t="s">
        <v>51</v>
      </c>
      <c r="G361">
        <v>-314.22340000000003</v>
      </c>
      <c r="H361">
        <v>0.2152596</v>
      </c>
      <c r="I361">
        <v>401.65</v>
      </c>
      <c r="J361">
        <v>-377.77179999999998</v>
      </c>
      <c r="K361">
        <v>1.102862</v>
      </c>
      <c r="L361">
        <v>367.48590000000002</v>
      </c>
      <c r="M361">
        <v>0.99999919999999998</v>
      </c>
      <c r="N361">
        <v>0</v>
      </c>
      <c r="O361">
        <v>-4.1989570000000001E-4</v>
      </c>
      <c r="P361">
        <v>0.99884099999999998</v>
      </c>
      <c r="Q361">
        <v>2.5251659999999999E-2</v>
      </c>
      <c r="R361">
        <v>4.0976390000000001E-2</v>
      </c>
      <c r="S361">
        <v>2.9414060000000002</v>
      </c>
      <c r="T361">
        <v>-4.0881510000000003E-2</v>
      </c>
      <c r="U361">
        <v>1.5734859999999999</v>
      </c>
      <c r="V361">
        <v>-4.1394880000000002E-2</v>
      </c>
      <c r="W361">
        <v>2.647741E-2</v>
      </c>
      <c r="X361">
        <v>0.99879200000000001</v>
      </c>
      <c r="Y361">
        <v>-0.472028</v>
      </c>
      <c r="Z361">
        <v>3.0795079999999999E-3</v>
      </c>
      <c r="AA361">
        <v>0.88157809999999903</v>
      </c>
      <c r="AB361">
        <v>33</v>
      </c>
      <c r="AC361">
        <v>63.548399999999901</v>
      </c>
      <c r="AD361">
        <v>-0.88760239999999901</v>
      </c>
      <c r="AE361">
        <v>34.164099999999898</v>
      </c>
      <c r="AF361">
        <v>-34.185606894463497</v>
      </c>
      <c r="AG361">
        <v>-0.88760239999999901</v>
      </c>
      <c r="AH361">
        <v>63.524434938215201</v>
      </c>
      <c r="AI361">
        <v>90.7049367356624</v>
      </c>
      <c r="AJ361">
        <v>118.286868850712</v>
      </c>
      <c r="AK361">
        <v>72.144281762193799</v>
      </c>
      <c r="AL361">
        <v>88.482778880742202</v>
      </c>
      <c r="AM361">
        <v>92.373262243015503</v>
      </c>
      <c r="AN361">
        <v>1.00000002429726</v>
      </c>
    </row>
    <row r="362" spans="1:40" x14ac:dyDescent="0.3">
      <c r="A362" t="str">
        <f>"20200111153835995"</f>
        <v>20200111153835995</v>
      </c>
      <c r="B362" t="str">
        <f>"1578728315991115"</f>
        <v>1578728315991115</v>
      </c>
      <c r="C362" t="s">
        <v>40</v>
      </c>
      <c r="D362">
        <v>5.0021879999999896</v>
      </c>
      <c r="E362">
        <v>0.31809399999999999</v>
      </c>
      <c r="F362" t="s">
        <v>51</v>
      </c>
      <c r="G362">
        <v>-313.93770000000001</v>
      </c>
      <c r="H362">
        <v>0.229044</v>
      </c>
      <c r="I362">
        <v>401.65</v>
      </c>
      <c r="J362">
        <v>-377.41860000000003</v>
      </c>
      <c r="K362">
        <v>1.102851</v>
      </c>
      <c r="L362">
        <v>367.48579999999998</v>
      </c>
      <c r="M362">
        <v>0.99999919999999998</v>
      </c>
      <c r="N362">
        <v>0</v>
      </c>
      <c r="O362">
        <v>-4.1879910000000001E-4</v>
      </c>
      <c r="P362">
        <v>0.99881549999999997</v>
      </c>
      <c r="Q362">
        <v>2.566717E-2</v>
      </c>
      <c r="R362">
        <v>4.1340969999999998E-2</v>
      </c>
      <c r="S362">
        <v>2.93988</v>
      </c>
      <c r="T362">
        <v>-4.0244460000000003E-2</v>
      </c>
      <c r="U362">
        <v>1.5734250000000001</v>
      </c>
      <c r="V362">
        <v>-4.1758320000000002E-2</v>
      </c>
      <c r="W362">
        <v>2.6854929999999999E-2</v>
      </c>
      <c r="X362">
        <v>0.99876679999999995</v>
      </c>
      <c r="Y362">
        <v>-0.47220420000000002</v>
      </c>
      <c r="Z362">
        <v>3.0340409999999999E-3</v>
      </c>
      <c r="AA362">
        <v>0.88148400000000005</v>
      </c>
      <c r="AB362">
        <v>33</v>
      </c>
      <c r="AC362">
        <v>63.480899999999998</v>
      </c>
      <c r="AD362">
        <v>-0.873807</v>
      </c>
      <c r="AE362">
        <v>34.164199999999902</v>
      </c>
      <c r="AF362">
        <v>-34.185760241437897</v>
      </c>
      <c r="AG362">
        <v>-0.873807</v>
      </c>
      <c r="AH362">
        <v>63.457263432066497</v>
      </c>
      <c r="AI362">
        <v>90.694550137184095</v>
      </c>
      <c r="AJ362">
        <v>118.31227899670399</v>
      </c>
      <c r="AK362">
        <v>72.085047161287306</v>
      </c>
      <c r="AL362">
        <v>88.461140896751104</v>
      </c>
      <c r="AM362">
        <v>92.394135276898197</v>
      </c>
      <c r="AN362">
        <v>1.00000003266838</v>
      </c>
    </row>
    <row r="363" spans="1:40" x14ac:dyDescent="0.3">
      <c r="A363" t="str">
        <f>"20200111153836019"</f>
        <v>20200111153836019</v>
      </c>
      <c r="B363" t="str">
        <f>"1578728316010634"</f>
        <v>1578728316010634</v>
      </c>
      <c r="C363" t="s">
        <v>40</v>
      </c>
      <c r="D363">
        <v>4.9242179999999998</v>
      </c>
      <c r="E363">
        <v>0.37628660000000003</v>
      </c>
      <c r="F363" t="s">
        <v>51</v>
      </c>
      <c r="G363">
        <v>-313.6782</v>
      </c>
      <c r="H363">
        <v>0.15468219999999999</v>
      </c>
      <c r="I363">
        <v>401.65</v>
      </c>
      <c r="J363">
        <v>-377.05840000000001</v>
      </c>
      <c r="K363">
        <v>1.102843</v>
      </c>
      <c r="L363">
        <v>367.48570000000001</v>
      </c>
      <c r="M363">
        <v>0.99999919999999998</v>
      </c>
      <c r="N363">
        <v>0</v>
      </c>
      <c r="O363">
        <v>-4.1759039999999999E-4</v>
      </c>
      <c r="P363">
        <v>0.99880449999999998</v>
      </c>
      <c r="Q363">
        <v>2.636163E-2</v>
      </c>
      <c r="R363">
        <v>4.1167410000000002E-2</v>
      </c>
      <c r="S363">
        <v>2.9394840000000002</v>
      </c>
      <c r="T363">
        <v>-4.3726920000000002E-2</v>
      </c>
      <c r="U363">
        <v>1.575531</v>
      </c>
      <c r="V363">
        <v>-4.1583740000000001E-2</v>
      </c>
      <c r="W363">
        <v>2.7521779999999999E-2</v>
      </c>
      <c r="X363">
        <v>0.99875590000000003</v>
      </c>
      <c r="Y363">
        <v>-0.47273690000000002</v>
      </c>
      <c r="Z363">
        <v>3.300126E-3</v>
      </c>
      <c r="AA363">
        <v>0.88119749999999997</v>
      </c>
      <c r="AB363">
        <v>34</v>
      </c>
      <c r="AC363">
        <v>63.380200000000002</v>
      </c>
      <c r="AD363">
        <v>-0.94816080000000003</v>
      </c>
      <c r="AE363">
        <v>34.164299999999898</v>
      </c>
      <c r="AF363">
        <v>-34.1848359562591</v>
      </c>
      <c r="AG363">
        <v>-0.94816080000000003</v>
      </c>
      <c r="AH363">
        <v>63.354941298654097</v>
      </c>
      <c r="AI363">
        <v>90.754591468428202</v>
      </c>
      <c r="AJ363">
        <v>118.350255304885</v>
      </c>
      <c r="AK363">
        <v>71.995490172752596</v>
      </c>
      <c r="AL363">
        <v>88.422919028497802</v>
      </c>
      <c r="AM363">
        <v>92.384163622179599</v>
      </c>
      <c r="AN363">
        <v>1.00000000179578</v>
      </c>
    </row>
    <row r="364" spans="1:40" x14ac:dyDescent="0.3">
      <c r="A364" t="str">
        <f>"20200111153836041"</f>
        <v>20200111153836041</v>
      </c>
      <c r="B364" t="str">
        <f>"1578728316031130"</f>
        <v>1578728316031130</v>
      </c>
      <c r="C364" t="s">
        <v>40</v>
      </c>
      <c r="D364">
        <v>4.996213</v>
      </c>
      <c r="E364">
        <v>0.43299870000000001</v>
      </c>
      <c r="F364" t="s">
        <v>42</v>
      </c>
      <c r="G364">
        <v>-364.30630000000002</v>
      </c>
      <c r="H364" s="1">
        <v>-3.1339390000000002E-6</v>
      </c>
      <c r="I364">
        <v>372.28109999999998</v>
      </c>
      <c r="J364">
        <v>-376.71539999999999</v>
      </c>
      <c r="K364">
        <v>1.1028370000000001</v>
      </c>
      <c r="L364">
        <v>367.4855</v>
      </c>
      <c r="M364">
        <v>0.99999930000000004</v>
      </c>
      <c r="N364">
        <v>0</v>
      </c>
      <c r="O364">
        <v>-4.167455E-4</v>
      </c>
      <c r="P364">
        <v>0.99883460000000002</v>
      </c>
      <c r="Q364">
        <v>2.6661259999999999E-2</v>
      </c>
      <c r="R364">
        <v>4.0232280000000002E-2</v>
      </c>
      <c r="S364">
        <v>2.9644170000000001</v>
      </c>
      <c r="T364">
        <v>-0.2563706</v>
      </c>
      <c r="U364">
        <v>1.1147769999999999</v>
      </c>
      <c r="V364">
        <v>-4.0647580000000003E-2</v>
      </c>
      <c r="W364">
        <v>2.7803959999999999E-2</v>
      </c>
      <c r="X364">
        <v>0.99878659999999997</v>
      </c>
      <c r="Y364">
        <v>-0.35122690000000001</v>
      </c>
      <c r="Z364">
        <v>1.469551E-2</v>
      </c>
      <c r="AA364">
        <v>0.93617499999999998</v>
      </c>
      <c r="AB364">
        <v>34</v>
      </c>
      <c r="AC364">
        <v>12.409099999999899</v>
      </c>
      <c r="AD364">
        <v>-1.1028401339389999</v>
      </c>
      <c r="AE364">
        <v>4.7955999999999701</v>
      </c>
      <c r="AF364">
        <v>-4.7680046097523903</v>
      </c>
      <c r="AG364">
        <v>-1.1028401339389999</v>
      </c>
      <c r="AH364">
        <v>12.3224189409144</v>
      </c>
      <c r="AI364">
        <v>94.771309028648005</v>
      </c>
      <c r="AJ364">
        <v>111.15331735148</v>
      </c>
      <c r="AK364">
        <v>13.2586625598154</v>
      </c>
      <c r="AL364">
        <v>88.406745079711797</v>
      </c>
      <c r="AM364">
        <v>92.330478099352007</v>
      </c>
      <c r="AN364">
        <v>0.99999997914554795</v>
      </c>
    </row>
    <row r="365" spans="1:40" x14ac:dyDescent="0.3">
      <c r="A365" t="str">
        <f>"20200111153836063"</f>
        <v>20200111153836063</v>
      </c>
      <c r="B365" t="str">
        <f>"1578728316050649"</f>
        <v>1578728316050649</v>
      </c>
      <c r="C365" t="s">
        <v>40</v>
      </c>
      <c r="D365">
        <v>4.9379379999999999</v>
      </c>
      <c r="E365">
        <v>0.43369289999999999</v>
      </c>
      <c r="F365" t="s">
        <v>42</v>
      </c>
      <c r="G365">
        <v>-360.52050000000003</v>
      </c>
      <c r="H365" s="1">
        <v>-4.355397E-6</v>
      </c>
      <c r="I365">
        <v>371.06229999999999</v>
      </c>
      <c r="J365">
        <v>-376.39170000000001</v>
      </c>
      <c r="K365">
        <v>1.10283</v>
      </c>
      <c r="L365">
        <v>367.48540000000003</v>
      </c>
      <c r="M365">
        <v>0.99999930000000004</v>
      </c>
      <c r="N365">
        <v>0</v>
      </c>
      <c r="O365">
        <v>-4.1578600000000002E-4</v>
      </c>
      <c r="P365">
        <v>0.99885020000000002</v>
      </c>
      <c r="Q365">
        <v>2.7383279999999999E-2</v>
      </c>
      <c r="R365">
        <v>3.9349009999999997E-2</v>
      </c>
      <c r="S365">
        <v>2.9824220000000001</v>
      </c>
      <c r="T365">
        <v>-0.20309530000000001</v>
      </c>
      <c r="U365">
        <v>0.65869140000000004</v>
      </c>
      <c r="V365">
        <v>-3.9763300000000001E-2</v>
      </c>
      <c r="W365">
        <v>2.8516070000000001E-2</v>
      </c>
      <c r="X365">
        <v>0.99880210000000003</v>
      </c>
      <c r="Y365">
        <v>-0.2155897</v>
      </c>
      <c r="Z365">
        <v>7.2730090000000004E-3</v>
      </c>
      <c r="AA365">
        <v>0.97645689999999996</v>
      </c>
      <c r="AB365">
        <v>34</v>
      </c>
      <c r="AC365">
        <v>15.8711999999999</v>
      </c>
      <c r="AD365">
        <v>-1.1028343553969999</v>
      </c>
      <c r="AE365">
        <v>3.5768999999999598</v>
      </c>
      <c r="AF365">
        <v>-3.5671079009263602</v>
      </c>
      <c r="AG365">
        <v>-1.1028343553969999</v>
      </c>
      <c r="AH365">
        <v>15.7971238136408</v>
      </c>
      <c r="AI365">
        <v>93.895702987402501</v>
      </c>
      <c r="AJ365">
        <v>102.724408923772</v>
      </c>
      <c r="AK365">
        <v>16.232363450089299</v>
      </c>
      <c r="AL365">
        <v>88.365927963258002</v>
      </c>
      <c r="AM365">
        <v>92.279797761574798</v>
      </c>
      <c r="AN365">
        <v>0.99999996061977103</v>
      </c>
    </row>
    <row r="366" spans="1:40" x14ac:dyDescent="0.3">
      <c r="A366" t="str">
        <f>"20200111153836084"</f>
        <v>20200111153836084</v>
      </c>
      <c r="B366" t="str">
        <f>"1578728316080906"</f>
        <v>1578728316080906</v>
      </c>
      <c r="C366" t="s">
        <v>40</v>
      </c>
      <c r="D366">
        <v>4.9112980000000004</v>
      </c>
      <c r="E366">
        <v>0.43200499999999997</v>
      </c>
      <c r="F366" t="s">
        <v>42</v>
      </c>
      <c r="G366">
        <v>-360.32600000000002</v>
      </c>
      <c r="H366" s="1">
        <v>-4.408853E-6</v>
      </c>
      <c r="I366">
        <v>370.99059999999997</v>
      </c>
      <c r="J366">
        <v>-376.05959999999999</v>
      </c>
      <c r="K366">
        <v>1.1028279999999999</v>
      </c>
      <c r="L366">
        <v>367.4853</v>
      </c>
      <c r="M366">
        <v>0.99999930000000004</v>
      </c>
      <c r="N366">
        <v>0</v>
      </c>
      <c r="O366">
        <v>-4.1494909999999999E-4</v>
      </c>
      <c r="P366">
        <v>0.99887959999999998</v>
      </c>
      <c r="Q366">
        <v>2.764308E-2</v>
      </c>
      <c r="R366">
        <v>3.8412349999999998E-2</v>
      </c>
      <c r="S366">
        <v>2.9834290000000001</v>
      </c>
      <c r="T366">
        <v>-0.20479810000000001</v>
      </c>
      <c r="U366">
        <v>0.65093990000000002</v>
      </c>
      <c r="V366">
        <v>-3.8826189999999997E-2</v>
      </c>
      <c r="W366">
        <v>2.8772030000000001E-2</v>
      </c>
      <c r="X366">
        <v>0.99883169999999999</v>
      </c>
      <c r="Y366">
        <v>-0.2130959</v>
      </c>
      <c r="Z366">
        <v>7.24889099999999E-3</v>
      </c>
      <c r="AA366">
        <v>0.9770044</v>
      </c>
      <c r="AB366">
        <v>34</v>
      </c>
      <c r="AC366">
        <v>15.733599999999999</v>
      </c>
      <c r="AD366">
        <v>-1.1028324088529999</v>
      </c>
      <c r="AE366">
        <v>3.5052999999999699</v>
      </c>
      <c r="AF366">
        <v>-3.4954666088978601</v>
      </c>
      <c r="AG366">
        <v>-1.1028324088529999</v>
      </c>
      <c r="AH366">
        <v>15.6588474895771</v>
      </c>
      <c r="AI366">
        <v>93.9321519212194</v>
      </c>
      <c r="AJ366">
        <v>102.58361826542399</v>
      </c>
      <c r="AK366">
        <v>16.082102811441398</v>
      </c>
      <c r="AL366">
        <v>88.3512566355963</v>
      </c>
      <c r="AM366">
        <v>92.2260580935869</v>
      </c>
      <c r="AN366">
        <v>1.0000000338325601</v>
      </c>
    </row>
    <row r="367" spans="1:40" x14ac:dyDescent="0.3">
      <c r="A367" t="str">
        <f>"20200111153836107"</f>
        <v>20200111153836107</v>
      </c>
      <c r="B367" t="str">
        <f>"1578728316100426"</f>
        <v>1578728316100426</v>
      </c>
      <c r="C367" t="s">
        <v>40</v>
      </c>
      <c r="D367">
        <v>4.9741519999999904</v>
      </c>
      <c r="E367">
        <v>0.43056820000000001</v>
      </c>
      <c r="F367" t="s">
        <v>42</v>
      </c>
      <c r="G367">
        <v>-358.82080000000002</v>
      </c>
      <c r="H367" s="1">
        <v>-9.376931E-7</v>
      </c>
      <c r="I367">
        <v>371.3057</v>
      </c>
      <c r="J367">
        <v>-375.70069999999998</v>
      </c>
      <c r="K367">
        <v>1.1028150000000001</v>
      </c>
      <c r="L367">
        <v>367.48509999999999</v>
      </c>
      <c r="M367">
        <v>0.99999930000000004</v>
      </c>
      <c r="N367">
        <v>0</v>
      </c>
      <c r="O367">
        <v>-4.1375800000000002E-4</v>
      </c>
      <c r="P367">
        <v>0.99888529999999998</v>
      </c>
      <c r="Q367">
        <v>2.8085849999999999E-2</v>
      </c>
      <c r="R367">
        <v>3.793991E-2</v>
      </c>
      <c r="S367">
        <v>2.9831850000000002</v>
      </c>
      <c r="T367">
        <v>-0.1908444</v>
      </c>
      <c r="U367">
        <v>0.66113279999999996</v>
      </c>
      <c r="V367">
        <v>-3.8351789999999997E-2</v>
      </c>
      <c r="W367">
        <v>2.921673E-2</v>
      </c>
      <c r="X367">
        <v>0.99883710000000003</v>
      </c>
      <c r="Y367">
        <v>-0.2163515</v>
      </c>
      <c r="Z367">
        <v>6.8568099999999996E-3</v>
      </c>
      <c r="AA367">
        <v>0.97629149999999998</v>
      </c>
      <c r="AB367">
        <v>34</v>
      </c>
      <c r="AC367">
        <v>16.8798999999999</v>
      </c>
      <c r="AD367">
        <v>-1.1028159376930999</v>
      </c>
      <c r="AE367">
        <v>3.82060000000001</v>
      </c>
      <c r="AF367">
        <v>-3.8121052057228701</v>
      </c>
      <c r="AG367">
        <v>-1.1028159376930999</v>
      </c>
      <c r="AH367">
        <v>16.8100622036565</v>
      </c>
      <c r="AI367">
        <v>93.660793633719393</v>
      </c>
      <c r="AJ367">
        <v>102.777157007702</v>
      </c>
      <c r="AK367">
        <v>17.272131900339701</v>
      </c>
      <c r="AL367">
        <v>88.325766454388202</v>
      </c>
      <c r="AM367">
        <v>92.198873864649201</v>
      </c>
      <c r="AN367">
        <v>1.0000000147222501</v>
      </c>
    </row>
    <row r="368" spans="1:40" x14ac:dyDescent="0.3">
      <c r="A368" t="str">
        <f>"20200111153836131"</f>
        <v>20200111153836131</v>
      </c>
      <c r="B368" t="str">
        <f>"1578728316120922"</f>
        <v>1578728316120922</v>
      </c>
      <c r="C368" t="s">
        <v>40</v>
      </c>
      <c r="D368">
        <v>4.9588390000000002</v>
      </c>
      <c r="E368">
        <v>0.42955330000000003</v>
      </c>
      <c r="F368" t="s">
        <v>42</v>
      </c>
      <c r="G368">
        <v>-358.0111</v>
      </c>
      <c r="H368" s="1">
        <v>-1.32826E-6</v>
      </c>
      <c r="I368">
        <v>371.46809999999999</v>
      </c>
      <c r="J368">
        <v>-375.32279999999997</v>
      </c>
      <c r="K368">
        <v>1.1028009999999999</v>
      </c>
      <c r="L368">
        <v>367.48489999999998</v>
      </c>
      <c r="M368">
        <v>0.99999930000000004</v>
      </c>
      <c r="N368">
        <v>0</v>
      </c>
      <c r="O368">
        <v>-4.1257030000000001E-4</v>
      </c>
      <c r="P368">
        <v>0.99890520000000005</v>
      </c>
      <c r="Q368">
        <v>2.8166190000000001E-2</v>
      </c>
      <c r="R368">
        <v>3.7352219999999998E-2</v>
      </c>
      <c r="S368">
        <v>2.983063</v>
      </c>
      <c r="T368">
        <v>-0.18597040000000001</v>
      </c>
      <c r="U368">
        <v>0.67166139999999996</v>
      </c>
      <c r="V368">
        <v>-3.7763480000000002E-2</v>
      </c>
      <c r="W368">
        <v>2.9304420000000001E-2</v>
      </c>
      <c r="X368">
        <v>0.99885699999999999</v>
      </c>
      <c r="Y368">
        <v>-0.21965499999999999</v>
      </c>
      <c r="Z368">
        <v>6.7812910000000001E-3</v>
      </c>
      <c r="AA368">
        <v>0.97555400000000003</v>
      </c>
      <c r="AB368">
        <v>35</v>
      </c>
      <c r="AC368">
        <v>17.311699999999899</v>
      </c>
      <c r="AD368">
        <v>-1.1028023282599999</v>
      </c>
      <c r="AE368">
        <v>3.9832000000000001</v>
      </c>
      <c r="AF368">
        <v>-3.9750222041699899</v>
      </c>
      <c r="AG368">
        <v>-1.1028023282599999</v>
      </c>
      <c r="AH368">
        <v>17.2435982658704</v>
      </c>
      <c r="AI368">
        <v>93.566054879049801</v>
      </c>
      <c r="AJ368">
        <v>102.98114632364199</v>
      </c>
      <c r="AK368">
        <v>17.730162313233102</v>
      </c>
      <c r="AL368">
        <v>88.320740124742102</v>
      </c>
      <c r="AM368">
        <v>92.165132767371702</v>
      </c>
      <c r="AN368">
        <v>1.0000000679511201</v>
      </c>
    </row>
    <row r="369" spans="1:40" x14ac:dyDescent="0.3">
      <c r="A369" t="str">
        <f>"20200111153836152"</f>
        <v>20200111153836152</v>
      </c>
      <c r="B369" t="str">
        <f>"1578728316140442"</f>
        <v>1578728316140442</v>
      </c>
      <c r="C369" t="s">
        <v>40</v>
      </c>
      <c r="D369">
        <v>5.0083539999999998</v>
      </c>
      <c r="E369">
        <v>0.42848009999999997</v>
      </c>
      <c r="F369" t="s">
        <v>42</v>
      </c>
      <c r="G369">
        <v>-357.52940000000001</v>
      </c>
      <c r="H369" s="1">
        <v>-1.5511529999999901E-6</v>
      </c>
      <c r="I369">
        <v>371.52910000000003</v>
      </c>
      <c r="J369">
        <v>-374.9982</v>
      </c>
      <c r="K369">
        <v>1.102789</v>
      </c>
      <c r="L369">
        <v>367.48480000000001</v>
      </c>
      <c r="M369">
        <v>0.99999919999999998</v>
      </c>
      <c r="N369">
        <v>0</v>
      </c>
      <c r="O369">
        <v>-4.1150369999999999E-4</v>
      </c>
      <c r="P369">
        <v>0.99890730000000005</v>
      </c>
      <c r="Q369">
        <v>2.8062150000000001E-2</v>
      </c>
      <c r="R369">
        <v>3.737248E-2</v>
      </c>
      <c r="S369">
        <v>2.9831240000000001</v>
      </c>
      <c r="T369">
        <v>-0.18488660000000001</v>
      </c>
      <c r="U369">
        <v>0.67800899999999997</v>
      </c>
      <c r="V369">
        <v>-3.7782629999999998E-2</v>
      </c>
      <c r="W369">
        <v>2.9211000000000001E-2</v>
      </c>
      <c r="X369">
        <v>0.99885889999999999</v>
      </c>
      <c r="Y369">
        <v>-0.2216254</v>
      </c>
      <c r="Z369">
        <v>6.8003250000000003E-3</v>
      </c>
      <c r="AA369">
        <v>0.97510810000000003</v>
      </c>
      <c r="AB369">
        <v>35</v>
      </c>
      <c r="AC369">
        <v>17.468799999999899</v>
      </c>
      <c r="AD369">
        <v>-1.1027905511530001</v>
      </c>
      <c r="AE369">
        <v>4.0443000000000202</v>
      </c>
      <c r="AF369">
        <v>-4.0362209415050199</v>
      </c>
      <c r="AG369">
        <v>-1.1027905511530001</v>
      </c>
      <c r="AH369">
        <v>17.401312984073002</v>
      </c>
      <c r="AI369">
        <v>93.532674647046704</v>
      </c>
      <c r="AJ369">
        <v>103.058790073908</v>
      </c>
      <c r="AK369">
        <v>17.897288064341598</v>
      </c>
      <c r="AL369">
        <v>88.3260948008611</v>
      </c>
      <c r="AM369">
        <v>92.166225551841094</v>
      </c>
      <c r="AN369">
        <v>0.99999995587996204</v>
      </c>
    </row>
    <row r="370" spans="1:40" x14ac:dyDescent="0.3">
      <c r="A370" t="str">
        <f>"20200111153836173"</f>
        <v>20200111153836173</v>
      </c>
      <c r="B370" t="str">
        <f>"1578728316170698"</f>
        <v>1578728316170698</v>
      </c>
      <c r="C370" t="s">
        <v>40</v>
      </c>
      <c r="D370">
        <v>5.1629339999999999</v>
      </c>
      <c r="E370">
        <v>0.42855779999999899</v>
      </c>
      <c r="F370" t="s">
        <v>42</v>
      </c>
      <c r="G370">
        <v>-357.13839999999999</v>
      </c>
      <c r="H370" s="1">
        <v>-1.736406E-6</v>
      </c>
      <c r="I370">
        <v>371.5949</v>
      </c>
      <c r="J370">
        <v>-374.65910000000002</v>
      </c>
      <c r="K370">
        <v>1.102779</v>
      </c>
      <c r="L370">
        <v>367.48469999999998</v>
      </c>
      <c r="M370">
        <v>0.99999919999999998</v>
      </c>
      <c r="N370">
        <v>0</v>
      </c>
      <c r="O370">
        <v>-4.1055889999999998E-4</v>
      </c>
      <c r="P370">
        <v>0.99890270000000003</v>
      </c>
      <c r="Q370">
        <v>2.7550689999999999E-2</v>
      </c>
      <c r="R370">
        <v>3.7874779999999997E-2</v>
      </c>
      <c r="S370">
        <v>2.9827880000000002</v>
      </c>
      <c r="T370">
        <v>-0.18417729999999999</v>
      </c>
      <c r="U370">
        <v>0.68643189999999998</v>
      </c>
      <c r="V370">
        <v>-3.828376E-2</v>
      </c>
      <c r="W370">
        <v>2.8713880000000001E-2</v>
      </c>
      <c r="X370">
        <v>0.99885429999999997</v>
      </c>
      <c r="Y370">
        <v>-0.22426260000000001</v>
      </c>
      <c r="Z370">
        <v>6.853161E-3</v>
      </c>
      <c r="AA370">
        <v>0.97450460000000005</v>
      </c>
      <c r="AB370">
        <v>35</v>
      </c>
      <c r="AC370">
        <v>17.520700000000001</v>
      </c>
      <c r="AD370">
        <v>-1.1027807364060001</v>
      </c>
      <c r="AE370">
        <v>4.1102000000000203</v>
      </c>
      <c r="AF370">
        <v>-4.10198998482932</v>
      </c>
      <c r="AG370">
        <v>-1.1027807364060001</v>
      </c>
      <c r="AH370">
        <v>17.453473332128301</v>
      </c>
      <c r="AI370">
        <v>93.519721224988402</v>
      </c>
      <c r="AJ370">
        <v>103.22586946376499</v>
      </c>
      <c r="AK370">
        <v>17.962911193443599</v>
      </c>
      <c r="AL370">
        <v>88.3545897442079</v>
      </c>
      <c r="AM370">
        <v>92.194939469333406</v>
      </c>
      <c r="AN370">
        <v>1.0000000229064401</v>
      </c>
    </row>
    <row r="371" spans="1:40" x14ac:dyDescent="0.3">
      <c r="A371" t="str">
        <f>"20200111153836197"</f>
        <v>20200111153836197</v>
      </c>
      <c r="B371" t="str">
        <f>"1578728316191194"</f>
        <v>1578728316191194</v>
      </c>
      <c r="C371" t="s">
        <v>40</v>
      </c>
      <c r="D371">
        <v>5.1288010000000002</v>
      </c>
      <c r="E371">
        <v>0.42802319999999999</v>
      </c>
      <c r="F371" t="s">
        <v>42</v>
      </c>
      <c r="G371">
        <v>-356.31259999999997</v>
      </c>
      <c r="H371" s="1">
        <v>-2.1221509999999999E-6</v>
      </c>
      <c r="I371">
        <v>371.7133</v>
      </c>
      <c r="J371">
        <v>-374.29939999999999</v>
      </c>
      <c r="K371">
        <v>1.1027709999999999</v>
      </c>
      <c r="L371">
        <v>367.48450000000003</v>
      </c>
      <c r="M371">
        <v>0.99999919999999998</v>
      </c>
      <c r="N371">
        <v>0</v>
      </c>
      <c r="O371">
        <v>-4.0949759999999997E-4</v>
      </c>
      <c r="P371">
        <v>0.99891839999999998</v>
      </c>
      <c r="Q371">
        <v>2.71541E-2</v>
      </c>
      <c r="R371">
        <v>3.7745250000000001E-2</v>
      </c>
      <c r="S371">
        <v>2.982208</v>
      </c>
      <c r="T371">
        <v>-0.17925450000000001</v>
      </c>
      <c r="U371">
        <v>0.68734740000000005</v>
      </c>
      <c r="V371">
        <v>-3.8153670000000001E-2</v>
      </c>
      <c r="W371">
        <v>2.833685E-2</v>
      </c>
      <c r="X371">
        <v>0.99887000000000004</v>
      </c>
      <c r="Y371">
        <v>-0.2246078</v>
      </c>
      <c r="Z371">
        <v>6.6815119999999997E-3</v>
      </c>
      <c r="AA371">
        <v>0.97442629999999997</v>
      </c>
      <c r="AB371">
        <v>35</v>
      </c>
      <c r="AC371">
        <v>17.986799999999999</v>
      </c>
      <c r="AD371">
        <v>-1.102773122151</v>
      </c>
      <c r="AE371">
        <v>4.2287999999999704</v>
      </c>
      <c r="AF371">
        <v>-4.2211293632034099</v>
      </c>
      <c r="AG371">
        <v>-1.102773122151</v>
      </c>
      <c r="AH371">
        <v>17.921230635828199</v>
      </c>
      <c r="AI371">
        <v>93.427660718498601</v>
      </c>
      <c r="AJ371">
        <v>103.253755174963</v>
      </c>
      <c r="AK371">
        <v>18.4446346985345</v>
      </c>
      <c r="AL371">
        <v>88.376200693255399</v>
      </c>
      <c r="AM371">
        <v>92.187453871775404</v>
      </c>
      <c r="AN371">
        <v>0.99999997825119502</v>
      </c>
    </row>
    <row r="372" spans="1:40" x14ac:dyDescent="0.3">
      <c r="A372" t="str">
        <f>"20200111153836220"</f>
        <v>20200111153836220</v>
      </c>
      <c r="B372" t="str">
        <f>"1578728316210717"</f>
        <v>1578728316210717</v>
      </c>
      <c r="C372" t="s">
        <v>40</v>
      </c>
      <c r="D372">
        <v>5.312214</v>
      </c>
      <c r="E372">
        <v>0.45616790000000002</v>
      </c>
      <c r="F372" t="s">
        <v>42</v>
      </c>
      <c r="G372">
        <v>-355.98020000000002</v>
      </c>
      <c r="H372" s="1">
        <v>-2.2691879999999999E-6</v>
      </c>
      <c r="I372">
        <v>371.72989999999999</v>
      </c>
      <c r="J372">
        <v>-373.92099999999999</v>
      </c>
      <c r="K372">
        <v>1.1027629999999999</v>
      </c>
      <c r="L372">
        <v>367.48439999999999</v>
      </c>
      <c r="M372">
        <v>0.99999919999999998</v>
      </c>
      <c r="N372">
        <v>0</v>
      </c>
      <c r="O372">
        <v>-4.082008E-4</v>
      </c>
      <c r="P372">
        <v>0.99890820000000002</v>
      </c>
      <c r="Q372">
        <v>2.728015E-2</v>
      </c>
      <c r="R372">
        <v>3.7925800000000003E-2</v>
      </c>
      <c r="S372">
        <v>2.9820250000000001</v>
      </c>
      <c r="T372">
        <v>-0.1795098</v>
      </c>
      <c r="U372">
        <v>0.69107059999999998</v>
      </c>
      <c r="V372">
        <v>-3.8332600000000001E-2</v>
      </c>
      <c r="W372">
        <v>2.8486520000000001E-2</v>
      </c>
      <c r="X372">
        <v>0.99885889999999999</v>
      </c>
      <c r="Y372">
        <v>-0.22577130000000001</v>
      </c>
      <c r="Z372">
        <v>6.7249400000000004E-3</v>
      </c>
      <c r="AA372">
        <v>0.9741571</v>
      </c>
      <c r="AB372">
        <v>36</v>
      </c>
      <c r="AC372">
        <v>17.9407999999999</v>
      </c>
      <c r="AD372">
        <v>-1.1027652691880001</v>
      </c>
      <c r="AE372">
        <v>4.2454999999999901</v>
      </c>
      <c r="AF372">
        <v>-4.2376614795949497</v>
      </c>
      <c r="AG372">
        <v>-1.1027652691880001</v>
      </c>
      <c r="AH372">
        <v>17.875111426198998</v>
      </c>
      <c r="AI372">
        <v>93.435283093890504</v>
      </c>
      <c r="AJ372">
        <v>103.33692124336299</v>
      </c>
      <c r="AK372">
        <v>18.403626668502099</v>
      </c>
      <c r="AL372">
        <v>88.367621783264298</v>
      </c>
      <c r="AM372">
        <v>92.197726779024507</v>
      </c>
      <c r="AN372">
        <v>0.99999998607684004</v>
      </c>
    </row>
    <row r="373" spans="1:40" x14ac:dyDescent="0.3">
      <c r="A373" t="str">
        <f>"20200111153836240"</f>
        <v>20200111153836240</v>
      </c>
      <c r="B373" t="str">
        <f>"1578728316231210"</f>
        <v>1578728316231210</v>
      </c>
      <c r="C373" t="s">
        <v>40</v>
      </c>
      <c r="D373">
        <v>5.2886569999999997</v>
      </c>
      <c r="E373">
        <v>0.50392999999999999</v>
      </c>
      <c r="F373" t="s">
        <v>42</v>
      </c>
      <c r="G373">
        <v>-359.81560000000002</v>
      </c>
      <c r="H373" s="1">
        <v>-8.1504070000000002E-8</v>
      </c>
      <c r="I373">
        <v>369.69170000000003</v>
      </c>
      <c r="J373">
        <v>-373.57589999999999</v>
      </c>
      <c r="K373">
        <v>1.102759</v>
      </c>
      <c r="L373">
        <v>367.48430000000002</v>
      </c>
      <c r="M373">
        <v>0.99999919999999998</v>
      </c>
      <c r="N373">
        <v>0</v>
      </c>
      <c r="O373">
        <v>-4.073813E-4</v>
      </c>
      <c r="P373">
        <v>0.99890889999999999</v>
      </c>
      <c r="Q373">
        <v>2.7064689999999999E-2</v>
      </c>
      <c r="R373">
        <v>3.8060799999999999E-2</v>
      </c>
      <c r="S373">
        <v>2.9918819999999999</v>
      </c>
      <c r="T373">
        <v>-0.23390359999999999</v>
      </c>
      <c r="U373">
        <v>0.46820070000000003</v>
      </c>
      <c r="V373">
        <v>-3.8466640000000003E-2</v>
      </c>
      <c r="W373">
        <v>2.8294900000000001E-2</v>
      </c>
      <c r="X373">
        <v>0.99885919999999895</v>
      </c>
      <c r="Y373">
        <v>-0.15454960000000001</v>
      </c>
      <c r="Z373">
        <v>6.0273829999999999E-3</v>
      </c>
      <c r="AA373">
        <v>0.98796669999999998</v>
      </c>
      <c r="AB373">
        <v>36</v>
      </c>
      <c r="AC373">
        <v>13.7602999999999</v>
      </c>
      <c r="AD373">
        <v>-1.10275908150407</v>
      </c>
      <c r="AE373">
        <v>2.2073999999999998</v>
      </c>
      <c r="AF373">
        <v>-2.1992352402040298</v>
      </c>
      <c r="AG373">
        <v>-1.10275908150407</v>
      </c>
      <c r="AH373">
        <v>13.673782717629701</v>
      </c>
      <c r="AI373">
        <v>94.552537330155801</v>
      </c>
      <c r="AJ373">
        <v>99.136969262335796</v>
      </c>
      <c r="AK373">
        <v>13.893345422991001</v>
      </c>
      <c r="AL373">
        <v>88.378605238669095</v>
      </c>
      <c r="AM373">
        <v>92.205403470777398</v>
      </c>
      <c r="AN373">
        <v>0.99999999259176897</v>
      </c>
    </row>
    <row r="374" spans="1:40" x14ac:dyDescent="0.3">
      <c r="A374" t="str">
        <f>"20200111153836263"</f>
        <v>20200111153836263</v>
      </c>
      <c r="B374" t="str">
        <f>"1578728316250730"</f>
        <v>1578728316250730</v>
      </c>
      <c r="C374" t="s">
        <v>40</v>
      </c>
      <c r="D374">
        <v>5.2837189999999996</v>
      </c>
      <c r="E374">
        <v>0.51505489999999998</v>
      </c>
      <c r="F374" t="s">
        <v>42</v>
      </c>
      <c r="G374">
        <v>-356.1782</v>
      </c>
      <c r="H374" s="1">
        <v>-1.910078E-6</v>
      </c>
      <c r="I374">
        <v>367.99149999999997</v>
      </c>
      <c r="J374">
        <v>-373.22800000000001</v>
      </c>
      <c r="K374">
        <v>1.1027530000000001</v>
      </c>
      <c r="L374">
        <v>367.48410000000001</v>
      </c>
      <c r="M374">
        <v>0.99999919999999998</v>
      </c>
      <c r="N374">
        <v>0</v>
      </c>
      <c r="O374">
        <v>-4.0668269999999997E-4</v>
      </c>
      <c r="P374">
        <v>0.998915</v>
      </c>
      <c r="Q374">
        <v>2.6885139999999998E-2</v>
      </c>
      <c r="R374">
        <v>3.8031309999999999E-2</v>
      </c>
      <c r="S374">
        <v>3.005096</v>
      </c>
      <c r="T374">
        <v>-0.19047839999999999</v>
      </c>
      <c r="U374">
        <v>8.7615970000000001E-2</v>
      </c>
      <c r="V374">
        <v>-3.8436810000000002E-2</v>
      </c>
      <c r="W374">
        <v>2.8142380000000002E-2</v>
      </c>
      <c r="X374">
        <v>0.99886470000000005</v>
      </c>
      <c r="Y374">
        <v>-2.9489970000000001E-2</v>
      </c>
      <c r="Z374">
        <v>9.5922469999999997E-4</v>
      </c>
      <c r="AA374">
        <v>0.99956460000000003</v>
      </c>
      <c r="AB374">
        <v>36</v>
      </c>
      <c r="AC374">
        <v>17.049800000000001</v>
      </c>
      <c r="AD374">
        <v>-1.1027549100780001</v>
      </c>
      <c r="AE374">
        <v>0.50739999999996099</v>
      </c>
      <c r="AF374">
        <v>-0.51219305842682905</v>
      </c>
      <c r="AG374">
        <v>-1.1027549100780001</v>
      </c>
      <c r="AH374">
        <v>16.978628325091901</v>
      </c>
      <c r="AI374">
        <v>93.714432676490205</v>
      </c>
      <c r="AJ374">
        <v>91.727913624227796</v>
      </c>
      <c r="AK374">
        <v>17.022110031438899</v>
      </c>
      <c r="AL374">
        <v>88.387347541480807</v>
      </c>
      <c r="AM374">
        <v>92.203682795463394</v>
      </c>
      <c r="AN374">
        <v>1.00000003541056</v>
      </c>
    </row>
    <row r="375" spans="1:40" x14ac:dyDescent="0.3">
      <c r="A375" t="str">
        <f>"20200111153836285"</f>
        <v>20200111153836285</v>
      </c>
      <c r="B375" t="str">
        <f>"1578728316280986"</f>
        <v>1578728316280986</v>
      </c>
      <c r="C375" t="s">
        <v>40</v>
      </c>
      <c r="D375">
        <v>5.3500649999999998</v>
      </c>
      <c r="E375">
        <v>0.5139899</v>
      </c>
      <c r="F375" t="s">
        <v>41</v>
      </c>
      <c r="G375">
        <v>-372.30840000000001</v>
      </c>
      <c r="H375">
        <v>1.0443990000000001</v>
      </c>
      <c r="I375">
        <v>367.48349999999999</v>
      </c>
      <c r="J375">
        <v>-372.85300000000001</v>
      </c>
      <c r="K375">
        <v>1.102746</v>
      </c>
      <c r="L375">
        <v>367.48399999999998</v>
      </c>
      <c r="M375">
        <v>0.99999919999999998</v>
      </c>
      <c r="N375">
        <v>0</v>
      </c>
      <c r="O375">
        <v>-4.0574920000000002E-4</v>
      </c>
      <c r="P375">
        <v>0.9989171</v>
      </c>
      <c r="Q375">
        <v>2.679691E-2</v>
      </c>
      <c r="R375">
        <v>3.8038210000000003E-2</v>
      </c>
      <c r="S375">
        <v>3.0084840000000002</v>
      </c>
      <c r="T375">
        <v>-0.1910068</v>
      </c>
      <c r="U375">
        <v>-1.34277299999999E-3</v>
      </c>
      <c r="V375">
        <v>-3.8442579999999997E-2</v>
      </c>
      <c r="W375">
        <v>2.8084700000000001E-2</v>
      </c>
      <c r="X375">
        <v>0.99886609999999998</v>
      </c>
      <c r="Y375" s="1">
        <v>4.1313170000000001E-5</v>
      </c>
      <c r="Z375" s="1">
        <v>2.4424720000000002E-5</v>
      </c>
      <c r="AA375">
        <v>1</v>
      </c>
      <c r="AB375">
        <v>36</v>
      </c>
      <c r="AC375">
        <v>0.54460000000000197</v>
      </c>
      <c r="AD375">
        <v>-5.8346999999999899E-2</v>
      </c>
      <c r="AE375">
        <v>-5.0000000004501999E-4</v>
      </c>
      <c r="AF375">
        <v>2.75862327352606E-4</v>
      </c>
      <c r="AG375">
        <v>-5.8346999999999899E-2</v>
      </c>
      <c r="AH375">
        <v>0.53841995745212201</v>
      </c>
      <c r="AI375">
        <v>96.184840613047399</v>
      </c>
      <c r="AJ375">
        <v>89.970644205360202</v>
      </c>
      <c r="AK375">
        <v>0.54157224734264997</v>
      </c>
      <c r="AL375">
        <v>88.390653666496405</v>
      </c>
      <c r="AM375">
        <v>92.204010192353607</v>
      </c>
      <c r="AN375">
        <v>1.00000003403017</v>
      </c>
    </row>
    <row r="376" spans="1:40" x14ac:dyDescent="0.3">
      <c r="A376" t="str">
        <f>"20200111153836308"</f>
        <v>20200111153836308</v>
      </c>
      <c r="B376" t="str">
        <f>"1578728316300506"</f>
        <v>1578728316300506</v>
      </c>
      <c r="C376" t="s">
        <v>40</v>
      </c>
      <c r="D376">
        <v>5.275347</v>
      </c>
      <c r="E376">
        <v>0.51325859999999901</v>
      </c>
      <c r="F376" t="s">
        <v>41</v>
      </c>
      <c r="G376">
        <v>-371.98480000000001</v>
      </c>
      <c r="H376">
        <v>1.04108</v>
      </c>
      <c r="I376">
        <v>367.48590000000002</v>
      </c>
      <c r="J376">
        <v>-372.4846</v>
      </c>
      <c r="K376">
        <v>1.1027439999999999</v>
      </c>
      <c r="L376">
        <v>367.48390000000001</v>
      </c>
      <c r="M376">
        <v>0.99999919999999998</v>
      </c>
      <c r="N376">
        <v>0</v>
      </c>
      <c r="O376">
        <v>-4.0469779999999998E-4</v>
      </c>
      <c r="P376">
        <v>0.99895619999999996</v>
      </c>
      <c r="Q376">
        <v>2.675433E-2</v>
      </c>
      <c r="R376">
        <v>3.7030979999999998E-2</v>
      </c>
      <c r="S376">
        <v>3.008667</v>
      </c>
      <c r="T376">
        <v>-0.21401300000000001</v>
      </c>
      <c r="U376">
        <v>7.59887699999999E-3</v>
      </c>
      <c r="V376">
        <v>-3.7434250000000002E-2</v>
      </c>
      <c r="W376">
        <v>2.807422E-2</v>
      </c>
      <c r="X376">
        <v>0.99890460000000003</v>
      </c>
      <c r="Y376">
        <v>-2.921945E-3</v>
      </c>
      <c r="Z376">
        <v>1.3254160000000001E-4</v>
      </c>
      <c r="AA376">
        <v>0.99999570000000004</v>
      </c>
      <c r="AB376">
        <v>36</v>
      </c>
      <c r="AC376">
        <v>0.49979999999999303</v>
      </c>
      <c r="AD376">
        <v>-6.1663999999999899E-2</v>
      </c>
      <c r="AE376">
        <v>2.0000000000095402E-3</v>
      </c>
      <c r="AF376">
        <v>-2.1692482374913798E-3</v>
      </c>
      <c r="AG376">
        <v>-6.1663999999999899E-2</v>
      </c>
      <c r="AH376">
        <v>0.49230541111506199</v>
      </c>
      <c r="AI376">
        <v>97.139365693808003</v>
      </c>
      <c r="AJ376">
        <v>90.252461097420706</v>
      </c>
      <c r="AK376">
        <v>0.49615700372672999</v>
      </c>
      <c r="AL376">
        <v>88.391254215657298</v>
      </c>
      <c r="AM376">
        <v>92.146172233985794</v>
      </c>
      <c r="AN376">
        <v>0.99999994240141299</v>
      </c>
    </row>
    <row r="377" spans="1:40" x14ac:dyDescent="0.3">
      <c r="A377" t="str">
        <f>"20200111153836330"</f>
        <v>20200111153836330</v>
      </c>
      <c r="B377" t="str">
        <f>"1578728316321002"</f>
        <v>1578728316321002</v>
      </c>
      <c r="C377" t="s">
        <v>40</v>
      </c>
      <c r="D377">
        <v>5.2975969999999997</v>
      </c>
      <c r="E377">
        <v>0.51267089999999904</v>
      </c>
      <c r="F377" t="s">
        <v>41</v>
      </c>
      <c r="G377">
        <v>-371.65559999999999</v>
      </c>
      <c r="H377">
        <v>1.0428919999999999</v>
      </c>
      <c r="I377">
        <v>367.48660000000001</v>
      </c>
      <c r="J377">
        <v>-372.11500000000001</v>
      </c>
      <c r="K377">
        <v>1.1027359999999999</v>
      </c>
      <c r="L377">
        <v>367.4837</v>
      </c>
      <c r="M377">
        <v>0.99999899999999997</v>
      </c>
      <c r="N377">
        <v>0</v>
      </c>
      <c r="O377">
        <v>-4.035288E-4</v>
      </c>
      <c r="P377">
        <v>0.99899190000000004</v>
      </c>
      <c r="Q377">
        <v>2.6495000000000001E-2</v>
      </c>
      <c r="R377">
        <v>3.6238680000000002E-2</v>
      </c>
      <c r="S377">
        <v>3.0085449999999998</v>
      </c>
      <c r="T377">
        <v>-0.21736539999999999</v>
      </c>
      <c r="U377">
        <v>1.0589599999999999E-2</v>
      </c>
      <c r="V377">
        <v>-3.6640939999999997E-2</v>
      </c>
      <c r="W377">
        <v>2.7847810000000001E-2</v>
      </c>
      <c r="X377">
        <v>0.99894039999999995</v>
      </c>
      <c r="Y377">
        <v>-3.9120969999999998E-3</v>
      </c>
      <c r="Z377">
        <v>1.702555E-4</v>
      </c>
      <c r="AA377">
        <v>0.99999229999999995</v>
      </c>
      <c r="AB377">
        <v>36</v>
      </c>
      <c r="AC377">
        <v>0.45940000000001602</v>
      </c>
      <c r="AD377">
        <v>-5.9844000000000203E-2</v>
      </c>
      <c r="AE377">
        <v>2.9000000000110001E-3</v>
      </c>
      <c r="AF377">
        <v>-3.0339005034076801E-3</v>
      </c>
      <c r="AG377">
        <v>-5.9844000000000203E-2</v>
      </c>
      <c r="AH377">
        <v>0.45173357782762302</v>
      </c>
      <c r="AI377">
        <v>97.546223935625903</v>
      </c>
      <c r="AJ377">
        <v>90.384800000047406</v>
      </c>
      <c r="AK377">
        <v>0.45569039294811697</v>
      </c>
      <c r="AL377">
        <v>88.404231705232903</v>
      </c>
      <c r="AM377">
        <v>92.100656330409294</v>
      </c>
      <c r="AN377">
        <v>0.99999999087901903</v>
      </c>
    </row>
    <row r="378" spans="1:40" x14ac:dyDescent="0.3">
      <c r="A378" t="str">
        <f>"20200111153836352"</f>
        <v>20200111153836352</v>
      </c>
      <c r="B378" t="str">
        <f>"1578728316340522"</f>
        <v>1578728316340522</v>
      </c>
      <c r="C378" t="s">
        <v>40</v>
      </c>
      <c r="D378">
        <v>5.3317750000000004</v>
      </c>
      <c r="E378">
        <v>0.51229449999999999</v>
      </c>
      <c r="F378" t="s">
        <v>41</v>
      </c>
      <c r="G378">
        <v>-371.3245</v>
      </c>
      <c r="H378">
        <v>1.0451029999999999</v>
      </c>
      <c r="I378">
        <v>367.48680000000002</v>
      </c>
      <c r="J378">
        <v>-371.76400000000001</v>
      </c>
      <c r="K378">
        <v>1.1027260000000001</v>
      </c>
      <c r="L378">
        <v>367.48360000000002</v>
      </c>
      <c r="M378">
        <v>0.99999910000000003</v>
      </c>
      <c r="N378">
        <v>0</v>
      </c>
      <c r="O378">
        <v>-4.025985E-4</v>
      </c>
      <c r="P378">
        <v>0.99903209999999998</v>
      </c>
      <c r="Q378">
        <v>2.623969E-2</v>
      </c>
      <c r="R378">
        <v>3.5311580000000002E-2</v>
      </c>
      <c r="S378">
        <v>3.0084230000000001</v>
      </c>
      <c r="T378">
        <v>-0.21962760000000001</v>
      </c>
      <c r="U378">
        <v>1.287842E-2</v>
      </c>
      <c r="V378">
        <v>-3.5713250000000002E-2</v>
      </c>
      <c r="W378">
        <v>2.7625690000000001E-2</v>
      </c>
      <c r="X378">
        <v>0.99898019999999998</v>
      </c>
      <c r="Y378">
        <v>-4.6698449999999997E-3</v>
      </c>
      <c r="Z378">
        <v>1.9958420000000001E-4</v>
      </c>
      <c r="AA378">
        <v>0.99998909999999996</v>
      </c>
      <c r="AB378">
        <v>37</v>
      </c>
      <c r="AC378">
        <v>0.43950000000000899</v>
      </c>
      <c r="AD378">
        <v>-5.7622999999999903E-2</v>
      </c>
      <c r="AE378">
        <v>3.19999999999254E-3</v>
      </c>
      <c r="AF378">
        <v>-3.3198765244559399E-3</v>
      </c>
      <c r="AG378">
        <v>-5.7622999999999903E-2</v>
      </c>
      <c r="AH378">
        <v>0.43207178833302901</v>
      </c>
      <c r="AI378">
        <v>97.596171325433005</v>
      </c>
      <c r="AJ378">
        <v>90.440230478634405</v>
      </c>
      <c r="AK378">
        <v>0.43590992416144803</v>
      </c>
      <c r="AL378">
        <v>88.416963200143996</v>
      </c>
      <c r="AM378">
        <v>92.047435422737294</v>
      </c>
      <c r="AN378">
        <v>1.0000000274827801</v>
      </c>
    </row>
    <row r="379" spans="1:40" x14ac:dyDescent="0.3">
      <c r="A379" t="str">
        <f>"20200111153836375"</f>
        <v>20200111153836375</v>
      </c>
      <c r="B379" t="str">
        <f>"1578728316370779"</f>
        <v>1578728316370779</v>
      </c>
      <c r="C379" t="s">
        <v>40</v>
      </c>
      <c r="D379">
        <v>5.3081050000000003</v>
      </c>
      <c r="E379">
        <v>0.51178219999999996</v>
      </c>
      <c r="F379" t="s">
        <v>41</v>
      </c>
      <c r="G379">
        <v>-370.9932</v>
      </c>
      <c r="H379">
        <v>1.045771</v>
      </c>
      <c r="I379">
        <v>367.48669999999998</v>
      </c>
      <c r="J379">
        <v>-371.37939999999998</v>
      </c>
      <c r="K379">
        <v>1.102722</v>
      </c>
      <c r="L379">
        <v>367.48349999999999</v>
      </c>
      <c r="M379">
        <v>0.99999899999999997</v>
      </c>
      <c r="N379">
        <v>0</v>
      </c>
      <c r="O379">
        <v>-4.0143330000000002E-4</v>
      </c>
      <c r="P379">
        <v>0.99906209999999995</v>
      </c>
      <c r="Q379">
        <v>2.6049269999999999E-2</v>
      </c>
      <c r="R379">
        <v>3.4592089999999999E-2</v>
      </c>
      <c r="S379">
        <v>3.0083009999999999</v>
      </c>
      <c r="T379">
        <v>-0.22244230000000001</v>
      </c>
      <c r="U379">
        <v>1.287842E-2</v>
      </c>
      <c r="V379">
        <v>-3.4992179999999998E-2</v>
      </c>
      <c r="W379">
        <v>2.747221E-2</v>
      </c>
      <c r="X379">
        <v>0.99900990000000001</v>
      </c>
      <c r="Y379">
        <v>-4.6685099999999998E-3</v>
      </c>
      <c r="Z379">
        <v>2.0200789999999999E-4</v>
      </c>
      <c r="AA379">
        <v>0.99998909999999996</v>
      </c>
      <c r="AB379">
        <v>37</v>
      </c>
      <c r="AC379">
        <v>0.38619999999997301</v>
      </c>
      <c r="AD379">
        <v>-5.6950999999999898E-2</v>
      </c>
      <c r="AE379">
        <v>3.19999999999254E-3</v>
      </c>
      <c r="AF379">
        <v>-3.2836326512003301E-3</v>
      </c>
      <c r="AG379">
        <v>-5.6950999999999898E-2</v>
      </c>
      <c r="AH379">
        <v>0.37797972446148798</v>
      </c>
      <c r="AI379">
        <v>98.568104670652403</v>
      </c>
      <c r="AJ379">
        <v>90.497734527849104</v>
      </c>
      <c r="AK379">
        <v>0.38226021339968203</v>
      </c>
      <c r="AL379">
        <v>88.425760216555005</v>
      </c>
      <c r="AM379">
        <v>92.006071117764293</v>
      </c>
      <c r="AN379">
        <v>0.99999997764072301</v>
      </c>
    </row>
    <row r="380" spans="1:40" x14ac:dyDescent="0.3">
      <c r="A380" t="str">
        <f>"20200111153836398"</f>
        <v>20200111153836398</v>
      </c>
      <c r="B380" t="str">
        <f>"1578728316390298"</f>
        <v>1578728316390298</v>
      </c>
      <c r="C380" t="s">
        <v>40</v>
      </c>
      <c r="D380">
        <v>5.2788490000000001</v>
      </c>
      <c r="E380">
        <v>0.51144990000000001</v>
      </c>
      <c r="F380" t="s">
        <v>41</v>
      </c>
      <c r="G380">
        <v>-370.33969999999999</v>
      </c>
      <c r="H380">
        <v>1.0257240000000001</v>
      </c>
      <c r="I380">
        <v>367.48849999999999</v>
      </c>
      <c r="J380">
        <v>-370.9941</v>
      </c>
      <c r="K380">
        <v>1.1027229999999999</v>
      </c>
      <c r="L380">
        <v>367.48329999999999</v>
      </c>
      <c r="M380">
        <v>0.99999890000000002</v>
      </c>
      <c r="N380">
        <v>0</v>
      </c>
      <c r="O380">
        <v>-4.001505E-4</v>
      </c>
      <c r="P380">
        <v>0.99907199999999996</v>
      </c>
      <c r="Q380">
        <v>2.6027410000000001E-2</v>
      </c>
      <c r="R380">
        <v>3.431882E-2</v>
      </c>
      <c r="S380">
        <v>3.0080870000000002</v>
      </c>
      <c r="T380">
        <v>-0.2227972</v>
      </c>
      <c r="U380">
        <v>1.473999E-2</v>
      </c>
      <c r="V380">
        <v>-3.4717779999999997E-2</v>
      </c>
      <c r="W380">
        <v>2.7488889999999998E-2</v>
      </c>
      <c r="X380">
        <v>0.99901899999999999</v>
      </c>
      <c r="Y380">
        <v>-5.2846369999999896E-3</v>
      </c>
      <c r="Z380">
        <v>2.250342E-4</v>
      </c>
      <c r="AA380">
        <v>0.99998600000000004</v>
      </c>
      <c r="AB380">
        <v>37</v>
      </c>
      <c r="AC380">
        <v>0.65440000000000897</v>
      </c>
      <c r="AD380">
        <v>-7.6998999999999804E-2</v>
      </c>
      <c r="AE380">
        <v>5.2000000000020901E-3</v>
      </c>
      <c r="AF380">
        <v>-5.3872777955433103E-3</v>
      </c>
      <c r="AG380">
        <v>-7.6998999999999804E-2</v>
      </c>
      <c r="AH380">
        <v>0.64546219972121099</v>
      </c>
      <c r="AI380">
        <v>96.802591587730902</v>
      </c>
      <c r="AJ380">
        <v>90.478201688153703</v>
      </c>
      <c r="AK380">
        <v>0.650061012545739</v>
      </c>
      <c r="AL380">
        <v>88.424804138548197</v>
      </c>
      <c r="AM380">
        <v>91.990334592497504</v>
      </c>
      <c r="AN380">
        <v>0.99999996284127901</v>
      </c>
    </row>
    <row r="381" spans="1:40" x14ac:dyDescent="0.3">
      <c r="A381" t="str">
        <f>"20200111153836421"</f>
        <v>20200111153836421</v>
      </c>
      <c r="B381" t="str">
        <f>"1578728316410797"</f>
        <v>1578728316410797</v>
      </c>
      <c r="C381" t="s">
        <v>40</v>
      </c>
      <c r="D381">
        <v>5.2924689999999996</v>
      </c>
      <c r="E381">
        <v>0.51122299999999998</v>
      </c>
      <c r="F381" t="s">
        <v>41</v>
      </c>
      <c r="G381">
        <v>-370.00259999999997</v>
      </c>
      <c r="H381">
        <v>1.0292399999999999</v>
      </c>
      <c r="I381">
        <v>367.48849999999999</v>
      </c>
      <c r="J381">
        <v>-370.61279999999999</v>
      </c>
      <c r="K381">
        <v>1.1027209999999901</v>
      </c>
      <c r="L381">
        <v>367.48320000000001</v>
      </c>
      <c r="M381">
        <v>0.99999890000000002</v>
      </c>
      <c r="N381">
        <v>0</v>
      </c>
      <c r="O381">
        <v>-3.989881E-4</v>
      </c>
      <c r="P381">
        <v>0.99904630000000005</v>
      </c>
      <c r="Q381">
        <v>2.6530140000000001E-2</v>
      </c>
      <c r="R381">
        <v>3.4679139999999997E-2</v>
      </c>
      <c r="S381">
        <v>3.0080260000000001</v>
      </c>
      <c r="T381">
        <v>-0.22315019999999999</v>
      </c>
      <c r="U381">
        <v>1.6601560000000001E-2</v>
      </c>
      <c r="V381">
        <v>-3.5076910000000003E-2</v>
      </c>
      <c r="W381">
        <v>2.8030840000000001E-2</v>
      </c>
      <c r="X381">
        <v>0.99899139999999997</v>
      </c>
      <c r="Y381">
        <v>-5.9006750000000002E-3</v>
      </c>
      <c r="Z381">
        <v>2.4812670000000001E-4</v>
      </c>
      <c r="AA381">
        <v>0.9999825</v>
      </c>
      <c r="AB381">
        <v>37</v>
      </c>
      <c r="AC381">
        <v>0.61020000000001995</v>
      </c>
      <c r="AD381">
        <v>-7.3480999999999894E-2</v>
      </c>
      <c r="AE381">
        <v>5.2999999999769898E-3</v>
      </c>
      <c r="AF381">
        <v>-5.4642301262330202E-3</v>
      </c>
      <c r="AG381">
        <v>-7.3480999999999894E-2</v>
      </c>
      <c r="AH381">
        <v>0.60147633069691797</v>
      </c>
      <c r="AI381">
        <v>96.964896107455203</v>
      </c>
      <c r="AJ381">
        <v>90.520500468653097</v>
      </c>
      <c r="AK381">
        <v>0.605972847213884</v>
      </c>
      <c r="AL381">
        <v>88.393740725494496</v>
      </c>
      <c r="AM381">
        <v>92.010961840513403</v>
      </c>
      <c r="AN381">
        <v>0.999999967440106</v>
      </c>
    </row>
    <row r="382" spans="1:40" x14ac:dyDescent="0.3">
      <c r="A382" t="str">
        <f>"20200111153836442"</f>
        <v>20200111153836442</v>
      </c>
      <c r="B382" t="str">
        <f>"1578728316430314"</f>
        <v>1578728316430314</v>
      </c>
      <c r="C382" t="s">
        <v>40</v>
      </c>
      <c r="D382">
        <v>5.2339609999999999</v>
      </c>
      <c r="E382">
        <v>0.51106320000000005</v>
      </c>
      <c r="F382" t="s">
        <v>41</v>
      </c>
      <c r="G382">
        <v>-369.66399999999999</v>
      </c>
      <c r="H382">
        <v>1.0325930000000001</v>
      </c>
      <c r="I382">
        <v>367.48919999999998</v>
      </c>
      <c r="J382">
        <v>-370.25959999999998</v>
      </c>
      <c r="K382">
        <v>1.1027180000000001</v>
      </c>
      <c r="L382">
        <v>367.48309999999998</v>
      </c>
      <c r="M382">
        <v>0.99999879999999997</v>
      </c>
      <c r="N382">
        <v>0</v>
      </c>
      <c r="O382">
        <v>-3.9818219999999998E-4</v>
      </c>
      <c r="P382">
        <v>0.99902709999999995</v>
      </c>
      <c r="Q382">
        <v>2.6516310000000001E-2</v>
      </c>
      <c r="R382">
        <v>3.5242000000000002E-2</v>
      </c>
      <c r="S382">
        <v>3.0080870000000002</v>
      </c>
      <c r="T382">
        <v>-0.22243640000000001</v>
      </c>
      <c r="U382">
        <v>1.9744870000000001E-2</v>
      </c>
      <c r="V382">
        <v>-3.5638509999999998E-2</v>
      </c>
      <c r="W382">
        <v>2.8053729999999999E-2</v>
      </c>
      <c r="X382">
        <v>0.99897089999999999</v>
      </c>
      <c r="Y382">
        <v>-6.9419219999999997E-3</v>
      </c>
      <c r="Z382">
        <v>2.8571500000000002E-4</v>
      </c>
      <c r="AA382">
        <v>0.99997590000000003</v>
      </c>
      <c r="AB382">
        <v>38</v>
      </c>
      <c r="AC382">
        <v>0.59559999999999003</v>
      </c>
      <c r="AD382">
        <v>-7.0124999999999896E-2</v>
      </c>
      <c r="AE382">
        <v>6.1000000000035401E-3</v>
      </c>
      <c r="AF382">
        <v>-6.2505193983738699E-3</v>
      </c>
      <c r="AG382">
        <v>-7.0124999999999896E-2</v>
      </c>
      <c r="AH382">
        <v>0.58745488197803297</v>
      </c>
      <c r="AI382">
        <v>96.806854271919903</v>
      </c>
      <c r="AJ382">
        <v>90.609604037134403</v>
      </c>
      <c r="AK382">
        <v>0.59165853579372496</v>
      </c>
      <c r="AL382">
        <v>88.392428740712205</v>
      </c>
      <c r="AM382">
        <v>92.043173229536507</v>
      </c>
      <c r="AN382">
        <v>0.99999998710437099</v>
      </c>
    </row>
    <row r="383" spans="1:40" x14ac:dyDescent="0.3">
      <c r="A383" t="str">
        <f>"20200111153836465"</f>
        <v>20200111153836465</v>
      </c>
      <c r="B383" t="str">
        <f>"1578728316460570"</f>
        <v>1578728316460570</v>
      </c>
      <c r="C383" t="s">
        <v>40</v>
      </c>
      <c r="D383">
        <v>5.1892339999999999</v>
      </c>
      <c r="E383">
        <v>0.51075170000000003</v>
      </c>
      <c r="F383" t="s">
        <v>41</v>
      </c>
      <c r="G383">
        <v>-369.32490000000001</v>
      </c>
      <c r="H383">
        <v>1.033898</v>
      </c>
      <c r="I383">
        <v>367.48970000000003</v>
      </c>
      <c r="J383">
        <v>-369.8691</v>
      </c>
      <c r="K383">
        <v>1.1027149999999999</v>
      </c>
      <c r="L383">
        <v>367.48289999999997</v>
      </c>
      <c r="M383">
        <v>0.99999870000000002</v>
      </c>
      <c r="N383">
        <v>0</v>
      </c>
      <c r="O383">
        <v>-3.9702269999999999E-4</v>
      </c>
      <c r="P383">
        <v>0.99901229999999996</v>
      </c>
      <c r="Q383">
        <v>2.6075020000000001E-2</v>
      </c>
      <c r="R383">
        <v>3.5983769999999998E-2</v>
      </c>
      <c r="S383">
        <v>3.007965</v>
      </c>
      <c r="T383">
        <v>-0.22177469999999999</v>
      </c>
      <c r="U383">
        <v>2.2705079999999999E-2</v>
      </c>
      <c r="V383">
        <v>-3.6379630000000003E-2</v>
      </c>
      <c r="W383">
        <v>2.765333E-2</v>
      </c>
      <c r="X383">
        <v>0.99895540000000005</v>
      </c>
      <c r="Y383">
        <v>-7.9225330000000007E-3</v>
      </c>
      <c r="Z383">
        <v>3.2089290000000001E-4</v>
      </c>
      <c r="AA383">
        <v>0.99996859999999999</v>
      </c>
      <c r="AB383">
        <v>38</v>
      </c>
      <c r="AC383">
        <v>0.54419999999998903</v>
      </c>
      <c r="AD383">
        <v>-6.8816999999999906E-2</v>
      </c>
      <c r="AE383">
        <v>6.8000000000552003E-3</v>
      </c>
      <c r="AF383">
        <v>-6.9056488020267396E-3</v>
      </c>
      <c r="AG383">
        <v>-6.8816999999999906E-2</v>
      </c>
      <c r="AH383">
        <v>0.535633306460504</v>
      </c>
      <c r="AI383">
        <v>97.3205287183644</v>
      </c>
      <c r="AJ383">
        <v>90.738644528997597</v>
      </c>
      <c r="AK383">
        <v>0.54008009263829504</v>
      </c>
      <c r="AL383">
        <v>88.415378955721707</v>
      </c>
      <c r="AM383">
        <v>92.085657193352802</v>
      </c>
      <c r="AN383">
        <v>1.0000000376640901</v>
      </c>
    </row>
    <row r="384" spans="1:40" x14ac:dyDescent="0.3">
      <c r="A384" t="str">
        <f>"20200111153836486"</f>
        <v>20200111153836486</v>
      </c>
      <c r="B384" t="str">
        <f>"1578728316481066"</f>
        <v>1578728316481066</v>
      </c>
      <c r="C384" t="s">
        <v>40</v>
      </c>
      <c r="D384">
        <v>5.1899360000000003</v>
      </c>
      <c r="E384">
        <v>0.51074489999999995</v>
      </c>
      <c r="F384" t="s">
        <v>41</v>
      </c>
      <c r="G384">
        <v>-368.98259999999999</v>
      </c>
      <c r="H384">
        <v>1.0367120000000001</v>
      </c>
      <c r="I384">
        <v>367.49079999999998</v>
      </c>
      <c r="J384">
        <v>-369.49340000000001</v>
      </c>
      <c r="K384">
        <v>1.102716</v>
      </c>
      <c r="L384">
        <v>367.4828</v>
      </c>
      <c r="M384">
        <v>0.99999870000000002</v>
      </c>
      <c r="N384">
        <v>0</v>
      </c>
      <c r="O384">
        <v>-3.9598239999999999E-4</v>
      </c>
      <c r="P384">
        <v>0.99900900000000004</v>
      </c>
      <c r="Q384">
        <v>2.5879369999999999E-2</v>
      </c>
      <c r="R384">
        <v>3.6215169999999998E-2</v>
      </c>
      <c r="S384">
        <v>3.0078740000000002</v>
      </c>
      <c r="T384">
        <v>-0.22397239999999999</v>
      </c>
      <c r="U384">
        <v>2.7130129999999999E-2</v>
      </c>
      <c r="V384">
        <v>-3.6609839999999998E-2</v>
      </c>
      <c r="W384">
        <v>2.749795E-2</v>
      </c>
      <c r="X384">
        <v>0.99895129999999999</v>
      </c>
      <c r="Y384">
        <v>-9.3882159999999996E-3</v>
      </c>
      <c r="Z384">
        <v>3.78487E-4</v>
      </c>
      <c r="AA384">
        <v>0.99995579999999995</v>
      </c>
      <c r="AB384">
        <v>38</v>
      </c>
      <c r="AC384">
        <v>0.51080000000001702</v>
      </c>
      <c r="AD384">
        <v>-6.6003999999999896E-2</v>
      </c>
      <c r="AE384">
        <v>7.9999999999813502E-3</v>
      </c>
      <c r="AF384">
        <v>-8.0675957284151705E-3</v>
      </c>
      <c r="AG384">
        <v>-6.6003999999999896E-2</v>
      </c>
      <c r="AH384">
        <v>0.50241010223434901</v>
      </c>
      <c r="AI384">
        <v>97.483402811967295</v>
      </c>
      <c r="AJ384">
        <v>90.919964507652494</v>
      </c>
      <c r="AK384">
        <v>0.50679140180548299</v>
      </c>
      <c r="AL384">
        <v>88.424284993557094</v>
      </c>
      <c r="AM384">
        <v>92.098852054960901</v>
      </c>
      <c r="AN384">
        <v>1.0000000587053499</v>
      </c>
    </row>
    <row r="385" spans="1:40" x14ac:dyDescent="0.3">
      <c r="A385" t="str">
        <f>"20200111153836510"</f>
        <v>20200111153836510</v>
      </c>
      <c r="B385" t="str">
        <f>"1578728316500585"</f>
        <v>1578728316500585</v>
      </c>
      <c r="C385" t="s">
        <v>40</v>
      </c>
      <c r="D385">
        <v>5.1231269999999904</v>
      </c>
      <c r="E385">
        <v>0.51078409999999996</v>
      </c>
      <c r="F385" t="s">
        <v>41</v>
      </c>
      <c r="G385">
        <v>-368.63900000000001</v>
      </c>
      <c r="H385">
        <v>1.0392950000000001</v>
      </c>
      <c r="I385">
        <v>367.49029999999999</v>
      </c>
      <c r="J385">
        <v>-369.09629999999999</v>
      </c>
      <c r="K385">
        <v>1.1027119999999999</v>
      </c>
      <c r="L385">
        <v>367.48259999999999</v>
      </c>
      <c r="M385">
        <v>0.99999859999999896</v>
      </c>
      <c r="N385">
        <v>0</v>
      </c>
      <c r="O385">
        <v>-3.9482619999999999E-4</v>
      </c>
      <c r="P385">
        <v>0.99899959999999999</v>
      </c>
      <c r="Q385">
        <v>2.628051E-2</v>
      </c>
      <c r="R385">
        <v>3.6184639999999997E-2</v>
      </c>
      <c r="S385">
        <v>3.0077509999999998</v>
      </c>
      <c r="T385">
        <v>-0.2235675</v>
      </c>
      <c r="U385">
        <v>2.786255E-2</v>
      </c>
      <c r="V385">
        <v>-3.6577970000000001E-2</v>
      </c>
      <c r="W385">
        <v>2.7942189999999999E-2</v>
      </c>
      <c r="X385">
        <v>0.9989401</v>
      </c>
      <c r="Y385">
        <v>-9.6303380000000004E-3</v>
      </c>
      <c r="Z385">
        <v>3.8671970000000002E-4</v>
      </c>
      <c r="AA385">
        <v>0.9999536</v>
      </c>
      <c r="AB385">
        <v>38</v>
      </c>
      <c r="AC385">
        <v>0.457299999999975</v>
      </c>
      <c r="AD385">
        <v>-6.3417000000000001E-2</v>
      </c>
      <c r="AE385">
        <v>7.6999999999998103E-3</v>
      </c>
      <c r="AF385">
        <v>-7.7319011772738399E-3</v>
      </c>
      <c r="AG385">
        <v>-6.3417000000000001E-2</v>
      </c>
      <c r="AH385">
        <v>0.44867083953136</v>
      </c>
      <c r="AI385">
        <v>98.043951575592004</v>
      </c>
      <c r="AJ385">
        <v>90.987274902495301</v>
      </c>
      <c r="AK385">
        <v>0.45319644794568997</v>
      </c>
      <c r="AL385">
        <v>88.398822068826604</v>
      </c>
      <c r="AM385">
        <v>92.097050061806101</v>
      </c>
      <c r="AN385">
        <v>1.00000001862966</v>
      </c>
    </row>
    <row r="386" spans="1:40" x14ac:dyDescent="0.3">
      <c r="A386" t="str">
        <f>"20200111153836531"</f>
        <v>20200111153836531</v>
      </c>
      <c r="B386" t="str">
        <f>"1578728316521085"</f>
        <v>1578728316521085</v>
      </c>
      <c r="C386" t="s">
        <v>40</v>
      </c>
      <c r="D386">
        <v>5.0849219999999997</v>
      </c>
      <c r="E386">
        <v>0.51079129999999995</v>
      </c>
      <c r="F386" t="s">
        <v>41</v>
      </c>
      <c r="G386">
        <v>-368.29250000000002</v>
      </c>
      <c r="H386">
        <v>1.043542</v>
      </c>
      <c r="I386">
        <v>367.48970000000003</v>
      </c>
      <c r="J386">
        <v>-368.72989999999999</v>
      </c>
      <c r="K386">
        <v>1.1027119999999999</v>
      </c>
      <c r="L386">
        <v>367.48250000000002</v>
      </c>
      <c r="M386">
        <v>0.99999850000000001</v>
      </c>
      <c r="N386">
        <v>0</v>
      </c>
      <c r="O386">
        <v>-3.9378770000000001E-4</v>
      </c>
      <c r="P386">
        <v>0.99898240000000005</v>
      </c>
      <c r="Q386">
        <v>2.6953230000000002E-2</v>
      </c>
      <c r="R386">
        <v>3.6161199999999998E-2</v>
      </c>
      <c r="S386">
        <v>3.0078429999999998</v>
      </c>
      <c r="T386">
        <v>-0.22160769999999999</v>
      </c>
      <c r="U386">
        <v>2.7374269999999999E-2</v>
      </c>
      <c r="V386">
        <v>-3.65534E-2</v>
      </c>
      <c r="W386">
        <v>2.865477E-2</v>
      </c>
      <c r="X386">
        <v>0.99892080000000005</v>
      </c>
      <c r="Y386">
        <v>-9.4676310000000007E-3</v>
      </c>
      <c r="Z386">
        <v>3.7726539999999997E-4</v>
      </c>
      <c r="AA386">
        <v>0.99995509999999999</v>
      </c>
      <c r="AB386">
        <v>38</v>
      </c>
      <c r="AC386">
        <v>0.43739999999996798</v>
      </c>
      <c r="AD386">
        <v>-5.9170000000000098E-2</v>
      </c>
      <c r="AE386">
        <v>7.2000000000116398E-3</v>
      </c>
      <c r="AF386">
        <v>-7.2397918061715E-3</v>
      </c>
      <c r="AG386">
        <v>-5.9170000000000098E-2</v>
      </c>
      <c r="AH386">
        <v>0.42953879978177101</v>
      </c>
      <c r="AI386">
        <v>97.842169090907603</v>
      </c>
      <c r="AJ386">
        <v>90.965617638384103</v>
      </c>
      <c r="AK386">
        <v>0.43365548999564302</v>
      </c>
      <c r="AL386">
        <v>88.3579778636893</v>
      </c>
      <c r="AM386">
        <v>92.095683150048302</v>
      </c>
      <c r="AN386">
        <v>1.00000000578397</v>
      </c>
    </row>
    <row r="387" spans="1:40" x14ac:dyDescent="0.3">
      <c r="A387" t="str">
        <f>"20200111153836553"</f>
        <v>20200111153836553</v>
      </c>
      <c r="B387" t="str">
        <f>"1578728316540611"</f>
        <v>1578728316540611</v>
      </c>
      <c r="C387" t="s">
        <v>40</v>
      </c>
      <c r="D387">
        <v>5.0574089999999998</v>
      </c>
      <c r="E387">
        <v>0.5106851</v>
      </c>
      <c r="F387" t="s">
        <v>41</v>
      </c>
      <c r="G387">
        <v>-367.94439999999997</v>
      </c>
      <c r="H387">
        <v>1.045407</v>
      </c>
      <c r="I387">
        <v>367.48930000000001</v>
      </c>
      <c r="J387">
        <v>-368.36419999999998</v>
      </c>
      <c r="K387">
        <v>1.1027089999999999</v>
      </c>
      <c r="L387">
        <v>367.48239999999998</v>
      </c>
      <c r="M387">
        <v>0.99999839999999995</v>
      </c>
      <c r="N387">
        <v>0</v>
      </c>
      <c r="O387">
        <v>-3.9275030000000003E-4</v>
      </c>
      <c r="P387">
        <v>0.99898350000000002</v>
      </c>
      <c r="Q387">
        <v>2.7090059999999999E-2</v>
      </c>
      <c r="R387">
        <v>3.6030199999999998E-2</v>
      </c>
      <c r="S387">
        <v>3.0079959999999999</v>
      </c>
      <c r="T387">
        <v>-0.21961530000000001</v>
      </c>
      <c r="U387">
        <v>2.7221680000000002E-2</v>
      </c>
      <c r="V387">
        <v>-3.6421750000000003E-2</v>
      </c>
      <c r="W387">
        <v>2.883208E-2</v>
      </c>
      <c r="X387">
        <v>0.99892049999999999</v>
      </c>
      <c r="Y387">
        <v>-9.4160310000000001E-3</v>
      </c>
      <c r="Z387">
        <v>3.7190710000000002E-4</v>
      </c>
      <c r="AA387">
        <v>0.99995560000000006</v>
      </c>
      <c r="AB387">
        <v>38</v>
      </c>
      <c r="AC387">
        <v>0.419800000000009</v>
      </c>
      <c r="AD387">
        <v>-5.7301999999999902E-2</v>
      </c>
      <c r="AE387">
        <v>6.9000000000300999E-3</v>
      </c>
      <c r="AF387">
        <v>-6.9356869010279501E-3</v>
      </c>
      <c r="AG387">
        <v>-5.7301999999999902E-2</v>
      </c>
      <c r="AH387">
        <v>0.41212078165011401</v>
      </c>
      <c r="AI387">
        <v>97.914649269139801</v>
      </c>
      <c r="AJ387">
        <v>90.964154430330296</v>
      </c>
      <c r="AK387">
        <v>0.41614319846020498</v>
      </c>
      <c r="AL387">
        <v>88.347814538629393</v>
      </c>
      <c r="AM387">
        <v>92.088142699528106</v>
      </c>
      <c r="AN387">
        <v>0.99999999901521897</v>
      </c>
    </row>
    <row r="388" spans="1:40" x14ac:dyDescent="0.3">
      <c r="A388" t="str">
        <f>"20200111153836576"</f>
        <v>20200111153836576</v>
      </c>
      <c r="B388" t="str">
        <f>"1578728316570857"</f>
        <v>1578728316570857</v>
      </c>
      <c r="C388" t="s">
        <v>40</v>
      </c>
      <c r="D388">
        <v>5.0458679999999996</v>
      </c>
      <c r="E388">
        <v>0.53501390000000004</v>
      </c>
      <c r="F388" t="s">
        <v>42</v>
      </c>
      <c r="G388">
        <v>-353.14729999999997</v>
      </c>
      <c r="H388" s="1">
        <v>-3.2758079999999998E-6</v>
      </c>
      <c r="I388">
        <v>367.6223</v>
      </c>
      <c r="J388">
        <v>-367.96460000000002</v>
      </c>
      <c r="K388">
        <v>1.1027119999999999</v>
      </c>
      <c r="L388">
        <v>367.48219999999998</v>
      </c>
      <c r="M388">
        <v>0.99999850000000001</v>
      </c>
      <c r="N388">
        <v>0</v>
      </c>
      <c r="O388">
        <v>-3.9183659999999999E-4</v>
      </c>
      <c r="P388">
        <v>0.99897689999999995</v>
      </c>
      <c r="Q388">
        <v>2.730519E-2</v>
      </c>
      <c r="R388">
        <v>3.6054290000000003E-2</v>
      </c>
      <c r="S388">
        <v>3.007965</v>
      </c>
      <c r="T388">
        <v>-0.21797459999999999</v>
      </c>
      <c r="U388">
        <v>2.767944E-2</v>
      </c>
      <c r="V388">
        <v>-3.6444820000000003E-2</v>
      </c>
      <c r="W388">
        <v>2.9091369999999998E-2</v>
      </c>
      <c r="X388">
        <v>0.99891220000000003</v>
      </c>
      <c r="Y388">
        <v>-9.5673679999999997E-3</v>
      </c>
      <c r="Z388">
        <v>3.745493E-4</v>
      </c>
      <c r="AA388">
        <v>0.99995420000000002</v>
      </c>
      <c r="AB388">
        <v>39</v>
      </c>
      <c r="AC388">
        <v>14.817299999999999</v>
      </c>
      <c r="AD388">
        <v>-1.1027152758079899</v>
      </c>
      <c r="AE388">
        <v>0.14010000000001799</v>
      </c>
      <c r="AF388">
        <v>-0.14510238675673501</v>
      </c>
      <c r="AG388">
        <v>-1.1027152758079899</v>
      </c>
      <c r="AH388">
        <v>14.735638589974</v>
      </c>
      <c r="AI388">
        <v>94.279444137372295</v>
      </c>
      <c r="AJ388">
        <v>90.564175458787801</v>
      </c>
      <c r="AK388">
        <v>14.77755325947</v>
      </c>
      <c r="AL388">
        <v>88.332952179794901</v>
      </c>
      <c r="AM388">
        <v>92.089481529740198</v>
      </c>
      <c r="AN388">
        <v>1.0000000580110699</v>
      </c>
    </row>
    <row r="389" spans="1:40" x14ac:dyDescent="0.3">
      <c r="A389" t="str">
        <f>"20200111153836599"</f>
        <v>20200111153836599</v>
      </c>
      <c r="B389" t="str">
        <f>"1578728316590381"</f>
        <v>1578728316590381</v>
      </c>
      <c r="C389" t="s">
        <v>40</v>
      </c>
      <c r="D389">
        <v>5.1674540000000002</v>
      </c>
      <c r="E389">
        <v>0.54909849999999905</v>
      </c>
      <c r="F389" t="s">
        <v>42</v>
      </c>
      <c r="G389">
        <v>-321.40769999999998</v>
      </c>
      <c r="H389" s="1">
        <v>-4.5088400000000002E-6</v>
      </c>
      <c r="I389">
        <v>364.8784</v>
      </c>
      <c r="J389">
        <v>-367.54840000000002</v>
      </c>
      <c r="K389">
        <v>1.1027129999999901</v>
      </c>
      <c r="L389">
        <v>367.4821</v>
      </c>
      <c r="M389">
        <v>0.99999830000000001</v>
      </c>
      <c r="N389">
        <v>0</v>
      </c>
      <c r="O389">
        <v>-3.9009199999999998E-4</v>
      </c>
      <c r="P389">
        <v>0.9989846</v>
      </c>
      <c r="Q389">
        <v>2.7580319999999998E-2</v>
      </c>
      <c r="R389">
        <v>3.5626690000000003E-2</v>
      </c>
      <c r="S389">
        <v>3.0110779999999999</v>
      </c>
      <c r="T389">
        <v>-7.1318270000000003E-2</v>
      </c>
      <c r="U389">
        <v>-0.16839599999999999</v>
      </c>
      <c r="V389">
        <v>-3.6015789999999999E-2</v>
      </c>
      <c r="W389">
        <v>2.9413100000000001E-2</v>
      </c>
      <c r="X389">
        <v>0.99891830000000004</v>
      </c>
      <c r="Y389">
        <v>5.5433360000000001E-2</v>
      </c>
      <c r="Z389">
        <v>-6.4664259999999999E-4</v>
      </c>
      <c r="AA389">
        <v>0.99846219999999997</v>
      </c>
      <c r="AB389">
        <v>39</v>
      </c>
      <c r="AC389">
        <v>46.140700000000002</v>
      </c>
      <c r="AD389">
        <v>-1.1027175088400001</v>
      </c>
      <c r="AE389">
        <v>-2.6036999999999999</v>
      </c>
      <c r="AF389">
        <v>2.5842293233069999</v>
      </c>
      <c r="AG389">
        <v>-1.1027175088400001</v>
      </c>
      <c r="AH389">
        <v>46.115456330451103</v>
      </c>
      <c r="AI389">
        <v>91.367656585539805</v>
      </c>
      <c r="AJ389">
        <v>86.7925995439102</v>
      </c>
      <c r="AK389">
        <v>46.200969033836103</v>
      </c>
      <c r="AL389">
        <v>88.314510451689301</v>
      </c>
      <c r="AM389">
        <v>92.064892883869007</v>
      </c>
      <c r="AN389">
        <v>1.0000000188279099</v>
      </c>
    </row>
    <row r="390" spans="1:40" x14ac:dyDescent="0.3">
      <c r="A390" t="str">
        <f>"20200111153836620"</f>
        <v>20200111153836620</v>
      </c>
      <c r="B390" t="str">
        <f>"1578728316610877"</f>
        <v>1578728316610877</v>
      </c>
      <c r="C390" t="s">
        <v>40</v>
      </c>
      <c r="D390">
        <v>5.1076459999999999</v>
      </c>
      <c r="E390">
        <v>0.55301529999999999</v>
      </c>
      <c r="F390" t="s">
        <v>42</v>
      </c>
      <c r="G390">
        <v>-324.17559999999997</v>
      </c>
      <c r="H390" s="1">
        <v>-3.6149599999999999E-6</v>
      </c>
      <c r="I390">
        <v>363.4271</v>
      </c>
      <c r="J390">
        <v>-367.16460000000001</v>
      </c>
      <c r="K390">
        <v>1.102714</v>
      </c>
      <c r="L390">
        <v>367.4819</v>
      </c>
      <c r="M390">
        <v>0.99999819999999995</v>
      </c>
      <c r="N390">
        <v>0</v>
      </c>
      <c r="O390">
        <v>-3.8882149999999998E-4</v>
      </c>
      <c r="P390">
        <v>0.99899850000000001</v>
      </c>
      <c r="Q390">
        <v>2.765838E-2</v>
      </c>
      <c r="R390">
        <v>3.5174160000000003E-2</v>
      </c>
      <c r="S390">
        <v>3.015228</v>
      </c>
      <c r="T390">
        <v>-7.6659439999999995E-2</v>
      </c>
      <c r="U390">
        <v>-0.2818909</v>
      </c>
      <c r="V390">
        <v>-3.556173E-2</v>
      </c>
      <c r="W390">
        <v>2.9534640000000001E-2</v>
      </c>
      <c r="X390">
        <v>0.99893100000000001</v>
      </c>
      <c r="Y390">
        <v>9.2666470000000001E-2</v>
      </c>
      <c r="Z390">
        <v>-1.1653670000000001E-3</v>
      </c>
      <c r="AA390">
        <v>0.99569649999999998</v>
      </c>
      <c r="AB390">
        <v>39</v>
      </c>
      <c r="AC390">
        <v>42.988999999999997</v>
      </c>
      <c r="AD390">
        <v>-1.10271761496</v>
      </c>
      <c r="AE390">
        <v>-4.0548000000000002</v>
      </c>
      <c r="AF390">
        <v>4.0354527768089801</v>
      </c>
      <c r="AG390">
        <v>-1.10271761496</v>
      </c>
      <c r="AH390">
        <v>42.962554040777903</v>
      </c>
      <c r="AI390">
        <v>91.463844376089398</v>
      </c>
      <c r="AJ390">
        <v>84.633978080945795</v>
      </c>
      <c r="AK390">
        <v>43.165749326971699</v>
      </c>
      <c r="AL390">
        <v>88.307543727145401</v>
      </c>
      <c r="AM390">
        <v>92.038856478716099</v>
      </c>
      <c r="AN390">
        <v>1.00000003718076</v>
      </c>
    </row>
    <row r="391" spans="1:40" x14ac:dyDescent="0.3">
      <c r="A391" t="str">
        <f>"20200111153836642"</f>
        <v>20200111153836642</v>
      </c>
      <c r="B391" t="str">
        <f>"1578728316630394"</f>
        <v>1578728316630394</v>
      </c>
      <c r="C391" t="s">
        <v>40</v>
      </c>
      <c r="D391">
        <v>5.0416449999999999</v>
      </c>
      <c r="E391">
        <v>0.55647469999999999</v>
      </c>
      <c r="F391" t="s">
        <v>42</v>
      </c>
      <c r="G391">
        <v>-330.08159999999998</v>
      </c>
      <c r="H391" s="1">
        <v>-5.3011559999999998E-6</v>
      </c>
      <c r="I391">
        <v>363.6189</v>
      </c>
      <c r="J391">
        <v>-366.79140000000001</v>
      </c>
      <c r="K391">
        <v>1.102714</v>
      </c>
      <c r="L391">
        <v>367.48169999999999</v>
      </c>
      <c r="M391">
        <v>0.99999819999999995</v>
      </c>
      <c r="N391">
        <v>0</v>
      </c>
      <c r="O391">
        <v>-3.8790869999999998E-4</v>
      </c>
      <c r="P391">
        <v>0.9990253</v>
      </c>
      <c r="Q391">
        <v>2.7470029999999999E-2</v>
      </c>
      <c r="R391">
        <v>3.4552619999999999E-2</v>
      </c>
      <c r="S391">
        <v>3.0166019999999998</v>
      </c>
      <c r="T391">
        <v>-8.9703080000000004E-2</v>
      </c>
      <c r="U391">
        <v>-0.3142395</v>
      </c>
      <c r="V391">
        <v>-3.4939310000000001E-2</v>
      </c>
      <c r="W391">
        <v>2.9388790000000001E-2</v>
      </c>
      <c r="X391">
        <v>0.99895719999999999</v>
      </c>
      <c r="Y391">
        <v>0.1031786</v>
      </c>
      <c r="Z391">
        <v>-1.51810799999999E-3</v>
      </c>
      <c r="AA391">
        <v>0.99466169999999998</v>
      </c>
      <c r="AB391">
        <v>39</v>
      </c>
      <c r="AC391">
        <v>36.709800000000001</v>
      </c>
      <c r="AD391">
        <v>-1.1027193011559999</v>
      </c>
      <c r="AE391">
        <v>-3.8627999999999898</v>
      </c>
      <c r="AF391">
        <v>3.8451280512180599</v>
      </c>
      <c r="AG391">
        <v>-1.1027193011559999</v>
      </c>
      <c r="AH391">
        <v>36.678561888310099</v>
      </c>
      <c r="AI391">
        <v>91.712665333539803</v>
      </c>
      <c r="AJ391">
        <v>84.015364512443398</v>
      </c>
      <c r="AK391">
        <v>36.896041817273598</v>
      </c>
      <c r="AL391">
        <v>88.3159038353987</v>
      </c>
      <c r="AM391">
        <v>92.003148182166299</v>
      </c>
      <c r="AN391">
        <v>0.99999997189638901</v>
      </c>
    </row>
    <row r="392" spans="1:40" x14ac:dyDescent="0.3">
      <c r="A392" t="str">
        <f>"20200111153836664"</f>
        <v>20200111153836664</v>
      </c>
      <c r="B392" t="str">
        <f>"1578728316660650"</f>
        <v>1578728316660650</v>
      </c>
      <c r="C392" t="s">
        <v>40</v>
      </c>
      <c r="D392">
        <v>4.9631589999999903</v>
      </c>
      <c r="E392">
        <v>0.55896250000000003</v>
      </c>
      <c r="F392" t="s">
        <v>42</v>
      </c>
      <c r="G392">
        <v>-329.75810000000001</v>
      </c>
      <c r="H392" s="1">
        <v>-1.7583679999999999E-6</v>
      </c>
      <c r="I392">
        <v>363.26479999999998</v>
      </c>
      <c r="J392">
        <v>-366.40219999999999</v>
      </c>
      <c r="K392">
        <v>1.102714</v>
      </c>
      <c r="L392">
        <v>367.48160000000001</v>
      </c>
      <c r="M392">
        <v>0.99999819999999995</v>
      </c>
      <c r="N392">
        <v>0</v>
      </c>
      <c r="O392">
        <v>-3.8676029999999998E-4</v>
      </c>
      <c r="P392">
        <v>0.99904859999999895</v>
      </c>
      <c r="Q392">
        <v>2.7160130000000001E-2</v>
      </c>
      <c r="R392">
        <v>3.4127949999999997E-2</v>
      </c>
      <c r="S392">
        <v>3.0173030000000001</v>
      </c>
      <c r="T392">
        <v>-8.9843989999999999E-2</v>
      </c>
      <c r="U392">
        <v>-0.34356690000000001</v>
      </c>
      <c r="V392">
        <v>-3.4513240000000001E-2</v>
      </c>
      <c r="W392">
        <v>2.9122829999999999E-2</v>
      </c>
      <c r="X392">
        <v>0.99897979999999997</v>
      </c>
      <c r="Y392">
        <v>0.1127011</v>
      </c>
      <c r="Z392">
        <v>-1.66066E-3</v>
      </c>
      <c r="AA392">
        <v>0.9936275</v>
      </c>
      <c r="AB392">
        <v>39</v>
      </c>
      <c r="AC392">
        <v>36.644099999999902</v>
      </c>
      <c r="AD392">
        <v>-1.1027157583679901</v>
      </c>
      <c r="AE392">
        <v>-4.2168000000000303</v>
      </c>
      <c r="AF392">
        <v>4.1988745215402101</v>
      </c>
      <c r="AG392">
        <v>-1.1027157583679901</v>
      </c>
      <c r="AH392">
        <v>36.613006051251901</v>
      </c>
      <c r="AI392">
        <v>91.713893928891096</v>
      </c>
      <c r="AJ392">
        <v>83.4577528779555</v>
      </c>
      <c r="AK392">
        <v>36.869482521462103</v>
      </c>
      <c r="AL392">
        <v>88.331148746848001</v>
      </c>
      <c r="AM392">
        <v>91.978695452160693</v>
      </c>
      <c r="AN392">
        <v>0.99999997188527201</v>
      </c>
    </row>
    <row r="393" spans="1:40" x14ac:dyDescent="0.3">
      <c r="A393" t="str">
        <f>"20200111153836688"</f>
        <v>20200111153836688</v>
      </c>
      <c r="B393" t="str">
        <f>"1578728316681147"</f>
        <v>1578728316681147</v>
      </c>
      <c r="C393" t="s">
        <v>40</v>
      </c>
      <c r="D393">
        <v>5.0486050000000002</v>
      </c>
      <c r="E393">
        <v>0.55996360000000001</v>
      </c>
      <c r="F393" t="s">
        <v>42</v>
      </c>
      <c r="G393">
        <v>-329.1155</v>
      </c>
      <c r="H393" s="1">
        <v>-2.0545099999999998E-6</v>
      </c>
      <c r="I393">
        <v>362.97370000000001</v>
      </c>
      <c r="J393">
        <v>-365.96589999999998</v>
      </c>
      <c r="K393">
        <v>1.1027119999999999</v>
      </c>
      <c r="L393">
        <v>367.48140000000001</v>
      </c>
      <c r="M393">
        <v>0.99999800000000005</v>
      </c>
      <c r="N393">
        <v>0</v>
      </c>
      <c r="O393">
        <v>-3.8561859999999999E-4</v>
      </c>
      <c r="P393">
        <v>0.99905969999999999</v>
      </c>
      <c r="Q393">
        <v>2.6851750000000001E-2</v>
      </c>
      <c r="R393">
        <v>3.404397E-2</v>
      </c>
      <c r="S393">
        <v>3.017792</v>
      </c>
      <c r="T393">
        <v>-8.9248060000000004E-2</v>
      </c>
      <c r="U393">
        <v>-0.36483759999999998</v>
      </c>
      <c r="V393">
        <v>-3.4428239999999999E-2</v>
      </c>
      <c r="W393">
        <v>2.886449E-2</v>
      </c>
      <c r="X393">
        <v>0.99899020000000005</v>
      </c>
      <c r="Y393">
        <v>0.1195874</v>
      </c>
      <c r="Z393">
        <v>-1.750181E-3</v>
      </c>
      <c r="AA393">
        <v>0.99282210000000004</v>
      </c>
      <c r="AB393">
        <v>40</v>
      </c>
      <c r="AC393">
        <v>36.850399999999901</v>
      </c>
      <c r="AD393">
        <v>-1.10271405451</v>
      </c>
      <c r="AE393">
        <v>-4.5076999999999998</v>
      </c>
      <c r="AF393">
        <v>4.4895285564793097</v>
      </c>
      <c r="AG393">
        <v>-1.10271405451</v>
      </c>
      <c r="AH393">
        <v>36.819651421803101</v>
      </c>
      <c r="AI393">
        <v>91.702837757800694</v>
      </c>
      <c r="AJ393">
        <v>83.048074204894704</v>
      </c>
      <c r="AK393">
        <v>37.108739883867599</v>
      </c>
      <c r="AL393">
        <v>88.345956713399005</v>
      </c>
      <c r="AM393">
        <v>91.9738056027265</v>
      </c>
      <c r="AN393">
        <v>0.99999994109424695</v>
      </c>
    </row>
    <row r="394" spans="1:40" x14ac:dyDescent="0.3">
      <c r="A394" t="str">
        <f>"20200111153836711"</f>
        <v>20200111153836711</v>
      </c>
      <c r="B394" t="str">
        <f>"1578728316700665"</f>
        <v>1578728316700665</v>
      </c>
      <c r="C394" t="s">
        <v>40</v>
      </c>
      <c r="D394">
        <v>5.0407460000000004</v>
      </c>
      <c r="E394">
        <v>0.56097330000000001</v>
      </c>
      <c r="F394" t="s">
        <v>42</v>
      </c>
      <c r="G394">
        <v>-328.55009999999999</v>
      </c>
      <c r="H394" s="1">
        <v>-2.2787439999999998E-6</v>
      </c>
      <c r="I394">
        <v>362.85410000000002</v>
      </c>
      <c r="J394">
        <v>-365.56630000000001</v>
      </c>
      <c r="K394">
        <v>1.102711</v>
      </c>
      <c r="L394">
        <v>367.4812</v>
      </c>
      <c r="M394">
        <v>0.9999979</v>
      </c>
      <c r="N394">
        <v>0</v>
      </c>
      <c r="O394">
        <v>-3.8483179999999998E-4</v>
      </c>
      <c r="P394">
        <v>0.99906799999999996</v>
      </c>
      <c r="Q394">
        <v>2.702939E-2</v>
      </c>
      <c r="R394">
        <v>3.3654169999999997E-2</v>
      </c>
      <c r="S394">
        <v>3.017944</v>
      </c>
      <c r="T394">
        <v>-8.894444E-2</v>
      </c>
      <c r="U394">
        <v>-0.37323000000000001</v>
      </c>
      <c r="V394">
        <v>-3.403788E-2</v>
      </c>
      <c r="W394">
        <v>2.9088510000000001E-2</v>
      </c>
      <c r="X394">
        <v>0.99899720000000003</v>
      </c>
      <c r="Y394">
        <v>0.1223012</v>
      </c>
      <c r="Z394">
        <v>-1.7837020000000001E-3</v>
      </c>
      <c r="AA394">
        <v>0.99249140000000002</v>
      </c>
      <c r="AB394">
        <v>40</v>
      </c>
      <c r="AC394">
        <v>37.016199999999998</v>
      </c>
      <c r="AD394">
        <v>-1.1027132787439999</v>
      </c>
      <c r="AE394">
        <v>-4.62709999999998</v>
      </c>
      <c r="AF394">
        <v>4.6088274621918703</v>
      </c>
      <c r="AG394">
        <v>-1.1027132787439999</v>
      </c>
      <c r="AH394">
        <v>36.985660152886702</v>
      </c>
      <c r="AI394">
        <v>91.694647026449303</v>
      </c>
      <c r="AJ394">
        <v>82.896918631027503</v>
      </c>
      <c r="AK394">
        <v>37.288018505898201</v>
      </c>
      <c r="AL394">
        <v>88.333116121990798</v>
      </c>
      <c r="AM394">
        <v>91.951429610752797</v>
      </c>
      <c r="AN394">
        <v>1.00000006214837</v>
      </c>
    </row>
    <row r="395" spans="1:40" x14ac:dyDescent="0.3">
      <c r="A395" t="str">
        <f>"20200111153836732"</f>
        <v>20200111153836732</v>
      </c>
      <c r="B395" t="str">
        <f>"1578728316721162"</f>
        <v>1578728316721162</v>
      </c>
      <c r="C395" t="s">
        <v>40</v>
      </c>
      <c r="D395">
        <v>4.9896399999999996</v>
      </c>
      <c r="E395">
        <v>0.56122260000000002</v>
      </c>
      <c r="F395" t="s">
        <v>42</v>
      </c>
      <c r="G395">
        <v>-327.87110000000001</v>
      </c>
      <c r="H395" s="1">
        <v>-2.5493560000000002E-6</v>
      </c>
      <c r="I395">
        <v>362.70549999999997</v>
      </c>
      <c r="J395">
        <v>-365.18290000000002</v>
      </c>
      <c r="K395">
        <v>1.1027100000000001</v>
      </c>
      <c r="L395">
        <v>367.48099999999999</v>
      </c>
      <c r="M395">
        <v>0.99999769999999999</v>
      </c>
      <c r="N395">
        <v>0</v>
      </c>
      <c r="O395">
        <v>-3.8380599999999999E-4</v>
      </c>
      <c r="P395">
        <v>0.99905869999999997</v>
      </c>
      <c r="Q395">
        <v>2.719682E-2</v>
      </c>
      <c r="R395">
        <v>3.3795480000000003E-2</v>
      </c>
      <c r="S395">
        <v>3.0180359999999999</v>
      </c>
      <c r="T395">
        <v>-8.8287589999999999E-2</v>
      </c>
      <c r="U395">
        <v>-0.38235469999999999</v>
      </c>
      <c r="V395">
        <v>-3.4177720000000002E-2</v>
      </c>
      <c r="W395">
        <v>2.9300139999999999E-2</v>
      </c>
      <c r="X395">
        <v>0.99898620000000005</v>
      </c>
      <c r="Y395">
        <v>0.1252519</v>
      </c>
      <c r="Z395">
        <v>-1.813159E-3</v>
      </c>
      <c r="AA395">
        <v>0.99212330000000004</v>
      </c>
      <c r="AB395">
        <v>40</v>
      </c>
      <c r="AC395">
        <v>37.311799999999998</v>
      </c>
      <c r="AD395">
        <v>-1.1027125493559999</v>
      </c>
      <c r="AE395">
        <v>-4.7755000000000196</v>
      </c>
      <c r="AF395">
        <v>4.7570910653687504</v>
      </c>
      <c r="AG395">
        <v>-1.1027125493559999</v>
      </c>
      <c r="AH395">
        <v>37.281591777294601</v>
      </c>
      <c r="AI395">
        <v>91.6805789638954</v>
      </c>
      <c r="AJ395">
        <v>82.728414254700397</v>
      </c>
      <c r="AK395">
        <v>37.600039572047798</v>
      </c>
      <c r="AL395">
        <v>88.320985377606306</v>
      </c>
      <c r="AM395">
        <v>91.959462115999102</v>
      </c>
      <c r="AN395">
        <v>1.00000002126942</v>
      </c>
    </row>
    <row r="396" spans="1:40" x14ac:dyDescent="0.3">
      <c r="A396" t="str">
        <f>"20200111153836754"</f>
        <v>20200111153836754</v>
      </c>
      <c r="B396" t="str">
        <f>"1578728316750442"</f>
        <v>1578728316750442</v>
      </c>
      <c r="C396" t="s">
        <v>40</v>
      </c>
      <c r="D396">
        <v>5.0176610000000004</v>
      </c>
      <c r="E396">
        <v>0.5614498</v>
      </c>
      <c r="F396" t="s">
        <v>42</v>
      </c>
      <c r="G396">
        <v>-327.21839999999997</v>
      </c>
      <c r="H396" s="1">
        <v>-2.7860460000000001E-6</v>
      </c>
      <c r="I396">
        <v>362.6508</v>
      </c>
      <c r="J396">
        <v>-364.7953</v>
      </c>
      <c r="K396">
        <v>1.102706</v>
      </c>
      <c r="L396">
        <v>367.48090000000002</v>
      </c>
      <c r="M396">
        <v>0.99999769999999999</v>
      </c>
      <c r="N396">
        <v>0</v>
      </c>
      <c r="O396">
        <v>-3.826627E-4</v>
      </c>
      <c r="P396">
        <v>0.99903419999999998</v>
      </c>
      <c r="Q396">
        <v>2.759932E-2</v>
      </c>
      <c r="R396">
        <v>3.4193540000000001E-2</v>
      </c>
      <c r="S396">
        <v>3.0181879999999999</v>
      </c>
      <c r="T396">
        <v>-8.7665679999999996E-2</v>
      </c>
      <c r="U396">
        <v>-0.38400269999999997</v>
      </c>
      <c r="V396">
        <v>-3.4575019999999998E-2</v>
      </c>
      <c r="W396">
        <v>2.974721E-2</v>
      </c>
      <c r="X396">
        <v>0.99895929999999999</v>
      </c>
      <c r="Y396">
        <v>0.12578049999999999</v>
      </c>
      <c r="Z396">
        <v>-1.807917E-3</v>
      </c>
      <c r="AA396">
        <v>0.99205639999999995</v>
      </c>
      <c r="AB396">
        <v>40</v>
      </c>
      <c r="AC396">
        <v>37.576900000000002</v>
      </c>
      <c r="AD396">
        <v>-1.1027087860460001</v>
      </c>
      <c r="AE396">
        <v>-4.8301000000000096</v>
      </c>
      <c r="AF396">
        <v>4.8116441280849598</v>
      </c>
      <c r="AG396">
        <v>-1.1027087860460001</v>
      </c>
      <c r="AH396">
        <v>37.546937477252001</v>
      </c>
      <c r="AI396">
        <v>91.668587640442496</v>
      </c>
      <c r="AJ396">
        <v>82.697341883618904</v>
      </c>
      <c r="AK396">
        <v>37.870046208089398</v>
      </c>
      <c r="AL396">
        <v>88.295358956360303</v>
      </c>
      <c r="AM396">
        <v>91.982275214185094</v>
      </c>
      <c r="AN396">
        <v>1.00000000578363</v>
      </c>
    </row>
    <row r="397" spans="1:40" x14ac:dyDescent="0.3">
      <c r="A397" t="str">
        <f>"20200111153836777"</f>
        <v>20200111153836777</v>
      </c>
      <c r="B397" t="str">
        <f>"1578728316770938"</f>
        <v>1578728316770938</v>
      </c>
      <c r="C397" t="s">
        <v>40</v>
      </c>
      <c r="D397">
        <v>4.962434</v>
      </c>
      <c r="E397">
        <v>0.56150849999999997</v>
      </c>
      <c r="F397" t="s">
        <v>42</v>
      </c>
      <c r="G397">
        <v>-326.95310000000001</v>
      </c>
      <c r="H397" s="1">
        <v>-2.8744380000000002E-6</v>
      </c>
      <c r="I397">
        <v>362.65780000000001</v>
      </c>
      <c r="J397">
        <v>-364.37610000000001</v>
      </c>
      <c r="K397">
        <v>1.1027070000000001</v>
      </c>
      <c r="L397">
        <v>367.48070000000001</v>
      </c>
      <c r="M397">
        <v>0.99999760000000004</v>
      </c>
      <c r="N397">
        <v>0</v>
      </c>
      <c r="O397">
        <v>-3.8152439999999998E-4</v>
      </c>
      <c r="P397">
        <v>0.99902060000000004</v>
      </c>
      <c r="Q397">
        <v>2.7541389999999999E-2</v>
      </c>
      <c r="R397">
        <v>3.4633480000000001E-2</v>
      </c>
      <c r="S397">
        <v>3.018494</v>
      </c>
      <c r="T397">
        <v>-8.7957740000000006E-2</v>
      </c>
      <c r="U397">
        <v>-0.38470460000000001</v>
      </c>
      <c r="V397">
        <v>-3.501373E-2</v>
      </c>
      <c r="W397">
        <v>2.9737679999999999E-2</v>
      </c>
      <c r="X397">
        <v>0.99894430000000001</v>
      </c>
      <c r="Y397">
        <v>0.12599560000000001</v>
      </c>
      <c r="Z397">
        <v>-1.816883E-3</v>
      </c>
      <c r="AA397">
        <v>0.9920291</v>
      </c>
      <c r="AB397">
        <v>40</v>
      </c>
      <c r="AC397">
        <v>37.423000000000002</v>
      </c>
      <c r="AD397">
        <v>-1.1027098744379999</v>
      </c>
      <c r="AE397">
        <v>-4.8228999999999997</v>
      </c>
      <c r="AF397">
        <v>4.8045184521599902</v>
      </c>
      <c r="AG397">
        <v>-1.1027098744379999</v>
      </c>
      <c r="AH397">
        <v>37.392901328033098</v>
      </c>
      <c r="AI397">
        <v>91.675387647486801</v>
      </c>
      <c r="AJ397">
        <v>82.678326894285902</v>
      </c>
      <c r="AK397">
        <v>37.716421308925199</v>
      </c>
      <c r="AL397">
        <v>88.295905221554307</v>
      </c>
      <c r="AM397">
        <v>92.007437260649496</v>
      </c>
      <c r="AN397">
        <v>1.00000000270139</v>
      </c>
    </row>
    <row r="398" spans="1:40" x14ac:dyDescent="0.3">
      <c r="A398" t="str">
        <f>"20200111153836800"</f>
        <v>20200111153836800</v>
      </c>
      <c r="B398" t="str">
        <f>"1578728316790457"</f>
        <v>1578728316790457</v>
      </c>
      <c r="C398" t="s">
        <v>40</v>
      </c>
      <c r="D398">
        <v>5.0499260000000001</v>
      </c>
      <c r="E398">
        <v>0.56175580000000003</v>
      </c>
      <c r="F398" t="s">
        <v>42</v>
      </c>
      <c r="G398">
        <v>-326.97480000000002</v>
      </c>
      <c r="H398" s="1">
        <v>-2.8487360000000001E-6</v>
      </c>
      <c r="I398">
        <v>362.72669999999999</v>
      </c>
      <c r="J398">
        <v>-363.95139999999998</v>
      </c>
      <c r="K398">
        <v>1.1027049999999901</v>
      </c>
      <c r="L398">
        <v>367.48050000000001</v>
      </c>
      <c r="M398">
        <v>0.99999749999999998</v>
      </c>
      <c r="N398">
        <v>0</v>
      </c>
      <c r="O398">
        <v>-3.8050729999999997E-4</v>
      </c>
      <c r="P398">
        <v>0.9990002</v>
      </c>
      <c r="Q398">
        <v>2.7964260000000001E-2</v>
      </c>
      <c r="R398">
        <v>3.4884730000000003E-2</v>
      </c>
      <c r="S398">
        <v>3.018707</v>
      </c>
      <c r="T398">
        <v>-8.9000819999999994E-2</v>
      </c>
      <c r="U398">
        <v>-0.38369750000000002</v>
      </c>
      <c r="V398">
        <v>-3.5264259999999999E-2</v>
      </c>
      <c r="W398">
        <v>3.0210020000000001E-2</v>
      </c>
      <c r="X398">
        <v>0.99892130000000001</v>
      </c>
      <c r="Y398">
        <v>0.12566099999999999</v>
      </c>
      <c r="Z398">
        <v>-1.8334479999999999E-3</v>
      </c>
      <c r="AA398">
        <v>0.99207160000000005</v>
      </c>
      <c r="AB398">
        <v>41</v>
      </c>
      <c r="AC398">
        <v>36.976599999999898</v>
      </c>
      <c r="AD398">
        <v>-1.10270784873599</v>
      </c>
      <c r="AE398">
        <v>-4.7538000000000098</v>
      </c>
      <c r="AF398">
        <v>4.7355866946959804</v>
      </c>
      <c r="AG398">
        <v>-1.10270784873599</v>
      </c>
      <c r="AH398">
        <v>36.946082866808098</v>
      </c>
      <c r="AI398">
        <v>91.6957012960508</v>
      </c>
      <c r="AJ398">
        <v>82.695904413511101</v>
      </c>
      <c r="AK398">
        <v>37.264658661306697</v>
      </c>
      <c r="AL398">
        <v>88.268829942865295</v>
      </c>
      <c r="AM398">
        <v>92.021835496554402</v>
      </c>
      <c r="AN398">
        <v>0.99999998846771798</v>
      </c>
    </row>
    <row r="399" spans="1:40" x14ac:dyDescent="0.3">
      <c r="A399" t="str">
        <f>"20200111153836832"</f>
        <v>20200111153836832</v>
      </c>
      <c r="B399" t="str">
        <f>"1578728316820807"</f>
        <v>1578728316820807</v>
      </c>
      <c r="C399" t="s">
        <v>40</v>
      </c>
      <c r="D399">
        <v>5.0951879999999896</v>
      </c>
      <c r="E399">
        <v>0.56173240000000002</v>
      </c>
      <c r="F399" t="s">
        <v>42</v>
      </c>
      <c r="G399">
        <v>-326.23180000000002</v>
      </c>
      <c r="H399" s="1">
        <v>-3.1165569999999998E-6</v>
      </c>
      <c r="I399">
        <v>362.67039999999997</v>
      </c>
      <c r="J399">
        <v>-363.36939999999998</v>
      </c>
      <c r="K399">
        <v>1.1027149999999999</v>
      </c>
      <c r="L399">
        <v>367.4803</v>
      </c>
      <c r="M399">
        <v>0.99999729999999998</v>
      </c>
      <c r="N399">
        <v>0</v>
      </c>
      <c r="O399">
        <v>-3.7855920000000001E-4</v>
      </c>
      <c r="P399">
        <v>0.99897480000000005</v>
      </c>
      <c r="Q399">
        <v>2.8639700000000001E-2</v>
      </c>
      <c r="R399">
        <v>3.5059010000000002E-2</v>
      </c>
      <c r="S399">
        <v>3.0189819999999998</v>
      </c>
      <c r="T399">
        <v>-8.8257550000000004E-2</v>
      </c>
      <c r="U399">
        <v>-0.38497920000000002</v>
      </c>
      <c r="V399">
        <v>-3.543636E-2</v>
      </c>
      <c r="W399">
        <v>3.095258E-2</v>
      </c>
      <c r="X399">
        <v>0.99889249999999996</v>
      </c>
      <c r="Y399">
        <v>0.12606689999999901</v>
      </c>
      <c r="Z399">
        <v>-1.8238950000000001E-3</v>
      </c>
      <c r="AA399">
        <v>0.99202009999999996</v>
      </c>
      <c r="AB399">
        <v>41</v>
      </c>
      <c r="AC399">
        <v>37.1375999999999</v>
      </c>
      <c r="AD399">
        <v>-1.1027181165569999</v>
      </c>
      <c r="AE399">
        <v>-4.8099000000000203</v>
      </c>
      <c r="AF399">
        <v>4.7916858946690999</v>
      </c>
      <c r="AG399">
        <v>-1.1027181165569999</v>
      </c>
      <c r="AH399">
        <v>37.107241922803603</v>
      </c>
      <c r="AI399">
        <v>91.688152784130594</v>
      </c>
      <c r="AJ399">
        <v>82.642070083101402</v>
      </c>
      <c r="AK399">
        <v>37.431586181662503</v>
      </c>
      <c r="AL399">
        <v>88.226264520838399</v>
      </c>
      <c r="AM399">
        <v>92.031752930135795</v>
      </c>
      <c r="AN399">
        <v>1.0000000121874699</v>
      </c>
    </row>
    <row r="400" spans="1:40" x14ac:dyDescent="0.3">
      <c r="A400" t="str">
        <f>"20200111153836854"</f>
        <v>20200111153836854</v>
      </c>
      <c r="B400" t="str">
        <f>"1578728316851061"</f>
        <v>1578728316851061</v>
      </c>
      <c r="C400" t="s">
        <v>40</v>
      </c>
      <c r="D400">
        <v>5.1124720000000003</v>
      </c>
      <c r="E400">
        <v>0.56126869999999995</v>
      </c>
      <c r="F400" t="s">
        <v>42</v>
      </c>
      <c r="G400">
        <v>-325.37020000000001</v>
      </c>
      <c r="H400" s="1">
        <v>-3.4167010000000001E-6</v>
      </c>
      <c r="I400">
        <v>362.64429999999999</v>
      </c>
      <c r="J400">
        <v>-362.96730000000002</v>
      </c>
      <c r="K400">
        <v>1.1027209999999901</v>
      </c>
      <c r="L400">
        <v>367.48009999999999</v>
      </c>
      <c r="M400">
        <v>0.99999729999999998</v>
      </c>
      <c r="N400">
        <v>0</v>
      </c>
      <c r="O400">
        <v>-3.7778010000000001E-4</v>
      </c>
      <c r="P400">
        <v>0.99896260000000003</v>
      </c>
      <c r="Q400">
        <v>2.915885E-2</v>
      </c>
      <c r="R400">
        <v>3.4980070000000002E-2</v>
      </c>
      <c r="S400">
        <v>3.0190730000000001</v>
      </c>
      <c r="T400">
        <v>-8.7611789999999995E-2</v>
      </c>
      <c r="U400">
        <v>-0.38421630000000001</v>
      </c>
      <c r="V400">
        <v>-3.5356190000000003E-2</v>
      </c>
      <c r="W400">
        <v>3.1518780000000003E-2</v>
      </c>
      <c r="X400">
        <v>0.99887760000000003</v>
      </c>
      <c r="Y400">
        <v>0.12581800000000001</v>
      </c>
      <c r="Z400">
        <v>-1.8069570000000001E-3</v>
      </c>
      <c r="AA400">
        <v>0.99205169999999998</v>
      </c>
      <c r="AB400">
        <v>41</v>
      </c>
      <c r="AC400">
        <v>37.597099999999998</v>
      </c>
      <c r="AD400">
        <v>-1.10272441670099</v>
      </c>
      <c r="AE400">
        <v>-4.8357999999999999</v>
      </c>
      <c r="AF400">
        <v>4.81751934974195</v>
      </c>
      <c r="AG400">
        <v>-1.10272441670099</v>
      </c>
      <c r="AH400">
        <v>37.567132958667599</v>
      </c>
      <c r="AI400">
        <v>91.667696373274794</v>
      </c>
      <c r="AJ400">
        <v>82.692409492495003</v>
      </c>
      <c r="AK400">
        <v>37.890816467298997</v>
      </c>
      <c r="AL400">
        <v>88.193807749016997</v>
      </c>
      <c r="AM400">
        <v>92.027190415037893</v>
      </c>
      <c r="AN400">
        <v>0.99999997672288199</v>
      </c>
    </row>
    <row r="401" spans="1:40" x14ac:dyDescent="0.3">
      <c r="A401" t="str">
        <f>"20200111153836878"</f>
        <v>20200111153836878</v>
      </c>
      <c r="B401" t="str">
        <f>"1578728316870580"</f>
        <v>1578728316870580</v>
      </c>
      <c r="C401" t="s">
        <v>40</v>
      </c>
      <c r="D401">
        <v>5.0917729999999999</v>
      </c>
      <c r="E401">
        <v>0.56107099999999999</v>
      </c>
      <c r="F401" t="s">
        <v>42</v>
      </c>
      <c r="G401">
        <v>-326.11799999999999</v>
      </c>
      <c r="H401" s="1">
        <v>-3.1122180000000001E-6</v>
      </c>
      <c r="I401">
        <v>362.8322</v>
      </c>
      <c r="J401">
        <v>-362.52260000000001</v>
      </c>
      <c r="K401">
        <v>1.1027209999999901</v>
      </c>
      <c r="L401">
        <v>367.47989999999999</v>
      </c>
      <c r="M401">
        <v>0.99999709999999997</v>
      </c>
      <c r="N401">
        <v>0</v>
      </c>
      <c r="O401">
        <v>-3.7641200000000001E-4</v>
      </c>
      <c r="P401">
        <v>0.99894190000000005</v>
      </c>
      <c r="Q401">
        <v>2.9997280000000001E-2</v>
      </c>
      <c r="R401">
        <v>3.4867460000000003E-2</v>
      </c>
      <c r="S401">
        <v>3.0190730000000001</v>
      </c>
      <c r="T401">
        <v>-9.0346339999999997E-2</v>
      </c>
      <c r="U401">
        <v>-0.38079829999999998</v>
      </c>
      <c r="V401">
        <v>-3.5242299999999997E-2</v>
      </c>
      <c r="W401">
        <v>3.2408109999999997E-2</v>
      </c>
      <c r="X401">
        <v>0.9988532</v>
      </c>
      <c r="Y401">
        <v>0.12471110000000001</v>
      </c>
      <c r="Z401">
        <v>-1.8470100000000001E-3</v>
      </c>
      <c r="AA401">
        <v>0.99219139999999995</v>
      </c>
      <c r="AB401">
        <v>41</v>
      </c>
      <c r="AC401">
        <v>36.404600000000002</v>
      </c>
      <c r="AD401">
        <v>-1.10272411221799</v>
      </c>
      <c r="AE401">
        <v>-4.64769999999998</v>
      </c>
      <c r="AF401">
        <v>4.6298166270463899</v>
      </c>
      <c r="AG401">
        <v>-1.10272411221799</v>
      </c>
      <c r="AH401">
        <v>36.373508258508402</v>
      </c>
      <c r="AI401">
        <v>91.722596259058804</v>
      </c>
      <c r="AJ401">
        <v>82.746090746266503</v>
      </c>
      <c r="AK401">
        <v>36.683556336586598</v>
      </c>
      <c r="AL401">
        <v>88.142826903514901</v>
      </c>
      <c r="AM401">
        <v>92.0207151344637</v>
      </c>
      <c r="AN401">
        <v>1.00000001022665</v>
      </c>
    </row>
    <row r="402" spans="1:40" x14ac:dyDescent="0.3">
      <c r="A402" t="str">
        <f>"20200111153836899"</f>
        <v>20200111153836899</v>
      </c>
      <c r="B402" t="str">
        <f>"1578728316891076"</f>
        <v>1578728316891076</v>
      </c>
      <c r="C402" t="s">
        <v>40</v>
      </c>
      <c r="D402">
        <v>5.0707959999999996</v>
      </c>
      <c r="E402">
        <v>0.56089659999999997</v>
      </c>
      <c r="F402" t="s">
        <v>42</v>
      </c>
      <c r="G402">
        <v>-325.62810000000002</v>
      </c>
      <c r="H402" s="1">
        <v>-3.2757050000000002E-6</v>
      </c>
      <c r="I402">
        <v>362.84429999999998</v>
      </c>
      <c r="J402">
        <v>-362.1216</v>
      </c>
      <c r="K402">
        <v>1.1027199999999999</v>
      </c>
      <c r="L402">
        <v>367.47980000000001</v>
      </c>
      <c r="M402">
        <v>0.99999700000000002</v>
      </c>
      <c r="N402">
        <v>0</v>
      </c>
      <c r="O402">
        <v>-3.7527749999999999E-4</v>
      </c>
      <c r="P402">
        <v>0.99895109999999998</v>
      </c>
      <c r="Q402">
        <v>3.0394250000000001E-2</v>
      </c>
      <c r="R402">
        <v>3.425073E-2</v>
      </c>
      <c r="S402">
        <v>3.0191349999999999</v>
      </c>
      <c r="T402">
        <v>-9.0237620000000004E-2</v>
      </c>
      <c r="U402">
        <v>-0.37933349999999999</v>
      </c>
      <c r="V402">
        <v>-3.4625000000000003E-2</v>
      </c>
      <c r="W402">
        <v>3.2851810000000002E-2</v>
      </c>
      <c r="X402">
        <v>0.99886030000000003</v>
      </c>
      <c r="Y402">
        <v>0.1242362</v>
      </c>
      <c r="Z402">
        <v>-1.837773E-3</v>
      </c>
      <c r="AA402">
        <v>0.99225099999999999</v>
      </c>
      <c r="AB402">
        <v>41</v>
      </c>
      <c r="AC402">
        <v>36.493499999999898</v>
      </c>
      <c r="AD402">
        <v>-1.1027232757050001</v>
      </c>
      <c r="AE402">
        <v>-4.6355000000000297</v>
      </c>
      <c r="AF402">
        <v>4.6176551687769596</v>
      </c>
      <c r="AG402">
        <v>-1.1027232757050001</v>
      </c>
      <c r="AH402">
        <v>36.462473037969097</v>
      </c>
      <c r="AI402">
        <v>91.718532735117293</v>
      </c>
      <c r="AJ402">
        <v>82.782409350258504</v>
      </c>
      <c r="AK402">
        <v>36.770241744175898</v>
      </c>
      <c r="AL402">
        <v>88.117391231617503</v>
      </c>
      <c r="AM402">
        <v>91.985335001194002</v>
      </c>
      <c r="AN402">
        <v>1.0000000154806801</v>
      </c>
    </row>
    <row r="403" spans="1:40" x14ac:dyDescent="0.3">
      <c r="A403" t="str">
        <f>"20200111153836921"</f>
        <v>20200111153836921</v>
      </c>
      <c r="B403" t="str">
        <f>"1578728316910505"</f>
        <v>1578728316910505</v>
      </c>
      <c r="C403" t="s">
        <v>40</v>
      </c>
      <c r="D403">
        <v>5.0677699999999897</v>
      </c>
      <c r="E403">
        <v>0.56100109999999903</v>
      </c>
      <c r="F403" t="s">
        <v>42</v>
      </c>
      <c r="G403">
        <v>-325.78379999999999</v>
      </c>
      <c r="H403" s="1">
        <v>-3.205691E-6</v>
      </c>
      <c r="I403">
        <v>362.90839999999997</v>
      </c>
      <c r="J403">
        <v>-361.71879999999999</v>
      </c>
      <c r="K403">
        <v>1.1027149999999999</v>
      </c>
      <c r="L403">
        <v>367.4796</v>
      </c>
      <c r="M403">
        <v>0.99999680000000002</v>
      </c>
      <c r="N403">
        <v>0</v>
      </c>
      <c r="O403">
        <v>-3.7402509999999998E-4</v>
      </c>
      <c r="P403">
        <v>0.99897369999999996</v>
      </c>
      <c r="Q403">
        <v>3.0232470000000001E-2</v>
      </c>
      <c r="R403">
        <v>3.3730610000000001E-2</v>
      </c>
      <c r="S403">
        <v>3.0189819999999998</v>
      </c>
      <c r="T403">
        <v>-9.1615080000000002E-2</v>
      </c>
      <c r="U403">
        <v>-0.3797913</v>
      </c>
      <c r="V403">
        <v>-3.4103099999999997E-2</v>
      </c>
      <c r="W403">
        <v>3.2736469999999997E-2</v>
      </c>
      <c r="X403">
        <v>0.99888209999999999</v>
      </c>
      <c r="Y403">
        <v>0.12439</v>
      </c>
      <c r="Z403">
        <v>-1.8682519999999999E-3</v>
      </c>
      <c r="AA403">
        <v>0.99223170000000005</v>
      </c>
      <c r="AB403">
        <v>41</v>
      </c>
      <c r="AC403">
        <v>35.935000000000002</v>
      </c>
      <c r="AD403">
        <v>-1.1027182056910001</v>
      </c>
      <c r="AE403">
        <v>-4.5712000000000304</v>
      </c>
      <c r="AF403">
        <v>4.5535394440318298</v>
      </c>
      <c r="AG403">
        <v>-1.1027182056910001</v>
      </c>
      <c r="AH403">
        <v>35.903436804207097</v>
      </c>
      <c r="AI403">
        <v>91.745226307542396</v>
      </c>
      <c r="AJ403">
        <v>82.771915592900996</v>
      </c>
      <c r="AK403">
        <v>36.207837318227199</v>
      </c>
      <c r="AL403">
        <v>88.124003392612394</v>
      </c>
      <c r="AM403">
        <v>91.955390963377596</v>
      </c>
      <c r="AN403">
        <v>1.00000007379903</v>
      </c>
    </row>
    <row r="404" spans="1:40" x14ac:dyDescent="0.3">
      <c r="A404" t="str">
        <f>"20200111153836943"</f>
        <v>20200111153836943</v>
      </c>
      <c r="B404" t="str">
        <f>"1578728316940761"</f>
        <v>1578728316940761</v>
      </c>
      <c r="C404" t="s">
        <v>40</v>
      </c>
      <c r="D404">
        <v>5.1643460000000001</v>
      </c>
      <c r="E404">
        <v>0.56121750000000004</v>
      </c>
      <c r="F404" t="s">
        <v>42</v>
      </c>
      <c r="G404">
        <v>-326.85660000000001</v>
      </c>
      <c r="H404" s="1">
        <v>-2.797904E-6</v>
      </c>
      <c r="I404">
        <v>363.06889999999999</v>
      </c>
      <c r="J404">
        <v>-361.29910000000001</v>
      </c>
      <c r="K404">
        <v>1.102711</v>
      </c>
      <c r="L404">
        <v>367.4794</v>
      </c>
      <c r="M404">
        <v>0.99999680000000002</v>
      </c>
      <c r="N404">
        <v>0</v>
      </c>
      <c r="O404">
        <v>-3.7289540000000001E-4</v>
      </c>
      <c r="P404">
        <v>0.99899470000000001</v>
      </c>
      <c r="Q404">
        <v>2.9495210000000001E-2</v>
      </c>
      <c r="R404">
        <v>3.3760329999999998E-2</v>
      </c>
      <c r="S404">
        <v>3.0188600000000001</v>
      </c>
      <c r="T404">
        <v>-9.5488669999999998E-2</v>
      </c>
      <c r="U404">
        <v>-0.38192749999999998</v>
      </c>
      <c r="V404">
        <v>-3.413149E-2</v>
      </c>
      <c r="W404">
        <v>3.204829E-2</v>
      </c>
      <c r="X404">
        <v>0.9989034</v>
      </c>
      <c r="Y404">
        <v>0.125082</v>
      </c>
      <c r="Z404">
        <v>-1.9581310000000001E-3</v>
      </c>
      <c r="AA404">
        <v>0.99214449999999998</v>
      </c>
      <c r="AB404">
        <v>42</v>
      </c>
      <c r="AC404">
        <v>34.442499999999903</v>
      </c>
      <c r="AD404">
        <v>-1.102713797904</v>
      </c>
      <c r="AE404">
        <v>-4.4105000000000096</v>
      </c>
      <c r="AF404">
        <v>4.3932256693957799</v>
      </c>
      <c r="AG404">
        <v>-1.102713797904</v>
      </c>
      <c r="AH404">
        <v>34.409440612267701</v>
      </c>
      <c r="AI404">
        <v>91.820750538794897</v>
      </c>
      <c r="AJ404">
        <v>82.724124842712001</v>
      </c>
      <c r="AK404">
        <v>34.706282035843302</v>
      </c>
      <c r="AL404">
        <v>88.163453816555403</v>
      </c>
      <c r="AM404">
        <v>91.956975815685198</v>
      </c>
      <c r="AN404">
        <v>1.0000000270165501</v>
      </c>
    </row>
    <row r="405" spans="1:40" x14ac:dyDescent="0.3">
      <c r="A405" t="str">
        <f>"20200111153836967"</f>
        <v>20200111153836967</v>
      </c>
      <c r="B405" t="str">
        <f>"1578728316960283"</f>
        <v>1578728316960283</v>
      </c>
      <c r="C405" t="s">
        <v>40</v>
      </c>
      <c r="D405">
        <v>5.1551989999999996</v>
      </c>
      <c r="E405">
        <v>0.56135649999999904</v>
      </c>
      <c r="F405" t="s">
        <v>42</v>
      </c>
      <c r="G405">
        <v>-328.59859999999998</v>
      </c>
      <c r="H405" s="1">
        <v>-2.1372149999999998E-6</v>
      </c>
      <c r="I405">
        <v>363.32400000000001</v>
      </c>
      <c r="J405">
        <v>-360.86450000000002</v>
      </c>
      <c r="K405">
        <v>1.102706</v>
      </c>
      <c r="L405">
        <v>367.47919999999999</v>
      </c>
      <c r="M405">
        <v>0.99999660000000001</v>
      </c>
      <c r="N405">
        <v>0</v>
      </c>
      <c r="O405">
        <v>-3.7164979999999999E-4</v>
      </c>
      <c r="P405">
        <v>0.99904179999999998</v>
      </c>
      <c r="Q405">
        <v>2.8302819999999999E-2</v>
      </c>
      <c r="R405">
        <v>3.3385749999999999E-2</v>
      </c>
      <c r="S405">
        <v>3.019012</v>
      </c>
      <c r="T405">
        <v>-0.1018057</v>
      </c>
      <c r="U405">
        <v>-0.38363649999999999</v>
      </c>
      <c r="V405">
        <v>-3.3755939999999998E-2</v>
      </c>
      <c r="W405">
        <v>3.0906349999999999E-2</v>
      </c>
      <c r="X405">
        <v>0.99895210000000001</v>
      </c>
      <c r="Y405">
        <v>0.12562100000000001</v>
      </c>
      <c r="Z405">
        <v>-2.0965129999999999E-3</v>
      </c>
      <c r="AA405">
        <v>0.99207610000000002</v>
      </c>
      <c r="AB405">
        <v>42</v>
      </c>
      <c r="AC405">
        <v>32.265900000000002</v>
      </c>
      <c r="AD405">
        <v>-1.1027081372150001</v>
      </c>
      <c r="AE405">
        <v>-4.1551999999999696</v>
      </c>
      <c r="AF405">
        <v>4.1384533014656304</v>
      </c>
      <c r="AG405">
        <v>-1.1027081372150001</v>
      </c>
      <c r="AH405">
        <v>32.230411855621902</v>
      </c>
      <c r="AI405">
        <v>91.943568255781798</v>
      </c>
      <c r="AJ405">
        <v>82.683136301754502</v>
      </c>
      <c r="AK405">
        <v>32.513723400239797</v>
      </c>
      <c r="AL405">
        <v>88.228914519121105</v>
      </c>
      <c r="AM405">
        <v>91.935365324935702</v>
      </c>
      <c r="AN405">
        <v>0.99999998202500795</v>
      </c>
    </row>
    <row r="406" spans="1:40" x14ac:dyDescent="0.3">
      <c r="A406" t="str">
        <f>"20200111153836989"</f>
        <v>20200111153836989</v>
      </c>
      <c r="B406" t="str">
        <f>"1578728316980781"</f>
        <v>1578728316980781</v>
      </c>
      <c r="C406" t="s">
        <v>40</v>
      </c>
      <c r="D406">
        <v>4.9923270000000004</v>
      </c>
      <c r="E406">
        <v>0.54035250000000001</v>
      </c>
      <c r="F406" t="s">
        <v>42</v>
      </c>
      <c r="G406">
        <v>-329.68689999999998</v>
      </c>
      <c r="H406" s="1">
        <v>-1.7224809999999999E-6</v>
      </c>
      <c r="I406">
        <v>363.49079999999998</v>
      </c>
      <c r="J406">
        <v>-360.43700000000001</v>
      </c>
      <c r="K406">
        <v>1.1027049999999901</v>
      </c>
      <c r="L406">
        <v>367.47910000000002</v>
      </c>
      <c r="M406">
        <v>0.99999649999999995</v>
      </c>
      <c r="N406">
        <v>0</v>
      </c>
      <c r="O406">
        <v>-3.7064269999999999E-4</v>
      </c>
      <c r="P406">
        <v>0.99904210000000004</v>
      </c>
      <c r="Q406">
        <v>2.7998450000000001E-2</v>
      </c>
      <c r="R406">
        <v>3.3636909999999999E-2</v>
      </c>
      <c r="S406">
        <v>3.0187680000000001</v>
      </c>
      <c r="T406">
        <v>-0.1067693</v>
      </c>
      <c r="U406">
        <v>-0.3861694</v>
      </c>
      <c r="V406">
        <v>-3.4006290000000002E-2</v>
      </c>
      <c r="W406">
        <v>3.065184E-2</v>
      </c>
      <c r="X406">
        <v>0.99895149999999999</v>
      </c>
      <c r="Y406">
        <v>0.12644359999999999</v>
      </c>
      <c r="Z406">
        <v>-2.2132459999999999E-3</v>
      </c>
      <c r="AA406">
        <v>0.9919713</v>
      </c>
      <c r="AB406">
        <v>42</v>
      </c>
      <c r="AC406">
        <v>30.7500999999999</v>
      </c>
      <c r="AD406">
        <v>-1.1027067224810001</v>
      </c>
      <c r="AE406">
        <v>-3.9883000000000299</v>
      </c>
      <c r="AF406">
        <v>3.9718792154590199</v>
      </c>
      <c r="AG406">
        <v>-1.1027067224810001</v>
      </c>
      <c r="AH406">
        <v>30.7127342290126</v>
      </c>
      <c r="AI406">
        <v>92.039290368454701</v>
      </c>
      <c r="AJ406">
        <v>82.6312058826921</v>
      </c>
      <c r="AK406">
        <v>30.9881240225988</v>
      </c>
      <c r="AL406">
        <v>88.243503866901307</v>
      </c>
      <c r="AM406">
        <v>91.949709041455705</v>
      </c>
      <c r="AN406">
        <v>1.0000000312035899</v>
      </c>
    </row>
    <row r="407" spans="1:40" x14ac:dyDescent="0.3">
      <c r="A407" t="str">
        <f>"20200111153837011"</f>
        <v>20200111153837011</v>
      </c>
      <c r="B407" t="str">
        <f>"1578728317001273"</f>
        <v>1578728317001273</v>
      </c>
      <c r="C407" t="s">
        <v>40</v>
      </c>
      <c r="D407">
        <v>4.9263729999999999</v>
      </c>
      <c r="E407">
        <v>0.49924000000000002</v>
      </c>
      <c r="F407" t="s">
        <v>42</v>
      </c>
      <c r="G407">
        <v>-331.0607</v>
      </c>
      <c r="H407" s="1">
        <v>-4.5727019999999999E-6</v>
      </c>
      <c r="I407">
        <v>365.35750000000002</v>
      </c>
      <c r="J407">
        <v>-360.02370000000002</v>
      </c>
      <c r="K407">
        <v>1.1027070000000001</v>
      </c>
      <c r="L407">
        <v>367.47890000000001</v>
      </c>
      <c r="M407">
        <v>0.99999629999999995</v>
      </c>
      <c r="N407">
        <v>0</v>
      </c>
      <c r="O407">
        <v>-3.6951539999999998E-4</v>
      </c>
      <c r="P407">
        <v>0.99905659999999996</v>
      </c>
      <c r="Q407">
        <v>2.771297E-2</v>
      </c>
      <c r="R407">
        <v>3.3437420000000002E-2</v>
      </c>
      <c r="S407">
        <v>3.0133969999999999</v>
      </c>
      <c r="T407">
        <v>-0.1131147</v>
      </c>
      <c r="U407">
        <v>-0.2176208</v>
      </c>
      <c r="V407">
        <v>-3.3805509999999997E-2</v>
      </c>
      <c r="W407">
        <v>3.0414489999999999E-2</v>
      </c>
      <c r="X407">
        <v>0.99896560000000001</v>
      </c>
      <c r="Y407">
        <v>7.1611720000000004E-2</v>
      </c>
      <c r="Z407">
        <v>-1.32798799999999E-3</v>
      </c>
      <c r="AA407">
        <v>0.99743170000000003</v>
      </c>
      <c r="AB407">
        <v>42</v>
      </c>
      <c r="AC407">
        <v>28.963000000000001</v>
      </c>
      <c r="AD407">
        <v>-1.1027115727019901</v>
      </c>
      <c r="AE407">
        <v>-2.1213999999999902</v>
      </c>
      <c r="AF407">
        <v>2.1076586631444498</v>
      </c>
      <c r="AG407">
        <v>-1.1027115727019901</v>
      </c>
      <c r="AH407">
        <v>28.922081285199901</v>
      </c>
      <c r="AI407">
        <v>92.177688211177895</v>
      </c>
      <c r="AJ407">
        <v>85.832013083128402</v>
      </c>
      <c r="AK407">
        <v>29.019734384046501</v>
      </c>
      <c r="AL407">
        <v>88.257109416703798</v>
      </c>
      <c r="AM407">
        <v>91.938179035655907</v>
      </c>
      <c r="AN407">
        <v>1.00000006184583</v>
      </c>
    </row>
    <row r="408" spans="1:40" x14ac:dyDescent="0.3">
      <c r="A408" t="str">
        <f>"20200111153837033"</f>
        <v>20200111153837033</v>
      </c>
      <c r="B408" t="str">
        <f>"1578728317030554"</f>
        <v>1578728317030554</v>
      </c>
      <c r="C408" t="s">
        <v>40</v>
      </c>
      <c r="D408">
        <v>5.0486190000000004</v>
      </c>
      <c r="E408">
        <v>0.47279520000000003</v>
      </c>
      <c r="F408" t="s">
        <v>42</v>
      </c>
      <c r="G408">
        <v>-331.17110000000002</v>
      </c>
      <c r="H408" s="1">
        <v>-3.9627719999999996E-6</v>
      </c>
      <c r="I408">
        <v>368.529</v>
      </c>
      <c r="J408">
        <v>-359.59960000000001</v>
      </c>
      <c r="K408">
        <v>1.1027009999999999</v>
      </c>
      <c r="L408">
        <v>367.4787</v>
      </c>
      <c r="M408">
        <v>0.9999962</v>
      </c>
      <c r="N408">
        <v>0</v>
      </c>
      <c r="O408">
        <v>-3.6827149999999999E-4</v>
      </c>
      <c r="P408">
        <v>0.99904479999999996</v>
      </c>
      <c r="Q408">
        <v>2.741387E-2</v>
      </c>
      <c r="R408">
        <v>3.4031459999999999E-2</v>
      </c>
      <c r="S408">
        <v>3.00238</v>
      </c>
      <c r="T408">
        <v>-0.11474719999999999</v>
      </c>
      <c r="U408">
        <v>0.1092834</v>
      </c>
      <c r="V408">
        <v>-3.4398339999999999E-2</v>
      </c>
      <c r="W408">
        <v>3.0164259999999998E-2</v>
      </c>
      <c r="X408">
        <v>0.99895290000000003</v>
      </c>
      <c r="Y408">
        <v>-3.6715829999999998E-2</v>
      </c>
      <c r="Z408">
        <v>7.1519349999999999E-4</v>
      </c>
      <c r="AA408">
        <v>0.99932549999999998</v>
      </c>
      <c r="AB408">
        <v>42</v>
      </c>
      <c r="AC408">
        <v>28.4284999999999</v>
      </c>
      <c r="AD408">
        <v>-1.102704962772</v>
      </c>
      <c r="AE408">
        <v>1.05029999999999</v>
      </c>
      <c r="AF408">
        <v>-1.0591779450410099</v>
      </c>
      <c r="AG408">
        <v>-1.102704962772</v>
      </c>
      <c r="AH408">
        <v>28.385461736108599</v>
      </c>
      <c r="AI408">
        <v>92.223135033461006</v>
      </c>
      <c r="AJ408">
        <v>92.1369490006484</v>
      </c>
      <c r="AK408">
        <v>28.426611724337999</v>
      </c>
      <c r="AL408">
        <v>88.271453034559499</v>
      </c>
      <c r="AM408">
        <v>91.972166337833997</v>
      </c>
      <c r="AN408">
        <v>1.0000000123972499</v>
      </c>
    </row>
    <row r="409" spans="1:40" x14ac:dyDescent="0.3">
      <c r="A409" t="str">
        <f>"20200111153837056"</f>
        <v>20200111153837056</v>
      </c>
      <c r="B409" t="str">
        <f>"1578728317051050"</f>
        <v>1578728317051050</v>
      </c>
      <c r="C409" t="s">
        <v>40</v>
      </c>
      <c r="D409">
        <v>4.9424190000000001</v>
      </c>
      <c r="E409">
        <v>0.46656199999999998</v>
      </c>
      <c r="F409" t="s">
        <v>42</v>
      </c>
      <c r="G409">
        <v>-335.8621</v>
      </c>
      <c r="H409" s="1">
        <v>-1.8684880000000001E-6</v>
      </c>
      <c r="I409">
        <v>370.03370000000001</v>
      </c>
      <c r="J409">
        <v>-359.17910000000001</v>
      </c>
      <c r="K409">
        <v>1.1027</v>
      </c>
      <c r="L409">
        <v>367.47859999999997</v>
      </c>
      <c r="M409">
        <v>0.999996</v>
      </c>
      <c r="N409">
        <v>0</v>
      </c>
      <c r="O409">
        <v>-3.670282E-4</v>
      </c>
      <c r="P409">
        <v>0.99902809999999997</v>
      </c>
      <c r="Q409">
        <v>2.7131869999999999E-2</v>
      </c>
      <c r="R409">
        <v>3.4737440000000001E-2</v>
      </c>
      <c r="S409">
        <v>2.9956969999999998</v>
      </c>
      <c r="T409">
        <v>-0.1391617</v>
      </c>
      <c r="U409">
        <v>0.32244869999999998</v>
      </c>
      <c r="V409">
        <v>-3.5103080000000002E-2</v>
      </c>
      <c r="W409">
        <v>2.9930709999999999E-2</v>
      </c>
      <c r="X409">
        <v>0.99893540000000003</v>
      </c>
      <c r="Y409">
        <v>-0.1072693</v>
      </c>
      <c r="Z409">
        <v>2.5000259999999998E-3</v>
      </c>
      <c r="AA409">
        <v>0.99422690000000002</v>
      </c>
      <c r="AB409">
        <v>42</v>
      </c>
      <c r="AC409">
        <v>23.317</v>
      </c>
      <c r="AD409">
        <v>-1.1027018684879999</v>
      </c>
      <c r="AE409">
        <v>2.5551000000000301</v>
      </c>
      <c r="AF409">
        <v>-2.55800473715178</v>
      </c>
      <c r="AG409">
        <v>-1.1027018684879999</v>
      </c>
      <c r="AH409">
        <v>23.264646395821298</v>
      </c>
      <c r="AI409">
        <v>92.697452373050496</v>
      </c>
      <c r="AJ409">
        <v>96.274606310367602</v>
      </c>
      <c r="AK409">
        <v>23.430815426883001</v>
      </c>
      <c r="AL409">
        <v>88.284840493278494</v>
      </c>
      <c r="AM409">
        <v>92.012573660483994</v>
      </c>
      <c r="AN409">
        <v>1.0000000034998699</v>
      </c>
    </row>
    <row r="410" spans="1:40" x14ac:dyDescent="0.3">
      <c r="A410" t="str">
        <f>"20200111153837079"</f>
        <v>20200111153837079</v>
      </c>
      <c r="B410" t="str">
        <f>"1578728317070569"</f>
        <v>1578728317070569</v>
      </c>
      <c r="C410" t="s">
        <v>40</v>
      </c>
      <c r="D410">
        <v>4.942876</v>
      </c>
      <c r="E410">
        <v>0.46376539999999999</v>
      </c>
      <c r="F410" t="s">
        <v>42</v>
      </c>
      <c r="G410">
        <v>-337.95589999999999</v>
      </c>
      <c r="H410" s="1">
        <v>-9.9673640000000003E-7</v>
      </c>
      <c r="I410">
        <v>370.13319999999999</v>
      </c>
      <c r="J410">
        <v>-358.73579999999998</v>
      </c>
      <c r="K410">
        <v>1.1027039999999999</v>
      </c>
      <c r="L410">
        <v>367.47840000000002</v>
      </c>
      <c r="M410">
        <v>0.99999590000000005</v>
      </c>
      <c r="N410">
        <v>0</v>
      </c>
      <c r="O410">
        <v>-3.6567039999999999E-4</v>
      </c>
      <c r="P410">
        <v>0.99902489999999999</v>
      </c>
      <c r="Q410">
        <v>2.673795E-2</v>
      </c>
      <c r="R410">
        <v>3.5133560000000001E-2</v>
      </c>
      <c r="S410">
        <v>2.99411</v>
      </c>
      <c r="T410">
        <v>-0.15556510000000001</v>
      </c>
      <c r="U410">
        <v>0.3745117</v>
      </c>
      <c r="V410">
        <v>-3.5497840000000003E-2</v>
      </c>
      <c r="W410">
        <v>2.9587539999999999E-2</v>
      </c>
      <c r="X410">
        <v>0.99893160000000003</v>
      </c>
      <c r="Y410">
        <v>-0.1243129</v>
      </c>
      <c r="Z410">
        <v>3.2337009999999998E-3</v>
      </c>
      <c r="AA410">
        <v>0.99223779999999995</v>
      </c>
      <c r="AB410">
        <v>43</v>
      </c>
      <c r="AC410">
        <v>20.779900000000001</v>
      </c>
      <c r="AD410">
        <v>-1.1027049967364</v>
      </c>
      <c r="AE410">
        <v>2.6547999999999599</v>
      </c>
      <c r="AF410">
        <v>-2.6550419382758101</v>
      </c>
      <c r="AG410">
        <v>-1.1027049967364</v>
      </c>
      <c r="AH410">
        <v>20.7215132880151</v>
      </c>
      <c r="AI410">
        <v>93.021493384665106</v>
      </c>
      <c r="AJ410">
        <v>97.301509448191197</v>
      </c>
      <c r="AK410">
        <v>20.919998062839699</v>
      </c>
      <c r="AL410">
        <v>88.304511274115896</v>
      </c>
      <c r="AM410">
        <v>92.035195342614202</v>
      </c>
      <c r="AN410">
        <v>0.99999993032323597</v>
      </c>
    </row>
    <row r="411" spans="1:40" x14ac:dyDescent="0.3">
      <c r="A411" t="str">
        <f>"20200111153837100"</f>
        <v>20200111153837100</v>
      </c>
      <c r="B411" t="str">
        <f>"1578728317091068"</f>
        <v>1578728317091068</v>
      </c>
      <c r="C411" t="s">
        <v>40</v>
      </c>
      <c r="D411">
        <v>4.9443089999999996</v>
      </c>
      <c r="E411">
        <v>0.46209929999999999</v>
      </c>
      <c r="F411" t="s">
        <v>42</v>
      </c>
      <c r="G411">
        <v>-338.4486</v>
      </c>
      <c r="H411" s="1">
        <v>-7.9701350000000001E-7</v>
      </c>
      <c r="I411">
        <v>370.17689999999999</v>
      </c>
      <c r="J411">
        <v>-358.3141</v>
      </c>
      <c r="K411">
        <v>1.1027039999999999</v>
      </c>
      <c r="L411">
        <v>367.47820000000002</v>
      </c>
      <c r="M411">
        <v>0.99999579999999999</v>
      </c>
      <c r="N411">
        <v>0</v>
      </c>
      <c r="O411">
        <v>-3.6442970000000001E-4</v>
      </c>
      <c r="P411">
        <v>0.99902029999999997</v>
      </c>
      <c r="Q411">
        <v>2.6895180000000001E-2</v>
      </c>
      <c r="R411">
        <v>3.5145639999999999E-2</v>
      </c>
      <c r="S411">
        <v>2.9933169999999998</v>
      </c>
      <c r="T411">
        <v>-0.16270009999999999</v>
      </c>
      <c r="U411">
        <v>0.39816279999999998</v>
      </c>
      <c r="V411">
        <v>-3.5509060000000002E-2</v>
      </c>
      <c r="W411">
        <v>2.979393E-2</v>
      </c>
      <c r="X411">
        <v>0.99892510000000001</v>
      </c>
      <c r="Y411">
        <v>-0.13202510000000001</v>
      </c>
      <c r="Z411">
        <v>3.5894490000000002E-3</v>
      </c>
      <c r="AA411">
        <v>0.9912398</v>
      </c>
      <c r="AB411">
        <v>43</v>
      </c>
      <c r="AC411">
        <v>19.865500000000001</v>
      </c>
      <c r="AD411">
        <v>-1.1027047970135</v>
      </c>
      <c r="AE411">
        <v>2.6986999999999699</v>
      </c>
      <c r="AF411">
        <v>-2.6977776672909499</v>
      </c>
      <c r="AG411">
        <v>-1.1027047970135</v>
      </c>
      <c r="AH411">
        <v>19.804599053187701</v>
      </c>
      <c r="AI411">
        <v>93.157791007284402</v>
      </c>
      <c r="AJ411">
        <v>97.757072666304694</v>
      </c>
      <c r="AK411">
        <v>20.017894641270701</v>
      </c>
      <c r="AL411">
        <v>88.292680838336594</v>
      </c>
      <c r="AM411">
        <v>92.035851312967395</v>
      </c>
      <c r="AN411">
        <v>0.99999996350846798</v>
      </c>
    </row>
    <row r="412" spans="1:40" x14ac:dyDescent="0.3">
      <c r="A412" t="str">
        <f>"20200111153837123"</f>
        <v>20200111153837123</v>
      </c>
      <c r="B412" t="str">
        <f>"1578728317110585"</f>
        <v>1578728317110585</v>
      </c>
      <c r="C412" t="s">
        <v>40</v>
      </c>
      <c r="D412">
        <v>4.9518129999999996</v>
      </c>
      <c r="E412">
        <v>0.4611228</v>
      </c>
      <c r="F412" t="s">
        <v>42</v>
      </c>
      <c r="G412">
        <v>-338.45929999999998</v>
      </c>
      <c r="H412" s="1">
        <v>-8.0069819999999899E-7</v>
      </c>
      <c r="I412">
        <v>370.20800000000003</v>
      </c>
      <c r="J412">
        <v>-357.8809</v>
      </c>
      <c r="K412">
        <v>1.1027039999999999</v>
      </c>
      <c r="L412">
        <v>367.47809999999998</v>
      </c>
      <c r="M412">
        <v>0.99999559999999998</v>
      </c>
      <c r="N412">
        <v>0</v>
      </c>
      <c r="O412">
        <v>-3.6319249999999998E-4</v>
      </c>
      <c r="P412">
        <v>0.999027</v>
      </c>
      <c r="Q412">
        <v>2.6607860000000001E-2</v>
      </c>
      <c r="R412">
        <v>3.5170279999999998E-2</v>
      </c>
      <c r="S412">
        <v>2.99295</v>
      </c>
      <c r="T412">
        <v>-0.166222799999999</v>
      </c>
      <c r="U412">
        <v>0.411499</v>
      </c>
      <c r="V412">
        <v>-3.5531689999999998E-2</v>
      </c>
      <c r="W412">
        <v>2.955609E-2</v>
      </c>
      <c r="X412">
        <v>0.99893140000000002</v>
      </c>
      <c r="Y412">
        <v>-0.13636110000000001</v>
      </c>
      <c r="Z412">
        <v>3.7860900000000002E-3</v>
      </c>
      <c r="AA412">
        <v>0.99065199999999998</v>
      </c>
      <c r="AB412">
        <v>43</v>
      </c>
      <c r="AC412">
        <v>19.421600000000002</v>
      </c>
      <c r="AD412">
        <v>-1.1027048006982001</v>
      </c>
      <c r="AE412">
        <v>2.7299000000000402</v>
      </c>
      <c r="AF412">
        <v>-2.72832884074462</v>
      </c>
      <c r="AG412">
        <v>-1.1027048006982001</v>
      </c>
      <c r="AH412">
        <v>19.359408301673898</v>
      </c>
      <c r="AI412">
        <v>93.228191963059402</v>
      </c>
      <c r="AJ412">
        <v>98.021886029061207</v>
      </c>
      <c r="AK412">
        <v>19.581788118852799</v>
      </c>
      <c r="AL412">
        <v>88.306314137503307</v>
      </c>
      <c r="AM412">
        <v>92.037134835607006</v>
      </c>
      <c r="AN412">
        <v>1.0000000026781499</v>
      </c>
    </row>
    <row r="413" spans="1:40" x14ac:dyDescent="0.3">
      <c r="A413" t="str">
        <f>"20200111153837144"</f>
        <v>20200111153837144</v>
      </c>
      <c r="B413" t="str">
        <f>"1578728317140842"</f>
        <v>1578728317140842</v>
      </c>
      <c r="C413" t="s">
        <v>40</v>
      </c>
      <c r="D413">
        <v>4.9087230000000002</v>
      </c>
      <c r="E413">
        <v>0.46033420000000003</v>
      </c>
      <c r="F413" t="s">
        <v>42</v>
      </c>
      <c r="G413">
        <v>-338.25810000000001</v>
      </c>
      <c r="H413" s="1">
        <v>-8.9146789999999998E-7</v>
      </c>
      <c r="I413">
        <v>370.22480000000002</v>
      </c>
      <c r="J413">
        <v>-357.46800000000002</v>
      </c>
      <c r="K413">
        <v>1.102706</v>
      </c>
      <c r="L413">
        <v>367.47789999999998</v>
      </c>
      <c r="M413">
        <v>0.99999559999999998</v>
      </c>
      <c r="N413">
        <v>0</v>
      </c>
      <c r="O413">
        <v>-3.6207209999999999E-4</v>
      </c>
      <c r="P413">
        <v>0.99901139999999999</v>
      </c>
      <c r="Q413">
        <v>2.7020010000000001E-2</v>
      </c>
      <c r="R413">
        <v>3.5309319999999998E-2</v>
      </c>
      <c r="S413">
        <v>2.9926759999999999</v>
      </c>
      <c r="T413">
        <v>-0.16817289999999999</v>
      </c>
      <c r="U413">
        <v>0.41891479999999998</v>
      </c>
      <c r="V413">
        <v>-3.5670300000000002E-2</v>
      </c>
      <c r="W413">
        <v>3.0015549999999998E-2</v>
      </c>
      <c r="X413">
        <v>0.99891280000000005</v>
      </c>
      <c r="Y413">
        <v>-0.1387717</v>
      </c>
      <c r="Z413">
        <v>3.897429E-3</v>
      </c>
      <c r="AA413">
        <v>0.99031670000000005</v>
      </c>
      <c r="AB413">
        <v>43</v>
      </c>
      <c r="AC413">
        <v>19.209900000000001</v>
      </c>
      <c r="AD413">
        <v>-1.1027068914678999</v>
      </c>
      <c r="AE413">
        <v>2.7469000000000299</v>
      </c>
      <c r="AF413">
        <v>-2.74499140995575</v>
      </c>
      <c r="AG413">
        <v>-1.1027068914678999</v>
      </c>
      <c r="AH413">
        <v>19.147076633978699</v>
      </c>
      <c r="AI413">
        <v>93.262816315094298</v>
      </c>
      <c r="AJ413">
        <v>98.158530722599096</v>
      </c>
      <c r="AK413">
        <v>19.374247958480201</v>
      </c>
      <c r="AL413">
        <v>88.279977401938694</v>
      </c>
      <c r="AM413">
        <v>92.045113061535005</v>
      </c>
      <c r="AN413">
        <v>1.00000004277386</v>
      </c>
    </row>
    <row r="414" spans="1:40" x14ac:dyDescent="0.3">
      <c r="A414" t="str">
        <f>"20200111153837167"</f>
        <v>20200111153837167</v>
      </c>
      <c r="B414" t="str">
        <f>"1578728317160371"</f>
        <v>1578728317160371</v>
      </c>
      <c r="C414" t="s">
        <v>40</v>
      </c>
      <c r="D414">
        <v>4.9667309999999896</v>
      </c>
      <c r="E414">
        <v>0.4597754</v>
      </c>
      <c r="F414" t="s">
        <v>42</v>
      </c>
      <c r="G414">
        <v>-337.55009999999999</v>
      </c>
      <c r="H414" s="1">
        <v>-1.218528E-6</v>
      </c>
      <c r="I414">
        <v>370.3125</v>
      </c>
      <c r="J414">
        <v>-357.01889999999997</v>
      </c>
      <c r="K414">
        <v>1.102703</v>
      </c>
      <c r="L414">
        <v>367.47770000000003</v>
      </c>
      <c r="M414">
        <v>0.99999539999999998</v>
      </c>
      <c r="N414">
        <v>0</v>
      </c>
      <c r="O414">
        <v>-3.6060140000000003E-4</v>
      </c>
      <c r="P414">
        <v>0.99901459999999997</v>
      </c>
      <c r="Q414">
        <v>2.7256519999999999E-2</v>
      </c>
      <c r="R414">
        <v>3.5031970000000003E-2</v>
      </c>
      <c r="S414">
        <v>2.9924010000000001</v>
      </c>
      <c r="T414">
        <v>-0.1656667</v>
      </c>
      <c r="U414">
        <v>0.4258728</v>
      </c>
      <c r="V414">
        <v>-3.5391810000000003E-2</v>
      </c>
      <c r="W414">
        <v>3.030391E-2</v>
      </c>
      <c r="X414">
        <v>0.99891390000000002</v>
      </c>
      <c r="Y414">
        <v>-0.1410431</v>
      </c>
      <c r="Z414">
        <v>3.9015949999999999E-3</v>
      </c>
      <c r="AA414">
        <v>0.98999579999999998</v>
      </c>
      <c r="AB414">
        <v>43</v>
      </c>
      <c r="AC414">
        <v>19.468799999999899</v>
      </c>
      <c r="AD414">
        <v>-1.102704218528</v>
      </c>
      <c r="AE414">
        <v>2.8347999999999698</v>
      </c>
      <c r="AF414">
        <v>-2.8329208834618802</v>
      </c>
      <c r="AG414">
        <v>-1.102704218528</v>
      </c>
      <c r="AH414">
        <v>19.406811234721498</v>
      </c>
      <c r="AI414">
        <v>93.218043632424198</v>
      </c>
      <c r="AJ414">
        <v>98.305126252558694</v>
      </c>
      <c r="AK414">
        <v>19.643465061582901</v>
      </c>
      <c r="AL414">
        <v>88.263447899651993</v>
      </c>
      <c r="AM414">
        <v>92.029157345228995</v>
      </c>
      <c r="AN414">
        <v>0.99999994339478504</v>
      </c>
    </row>
    <row r="415" spans="1:40" x14ac:dyDescent="0.3">
      <c r="A415" t="str">
        <f>"20200111153837190"</f>
        <v>20200111153837190</v>
      </c>
      <c r="B415" t="str">
        <f>"1578728317180860"</f>
        <v>1578728317180860</v>
      </c>
      <c r="C415" t="s">
        <v>40</v>
      </c>
      <c r="D415">
        <v>4.9503529999999998</v>
      </c>
      <c r="E415">
        <v>0.45920490000000003</v>
      </c>
      <c r="F415" t="s">
        <v>42</v>
      </c>
      <c r="G415">
        <v>-336.99849999999998</v>
      </c>
      <c r="H415" s="1">
        <v>-1.4653639999999901E-6</v>
      </c>
      <c r="I415">
        <v>370.35079999999999</v>
      </c>
      <c r="J415">
        <v>-356.56420000000003</v>
      </c>
      <c r="K415">
        <v>1.102703</v>
      </c>
      <c r="L415">
        <v>367.47750000000002</v>
      </c>
      <c r="M415">
        <v>0.99999519999999997</v>
      </c>
      <c r="N415">
        <v>0</v>
      </c>
      <c r="O415">
        <v>-3.5937170000000001E-4</v>
      </c>
      <c r="P415">
        <v>0.99903169999999997</v>
      </c>
      <c r="Q415">
        <v>2.6799980000000001E-2</v>
      </c>
      <c r="R415">
        <v>3.489693E-2</v>
      </c>
      <c r="S415">
        <v>2.9924010000000001</v>
      </c>
      <c r="T415">
        <v>-0.16481799999999999</v>
      </c>
      <c r="U415">
        <v>0.42944339999999998</v>
      </c>
      <c r="V415">
        <v>-3.5254590000000002E-2</v>
      </c>
      <c r="W415">
        <v>2.9899740000000001E-2</v>
      </c>
      <c r="X415">
        <v>0.99893100000000001</v>
      </c>
      <c r="Y415">
        <v>-0.14219989999999999</v>
      </c>
      <c r="Z415">
        <v>3.9129179999999996E-3</v>
      </c>
      <c r="AA415">
        <v>0.98983030000000005</v>
      </c>
      <c r="AB415">
        <v>43</v>
      </c>
      <c r="AC415">
        <v>19.5657</v>
      </c>
      <c r="AD415">
        <v>-1.1027044653639999</v>
      </c>
      <c r="AE415">
        <v>2.8732999999999702</v>
      </c>
      <c r="AF415">
        <v>-2.8714031856752502</v>
      </c>
      <c r="AG415">
        <v>-1.1027044653639999</v>
      </c>
      <c r="AH415">
        <v>19.504022515734601</v>
      </c>
      <c r="AI415">
        <v>93.201467441845296</v>
      </c>
      <c r="AJ415">
        <v>98.374985515916293</v>
      </c>
      <c r="AK415">
        <v>19.745070465483899</v>
      </c>
      <c r="AL415">
        <v>88.286615752086703</v>
      </c>
      <c r="AM415">
        <v>92.021261927119198</v>
      </c>
      <c r="AN415">
        <v>1.00000001166456</v>
      </c>
    </row>
    <row r="416" spans="1:40" x14ac:dyDescent="0.3">
      <c r="A416" t="str">
        <f>"20200111153837211"</f>
        <v>20200111153837211</v>
      </c>
      <c r="B416" t="str">
        <f>"1578728317200381"</f>
        <v>1578728317200381</v>
      </c>
      <c r="C416" t="s">
        <v>40</v>
      </c>
      <c r="D416">
        <v>4.9357739999999897</v>
      </c>
      <c r="E416">
        <v>0.45864529999999998</v>
      </c>
      <c r="F416" t="s">
        <v>42</v>
      </c>
      <c r="G416">
        <v>-336.67099999999999</v>
      </c>
      <c r="H416" s="1">
        <v>-1.6084619999999999E-6</v>
      </c>
      <c r="I416">
        <v>370.3605</v>
      </c>
      <c r="J416">
        <v>-356.15300000000002</v>
      </c>
      <c r="K416">
        <v>1.1026990000000001</v>
      </c>
      <c r="L416">
        <v>367.47739999999999</v>
      </c>
      <c r="M416">
        <v>0.99999510000000003</v>
      </c>
      <c r="N416">
        <v>0</v>
      </c>
      <c r="O416">
        <v>-3.5825430000000001E-4</v>
      </c>
      <c r="P416">
        <v>0.99902979999999997</v>
      </c>
      <c r="Q416">
        <v>2.671538E-2</v>
      </c>
      <c r="R416">
        <v>3.5016129999999999E-2</v>
      </c>
      <c r="S416">
        <v>2.9922490000000002</v>
      </c>
      <c r="T416">
        <v>-0.16586329999999999</v>
      </c>
      <c r="U416">
        <v>0.43365480000000001</v>
      </c>
      <c r="V416">
        <v>-3.5372750000000001E-2</v>
      </c>
      <c r="W416">
        <v>2.986256E-2</v>
      </c>
      <c r="X416">
        <v>0.99892800000000004</v>
      </c>
      <c r="Y416">
        <v>-0.14356579999999999</v>
      </c>
      <c r="Z416">
        <v>3.9750710000000002E-3</v>
      </c>
      <c r="AA416">
        <v>0.98963279999999998</v>
      </c>
      <c r="AB416">
        <v>44</v>
      </c>
      <c r="AC416">
        <v>19.481999999999999</v>
      </c>
      <c r="AD416">
        <v>-1.1027006084619999</v>
      </c>
      <c r="AE416">
        <v>2.88310000000001</v>
      </c>
      <c r="AF416">
        <v>-2.88104723371048</v>
      </c>
      <c r="AG416">
        <v>-1.1027006084619999</v>
      </c>
      <c r="AH416">
        <v>19.420083615097301</v>
      </c>
      <c r="AI416">
        <v>93.214739177938199</v>
      </c>
      <c r="AJ416">
        <v>98.438510246139302</v>
      </c>
      <c r="AK416">
        <v>19.6635711256157</v>
      </c>
      <c r="AL416">
        <v>88.288747071899294</v>
      </c>
      <c r="AM416">
        <v>92.028036867690503</v>
      </c>
      <c r="AN416">
        <v>1.00000007655815</v>
      </c>
    </row>
    <row r="417" spans="1:40" x14ac:dyDescent="0.3">
      <c r="A417" t="str">
        <f>"20200111153837234"</f>
        <v>20200111153837234</v>
      </c>
      <c r="B417" t="str">
        <f>"1578728317231194"</f>
        <v>1578728317231194</v>
      </c>
      <c r="C417" t="s">
        <v>40</v>
      </c>
      <c r="D417">
        <v>4.9011069999999997</v>
      </c>
      <c r="E417">
        <v>0.4578892</v>
      </c>
      <c r="F417" t="s">
        <v>42</v>
      </c>
      <c r="G417">
        <v>-336.29180000000002</v>
      </c>
      <c r="H417" s="1">
        <v>-1.777558E-6</v>
      </c>
      <c r="I417">
        <v>370.38470000000001</v>
      </c>
      <c r="J417">
        <v>-355.72050000000002</v>
      </c>
      <c r="K417">
        <v>1.1027020000000001</v>
      </c>
      <c r="L417">
        <v>367.47719999999998</v>
      </c>
      <c r="M417">
        <v>0.99999490000000002</v>
      </c>
      <c r="N417">
        <v>0</v>
      </c>
      <c r="O417">
        <v>-3.5702299999999999E-4</v>
      </c>
      <c r="P417">
        <v>0.99903140000000001</v>
      </c>
      <c r="Q417">
        <v>2.6464649999999999E-2</v>
      </c>
      <c r="R417">
        <v>3.5156050000000001E-2</v>
      </c>
      <c r="S417">
        <v>2.9920040000000001</v>
      </c>
      <c r="T417">
        <v>-0.16611619999999999</v>
      </c>
      <c r="U417">
        <v>0.4379883</v>
      </c>
      <c r="V417">
        <v>-3.5511580000000001E-2</v>
      </c>
      <c r="W417">
        <v>2.9660949999999998E-2</v>
      </c>
      <c r="X417">
        <v>0.99892899999999996</v>
      </c>
      <c r="Y417">
        <v>-0.14497669999999999</v>
      </c>
      <c r="Z417">
        <v>4.0198930000000001E-3</v>
      </c>
      <c r="AA417">
        <v>0.9894269</v>
      </c>
      <c r="AB417">
        <v>44</v>
      </c>
      <c r="AC417">
        <v>19.4286999999999</v>
      </c>
      <c r="AD417">
        <v>-1.102703777558</v>
      </c>
      <c r="AE417">
        <v>2.9075000000000202</v>
      </c>
      <c r="AF417">
        <v>-2.9052825747767601</v>
      </c>
      <c r="AG417">
        <v>-1.102703777558</v>
      </c>
      <c r="AH417">
        <v>19.3666416091238</v>
      </c>
      <c r="AI417">
        <v>93.222821217217998</v>
      </c>
      <c r="AJ417">
        <v>98.531594078601302</v>
      </c>
      <c r="AK417">
        <v>19.6143679397677</v>
      </c>
      <c r="AL417">
        <v>88.300303454887896</v>
      </c>
      <c r="AM417">
        <v>92.035987729066704</v>
      </c>
      <c r="AN417">
        <v>0.99999999565499897</v>
      </c>
    </row>
    <row r="418" spans="1:40" x14ac:dyDescent="0.3">
      <c r="A418" t="str">
        <f>"20200111153837258"</f>
        <v>20200111153837258</v>
      </c>
      <c r="B418" t="str">
        <f>"1578728317250714"</f>
        <v>1578728317250714</v>
      </c>
      <c r="C418" t="s">
        <v>40</v>
      </c>
      <c r="D418">
        <v>4.9221459999999997</v>
      </c>
      <c r="E418">
        <v>0.4574182</v>
      </c>
      <c r="F418" t="s">
        <v>42</v>
      </c>
      <c r="G418">
        <v>-335.91039999999998</v>
      </c>
      <c r="H418" s="1">
        <v>-1.9508969999999999E-6</v>
      </c>
      <c r="I418">
        <v>370.4212</v>
      </c>
      <c r="J418">
        <v>-355.22750000000002</v>
      </c>
      <c r="K418">
        <v>1.1027009999999999</v>
      </c>
      <c r="L418">
        <v>367.47710000000001</v>
      </c>
      <c r="M418">
        <v>0.99999479999999996</v>
      </c>
      <c r="N418">
        <v>0</v>
      </c>
      <c r="O418">
        <v>-3.5568440000000002E-4</v>
      </c>
      <c r="P418">
        <v>0.99904059999999995</v>
      </c>
      <c r="Q418">
        <v>2.6337030000000001E-2</v>
      </c>
      <c r="R418">
        <v>3.4991880000000003E-2</v>
      </c>
      <c r="S418">
        <v>2.9916689999999999</v>
      </c>
      <c r="T418">
        <v>-0.16652690000000001</v>
      </c>
      <c r="U418">
        <v>0.44461060000000002</v>
      </c>
      <c r="V418">
        <v>-3.5345880000000003E-2</v>
      </c>
      <c r="W418">
        <v>2.958993E-2</v>
      </c>
      <c r="X418">
        <v>0.99893699999999996</v>
      </c>
      <c r="Y418">
        <v>-0.14713019999999999</v>
      </c>
      <c r="Z418">
        <v>4.0891039999999997E-3</v>
      </c>
      <c r="AA418">
        <v>0.98910869999999995</v>
      </c>
      <c r="AB418">
        <v>44</v>
      </c>
      <c r="AC418">
        <v>19.3171</v>
      </c>
      <c r="AD418">
        <v>-1.1027029508970001</v>
      </c>
      <c r="AE418">
        <v>2.9440999999999899</v>
      </c>
      <c r="AF418">
        <v>-2.9416026893834402</v>
      </c>
      <c r="AG418">
        <v>-1.1027029508970001</v>
      </c>
      <c r="AH418">
        <v>19.254732177852599</v>
      </c>
      <c r="AI418">
        <v>93.240190009959207</v>
      </c>
      <c r="AJ418">
        <v>98.686085596451093</v>
      </c>
      <c r="AK418">
        <v>19.509323192282601</v>
      </c>
      <c r="AL418">
        <v>88.3043744167271</v>
      </c>
      <c r="AM418">
        <v>92.026479363917801</v>
      </c>
      <c r="AN418">
        <v>1.00000001257968</v>
      </c>
    </row>
    <row r="419" spans="1:40" x14ac:dyDescent="0.3">
      <c r="A419" t="str">
        <f>"20200111153837280"</f>
        <v>20200111153837280</v>
      </c>
      <c r="B419" t="str">
        <f>"1578728317271209"</f>
        <v>1578728317271209</v>
      </c>
      <c r="C419" t="s">
        <v>40</v>
      </c>
      <c r="D419">
        <v>4.9829239999999997</v>
      </c>
      <c r="E419">
        <v>0.45714719999999998</v>
      </c>
      <c r="F419" t="s">
        <v>42</v>
      </c>
      <c r="G419">
        <v>-335.363</v>
      </c>
      <c r="H419" s="1">
        <v>-2.1934949999999999E-6</v>
      </c>
      <c r="I419">
        <v>370.4504</v>
      </c>
      <c r="J419">
        <v>-354.78680000000003</v>
      </c>
      <c r="K419">
        <v>1.102708</v>
      </c>
      <c r="L419">
        <v>367.4769</v>
      </c>
      <c r="M419">
        <v>0.99999450000000001</v>
      </c>
      <c r="N419">
        <v>0</v>
      </c>
      <c r="O419">
        <v>-3.5457579999999999E-4</v>
      </c>
      <c r="P419">
        <v>0.99901660000000003</v>
      </c>
      <c r="Q419">
        <v>2.685032E-2</v>
      </c>
      <c r="R419">
        <v>3.5281380000000001E-2</v>
      </c>
      <c r="S419">
        <v>2.9915470000000002</v>
      </c>
      <c r="T419">
        <v>-0.1660634</v>
      </c>
      <c r="U419">
        <v>0.44778440000000003</v>
      </c>
      <c r="V419">
        <v>-3.563442E-2</v>
      </c>
      <c r="W419">
        <v>3.015377E-2</v>
      </c>
      <c r="X419">
        <v>0.99890990000000002</v>
      </c>
      <c r="Y419">
        <v>-0.14816109999999999</v>
      </c>
      <c r="Z419">
        <v>4.1059629999999998E-3</v>
      </c>
      <c r="AA419">
        <v>0.98895469999999996</v>
      </c>
      <c r="AB419">
        <v>44</v>
      </c>
      <c r="AC419">
        <v>19.4237999999999</v>
      </c>
      <c r="AD419">
        <v>-1.1027101934950001</v>
      </c>
      <c r="AE419">
        <v>2.9735</v>
      </c>
      <c r="AF419">
        <v>-2.9710308228799902</v>
      </c>
      <c r="AG419">
        <v>-1.1027101934950001</v>
      </c>
      <c r="AH419">
        <v>19.361771220203199</v>
      </c>
      <c r="AI419">
        <v>93.222011158926506</v>
      </c>
      <c r="AJ419">
        <v>98.723892484421199</v>
      </c>
      <c r="AK419">
        <v>19.619408214949502</v>
      </c>
      <c r="AL419">
        <v>88.272054362633597</v>
      </c>
      <c r="AM419">
        <v>92.043063596083897</v>
      </c>
      <c r="AN419">
        <v>1.00000002502597</v>
      </c>
    </row>
    <row r="420" spans="1:40" x14ac:dyDescent="0.3">
      <c r="A420" t="str">
        <f>"20200111153837302"</f>
        <v>20200111153837302</v>
      </c>
      <c r="B420" t="str">
        <f>"1578728317290731"</f>
        <v>1578728317290731</v>
      </c>
      <c r="C420" t="s">
        <v>40</v>
      </c>
      <c r="D420">
        <v>4.8994780000000002</v>
      </c>
      <c r="E420">
        <v>0.4570031</v>
      </c>
      <c r="F420" t="s">
        <v>42</v>
      </c>
      <c r="G420">
        <v>-334.4701</v>
      </c>
      <c r="H420" s="1">
        <v>-2.5995459999999998E-6</v>
      </c>
      <c r="I420">
        <v>370.5369</v>
      </c>
      <c r="J420">
        <v>-354.36270000000002</v>
      </c>
      <c r="K420">
        <v>1.1027089999999999</v>
      </c>
      <c r="L420">
        <v>367.47669999999999</v>
      </c>
      <c r="M420">
        <v>0.99999450000000001</v>
      </c>
      <c r="N420">
        <v>0</v>
      </c>
      <c r="O420">
        <v>-3.5370369999999999E-4</v>
      </c>
      <c r="P420">
        <v>0.9989905</v>
      </c>
      <c r="Q420">
        <v>2.7757299999999999E-2</v>
      </c>
      <c r="R420">
        <v>3.532482E-2</v>
      </c>
      <c r="S420">
        <v>2.9913940000000001</v>
      </c>
      <c r="T420">
        <v>-0.16236039999999999</v>
      </c>
      <c r="U420">
        <v>0.4505615</v>
      </c>
      <c r="V420">
        <v>-3.5677189999999998E-2</v>
      </c>
      <c r="W420">
        <v>3.110891E-2</v>
      </c>
      <c r="X420">
        <v>0.99887910000000002</v>
      </c>
      <c r="Y420">
        <v>-0.14907400000000001</v>
      </c>
      <c r="Z420">
        <v>4.0390369999999997E-3</v>
      </c>
      <c r="AA420">
        <v>0.98881779999999997</v>
      </c>
      <c r="AB420">
        <v>44</v>
      </c>
      <c r="AC420">
        <v>19.892600000000002</v>
      </c>
      <c r="AD420">
        <v>-1.102711599546</v>
      </c>
      <c r="AE420">
        <v>3.0602</v>
      </c>
      <c r="AF420">
        <v>-3.0580562398222</v>
      </c>
      <c r="AG420">
        <v>-1.102711599546</v>
      </c>
      <c r="AH420">
        <v>19.831984564652402</v>
      </c>
      <c r="AI420">
        <v>93.145423302255196</v>
      </c>
      <c r="AJ420">
        <v>98.765865369442693</v>
      </c>
      <c r="AK420">
        <v>20.0966487905396</v>
      </c>
      <c r="AL420">
        <v>88.217303208108902</v>
      </c>
      <c r="AM420">
        <v>92.045576708065596</v>
      </c>
      <c r="AN420">
        <v>1.0000000412922401</v>
      </c>
    </row>
    <row r="421" spans="1:40" x14ac:dyDescent="0.3">
      <c r="A421" t="str">
        <f>"20200111153837324"</f>
        <v>20200111153837324</v>
      </c>
      <c r="B421" t="str">
        <f>"1578728317320569"</f>
        <v>1578728317320569</v>
      </c>
      <c r="C421" t="s">
        <v>40</v>
      </c>
      <c r="D421">
        <v>4.8848440000000002</v>
      </c>
      <c r="E421">
        <v>0.4564164</v>
      </c>
      <c r="F421" t="s">
        <v>42</v>
      </c>
      <c r="G421">
        <v>-333.404</v>
      </c>
      <c r="H421" s="1">
        <v>-3.0856740000000001E-6</v>
      </c>
      <c r="I421">
        <v>370.64490000000001</v>
      </c>
      <c r="J421">
        <v>-353.9282</v>
      </c>
      <c r="K421">
        <v>1.1027119999999999</v>
      </c>
      <c r="L421">
        <v>367.47649999999999</v>
      </c>
      <c r="M421">
        <v>0.99999400000000005</v>
      </c>
      <c r="N421">
        <v>0</v>
      </c>
      <c r="O421">
        <v>-3.5247689999999999E-4</v>
      </c>
      <c r="P421">
        <v>0.99898109999999996</v>
      </c>
      <c r="Q421">
        <v>2.7655240000000001E-2</v>
      </c>
      <c r="R421">
        <v>3.5663100000000003E-2</v>
      </c>
      <c r="S421">
        <v>2.991425</v>
      </c>
      <c r="T421">
        <v>-0.15738840000000001</v>
      </c>
      <c r="U421">
        <v>0.45220949999999999</v>
      </c>
      <c r="V421">
        <v>-3.601447E-2</v>
      </c>
      <c r="W421">
        <v>3.1056009999999998E-2</v>
      </c>
      <c r="X421">
        <v>0.9988686</v>
      </c>
      <c r="Y421">
        <v>-0.1496161</v>
      </c>
      <c r="Z421">
        <v>3.9294289999999999E-3</v>
      </c>
      <c r="AA421">
        <v>0.98873630000000001</v>
      </c>
      <c r="AB421">
        <v>45</v>
      </c>
      <c r="AC421">
        <v>20.5242</v>
      </c>
      <c r="AD421">
        <v>-1.102715085674</v>
      </c>
      <c r="AE421">
        <v>3.1684000000000201</v>
      </c>
      <c r="AF421">
        <v>-3.1667057560027398</v>
      </c>
      <c r="AG421">
        <v>-1.102715085674</v>
      </c>
      <c r="AH421">
        <v>20.465380632344701</v>
      </c>
      <c r="AI421">
        <v>93.048023451254394</v>
      </c>
      <c r="AJ421">
        <v>98.795891790861504</v>
      </c>
      <c r="AK421">
        <v>20.7382692221898</v>
      </c>
      <c r="AL421">
        <v>88.220335544506298</v>
      </c>
      <c r="AM421">
        <v>92.064919918552803</v>
      </c>
      <c r="AN421">
        <v>0.99999999893623004</v>
      </c>
    </row>
    <row r="422" spans="1:40" x14ac:dyDescent="0.3">
      <c r="A422" t="str">
        <f>"20200111153837346"</f>
        <v>20200111153837346</v>
      </c>
      <c r="B422" t="str">
        <f>"1578728317341065"</f>
        <v>1578728317341065</v>
      </c>
      <c r="C422" t="s">
        <v>40</v>
      </c>
      <c r="D422">
        <v>5.0220729999999998</v>
      </c>
      <c r="E422">
        <v>0.45643319999999998</v>
      </c>
      <c r="F422" t="s">
        <v>42</v>
      </c>
      <c r="G422">
        <v>-332.8014</v>
      </c>
      <c r="H422" s="1">
        <v>-3.362125E-6</v>
      </c>
      <c r="I422">
        <v>370.71249999999998</v>
      </c>
      <c r="J422">
        <v>-353.47949999999997</v>
      </c>
      <c r="K422">
        <v>1.102714</v>
      </c>
      <c r="L422">
        <v>367.47640000000001</v>
      </c>
      <c r="M422">
        <v>0.99999389999999999</v>
      </c>
      <c r="N422">
        <v>0</v>
      </c>
      <c r="O422">
        <v>-3.5149250000000002E-4</v>
      </c>
      <c r="P422">
        <v>0.99897309999999995</v>
      </c>
      <c r="Q422">
        <v>2.7827939999999999E-2</v>
      </c>
      <c r="R422">
        <v>3.575122E-2</v>
      </c>
      <c r="S422">
        <v>2.9909970000000001</v>
      </c>
      <c r="T422">
        <v>-0.15611510000000001</v>
      </c>
      <c r="U422">
        <v>0.45812989999999998</v>
      </c>
      <c r="V422">
        <v>-3.6101389999999997E-2</v>
      </c>
      <c r="W422">
        <v>3.127953E-2</v>
      </c>
      <c r="X422">
        <v>0.99885849999999998</v>
      </c>
      <c r="Y422">
        <v>-0.1515493</v>
      </c>
      <c r="Z422">
        <v>3.9477280000000002E-3</v>
      </c>
      <c r="AA422">
        <v>0.98844180000000004</v>
      </c>
      <c r="AB422">
        <v>45</v>
      </c>
      <c r="AC422">
        <v>20.678099999999901</v>
      </c>
      <c r="AD422">
        <v>-1.1027173621249999</v>
      </c>
      <c r="AE422">
        <v>3.23609999999996</v>
      </c>
      <c r="AF422">
        <v>-3.2343898056031102</v>
      </c>
      <c r="AG422">
        <v>-1.1027173621249999</v>
      </c>
      <c r="AH422">
        <v>20.619723643563901</v>
      </c>
      <c r="AI422">
        <v>93.024281599835405</v>
      </c>
      <c r="AJ422">
        <v>98.914719090101897</v>
      </c>
      <c r="AK422">
        <v>20.900963282400799</v>
      </c>
      <c r="AL422">
        <v>88.207522588833299</v>
      </c>
      <c r="AM422">
        <v>92.069920131660993</v>
      </c>
      <c r="AN422">
        <v>1.0000000111895999</v>
      </c>
    </row>
    <row r="423" spans="1:40" x14ac:dyDescent="0.3">
      <c r="A423" t="str">
        <f>"20200111153837369"</f>
        <v>20200111153837369</v>
      </c>
      <c r="B423" t="str">
        <f>"1578728317360584"</f>
        <v>1578728317360584</v>
      </c>
      <c r="C423" t="s">
        <v>40</v>
      </c>
      <c r="D423">
        <v>4.9041100000000002</v>
      </c>
      <c r="E423">
        <v>0.49862580000000001</v>
      </c>
      <c r="F423" t="s">
        <v>42</v>
      </c>
      <c r="G423">
        <v>-332.26229999999998</v>
      </c>
      <c r="H423" s="1">
        <v>-3.5970809999999999E-6</v>
      </c>
      <c r="I423">
        <v>370.72629999999998</v>
      </c>
      <c r="J423">
        <v>-353.01249999999999</v>
      </c>
      <c r="K423">
        <v>1.1027119999999999</v>
      </c>
      <c r="L423">
        <v>367.47620000000001</v>
      </c>
      <c r="M423">
        <v>0.99999369999999999</v>
      </c>
      <c r="N423">
        <v>0</v>
      </c>
      <c r="O423">
        <v>-3.5027449999999998E-4</v>
      </c>
      <c r="P423">
        <v>0.99897020000000003</v>
      </c>
      <c r="Q423">
        <v>2.8163199999999999E-2</v>
      </c>
      <c r="R423">
        <v>3.5571600000000002E-2</v>
      </c>
      <c r="S423">
        <v>2.991028</v>
      </c>
      <c r="T423">
        <v>-0.15545149999999999</v>
      </c>
      <c r="U423">
        <v>0.45816040000000002</v>
      </c>
      <c r="V423">
        <v>-3.5920430000000003E-2</v>
      </c>
      <c r="W423">
        <v>3.1667969999999997E-2</v>
      </c>
      <c r="X423">
        <v>0.99885279999999999</v>
      </c>
      <c r="Y423">
        <v>-0.1515581</v>
      </c>
      <c r="Z423">
        <v>3.9310919999999997E-3</v>
      </c>
      <c r="AA423">
        <v>0.98844050000000006</v>
      </c>
      <c r="AB423">
        <v>45</v>
      </c>
      <c r="AC423">
        <v>20.7502</v>
      </c>
      <c r="AD423">
        <v>-1.1027155970810001</v>
      </c>
      <c r="AE423">
        <v>3.25009999999997</v>
      </c>
      <c r="AF423">
        <v>-3.2484138887948499</v>
      </c>
      <c r="AG423">
        <v>-1.1027155970810001</v>
      </c>
      <c r="AH423">
        <v>20.692022921351601</v>
      </c>
      <c r="AI423">
        <v>93.013669518595194</v>
      </c>
      <c r="AJ423">
        <v>98.921970494112898</v>
      </c>
      <c r="AK423">
        <v>20.974460352025702</v>
      </c>
      <c r="AL423">
        <v>88.185255613216199</v>
      </c>
      <c r="AM423">
        <v>92.0595652553951</v>
      </c>
      <c r="AN423">
        <v>1.0000000268415701</v>
      </c>
    </row>
    <row r="424" spans="1:40" x14ac:dyDescent="0.3">
      <c r="A424" t="str">
        <f>"20200111153837390"</f>
        <v>20200111153837390</v>
      </c>
      <c r="B424" t="str">
        <f>"1578728317381082"</f>
        <v>1578728317381082</v>
      </c>
      <c r="C424" t="s">
        <v>40</v>
      </c>
      <c r="D424">
        <v>4.864986</v>
      </c>
      <c r="E424">
        <v>0.50639269999999903</v>
      </c>
      <c r="F424" t="s">
        <v>42</v>
      </c>
      <c r="G424">
        <v>-328.77420000000001</v>
      </c>
      <c r="H424" s="1">
        <v>-7.1467749999999897E-7</v>
      </c>
      <c r="I424">
        <v>368.45240000000001</v>
      </c>
      <c r="J424">
        <v>-352.57499999999999</v>
      </c>
      <c r="K424">
        <v>1.102714</v>
      </c>
      <c r="L424">
        <v>367.476</v>
      </c>
      <c r="M424">
        <v>0.99999369999999999</v>
      </c>
      <c r="N424">
        <v>0</v>
      </c>
      <c r="O424">
        <v>-3.4929019999999902E-4</v>
      </c>
      <c r="P424">
        <v>0.99898180000000003</v>
      </c>
      <c r="Q424">
        <v>2.8170509999999999E-2</v>
      </c>
      <c r="R424">
        <v>3.5237690000000002E-2</v>
      </c>
      <c r="S424">
        <v>3.0025940000000002</v>
      </c>
      <c r="T424">
        <v>-0.13660149999999999</v>
      </c>
      <c r="U424">
        <v>0.1209412</v>
      </c>
      <c r="V424">
        <v>-3.5586010000000001E-2</v>
      </c>
      <c r="W424">
        <v>3.1724679999999998E-2</v>
      </c>
      <c r="X424">
        <v>0.9988629</v>
      </c>
      <c r="Y424">
        <v>-4.0553029999999997E-2</v>
      </c>
      <c r="Z424">
        <v>9.3749610000000004E-4</v>
      </c>
      <c r="AA424">
        <v>0.99917690000000003</v>
      </c>
      <c r="AB424">
        <v>45</v>
      </c>
      <c r="AC424">
        <v>23.800799999999899</v>
      </c>
      <c r="AD424">
        <v>-1.1027147146775</v>
      </c>
      <c r="AE424">
        <v>0.97640000000001204</v>
      </c>
      <c r="AF424">
        <v>-0.98260769493367095</v>
      </c>
      <c r="AG424">
        <v>-1.1027147146775</v>
      </c>
      <c r="AH424">
        <v>23.749563265983699</v>
      </c>
      <c r="AI424">
        <v>92.656118934498494</v>
      </c>
      <c r="AJ424">
        <v>92.369188101986296</v>
      </c>
      <c r="AK424">
        <v>23.795446054845598</v>
      </c>
      <c r="AL424">
        <v>88.182004607782105</v>
      </c>
      <c r="AM424">
        <v>92.040386326499601</v>
      </c>
      <c r="AN424">
        <v>0.99999995621261495</v>
      </c>
    </row>
    <row r="425" spans="1:40" x14ac:dyDescent="0.3">
      <c r="A425" t="str">
        <f>"20200111153837414"</f>
        <v>20200111153837414</v>
      </c>
      <c r="B425" t="str">
        <f>"1578728317411307"</f>
        <v>1578728317411307</v>
      </c>
      <c r="C425" t="s">
        <v>40</v>
      </c>
      <c r="D425">
        <v>4.8310879999999896</v>
      </c>
      <c r="E425">
        <v>0.50725880000000001</v>
      </c>
      <c r="F425" t="s">
        <v>42</v>
      </c>
      <c r="G425">
        <v>-328.4101</v>
      </c>
      <c r="H425" s="1">
        <v>-9.7217650000000008E-7</v>
      </c>
      <c r="I425">
        <v>367.94369999999998</v>
      </c>
      <c r="J425">
        <v>-352.11590000000001</v>
      </c>
      <c r="K425">
        <v>1.1027149999999999</v>
      </c>
      <c r="L425">
        <v>367.47590000000002</v>
      </c>
      <c r="M425">
        <v>0.99999340000000003</v>
      </c>
      <c r="N425">
        <v>0</v>
      </c>
      <c r="O425">
        <v>-3.4807270000000002E-4</v>
      </c>
      <c r="P425">
        <v>0.9990156</v>
      </c>
      <c r="Q425">
        <v>2.75993E-2</v>
      </c>
      <c r="R425">
        <v>3.4725789999999999E-2</v>
      </c>
      <c r="S425">
        <v>3.004883</v>
      </c>
      <c r="T425">
        <v>-0.13712099999999999</v>
      </c>
      <c r="U425">
        <v>5.8166500000000003E-2</v>
      </c>
      <c r="V425">
        <v>-3.5072649999999997E-2</v>
      </c>
      <c r="W425">
        <v>3.120566E-2</v>
      </c>
      <c r="X425">
        <v>0.99889740000000005</v>
      </c>
      <c r="Y425">
        <v>-1.968087E-2</v>
      </c>
      <c r="Z425">
        <v>4.6464439999999998E-4</v>
      </c>
      <c r="AA425">
        <v>0.99980619999999998</v>
      </c>
      <c r="AB425">
        <v>45</v>
      </c>
      <c r="AC425">
        <v>23.7058</v>
      </c>
      <c r="AD425">
        <v>-1.1027159721765001</v>
      </c>
      <c r="AE425">
        <v>0.46779999999995397</v>
      </c>
      <c r="AF425">
        <v>-0.47502390848256398</v>
      </c>
      <c r="AG425">
        <v>-1.1027159721765001</v>
      </c>
      <c r="AH425">
        <v>23.6544719961326</v>
      </c>
      <c r="AI425">
        <v>92.668525178237303</v>
      </c>
      <c r="AJ425">
        <v>91.150446619985402</v>
      </c>
      <c r="AK425">
        <v>23.684925071546001</v>
      </c>
      <c r="AL425">
        <v>88.211756985467204</v>
      </c>
      <c r="AM425">
        <v>92.010906875647805</v>
      </c>
      <c r="AN425">
        <v>0.99999994986040697</v>
      </c>
    </row>
    <row r="426" spans="1:40" x14ac:dyDescent="0.3">
      <c r="A426" t="str">
        <f>"20200111153837435"</f>
        <v>20200111153837435</v>
      </c>
      <c r="B426" t="str">
        <f>"1578728317430827"</f>
        <v>1578728317430827</v>
      </c>
      <c r="C426" t="s">
        <v>40</v>
      </c>
      <c r="D426">
        <v>4.788907</v>
      </c>
      <c r="E426">
        <v>0.50699159999999999</v>
      </c>
      <c r="F426" t="s">
        <v>42</v>
      </c>
      <c r="G426">
        <v>-325.7088</v>
      </c>
      <c r="H426" s="1">
        <v>-2.1258550000000001E-6</v>
      </c>
      <c r="I426">
        <v>367.91030000000001</v>
      </c>
      <c r="J426">
        <v>-351.67809999999997</v>
      </c>
      <c r="K426">
        <v>1.1027100000000001</v>
      </c>
      <c r="L426">
        <v>367.47570000000002</v>
      </c>
      <c r="M426">
        <v>0.99999329999999997</v>
      </c>
      <c r="N426">
        <v>0</v>
      </c>
      <c r="O426">
        <v>-3.472091E-4</v>
      </c>
      <c r="P426">
        <v>0.99904210000000004</v>
      </c>
      <c r="Q426">
        <v>2.7195049999999998E-2</v>
      </c>
      <c r="R426">
        <v>3.4289010000000002E-2</v>
      </c>
      <c r="S426">
        <v>3.0047000000000001</v>
      </c>
      <c r="T426">
        <v>-0.1254709</v>
      </c>
      <c r="U426">
        <v>4.943848E-2</v>
      </c>
      <c r="V426">
        <v>-3.4634829999999998E-2</v>
      </c>
      <c r="W426">
        <v>3.0850590000000001E-2</v>
      </c>
      <c r="X426">
        <v>0.99892380000000003</v>
      </c>
      <c r="Y426">
        <v>-1.678373E-2</v>
      </c>
      <c r="Z426">
        <v>3.647446E-4</v>
      </c>
      <c r="AA426">
        <v>0.9998591</v>
      </c>
      <c r="AB426">
        <v>45</v>
      </c>
      <c r="AC426">
        <v>25.969299999999901</v>
      </c>
      <c r="AD426">
        <v>-1.1027121258549999</v>
      </c>
      <c r="AE426">
        <v>0.434599999999989</v>
      </c>
      <c r="AF426">
        <v>-0.442818617664411</v>
      </c>
      <c r="AG426">
        <v>-1.1027121258549999</v>
      </c>
      <c r="AH426">
        <v>25.922421626335002</v>
      </c>
      <c r="AI426">
        <v>92.435477808633493</v>
      </c>
      <c r="AJ426">
        <v>90.978657425529406</v>
      </c>
      <c r="AK426">
        <v>25.9496436456098</v>
      </c>
      <c r="AL426">
        <v>88.2321109661234</v>
      </c>
      <c r="AM426">
        <v>91.985772045086307</v>
      </c>
      <c r="AN426">
        <v>1.0000000442794501</v>
      </c>
    </row>
    <row r="427" spans="1:40" x14ac:dyDescent="0.3">
      <c r="A427" t="str">
        <f>"20200111153837459"</f>
        <v>20200111153837459</v>
      </c>
      <c r="B427" t="str">
        <f>"1578728317451323"</f>
        <v>1578728317451323</v>
      </c>
      <c r="C427" t="s">
        <v>40</v>
      </c>
      <c r="D427">
        <v>4.7465659999999996</v>
      </c>
      <c r="E427">
        <v>0.50684459999999998</v>
      </c>
      <c r="F427" t="s">
        <v>42</v>
      </c>
      <c r="G427">
        <v>-324.2296</v>
      </c>
      <c r="H427" s="1">
        <v>-2.7558739999999999E-6</v>
      </c>
      <c r="I427">
        <v>367.9359</v>
      </c>
      <c r="J427">
        <v>-351.18669999999997</v>
      </c>
      <c r="K427">
        <v>1.1027100000000001</v>
      </c>
      <c r="L427">
        <v>367.47550000000001</v>
      </c>
      <c r="M427">
        <v>0.99999309999999997</v>
      </c>
      <c r="N427">
        <v>0</v>
      </c>
      <c r="O427">
        <v>-3.4623800000000001E-4</v>
      </c>
      <c r="P427">
        <v>0.99906609999999996</v>
      </c>
      <c r="Q427">
        <v>2.6760929999999999E-2</v>
      </c>
      <c r="R427">
        <v>3.392825E-2</v>
      </c>
      <c r="S427">
        <v>3.0044559999999998</v>
      </c>
      <c r="T427">
        <v>-0.12070060000000001</v>
      </c>
      <c r="U427">
        <v>5.0384520000000002E-2</v>
      </c>
      <c r="V427">
        <v>-3.4273230000000002E-2</v>
      </c>
      <c r="W427">
        <v>3.0471680000000001E-2</v>
      </c>
      <c r="X427">
        <v>0.9989479</v>
      </c>
      <c r="Y427">
        <v>-1.7099699999999999E-2</v>
      </c>
      <c r="Z427">
        <v>3.5722109999999999E-4</v>
      </c>
      <c r="AA427">
        <v>0.99985369999999996</v>
      </c>
      <c r="AB427">
        <v>46</v>
      </c>
      <c r="AC427">
        <v>26.957099999999901</v>
      </c>
      <c r="AD427">
        <v>-1.102712755874</v>
      </c>
      <c r="AE427">
        <v>0.46039999999999198</v>
      </c>
      <c r="AF427">
        <v>-0.46894913647438802</v>
      </c>
      <c r="AG427">
        <v>-1.102712755874</v>
      </c>
      <c r="AH427">
        <v>26.911919909423698</v>
      </c>
      <c r="AI427">
        <v>92.346019528053901</v>
      </c>
      <c r="AJ427">
        <v>90.998296940945593</v>
      </c>
      <c r="AK427">
        <v>26.9385842598642</v>
      </c>
      <c r="AL427">
        <v>88.253831117570201</v>
      </c>
      <c r="AM427">
        <v>91.965008844341497</v>
      </c>
      <c r="AN427">
        <v>1.00000004224553</v>
      </c>
    </row>
    <row r="428" spans="1:40" x14ac:dyDescent="0.3">
      <c r="A428" t="str">
        <f>"20200111153837480"</f>
        <v>20200111153837480</v>
      </c>
      <c r="B428" t="str">
        <f>"1578728317470846"</f>
        <v>1578728317470846</v>
      </c>
      <c r="C428" t="s">
        <v>40</v>
      </c>
      <c r="D428">
        <v>4.7290150000000004</v>
      </c>
      <c r="E428">
        <v>0.50648000000000004</v>
      </c>
      <c r="F428" t="s">
        <v>42</v>
      </c>
      <c r="G428">
        <v>-322.8295</v>
      </c>
      <c r="H428" s="1">
        <v>-3.3540680000000002E-6</v>
      </c>
      <c r="I428">
        <v>367.94990000000001</v>
      </c>
      <c r="J428">
        <v>-350.75110000000001</v>
      </c>
      <c r="K428">
        <v>1.102706</v>
      </c>
      <c r="L428">
        <v>367.4753</v>
      </c>
      <c r="M428">
        <v>0.99999300000000002</v>
      </c>
      <c r="N428">
        <v>0</v>
      </c>
      <c r="O428">
        <v>-3.4561370000000001E-4</v>
      </c>
      <c r="P428">
        <v>0.99909139999999996</v>
      </c>
      <c r="Q428">
        <v>2.6172890000000001E-2</v>
      </c>
      <c r="R428">
        <v>3.3638380000000002E-2</v>
      </c>
      <c r="S428">
        <v>3.0042719999999998</v>
      </c>
      <c r="T428">
        <v>-0.1168252</v>
      </c>
      <c r="U428">
        <v>5.026245E-2</v>
      </c>
      <c r="V428">
        <v>-3.3982730000000003E-2</v>
      </c>
      <c r="W428">
        <v>2.9932150000000001E-2</v>
      </c>
      <c r="X428">
        <v>0.99897409999999998</v>
      </c>
      <c r="Y428">
        <v>-1.70604E-2</v>
      </c>
      <c r="Z428">
        <v>3.4499360000000002E-4</v>
      </c>
      <c r="AA428">
        <v>0.99985440000000003</v>
      </c>
      <c r="AB428">
        <v>46</v>
      </c>
      <c r="AC428">
        <v>27.921600000000002</v>
      </c>
      <c r="AD428">
        <v>-1.102709354068</v>
      </c>
      <c r="AE428">
        <v>0.47460000000000901</v>
      </c>
      <c r="AF428">
        <v>-0.48349623408307701</v>
      </c>
      <c r="AG428">
        <v>-1.102709354068</v>
      </c>
      <c r="AH428">
        <v>27.8779655546832</v>
      </c>
      <c r="AI428">
        <v>92.264806130991403</v>
      </c>
      <c r="AJ428">
        <v>90.993598924636203</v>
      </c>
      <c r="AK428">
        <v>27.903954916750099</v>
      </c>
      <c r="AL428">
        <v>88.284757954673793</v>
      </c>
      <c r="AM428">
        <v>91.948315254952206</v>
      </c>
      <c r="AN428">
        <v>1.0000000060063401</v>
      </c>
    </row>
    <row r="429" spans="1:40" x14ac:dyDescent="0.3">
      <c r="A429" t="str">
        <f>"20200111153837502"</f>
        <v>20200111153837502</v>
      </c>
      <c r="B429" t="str">
        <f>"1578728317490363"</f>
        <v>1578728317490363</v>
      </c>
      <c r="C429" t="s">
        <v>40</v>
      </c>
      <c r="D429">
        <v>4.6861980000000001</v>
      </c>
      <c r="E429">
        <v>0.50620089999999995</v>
      </c>
      <c r="F429" t="s">
        <v>42</v>
      </c>
      <c r="G429">
        <v>-322.995</v>
      </c>
      <c r="H429" s="1">
        <v>-3.2815619999999999E-6</v>
      </c>
      <c r="I429">
        <v>367.95830000000001</v>
      </c>
      <c r="J429">
        <v>-350.31650000000002</v>
      </c>
      <c r="K429">
        <v>1.102697</v>
      </c>
      <c r="L429">
        <v>367.47519999999997</v>
      </c>
      <c r="M429">
        <v>0.99999280000000002</v>
      </c>
      <c r="N429">
        <v>0</v>
      </c>
      <c r="O429">
        <v>-3.4487169999999998E-4</v>
      </c>
      <c r="P429">
        <v>0.99911190000000005</v>
      </c>
      <c r="Q429">
        <v>2.558322E-2</v>
      </c>
      <c r="R429">
        <v>3.3484020000000003E-2</v>
      </c>
      <c r="S429">
        <v>3.004089</v>
      </c>
      <c r="T429">
        <v>-0.11934790000000001</v>
      </c>
      <c r="U429">
        <v>5.2276610000000001E-2</v>
      </c>
      <c r="V429">
        <v>-3.3827509999999998E-2</v>
      </c>
      <c r="W429">
        <v>2.9391179999999999E-2</v>
      </c>
      <c r="X429">
        <v>0.99899539999999998</v>
      </c>
      <c r="Y429">
        <v>-1.7729749999999999E-2</v>
      </c>
      <c r="Z429">
        <v>3.6571729999999999E-4</v>
      </c>
      <c r="AA429">
        <v>0.99984280000000003</v>
      </c>
      <c r="AB429">
        <v>46</v>
      </c>
      <c r="AC429">
        <v>27.3215</v>
      </c>
      <c r="AD429">
        <v>-1.102700281562</v>
      </c>
      <c r="AE429">
        <v>0.483100000000035</v>
      </c>
      <c r="AF429">
        <v>-0.49172171440416101</v>
      </c>
      <c r="AG429">
        <v>-1.102700281562</v>
      </c>
      <c r="AH429">
        <v>27.276913117037399</v>
      </c>
      <c r="AI429">
        <v>92.314610935928897</v>
      </c>
      <c r="AJ429">
        <v>91.032760837444997</v>
      </c>
      <c r="AK429">
        <v>27.3036211398741</v>
      </c>
      <c r="AL429">
        <v>88.315766845471003</v>
      </c>
      <c r="AM429">
        <v>91.939381594501796</v>
      </c>
      <c r="AN429">
        <v>0.99999997555787501</v>
      </c>
    </row>
    <row r="430" spans="1:40" x14ac:dyDescent="0.3">
      <c r="A430" t="str">
        <f>"20200111153837524"</f>
        <v>20200111153837524</v>
      </c>
      <c r="B430" t="str">
        <f>"1578728317520459"</f>
        <v>1578728317520459</v>
      </c>
      <c r="C430" t="s">
        <v>40</v>
      </c>
      <c r="D430">
        <v>4.6743880000000004</v>
      </c>
      <c r="E430">
        <v>0.50623949999999995</v>
      </c>
      <c r="F430" t="s">
        <v>42</v>
      </c>
      <c r="G430">
        <v>-322.39819999999997</v>
      </c>
      <c r="H430" s="1">
        <v>-3.5342629999999998E-6</v>
      </c>
      <c r="I430">
        <v>367.97710000000001</v>
      </c>
      <c r="J430">
        <v>-349.85129999999998</v>
      </c>
      <c r="K430">
        <v>1.1026959999999999</v>
      </c>
      <c r="L430">
        <v>367.47500000000002</v>
      </c>
      <c r="M430">
        <v>0.99999249999999995</v>
      </c>
      <c r="N430">
        <v>0</v>
      </c>
      <c r="O430">
        <v>-3.437793E-4</v>
      </c>
      <c r="P430">
        <v>0.99910279999999996</v>
      </c>
      <c r="Q430">
        <v>2.5461569999999999E-2</v>
      </c>
      <c r="R430">
        <v>3.3843989999999997E-2</v>
      </c>
      <c r="S430">
        <v>3.0039060000000002</v>
      </c>
      <c r="T430">
        <v>-0.118646</v>
      </c>
      <c r="U430">
        <v>5.4016109999999999E-2</v>
      </c>
      <c r="V430">
        <v>-3.4186269999999998E-2</v>
      </c>
      <c r="W430">
        <v>2.9321110000000001E-2</v>
      </c>
      <c r="X430">
        <v>0.99898529999999996</v>
      </c>
      <c r="Y430">
        <v>-1.830824E-2</v>
      </c>
      <c r="Z430">
        <v>3.7496440000000001E-4</v>
      </c>
      <c r="AA430">
        <v>0.99983230000000001</v>
      </c>
      <c r="AB430">
        <v>46</v>
      </c>
      <c r="AC430">
        <v>27.453099999999999</v>
      </c>
      <c r="AD430">
        <v>-1.1026995342629999</v>
      </c>
      <c r="AE430">
        <v>0.502099999999984</v>
      </c>
      <c r="AF430">
        <v>-0.51071415719575797</v>
      </c>
      <c r="AG430">
        <v>-1.1026995342629999</v>
      </c>
      <c r="AH430">
        <v>27.408720386606401</v>
      </c>
      <c r="AI430">
        <v>92.303464977306405</v>
      </c>
      <c r="AJ430">
        <v>91.067484343927006</v>
      </c>
      <c r="AK430">
        <v>27.435647038923602</v>
      </c>
      <c r="AL430">
        <v>88.319783381824706</v>
      </c>
      <c r="AM430">
        <v>91.959953682976703</v>
      </c>
      <c r="AN430">
        <v>1.0000000290821101</v>
      </c>
    </row>
    <row r="431" spans="1:40" x14ac:dyDescent="0.3">
      <c r="A431" t="str">
        <f>"20200111153837547"</f>
        <v>20200111153837547</v>
      </c>
      <c r="B431" t="str">
        <f>"1578728317540955"</f>
        <v>1578728317540955</v>
      </c>
      <c r="C431" t="s">
        <v>40</v>
      </c>
      <c r="D431">
        <v>4.6453579999999999</v>
      </c>
      <c r="E431">
        <v>0.50617590000000001</v>
      </c>
      <c r="F431" t="s">
        <v>42</v>
      </c>
      <c r="G431">
        <v>-321.30669999999998</v>
      </c>
      <c r="H431" s="1">
        <v>-3.9991829999999999E-6</v>
      </c>
      <c r="I431">
        <v>367.99579999999997</v>
      </c>
      <c r="J431">
        <v>-349.35980000000001</v>
      </c>
      <c r="K431">
        <v>1.102695</v>
      </c>
      <c r="L431">
        <v>367.47480000000002</v>
      </c>
      <c r="M431">
        <v>0.99999229999999995</v>
      </c>
      <c r="N431">
        <v>0</v>
      </c>
      <c r="O431">
        <v>-3.4281349999999998E-4</v>
      </c>
      <c r="P431">
        <v>0.99909309999999996</v>
      </c>
      <c r="Q431">
        <v>2.5401710000000001E-2</v>
      </c>
      <c r="R431">
        <v>3.4173250000000002E-2</v>
      </c>
      <c r="S431">
        <v>3.003784</v>
      </c>
      <c r="T431">
        <v>-0.1160383</v>
      </c>
      <c r="U431">
        <v>5.4809570000000002E-2</v>
      </c>
      <c r="V431">
        <v>-3.4514959999999997E-2</v>
      </c>
      <c r="W431">
        <v>2.9315870000000001E-2</v>
      </c>
      <c r="X431">
        <v>0.99897409999999998</v>
      </c>
      <c r="Y431">
        <v>-1.8572459999999999E-2</v>
      </c>
      <c r="Z431">
        <v>3.7180729999999998E-4</v>
      </c>
      <c r="AA431">
        <v>0.99982740000000003</v>
      </c>
      <c r="AB431">
        <v>46</v>
      </c>
      <c r="AC431">
        <v>28.053100000000001</v>
      </c>
      <c r="AD431">
        <v>-1.1026989991830001</v>
      </c>
      <c r="AE431">
        <v>0.52099999999995805</v>
      </c>
      <c r="AF431">
        <v>-0.52979872270918804</v>
      </c>
      <c r="AG431">
        <v>-1.1026989991830001</v>
      </c>
      <c r="AH431">
        <v>28.009657378257302</v>
      </c>
      <c r="AI431">
        <v>92.254083518376703</v>
      </c>
      <c r="AJ431">
        <v>91.083612380075195</v>
      </c>
      <c r="AK431">
        <v>28.036361001684</v>
      </c>
      <c r="AL431">
        <v>88.320083654281802</v>
      </c>
      <c r="AM431">
        <v>91.978805265663198</v>
      </c>
      <c r="AN431">
        <v>0.99999997758423398</v>
      </c>
    </row>
    <row r="432" spans="1:40" x14ac:dyDescent="0.3">
      <c r="A432" t="str">
        <f>"20200111153837570"</f>
        <v>20200111153837570</v>
      </c>
      <c r="B432" t="str">
        <f>"1578728317560475"</f>
        <v>1578728317560475</v>
      </c>
      <c r="C432" t="s">
        <v>40</v>
      </c>
      <c r="D432">
        <v>4.6575259999999998</v>
      </c>
      <c r="E432">
        <v>0.50615659999999996</v>
      </c>
      <c r="F432" t="s">
        <v>42</v>
      </c>
      <c r="G432">
        <v>-320.23500000000001</v>
      </c>
      <c r="H432" s="1">
        <v>-4.4541960000000004E-6</v>
      </c>
      <c r="I432">
        <v>368.0224</v>
      </c>
      <c r="J432">
        <v>-348.89569999999998</v>
      </c>
      <c r="K432">
        <v>1.1026959999999999</v>
      </c>
      <c r="L432">
        <v>367.47460000000001</v>
      </c>
      <c r="M432">
        <v>0.9999922</v>
      </c>
      <c r="N432">
        <v>0</v>
      </c>
      <c r="O432">
        <v>-3.4196219999999998E-4</v>
      </c>
      <c r="P432">
        <v>0.99908940000000002</v>
      </c>
      <c r="Q432">
        <v>2.5580329999999998E-2</v>
      </c>
      <c r="R432">
        <v>3.4153330000000003E-2</v>
      </c>
      <c r="S432">
        <v>3.0036930000000002</v>
      </c>
      <c r="T432">
        <v>-0.11372309999999999</v>
      </c>
      <c r="U432">
        <v>5.6488040000000003E-2</v>
      </c>
      <c r="V432">
        <v>-3.4494240000000002E-2</v>
      </c>
      <c r="W432">
        <v>2.9545599999999901E-2</v>
      </c>
      <c r="X432">
        <v>0.99896810000000003</v>
      </c>
      <c r="Y432">
        <v>-1.9130830000000001E-2</v>
      </c>
      <c r="Z432">
        <v>3.7493679999999998E-4</v>
      </c>
      <c r="AA432">
        <v>0.99981690000000001</v>
      </c>
      <c r="AB432">
        <v>46</v>
      </c>
      <c r="AC432">
        <v>28.660699999999899</v>
      </c>
      <c r="AD432">
        <v>-1.1027004541959999</v>
      </c>
      <c r="AE432">
        <v>0.54779999999999496</v>
      </c>
      <c r="AF432">
        <v>-0.55677703939384904</v>
      </c>
      <c r="AG432">
        <v>-1.1027004541959999</v>
      </c>
      <c r="AH432">
        <v>28.618163799859101</v>
      </c>
      <c r="AI432">
        <v>92.206183002000699</v>
      </c>
      <c r="AJ432">
        <v>91.114570126225999</v>
      </c>
      <c r="AK432">
        <v>28.6448118904427</v>
      </c>
      <c r="AL432">
        <v>88.306915479006094</v>
      </c>
      <c r="AM432">
        <v>91.977630162553496</v>
      </c>
      <c r="AN432">
        <v>1.00000002994507</v>
      </c>
    </row>
    <row r="433" spans="1:40" x14ac:dyDescent="0.3">
      <c r="A433" t="str">
        <f>"20200111153837590"</f>
        <v>20200111153837590</v>
      </c>
      <c r="B433" t="str">
        <f>"1578728317580974"</f>
        <v>1578728317580974</v>
      </c>
      <c r="C433" t="s">
        <v>40</v>
      </c>
      <c r="D433">
        <v>4.6393050000000002</v>
      </c>
      <c r="E433">
        <v>0.50619119999999995</v>
      </c>
      <c r="F433" t="s">
        <v>43</v>
      </c>
      <c r="G433">
        <v>-317.72449999999998</v>
      </c>
      <c r="H433">
        <v>-0.05</v>
      </c>
      <c r="I433">
        <v>368.05930000000001</v>
      </c>
      <c r="J433">
        <v>-348.45670000000001</v>
      </c>
      <c r="K433">
        <v>1.102697</v>
      </c>
      <c r="L433">
        <v>367.47449999999998</v>
      </c>
      <c r="M433">
        <v>0.99999179999999999</v>
      </c>
      <c r="N433">
        <v>0</v>
      </c>
      <c r="O433">
        <v>-3.4074920000000001E-4</v>
      </c>
      <c r="P433">
        <v>0.9990888</v>
      </c>
      <c r="Q433">
        <v>2.5775429999999998E-2</v>
      </c>
      <c r="R433">
        <v>3.401829E-2</v>
      </c>
      <c r="S433">
        <v>3.0036930000000002</v>
      </c>
      <c r="T433">
        <v>-0.1110748</v>
      </c>
      <c r="U433">
        <v>5.6335450000000002E-2</v>
      </c>
      <c r="V433">
        <v>-3.4357760000000001E-2</v>
      </c>
      <c r="W433">
        <v>2.9789159999999999E-2</v>
      </c>
      <c r="X433">
        <v>0.99896560000000001</v>
      </c>
      <c r="Y433">
        <v>-1.9079519999999999E-2</v>
      </c>
      <c r="Z433">
        <v>3.6521870000000002E-4</v>
      </c>
      <c r="AA433">
        <v>0.99981790000000004</v>
      </c>
      <c r="AB433">
        <v>46</v>
      </c>
      <c r="AC433">
        <v>30.732199999999999</v>
      </c>
      <c r="AD433">
        <v>-1.1526969999999901</v>
      </c>
      <c r="AE433">
        <v>0.58480000000002896</v>
      </c>
      <c r="AF433">
        <v>-0.59443605340523398</v>
      </c>
      <c r="AG433">
        <v>-1.1526969999999901</v>
      </c>
      <c r="AH433">
        <v>30.6888404508042</v>
      </c>
      <c r="AI433">
        <v>92.150660334519102</v>
      </c>
      <c r="AJ433">
        <v>91.109667815275301</v>
      </c>
      <c r="AK433">
        <v>30.716233376023101</v>
      </c>
      <c r="AL433">
        <v>88.292954425093697</v>
      </c>
      <c r="AM433">
        <v>91.969816568078102</v>
      </c>
      <c r="AN433">
        <v>1.00000005985453</v>
      </c>
    </row>
    <row r="434" spans="1:40" x14ac:dyDescent="0.3">
      <c r="A434" t="str">
        <f>"20200111153837614"</f>
        <v>20200111153837614</v>
      </c>
      <c r="B434" t="str">
        <f>"1578728317611228"</f>
        <v>1578728317611228</v>
      </c>
      <c r="C434" t="s">
        <v>40</v>
      </c>
      <c r="D434">
        <v>4.6125059999999998</v>
      </c>
      <c r="E434">
        <v>0.5063223</v>
      </c>
      <c r="F434" t="s">
        <v>43</v>
      </c>
      <c r="G434">
        <v>-316.74979999999999</v>
      </c>
      <c r="H434">
        <v>-0.05</v>
      </c>
      <c r="I434">
        <v>368.06369999999998</v>
      </c>
      <c r="J434">
        <v>-347.99040000000002</v>
      </c>
      <c r="K434">
        <v>1.1027039999999999</v>
      </c>
      <c r="L434">
        <v>367.47430000000003</v>
      </c>
      <c r="M434">
        <v>0.99999179999999999</v>
      </c>
      <c r="N434">
        <v>0</v>
      </c>
      <c r="O434">
        <v>-3.3966200000000002E-4</v>
      </c>
      <c r="P434">
        <v>0.99909369999999997</v>
      </c>
      <c r="Q434">
        <v>2.5847620000000002E-2</v>
      </c>
      <c r="R434">
        <v>3.3820660000000002E-2</v>
      </c>
      <c r="S434">
        <v>3.0036930000000002</v>
      </c>
      <c r="T434">
        <v>-0.1091985</v>
      </c>
      <c r="U434">
        <v>5.5816650000000002E-2</v>
      </c>
      <c r="V434">
        <v>-3.4159469999999997E-2</v>
      </c>
      <c r="W434">
        <v>2.9912600000000001E-2</v>
      </c>
      <c r="X434">
        <v>0.99896870000000004</v>
      </c>
      <c r="Y434">
        <v>-1.8906369999999999E-2</v>
      </c>
      <c r="Z434">
        <v>3.5586819999999998E-4</v>
      </c>
      <c r="AA434">
        <v>0.99982119999999997</v>
      </c>
      <c r="AB434">
        <v>46</v>
      </c>
      <c r="AC434">
        <v>31.240600000000001</v>
      </c>
      <c r="AD434">
        <v>-1.152704</v>
      </c>
      <c r="AE434">
        <v>0.58939999999995496</v>
      </c>
      <c r="AF434">
        <v>-0.59919582126001902</v>
      </c>
      <c r="AG434">
        <v>-1.152704</v>
      </c>
      <c r="AH434">
        <v>31.197939150364999</v>
      </c>
      <c r="AI434">
        <v>92.115616773684593</v>
      </c>
      <c r="AJ434">
        <v>91.100302524300005</v>
      </c>
      <c r="AK434">
        <v>31.2249766913237</v>
      </c>
      <c r="AL434">
        <v>88.285878661473902</v>
      </c>
      <c r="AM434">
        <v>91.958450910901803</v>
      </c>
      <c r="AN434">
        <v>1.0000000483045599</v>
      </c>
    </row>
    <row r="435" spans="1:40" x14ac:dyDescent="0.3">
      <c r="A435" t="str">
        <f>"20200111153837636"</f>
        <v>20200111153837636</v>
      </c>
      <c r="B435" t="str">
        <f>"1578728317630748"</f>
        <v>1578728317630748</v>
      </c>
      <c r="C435" t="s">
        <v>40</v>
      </c>
      <c r="D435">
        <v>4.5390009999999998</v>
      </c>
      <c r="E435">
        <v>0.50635920000000001</v>
      </c>
      <c r="F435" t="s">
        <v>43</v>
      </c>
      <c r="G435">
        <v>-315.34710000000001</v>
      </c>
      <c r="H435">
        <v>-0.05</v>
      </c>
      <c r="I435">
        <v>368.05970000000002</v>
      </c>
      <c r="J435">
        <v>-347.50970000000001</v>
      </c>
      <c r="K435">
        <v>1.1027089999999999</v>
      </c>
      <c r="L435">
        <v>367.47410000000002</v>
      </c>
      <c r="M435">
        <v>0.99999170000000004</v>
      </c>
      <c r="N435">
        <v>0</v>
      </c>
      <c r="O435">
        <v>-3.3857940000000001E-4</v>
      </c>
      <c r="P435">
        <v>0.99907749999999995</v>
      </c>
      <c r="Q435">
        <v>2.66425E-2</v>
      </c>
      <c r="R435">
        <v>3.368409E-2</v>
      </c>
      <c r="S435">
        <v>3.0036320000000001</v>
      </c>
      <c r="T435">
        <v>-0.1060648</v>
      </c>
      <c r="U435">
        <v>5.386353E-2</v>
      </c>
      <c r="V435">
        <v>-3.4021410000000002E-2</v>
      </c>
      <c r="W435">
        <v>3.0760030000000001E-2</v>
      </c>
      <c r="X435">
        <v>0.99894760000000005</v>
      </c>
      <c r="Y435">
        <v>-1.825686E-2</v>
      </c>
      <c r="Z435">
        <v>3.3416989999999997E-4</v>
      </c>
      <c r="AA435">
        <v>0.99983330000000004</v>
      </c>
      <c r="AB435">
        <v>47</v>
      </c>
      <c r="AC435">
        <v>32.162599999999998</v>
      </c>
      <c r="AD435">
        <v>-1.152709</v>
      </c>
      <c r="AE435">
        <v>0.58559999999999901</v>
      </c>
      <c r="AF435">
        <v>-0.59572469001803197</v>
      </c>
      <c r="AG435">
        <v>-1.152709</v>
      </c>
      <c r="AH435">
        <v>32.121153653266703</v>
      </c>
      <c r="AI435">
        <v>92.054897862416794</v>
      </c>
      <c r="AJ435">
        <v>91.062496018996995</v>
      </c>
      <c r="AK435">
        <v>32.147350403442999</v>
      </c>
      <c r="AL435">
        <v>88.237302007359105</v>
      </c>
      <c r="AM435">
        <v>91.950582868030807</v>
      </c>
      <c r="AN435">
        <v>0.99999997166487398</v>
      </c>
    </row>
    <row r="436" spans="1:40" x14ac:dyDescent="0.3">
      <c r="A436" t="str">
        <f>"20200111153837650"</f>
        <v>20200111153837650</v>
      </c>
      <c r="B436" t="str">
        <f>"1578728317640508"</f>
        <v>1578728317640508</v>
      </c>
      <c r="C436" t="s">
        <v>40</v>
      </c>
      <c r="D436">
        <v>4.5890360000000001</v>
      </c>
      <c r="E436">
        <v>0.50640010000000002</v>
      </c>
      <c r="F436" t="s">
        <v>43</v>
      </c>
      <c r="G436">
        <v>-313.61369999999999</v>
      </c>
      <c r="H436">
        <v>-0.05</v>
      </c>
      <c r="I436">
        <v>368.07429999999999</v>
      </c>
      <c r="J436">
        <v>-347.21879999999999</v>
      </c>
      <c r="K436">
        <v>1.1027129999999901</v>
      </c>
      <c r="L436">
        <v>367.47399999999999</v>
      </c>
      <c r="M436">
        <v>0.99999139999999997</v>
      </c>
      <c r="N436">
        <v>0</v>
      </c>
      <c r="O436">
        <v>-3.3781149999999999E-4</v>
      </c>
      <c r="P436">
        <v>0.99907349999999995</v>
      </c>
      <c r="Q436">
        <v>2.687881E-2</v>
      </c>
      <c r="R436">
        <v>3.3609519999999997E-2</v>
      </c>
      <c r="S436">
        <v>3.0036930000000002</v>
      </c>
      <c r="T436">
        <v>-0.1021473</v>
      </c>
      <c r="U436">
        <v>5.3192139999999999E-2</v>
      </c>
      <c r="V436">
        <v>-3.3945870000000003E-2</v>
      </c>
      <c r="W436">
        <v>3.1028360000000001E-2</v>
      </c>
      <c r="X436">
        <v>0.99894190000000005</v>
      </c>
      <c r="Y436">
        <v>-1.8033279999999999E-2</v>
      </c>
      <c r="Z436">
        <v>3.1800250000000002E-4</v>
      </c>
      <c r="AA436">
        <v>0.99983730000000004</v>
      </c>
      <c r="AB436">
        <v>47</v>
      </c>
      <c r="AC436">
        <v>33.605099999999901</v>
      </c>
      <c r="AD436">
        <v>-1.1527130000000001</v>
      </c>
      <c r="AE436">
        <v>0.60030000000000405</v>
      </c>
      <c r="AF436">
        <v>-0.61093365151847401</v>
      </c>
      <c r="AG436">
        <v>-1.1527130000000001</v>
      </c>
      <c r="AH436">
        <v>33.565414537288802</v>
      </c>
      <c r="AI436">
        <v>91.966569464006795</v>
      </c>
      <c r="AJ436">
        <v>91.042741631534795</v>
      </c>
      <c r="AK436">
        <v>33.590758256505097</v>
      </c>
      <c r="AL436">
        <v>88.221920539253105</v>
      </c>
      <c r="AM436">
        <v>91.946266290512099</v>
      </c>
      <c r="AN436">
        <v>1.0000000003949701</v>
      </c>
    </row>
    <row r="437" spans="1:40" x14ac:dyDescent="0.3">
      <c r="A437" t="str">
        <f>"20200111153837670"</f>
        <v>20200111153837670</v>
      </c>
      <c r="B437" t="str">
        <f>"1578728317661003"</f>
        <v>1578728317661003</v>
      </c>
      <c r="C437" t="s">
        <v>40</v>
      </c>
      <c r="D437">
        <v>4.5873799999999996</v>
      </c>
      <c r="E437">
        <v>0.50641170000000002</v>
      </c>
      <c r="F437" t="s">
        <v>43</v>
      </c>
      <c r="G437">
        <v>-312.887</v>
      </c>
      <c r="H437">
        <v>-0.05</v>
      </c>
      <c r="I437">
        <v>368.07600000000002</v>
      </c>
      <c r="J437">
        <v>-346.78219999999999</v>
      </c>
      <c r="K437">
        <v>1.1027199999999999</v>
      </c>
      <c r="L437">
        <v>367.47379999999998</v>
      </c>
      <c r="M437">
        <v>0.99999099999999996</v>
      </c>
      <c r="N437">
        <v>0</v>
      </c>
      <c r="O437">
        <v>-3.368043E-4</v>
      </c>
      <c r="P437">
        <v>0.99909340000000002</v>
      </c>
      <c r="Q437">
        <v>2.628861E-2</v>
      </c>
      <c r="R437">
        <v>3.348831E-2</v>
      </c>
      <c r="S437">
        <v>3.0037229999999999</v>
      </c>
      <c r="T437">
        <v>-0.1008521</v>
      </c>
      <c r="U437">
        <v>5.2673339999999999E-2</v>
      </c>
      <c r="V437">
        <v>-3.3823970000000002E-2</v>
      </c>
      <c r="W437">
        <v>3.052506E-2</v>
      </c>
      <c r="X437">
        <v>0.99896160000000001</v>
      </c>
      <c r="Y437">
        <v>-1.7859819999999998E-2</v>
      </c>
      <c r="Z437">
        <v>3.110252E-4</v>
      </c>
      <c r="AA437">
        <v>0.99984039999999996</v>
      </c>
      <c r="AB437">
        <v>47</v>
      </c>
      <c r="AC437">
        <v>33.895199999999903</v>
      </c>
      <c r="AD437">
        <v>-1.15272</v>
      </c>
      <c r="AE437">
        <v>0.60219999999998197</v>
      </c>
      <c r="AF437">
        <v>-0.61290747143038704</v>
      </c>
      <c r="AG437">
        <v>-1.15272</v>
      </c>
      <c r="AH437">
        <v>33.855851006605398</v>
      </c>
      <c r="AI437">
        <v>91.949727379112801</v>
      </c>
      <c r="AJ437">
        <v>91.037137590738197</v>
      </c>
      <c r="AK437">
        <v>33.881013360706902</v>
      </c>
      <c r="AL437">
        <v>88.250771275348797</v>
      </c>
      <c r="AM437">
        <v>91.939244358261107</v>
      </c>
      <c r="AN437">
        <v>1.0000000592545599</v>
      </c>
    </row>
    <row r="438" spans="1:40" x14ac:dyDescent="0.3">
      <c r="A438" t="str">
        <f>"20200111153837693"</f>
        <v>20200111153837693</v>
      </c>
      <c r="B438" t="str">
        <f>"1578728317680523"</f>
        <v>1578728317680523</v>
      </c>
      <c r="C438" t="s">
        <v>40</v>
      </c>
      <c r="D438">
        <v>4.5421139999999998</v>
      </c>
      <c r="E438">
        <v>0.50657509999999994</v>
      </c>
      <c r="F438" t="s">
        <v>43</v>
      </c>
      <c r="G438">
        <v>-312.45620000000002</v>
      </c>
      <c r="H438">
        <v>-0.05</v>
      </c>
      <c r="I438">
        <v>368.07339999999999</v>
      </c>
      <c r="J438">
        <v>-346.32810000000001</v>
      </c>
      <c r="K438">
        <v>1.1027579999999999</v>
      </c>
      <c r="L438">
        <v>367.47370000000001</v>
      </c>
      <c r="M438">
        <v>0.99999020000000005</v>
      </c>
      <c r="N438">
        <v>0</v>
      </c>
      <c r="O438">
        <v>-3.3593320000000002E-4</v>
      </c>
      <c r="P438">
        <v>0.99910679999999996</v>
      </c>
      <c r="Q438">
        <v>2.5769500000000001E-2</v>
      </c>
      <c r="R438">
        <v>3.3491159999999999E-2</v>
      </c>
      <c r="S438">
        <v>3.0036619999999998</v>
      </c>
      <c r="T438">
        <v>-0.1008677</v>
      </c>
      <c r="U438">
        <v>5.2459720000000001E-2</v>
      </c>
      <c r="V438">
        <v>-3.3825729999999998E-2</v>
      </c>
      <c r="W438">
        <v>3.0207629999999999E-2</v>
      </c>
      <c r="X438">
        <v>0.9989711</v>
      </c>
      <c r="Y438">
        <v>-1.778826E-2</v>
      </c>
      <c r="Z438">
        <v>3.098493E-4</v>
      </c>
      <c r="AA438">
        <v>0.99984170000000006</v>
      </c>
      <c r="AB438">
        <v>47</v>
      </c>
      <c r="AC438">
        <v>33.871899999999897</v>
      </c>
      <c r="AD438">
        <v>-1.1527579999999999</v>
      </c>
      <c r="AE438">
        <v>0.59969999999998402</v>
      </c>
      <c r="AF438">
        <v>-0.61037203927079997</v>
      </c>
      <c r="AG438">
        <v>-1.1527579999999999</v>
      </c>
      <c r="AH438">
        <v>33.832522851069399</v>
      </c>
      <c r="AI438">
        <v>91.951137182089795</v>
      </c>
      <c r="AJ438">
        <v>91.033560178476606</v>
      </c>
      <c r="AK438">
        <v>33.857658033316802</v>
      </c>
      <c r="AL438">
        <v>88.268966909942307</v>
      </c>
      <c r="AM438">
        <v>91.939326759381302</v>
      </c>
      <c r="AN438">
        <v>0.99999996977772898</v>
      </c>
    </row>
    <row r="439" spans="1:40" x14ac:dyDescent="0.3">
      <c r="A439" t="str">
        <f>"20200111153837715"</f>
        <v>20200111153837715</v>
      </c>
      <c r="B439" t="str">
        <f>"1578728317710779"</f>
        <v>1578728317710779</v>
      </c>
      <c r="C439" t="s">
        <v>40</v>
      </c>
      <c r="D439">
        <v>4.5636299999999999</v>
      </c>
      <c r="E439">
        <v>0.50673409999999997</v>
      </c>
      <c r="F439" t="s">
        <v>43</v>
      </c>
      <c r="G439">
        <v>-312.0557</v>
      </c>
      <c r="H439">
        <v>-0.05</v>
      </c>
      <c r="I439">
        <v>368.05689999999998</v>
      </c>
      <c r="J439">
        <v>-345.85270000000003</v>
      </c>
      <c r="K439">
        <v>1.10284</v>
      </c>
      <c r="L439">
        <v>367.4735</v>
      </c>
      <c r="M439">
        <v>0.9999884</v>
      </c>
      <c r="N439">
        <v>0</v>
      </c>
      <c r="O439">
        <v>-3.3471589999999898E-4</v>
      </c>
      <c r="P439">
        <v>0.99912219999999996</v>
      </c>
      <c r="Q439">
        <v>2.5225290000000001E-2</v>
      </c>
      <c r="R439">
        <v>3.3449060000000003E-2</v>
      </c>
      <c r="S439">
        <v>3.0036010000000002</v>
      </c>
      <c r="T439">
        <v>-0.1010268</v>
      </c>
      <c r="U439">
        <v>5.111694E-2</v>
      </c>
      <c r="V439">
        <v>-3.378254E-2</v>
      </c>
      <c r="W439">
        <v>3.0060360000000001E-2</v>
      </c>
      <c r="X439">
        <v>0.998977</v>
      </c>
      <c r="Y439">
        <v>-1.734076E-2</v>
      </c>
      <c r="Z439">
        <v>3.0278100000000001E-4</v>
      </c>
      <c r="AA439">
        <v>0.99984960000000001</v>
      </c>
      <c r="AB439">
        <v>47</v>
      </c>
      <c r="AC439">
        <v>33.796999999999997</v>
      </c>
      <c r="AD439">
        <v>-1.1528399999999901</v>
      </c>
      <c r="AE439">
        <v>0.58339999999998304</v>
      </c>
      <c r="AF439">
        <v>-0.59402152854182499</v>
      </c>
      <c r="AG439">
        <v>-1.1528399999999901</v>
      </c>
      <c r="AH439">
        <v>33.757536246988103</v>
      </c>
      <c r="AI439">
        <v>91.955622395593807</v>
      </c>
      <c r="AJ439">
        <v>91.008113092837405</v>
      </c>
      <c r="AK439">
        <v>33.782438560717999</v>
      </c>
      <c r="AL439">
        <v>88.277408686639703</v>
      </c>
      <c r="AM439">
        <v>91.936841008783603</v>
      </c>
      <c r="AN439">
        <v>0.99999996589059004</v>
      </c>
    </row>
    <row r="440" spans="1:40" x14ac:dyDescent="0.3">
      <c r="A440" t="str">
        <f>"20200111153837737"</f>
        <v>20200111153837737</v>
      </c>
      <c r="B440" t="str">
        <f>"1578728317730299"</f>
        <v>1578728317730299</v>
      </c>
      <c r="C440" t="s">
        <v>40</v>
      </c>
      <c r="D440">
        <v>4.6099160000000001</v>
      </c>
      <c r="E440">
        <v>0.50685360000000002</v>
      </c>
      <c r="F440" t="s">
        <v>43</v>
      </c>
      <c r="G440">
        <v>-311.71100000000001</v>
      </c>
      <c r="H440">
        <v>-0.05</v>
      </c>
      <c r="I440">
        <v>368.03829999999999</v>
      </c>
      <c r="J440">
        <v>-345.3768</v>
      </c>
      <c r="K440">
        <v>1.1029639999999901</v>
      </c>
      <c r="L440">
        <v>367.47340000000003</v>
      </c>
      <c r="M440">
        <v>0.99998520000000002</v>
      </c>
      <c r="N440">
        <v>0</v>
      </c>
      <c r="O440">
        <v>-3.3370900000000001E-4</v>
      </c>
      <c r="P440">
        <v>0.99913949999999996</v>
      </c>
      <c r="Q440">
        <v>2.408977E-2</v>
      </c>
      <c r="R440">
        <v>3.376734E-2</v>
      </c>
      <c r="S440">
        <v>3.0035400000000001</v>
      </c>
      <c r="T440">
        <v>-0.10141840000000001</v>
      </c>
      <c r="U440">
        <v>4.9682619999999997E-2</v>
      </c>
      <c r="V440">
        <v>-3.4099829999999998E-2</v>
      </c>
      <c r="W440">
        <v>2.954799E-2</v>
      </c>
      <c r="X440">
        <v>0.99898149999999997</v>
      </c>
      <c r="Y440">
        <v>-1.686296E-2</v>
      </c>
      <c r="Z440">
        <v>2.958635E-4</v>
      </c>
      <c r="AA440">
        <v>0.99985780000000002</v>
      </c>
      <c r="AB440">
        <v>47</v>
      </c>
      <c r="AC440">
        <v>33.665799999999898</v>
      </c>
      <c r="AD440">
        <v>-1.1529640000000001</v>
      </c>
      <c r="AE440">
        <v>0.56489999999996598</v>
      </c>
      <c r="AF440">
        <v>-0.57545995909558201</v>
      </c>
      <c r="AG440">
        <v>-1.1529640000000001</v>
      </c>
      <c r="AH440">
        <v>33.626181233056201</v>
      </c>
      <c r="AI440">
        <v>91.963483191788896</v>
      </c>
      <c r="AJ440">
        <v>90.980432731555197</v>
      </c>
      <c r="AK440">
        <v>33.650862462471302</v>
      </c>
      <c r="AL440">
        <v>88.306778363361005</v>
      </c>
      <c r="AM440">
        <v>91.955009220445206</v>
      </c>
      <c r="AN440">
        <v>0.99999995973065803</v>
      </c>
    </row>
    <row r="441" spans="1:40" x14ac:dyDescent="0.3">
      <c r="A441" t="str">
        <f>"20200111153837759"</f>
        <v>20200111153837759</v>
      </c>
      <c r="B441" t="str">
        <f>"1578728317750795"</f>
        <v>1578728317750795</v>
      </c>
      <c r="C441" t="s">
        <v>40</v>
      </c>
      <c r="D441">
        <v>4.5267280000000003</v>
      </c>
      <c r="E441">
        <v>0.50693469999999996</v>
      </c>
      <c r="F441" t="s">
        <v>43</v>
      </c>
      <c r="G441">
        <v>-312.23649999999998</v>
      </c>
      <c r="H441">
        <v>-0.05</v>
      </c>
      <c r="I441">
        <v>368.02019999999999</v>
      </c>
      <c r="J441">
        <v>-344.90480000000002</v>
      </c>
      <c r="K441">
        <v>1.103119</v>
      </c>
      <c r="L441">
        <v>367.47320000000002</v>
      </c>
      <c r="M441">
        <v>0.99998039999999999</v>
      </c>
      <c r="N441">
        <v>0</v>
      </c>
      <c r="O441">
        <v>-3.3321050000000002E-4</v>
      </c>
      <c r="P441">
        <v>0.99915860000000001</v>
      </c>
      <c r="Q441">
        <v>2.302394E-2</v>
      </c>
      <c r="R441">
        <v>3.394809E-2</v>
      </c>
      <c r="S441">
        <v>3.0034179999999999</v>
      </c>
      <c r="T441">
        <v>-0.10449</v>
      </c>
      <c r="U441">
        <v>4.9560550000000002E-2</v>
      </c>
      <c r="V441">
        <v>-3.4280150000000002E-2</v>
      </c>
      <c r="W441">
        <v>2.92825E-2</v>
      </c>
      <c r="X441">
        <v>0.99898319999999996</v>
      </c>
      <c r="Y441">
        <v>-1.6821929999999999E-2</v>
      </c>
      <c r="Z441">
        <v>3.0410050000000003E-4</v>
      </c>
      <c r="AA441">
        <v>0.99985840000000004</v>
      </c>
      <c r="AB441">
        <v>47</v>
      </c>
      <c r="AC441">
        <v>32.668300000000002</v>
      </c>
      <c r="AD441">
        <v>-1.153119</v>
      </c>
      <c r="AE441">
        <v>0.54699999999996796</v>
      </c>
      <c r="AF441">
        <v>-0.55719157338093595</v>
      </c>
      <c r="AG441">
        <v>-1.153119</v>
      </c>
      <c r="AH441">
        <v>32.6274756156092</v>
      </c>
      <c r="AI441">
        <v>92.023807957482703</v>
      </c>
      <c r="AJ441">
        <v>90.978366300244502</v>
      </c>
      <c r="AK441">
        <v>32.652600370028402</v>
      </c>
      <c r="AL441">
        <v>88.321996496266294</v>
      </c>
      <c r="AM441">
        <v>91.965335887007598</v>
      </c>
      <c r="AN441">
        <v>1.0000000136862499</v>
      </c>
    </row>
    <row r="442" spans="1:40" x14ac:dyDescent="0.3">
      <c r="A442" t="str">
        <f>"20200111153837782"</f>
        <v>20200111153837782</v>
      </c>
      <c r="B442" t="str">
        <f>"1578728317771291"</f>
        <v>1578728317771291</v>
      </c>
      <c r="C442" t="s">
        <v>40</v>
      </c>
      <c r="D442">
        <v>4.6217689999999996</v>
      </c>
      <c r="E442">
        <v>0.50702689999999995</v>
      </c>
      <c r="F442" t="s">
        <v>43</v>
      </c>
      <c r="G442">
        <v>-312.7328</v>
      </c>
      <c r="H442">
        <v>-0.05</v>
      </c>
      <c r="I442">
        <v>368.00240000000002</v>
      </c>
      <c r="J442">
        <v>-344.45170000000002</v>
      </c>
      <c r="K442">
        <v>1.1032519999999999</v>
      </c>
      <c r="L442">
        <v>367.47300000000001</v>
      </c>
      <c r="M442">
        <v>0.99997519999999995</v>
      </c>
      <c r="N442">
        <v>0</v>
      </c>
      <c r="O442">
        <v>-3.3280519999999902E-4</v>
      </c>
      <c r="P442">
        <v>0.9991833</v>
      </c>
      <c r="Q442">
        <v>2.1993249999999999E-2</v>
      </c>
      <c r="R442">
        <v>3.3902090000000003E-2</v>
      </c>
      <c r="S442">
        <v>3.0033259999999999</v>
      </c>
      <c r="T442">
        <v>-0.10764600000000001</v>
      </c>
      <c r="U442">
        <v>4.9407960000000001E-2</v>
      </c>
      <c r="V442">
        <v>-3.4233739999999999E-2</v>
      </c>
      <c r="W442">
        <v>2.9022260000000001E-2</v>
      </c>
      <c r="X442">
        <v>0.9989924</v>
      </c>
      <c r="Y442">
        <v>-1.677064E-2</v>
      </c>
      <c r="Z442">
        <v>3.1235619999999998E-4</v>
      </c>
      <c r="AA442">
        <v>0.99985930000000001</v>
      </c>
      <c r="AB442">
        <v>47</v>
      </c>
      <c r="AC442">
        <v>31.718900000000001</v>
      </c>
      <c r="AD442">
        <v>-1.1532519999999999</v>
      </c>
      <c r="AE442">
        <v>0.52940000000000897</v>
      </c>
      <c r="AF442">
        <v>-0.53924379658768096</v>
      </c>
      <c r="AG442">
        <v>-1.1532519999999999</v>
      </c>
      <c r="AH442">
        <v>31.676858763280102</v>
      </c>
      <c r="AI442">
        <v>92.084731405900897</v>
      </c>
      <c r="AJ442">
        <v>90.975267463088699</v>
      </c>
      <c r="AK442">
        <v>31.702431376101998</v>
      </c>
      <c r="AL442">
        <v>88.336913513434595</v>
      </c>
      <c r="AM442">
        <v>91.962659149066596</v>
      </c>
      <c r="AN442">
        <v>1.0000000278938199</v>
      </c>
    </row>
    <row r="443" spans="1:40" x14ac:dyDescent="0.3">
      <c r="A443" t="str">
        <f>"20200111153837803"</f>
        <v>20200111153837803</v>
      </c>
      <c r="B443" t="str">
        <f>"1578728317800571"</f>
        <v>1578728317800571</v>
      </c>
      <c r="C443" t="s">
        <v>40</v>
      </c>
      <c r="D443">
        <v>4.5819479999999997</v>
      </c>
      <c r="E443">
        <v>0.50714510000000002</v>
      </c>
      <c r="F443" t="s">
        <v>43</v>
      </c>
      <c r="G443">
        <v>-313.0881</v>
      </c>
      <c r="H443">
        <v>-0.05</v>
      </c>
      <c r="I443">
        <v>367.98160000000001</v>
      </c>
      <c r="J443">
        <v>-343.99009999999998</v>
      </c>
      <c r="K443">
        <v>1.103345</v>
      </c>
      <c r="L443">
        <v>367.47280000000001</v>
      </c>
      <c r="M443">
        <v>0.99997009999999997</v>
      </c>
      <c r="N443">
        <v>0</v>
      </c>
      <c r="O443">
        <v>-3.3265479999999999E-4</v>
      </c>
      <c r="P443">
        <v>0.99919530000000001</v>
      </c>
      <c r="Q443">
        <v>2.1604760000000001E-2</v>
      </c>
      <c r="R443">
        <v>3.379716E-2</v>
      </c>
      <c r="S443">
        <v>3.0032040000000002</v>
      </c>
      <c r="T443">
        <v>-0.110429</v>
      </c>
      <c r="U443">
        <v>4.8706050000000001E-2</v>
      </c>
      <c r="V443">
        <v>-3.4128619999999998E-2</v>
      </c>
      <c r="W443">
        <v>2.9332069999999998E-2</v>
      </c>
      <c r="X443">
        <v>0.99898690000000001</v>
      </c>
      <c r="Y443">
        <v>-1.6537110000000001E-2</v>
      </c>
      <c r="Z443">
        <v>3.161428E-4</v>
      </c>
      <c r="AA443">
        <v>0.99986319999999995</v>
      </c>
      <c r="AB443">
        <v>47</v>
      </c>
      <c r="AC443">
        <v>30.901999999999902</v>
      </c>
      <c r="AD443">
        <v>-1.1533450000000001</v>
      </c>
      <c r="AE443">
        <v>0.50880000000000702</v>
      </c>
      <c r="AF443">
        <v>-0.51835810980087704</v>
      </c>
      <c r="AG443">
        <v>-1.1533450000000001</v>
      </c>
      <c r="AH443">
        <v>30.858854871419499</v>
      </c>
      <c r="AI443">
        <v>92.140123134167496</v>
      </c>
      <c r="AJ443">
        <v>90.962347409690693</v>
      </c>
      <c r="AK443">
        <v>30.884750667511501</v>
      </c>
      <c r="AL443">
        <v>88.319155066863203</v>
      </c>
      <c r="AM443">
        <v>91.956647955918896</v>
      </c>
      <c r="AN443">
        <v>0.99999997970259902</v>
      </c>
    </row>
    <row r="444" spans="1:40" x14ac:dyDescent="0.3">
      <c r="A444" t="str">
        <f>"20200111153837826"</f>
        <v>20200111153837826</v>
      </c>
      <c r="B444" t="str">
        <f>"1578728317821067"</f>
        <v>1578728317821067</v>
      </c>
      <c r="C444" t="s">
        <v>40</v>
      </c>
      <c r="D444">
        <v>4.646585</v>
      </c>
      <c r="E444">
        <v>0.50717730000000005</v>
      </c>
      <c r="F444" t="s">
        <v>43</v>
      </c>
      <c r="G444">
        <v>-312.69639999999998</v>
      </c>
      <c r="H444">
        <v>-0.05</v>
      </c>
      <c r="I444">
        <v>367.96350000000001</v>
      </c>
      <c r="J444">
        <v>-343.50670000000002</v>
      </c>
      <c r="K444">
        <v>1.1034079999999999</v>
      </c>
      <c r="L444">
        <v>367.47269999999997</v>
      </c>
      <c r="M444">
        <v>0.99996499999999999</v>
      </c>
      <c r="N444">
        <v>0</v>
      </c>
      <c r="O444">
        <v>-3.3258689999999999E-4</v>
      </c>
      <c r="P444">
        <v>0.99921720000000003</v>
      </c>
      <c r="Q444">
        <v>2.0874409999999999E-2</v>
      </c>
      <c r="R444">
        <v>3.3608539999999999E-2</v>
      </c>
      <c r="S444">
        <v>3.0032040000000002</v>
      </c>
      <c r="T444">
        <v>-0.1106849</v>
      </c>
      <c r="U444">
        <v>4.7088619999999998E-2</v>
      </c>
      <c r="V444">
        <v>-3.3940089999999999E-2</v>
      </c>
      <c r="W444">
        <v>2.9232930000000001E-2</v>
      </c>
      <c r="X444">
        <v>0.99899629999999995</v>
      </c>
      <c r="Y444">
        <v>-1.5998999999999999E-2</v>
      </c>
      <c r="Z444">
        <v>3.0696139999999999E-4</v>
      </c>
      <c r="AA444">
        <v>0.99987199999999998</v>
      </c>
      <c r="AB444">
        <v>47</v>
      </c>
      <c r="AC444">
        <v>30.810300000000002</v>
      </c>
      <c r="AD444">
        <v>-1.153408</v>
      </c>
      <c r="AE444">
        <v>0.49080000000003499</v>
      </c>
      <c r="AF444">
        <v>-0.50034640625303395</v>
      </c>
      <c r="AG444">
        <v>-1.153408</v>
      </c>
      <c r="AH444">
        <v>30.7670278957766</v>
      </c>
      <c r="AI444">
        <v>92.146640670669299</v>
      </c>
      <c r="AJ444">
        <v>90.931686045634905</v>
      </c>
      <c r="AK444">
        <v>30.7927053387683</v>
      </c>
      <c r="AL444">
        <v>88.324837926357802</v>
      </c>
      <c r="AM444">
        <v>91.945829268677201</v>
      </c>
      <c r="AN444">
        <v>1.00000005065964</v>
      </c>
    </row>
    <row r="445" spans="1:40" x14ac:dyDescent="0.3">
      <c r="A445" t="str">
        <f>"20200111153837860"</f>
        <v>20200111153837860</v>
      </c>
      <c r="B445" t="str">
        <f>"1578728317850350"</f>
        <v>1578728317850350</v>
      </c>
      <c r="C445" t="s">
        <v>40</v>
      </c>
      <c r="D445">
        <v>4.6646919999999996</v>
      </c>
      <c r="E445">
        <v>0.50714649999999994</v>
      </c>
      <c r="F445" t="s">
        <v>43</v>
      </c>
      <c r="G445">
        <v>-312.76589999999999</v>
      </c>
      <c r="H445">
        <v>-0.05</v>
      </c>
      <c r="I445">
        <v>367.94959999999998</v>
      </c>
      <c r="J445">
        <v>-342.80380000000002</v>
      </c>
      <c r="K445">
        <v>1.1034630000000001</v>
      </c>
      <c r="L445">
        <v>367.47239999999999</v>
      </c>
      <c r="M445">
        <v>0.99995820000000002</v>
      </c>
      <c r="N445">
        <v>0</v>
      </c>
      <c r="O445">
        <v>-3.3244410000000002E-4</v>
      </c>
      <c r="P445">
        <v>0.9992624</v>
      </c>
      <c r="Q445">
        <v>2.0203700000000002E-2</v>
      </c>
      <c r="R445">
        <v>3.2664459999999999E-2</v>
      </c>
      <c r="S445">
        <v>3.0031430000000001</v>
      </c>
      <c r="T445">
        <v>-0.11267919999999999</v>
      </c>
      <c r="U445">
        <v>4.6600339999999997E-2</v>
      </c>
      <c r="V445">
        <v>-3.2996299999999999E-2</v>
      </c>
      <c r="W445">
        <v>2.934351E-2</v>
      </c>
      <c r="X445">
        <v>0.99902460000000004</v>
      </c>
      <c r="Y445">
        <v>-1.5836369999999999E-2</v>
      </c>
      <c r="Z445">
        <v>3.0944019999999998E-4</v>
      </c>
      <c r="AA445">
        <v>0.9998745</v>
      </c>
      <c r="AB445">
        <v>47</v>
      </c>
      <c r="AC445">
        <v>30.0379</v>
      </c>
      <c r="AD445">
        <v>-1.1534629999999999</v>
      </c>
      <c r="AE445">
        <v>0.47719999999998203</v>
      </c>
      <c r="AF445">
        <v>-0.48646915667297802</v>
      </c>
      <c r="AG445">
        <v>-1.1534629999999999</v>
      </c>
      <c r="AH445">
        <v>29.993523015428099</v>
      </c>
      <c r="AI445">
        <v>92.202053156516598</v>
      </c>
      <c r="AJ445">
        <v>90.929206810726498</v>
      </c>
      <c r="AK445">
        <v>30.019636107217899</v>
      </c>
      <c r="AL445">
        <v>88.318499311948699</v>
      </c>
      <c r="AM445">
        <v>91.891706894320706</v>
      </c>
      <c r="AN445">
        <v>0.99999997439898403</v>
      </c>
    </row>
    <row r="446" spans="1:40" x14ac:dyDescent="0.3">
      <c r="A446" t="str">
        <f>"20200111153837882"</f>
        <v>20200111153837882</v>
      </c>
      <c r="B446" t="str">
        <f>"1578728317870843"</f>
        <v>1578728317870843</v>
      </c>
      <c r="C446" t="s">
        <v>40</v>
      </c>
      <c r="D446">
        <v>4.6587430000000003</v>
      </c>
      <c r="E446">
        <v>0.50717559999999995</v>
      </c>
      <c r="F446" t="s">
        <v>43</v>
      </c>
      <c r="G446">
        <v>-312.55070000000001</v>
      </c>
      <c r="H446">
        <v>-0.05</v>
      </c>
      <c r="I446">
        <v>367.91419999999999</v>
      </c>
      <c r="J446">
        <v>-342.33370000000002</v>
      </c>
      <c r="K446">
        <v>1.103477</v>
      </c>
      <c r="L446">
        <v>367.47219999999999</v>
      </c>
      <c r="M446">
        <v>0.99995400000000001</v>
      </c>
      <c r="N446">
        <v>0</v>
      </c>
      <c r="O446">
        <v>-3.3323469999999998E-4</v>
      </c>
      <c r="P446">
        <v>0.99930079999999999</v>
      </c>
      <c r="Q446">
        <v>1.9610389999999998E-2</v>
      </c>
      <c r="R446">
        <v>3.1839590000000001E-2</v>
      </c>
      <c r="S446">
        <v>3.003082</v>
      </c>
      <c r="T446">
        <v>-0.1144985</v>
      </c>
      <c r="U446">
        <v>4.3853759999999999E-2</v>
      </c>
      <c r="V446">
        <v>-3.217134E-2</v>
      </c>
      <c r="W446">
        <v>2.919766E-2</v>
      </c>
      <c r="X446">
        <v>0.99905580000000005</v>
      </c>
      <c r="Y446">
        <v>-1.4923489999999999E-2</v>
      </c>
      <c r="Z446">
        <v>2.9707589999999998E-4</v>
      </c>
      <c r="AA446">
        <v>0.99988860000000002</v>
      </c>
      <c r="AB446">
        <v>47</v>
      </c>
      <c r="AC446">
        <v>29.783000000000001</v>
      </c>
      <c r="AD446">
        <v>-1.1534770000000001</v>
      </c>
      <c r="AE446">
        <v>0.442000000000007</v>
      </c>
      <c r="AF446">
        <v>-0.451248452893102</v>
      </c>
      <c r="AG446">
        <v>-1.1534770000000001</v>
      </c>
      <c r="AH446">
        <v>29.738254544271001</v>
      </c>
      <c r="AI446">
        <v>92.220999703454495</v>
      </c>
      <c r="AJ446">
        <v>90.869339784258202</v>
      </c>
      <c r="AK446">
        <v>29.764037321835598</v>
      </c>
      <c r="AL446">
        <v>88.3268595182018</v>
      </c>
      <c r="AM446">
        <v>91.844386737466806</v>
      </c>
      <c r="AN446">
        <v>0.99999999499025505</v>
      </c>
    </row>
    <row r="447" spans="1:40" x14ac:dyDescent="0.3">
      <c r="A447" t="str">
        <f>"20200111153837904"</f>
        <v>20200111153837904</v>
      </c>
      <c r="B447" t="str">
        <f>"1578728317901099"</f>
        <v>1578728317901099</v>
      </c>
      <c r="C447" t="s">
        <v>40</v>
      </c>
      <c r="D447">
        <v>4.6970489999999998</v>
      </c>
      <c r="E447">
        <v>0.50723479999999999</v>
      </c>
      <c r="F447" t="s">
        <v>43</v>
      </c>
      <c r="G447">
        <v>-312.41919999999999</v>
      </c>
      <c r="H447">
        <v>-0.05</v>
      </c>
      <c r="I447">
        <v>367.88229999999999</v>
      </c>
      <c r="J447">
        <v>-341.8732</v>
      </c>
      <c r="K447">
        <v>1.103491</v>
      </c>
      <c r="L447">
        <v>367.47210000000001</v>
      </c>
      <c r="M447">
        <v>0.99995020000000001</v>
      </c>
      <c r="N447">
        <v>0</v>
      </c>
      <c r="O447">
        <v>-3.3324169999999998E-4</v>
      </c>
      <c r="P447">
        <v>0.99932650000000001</v>
      </c>
      <c r="Q447">
        <v>1.9256929999999998E-2</v>
      </c>
      <c r="R447">
        <v>3.1243389999999999E-2</v>
      </c>
      <c r="S447">
        <v>3.0030519999999998</v>
      </c>
      <c r="T447">
        <v>-0.115795</v>
      </c>
      <c r="U447">
        <v>4.1168209999999997E-2</v>
      </c>
      <c r="V447">
        <v>-3.1575350000000002E-2</v>
      </c>
      <c r="W447">
        <v>2.9232459999999998E-2</v>
      </c>
      <c r="X447">
        <v>0.99907380000000001</v>
      </c>
      <c r="Y447">
        <v>-1.403006E-2</v>
      </c>
      <c r="Z447">
        <v>2.8322489999999998E-4</v>
      </c>
      <c r="AA447">
        <v>0.9999015</v>
      </c>
      <c r="AB447">
        <v>47</v>
      </c>
      <c r="AC447">
        <v>29.454000000000001</v>
      </c>
      <c r="AD447">
        <v>-1.153491</v>
      </c>
      <c r="AE447">
        <v>0.41019999999997397</v>
      </c>
      <c r="AF447">
        <v>-0.41937270018272499</v>
      </c>
      <c r="AG447">
        <v>-1.153491</v>
      </c>
      <c r="AH447">
        <v>29.408766241945202</v>
      </c>
      <c r="AI447">
        <v>92.245915276762005</v>
      </c>
      <c r="AJ447">
        <v>90.816989636278194</v>
      </c>
      <c r="AK447">
        <v>29.434366764415302</v>
      </c>
      <c r="AL447">
        <v>88.324864779731399</v>
      </c>
      <c r="AM447">
        <v>91.810208915329497</v>
      </c>
      <c r="AN447">
        <v>0.99999999864585698</v>
      </c>
    </row>
    <row r="448" spans="1:40" x14ac:dyDescent="0.3">
      <c r="A448" t="str">
        <f>"20200111153837927"</f>
        <v>20200111153837927</v>
      </c>
      <c r="B448" t="str">
        <f>"1578728317920620"</f>
        <v>1578728317920620</v>
      </c>
      <c r="C448" t="s">
        <v>40</v>
      </c>
      <c r="D448">
        <v>4.6537639999999998</v>
      </c>
      <c r="E448">
        <v>0.50720540000000003</v>
      </c>
      <c r="F448" t="s">
        <v>43</v>
      </c>
      <c r="G448">
        <v>-312.14800000000002</v>
      </c>
      <c r="H448">
        <v>-0.05</v>
      </c>
      <c r="I448">
        <v>367.85300000000001</v>
      </c>
      <c r="J448">
        <v>-341.37979999999999</v>
      </c>
      <c r="K448">
        <v>1.103505</v>
      </c>
      <c r="L448">
        <v>367.47190000000001</v>
      </c>
      <c r="M448">
        <v>0.99994649999999996</v>
      </c>
      <c r="N448">
        <v>0</v>
      </c>
      <c r="O448">
        <v>-3.3225490000000002E-4</v>
      </c>
      <c r="P448">
        <v>0.99934330000000005</v>
      </c>
      <c r="Q448">
        <v>1.8264800000000001E-2</v>
      </c>
      <c r="R448">
        <v>3.1303959999999999E-2</v>
      </c>
      <c r="S448">
        <v>3.003082</v>
      </c>
      <c r="T448">
        <v>-0.11653520000000001</v>
      </c>
      <c r="U448">
        <v>3.8482669999999997E-2</v>
      </c>
      <c r="V448">
        <v>-3.1634990000000002E-2</v>
      </c>
      <c r="W448">
        <v>2.8606630000000001E-2</v>
      </c>
      <c r="X448">
        <v>0.99909000000000003</v>
      </c>
      <c r="Y448">
        <v>-1.313545E-2</v>
      </c>
      <c r="Z448">
        <v>2.6764410000000002E-4</v>
      </c>
      <c r="AA448">
        <v>0.99991370000000002</v>
      </c>
      <c r="AB448">
        <v>47</v>
      </c>
      <c r="AC448">
        <v>29.2318</v>
      </c>
      <c r="AD448">
        <v>-1.153505</v>
      </c>
      <c r="AE448">
        <v>0.38110000000000299</v>
      </c>
      <c r="AF448">
        <v>-0.39020540540637799</v>
      </c>
      <c r="AG448">
        <v>-1.153505</v>
      </c>
      <c r="AH448">
        <v>29.186232411214501</v>
      </c>
      <c r="AI448">
        <v>92.263077030728198</v>
      </c>
      <c r="AJ448">
        <v>90.765970428682294</v>
      </c>
      <c r="AK448">
        <v>29.2116243369804</v>
      </c>
      <c r="AL448">
        <v>88.360737154976107</v>
      </c>
      <c r="AM448">
        <v>91.813596396233805</v>
      </c>
      <c r="AN448">
        <v>0.99999996998612795</v>
      </c>
    </row>
    <row r="449" spans="1:40" x14ac:dyDescent="0.3">
      <c r="A449" t="str">
        <f>"20200111153837949"</f>
        <v>20200111153837949</v>
      </c>
      <c r="B449" t="str">
        <f>"1578728317941118"</f>
        <v>1578728317941118</v>
      </c>
      <c r="C449" t="s">
        <v>40</v>
      </c>
      <c r="D449">
        <v>4.6756449999999896</v>
      </c>
      <c r="E449">
        <v>0.50723790000000002</v>
      </c>
      <c r="F449" t="s">
        <v>43</v>
      </c>
      <c r="G449">
        <v>-312.42180000000002</v>
      </c>
      <c r="H449">
        <v>-0.05</v>
      </c>
      <c r="I449">
        <v>367.84739999999999</v>
      </c>
      <c r="J449">
        <v>-340.9126</v>
      </c>
      <c r="K449">
        <v>1.1035090000000001</v>
      </c>
      <c r="L449">
        <v>367.4717</v>
      </c>
      <c r="M449">
        <v>0.99994329999999998</v>
      </c>
      <c r="N449">
        <v>0</v>
      </c>
      <c r="O449">
        <v>-3.3134839999999902E-4</v>
      </c>
      <c r="P449">
        <v>0.99933629999999996</v>
      </c>
      <c r="Q449">
        <v>1.818647E-2</v>
      </c>
      <c r="R449">
        <v>3.1565139999999998E-2</v>
      </c>
      <c r="S449">
        <v>3.0028990000000002</v>
      </c>
      <c r="T449">
        <v>-0.11961670000000001</v>
      </c>
      <c r="U449">
        <v>3.8940429999999998E-2</v>
      </c>
      <c r="V449">
        <v>-3.1894909999999999E-2</v>
      </c>
      <c r="W449">
        <v>2.883018E-2</v>
      </c>
      <c r="X449">
        <v>0.99907539999999995</v>
      </c>
      <c r="Y449">
        <v>-1.328706E-2</v>
      </c>
      <c r="Z449">
        <v>2.7771440000000001E-4</v>
      </c>
      <c r="AA449">
        <v>0.99991169999999996</v>
      </c>
      <c r="AB449">
        <v>47</v>
      </c>
      <c r="AC449">
        <v>28.490799999999901</v>
      </c>
      <c r="AD449">
        <v>-1.1535089999999999</v>
      </c>
      <c r="AE449">
        <v>0.37569999999999398</v>
      </c>
      <c r="AF449">
        <v>-0.38451071369393203</v>
      </c>
      <c r="AG449">
        <v>-1.1535089999999999</v>
      </c>
      <c r="AH449">
        <v>28.444056470493798</v>
      </c>
      <c r="AI449">
        <v>92.322065912549206</v>
      </c>
      <c r="AJ449">
        <v>90.774485146645503</v>
      </c>
      <c r="AK449">
        <v>28.4700330171686</v>
      </c>
      <c r="AL449">
        <v>88.3479235462069</v>
      </c>
      <c r="AM449">
        <v>91.828513929584702</v>
      </c>
      <c r="AN449">
        <v>1.00000005972394</v>
      </c>
    </row>
    <row r="450" spans="1:40" x14ac:dyDescent="0.3">
      <c r="A450" t="str">
        <f>"20200111153837970"</f>
        <v>20200111153837970</v>
      </c>
      <c r="B450" t="str">
        <f>"1578728317960635"</f>
        <v>1578728317960635</v>
      </c>
      <c r="C450" t="s">
        <v>40</v>
      </c>
      <c r="D450">
        <v>4.7430240000000001</v>
      </c>
      <c r="E450">
        <v>0.50726579999999999</v>
      </c>
      <c r="F450" t="s">
        <v>43</v>
      </c>
      <c r="G450">
        <v>-312.02359999999999</v>
      </c>
      <c r="H450">
        <v>-0.05</v>
      </c>
      <c r="I450">
        <v>367.8537</v>
      </c>
      <c r="J450">
        <v>-340.46480000000003</v>
      </c>
      <c r="K450">
        <v>1.1035200000000001</v>
      </c>
      <c r="L450">
        <v>367.47160000000002</v>
      </c>
      <c r="M450">
        <v>0.99994050000000001</v>
      </c>
      <c r="N450">
        <v>0</v>
      </c>
      <c r="O450">
        <v>-3.3116960000000001E-4</v>
      </c>
      <c r="P450">
        <v>0.99932220000000005</v>
      </c>
      <c r="Q450">
        <v>1.8338839999999999E-2</v>
      </c>
      <c r="R450">
        <v>3.1918969999999998E-2</v>
      </c>
      <c r="S450">
        <v>3.0028990000000002</v>
      </c>
      <c r="T450">
        <v>-0.1199026</v>
      </c>
      <c r="U450">
        <v>3.9703370000000002E-2</v>
      </c>
      <c r="V450">
        <v>-3.224896E-2</v>
      </c>
      <c r="W450">
        <v>2.9235790000000001E-2</v>
      </c>
      <c r="X450">
        <v>0.99905219999999995</v>
      </c>
      <c r="Y450">
        <v>-1.354063E-2</v>
      </c>
      <c r="Z450">
        <v>2.8343029999999998E-4</v>
      </c>
      <c r="AA450">
        <v>0.99990829999999997</v>
      </c>
      <c r="AB450">
        <v>47</v>
      </c>
      <c r="AC450">
        <v>28.441199999999998</v>
      </c>
      <c r="AD450">
        <v>-1.1535200000000001</v>
      </c>
      <c r="AE450">
        <v>0.38209999999997901</v>
      </c>
      <c r="AF450">
        <v>-0.39087654092447</v>
      </c>
      <c r="AG450">
        <v>-1.1535200000000001</v>
      </c>
      <c r="AH450">
        <v>28.394372812684502</v>
      </c>
      <c r="AI450">
        <v>92.326138840422999</v>
      </c>
      <c r="AJ450">
        <v>90.788683086701695</v>
      </c>
      <c r="AK450">
        <v>28.420482055840701</v>
      </c>
      <c r="AL450">
        <v>88.3246739265564</v>
      </c>
      <c r="AM450">
        <v>91.848840274135696</v>
      </c>
      <c r="AN450">
        <v>1.0000000125814199</v>
      </c>
    </row>
    <row r="451" spans="1:40" x14ac:dyDescent="0.3">
      <c r="A451" t="str">
        <f>"20200111153837992"</f>
        <v>20200111153837992</v>
      </c>
      <c r="B451" t="str">
        <f>"1578728317981131"</f>
        <v>1578728317981131</v>
      </c>
      <c r="C451" t="s">
        <v>40</v>
      </c>
      <c r="D451">
        <v>4.7050939999999999</v>
      </c>
      <c r="E451">
        <v>0.5072373</v>
      </c>
      <c r="F451" t="s">
        <v>43</v>
      </c>
      <c r="G451">
        <v>-311.44740000000002</v>
      </c>
      <c r="H451">
        <v>-0.05</v>
      </c>
      <c r="I451">
        <v>367.86200000000002</v>
      </c>
      <c r="J451">
        <v>-340.00119999999998</v>
      </c>
      <c r="K451">
        <v>1.103531</v>
      </c>
      <c r="L451">
        <v>367.47140000000002</v>
      </c>
      <c r="M451">
        <v>0.99993799999999999</v>
      </c>
      <c r="N451">
        <v>0</v>
      </c>
      <c r="O451">
        <v>-3.3124419999999998E-4</v>
      </c>
      <c r="P451">
        <v>0.99931979999999998</v>
      </c>
      <c r="Q451">
        <v>1.7838630000000001E-2</v>
      </c>
      <c r="R451">
        <v>3.2279259999999997E-2</v>
      </c>
      <c r="S451">
        <v>3.0029300000000001</v>
      </c>
      <c r="T451">
        <v>-0.1193746</v>
      </c>
      <c r="U451">
        <v>4.040527E-2</v>
      </c>
      <c r="V451">
        <v>-3.2609840000000001E-2</v>
      </c>
      <c r="W451">
        <v>2.8965540000000001E-2</v>
      </c>
      <c r="X451">
        <v>0.99904839999999995</v>
      </c>
      <c r="Y451">
        <v>-1.3774160000000001E-2</v>
      </c>
      <c r="Z451">
        <v>2.8682259999999999E-4</v>
      </c>
      <c r="AA451">
        <v>0.99990509999999999</v>
      </c>
      <c r="AB451">
        <v>47</v>
      </c>
      <c r="AC451">
        <v>28.553799999999899</v>
      </c>
      <c r="AD451">
        <v>-1.1535309999999901</v>
      </c>
      <c r="AE451">
        <v>0.39059999999994899</v>
      </c>
      <c r="AF451">
        <v>-0.399407118825854</v>
      </c>
      <c r="AG451">
        <v>-1.1535309999999901</v>
      </c>
      <c r="AH451">
        <v>28.507152940924101</v>
      </c>
      <c r="AI451">
        <v>92.316960412136197</v>
      </c>
      <c r="AJ451">
        <v>90.802705378145603</v>
      </c>
      <c r="AK451">
        <v>28.5332775651829</v>
      </c>
      <c r="AL451">
        <v>88.340164741560798</v>
      </c>
      <c r="AM451">
        <v>91.869522112671504</v>
      </c>
      <c r="AN451">
        <v>1.0000000548574299</v>
      </c>
    </row>
    <row r="452" spans="1:40" x14ac:dyDescent="0.3">
      <c r="A452" t="str">
        <f>"20200111153838016"</f>
        <v>20200111153838016</v>
      </c>
      <c r="B452" t="str">
        <f>"1578728318010411"</f>
        <v>1578728318010411</v>
      </c>
      <c r="C452" t="s">
        <v>40</v>
      </c>
      <c r="D452">
        <v>4.7694919999999996</v>
      </c>
      <c r="E452">
        <v>0.5072084</v>
      </c>
      <c r="F452" t="s">
        <v>43</v>
      </c>
      <c r="G452">
        <v>-311.38909999999998</v>
      </c>
      <c r="H452">
        <v>-0.05</v>
      </c>
      <c r="I452">
        <v>367.86799999999999</v>
      </c>
      <c r="J452">
        <v>-339.50880000000001</v>
      </c>
      <c r="K452">
        <v>1.1035330000000001</v>
      </c>
      <c r="L452">
        <v>367.47120000000001</v>
      </c>
      <c r="M452">
        <v>0.99993560000000004</v>
      </c>
      <c r="N452">
        <v>0</v>
      </c>
      <c r="O452">
        <v>-3.3111760000000001E-4</v>
      </c>
      <c r="P452">
        <v>0.99931999999999999</v>
      </c>
      <c r="Q452">
        <v>1.7482020000000001E-2</v>
      </c>
      <c r="R452">
        <v>3.2465439999999998E-2</v>
      </c>
      <c r="S452">
        <v>3.002869</v>
      </c>
      <c r="T452">
        <v>-0.12106450000000001</v>
      </c>
      <c r="U452">
        <v>4.162598E-2</v>
      </c>
      <c r="V452">
        <v>-3.2795289999999998E-2</v>
      </c>
      <c r="W452">
        <v>2.8818259999999998E-2</v>
      </c>
      <c r="X452">
        <v>0.99904649999999995</v>
      </c>
      <c r="Y452">
        <v>-1.418006E-2</v>
      </c>
      <c r="Z452">
        <v>2.9905809999999998E-4</v>
      </c>
      <c r="AA452">
        <v>0.99989939999999999</v>
      </c>
      <c r="AB452">
        <v>47</v>
      </c>
      <c r="AC452">
        <v>28.119700000000002</v>
      </c>
      <c r="AD452">
        <v>-1.1535329999999999</v>
      </c>
      <c r="AE452">
        <v>0.39680000000004101</v>
      </c>
      <c r="AF452">
        <v>-0.405429374546035</v>
      </c>
      <c r="AG452">
        <v>-1.1535329999999999</v>
      </c>
      <c r="AH452">
        <v>28.072335668870799</v>
      </c>
      <c r="AI452">
        <v>92.352797838921205</v>
      </c>
      <c r="AJ452">
        <v>90.827425885167798</v>
      </c>
      <c r="AK452">
        <v>28.098950892615001</v>
      </c>
      <c r="AL452">
        <v>88.348606641195502</v>
      </c>
      <c r="AM452">
        <v>91.880149925101406</v>
      </c>
      <c r="AN452">
        <v>0.99999996615893005</v>
      </c>
    </row>
    <row r="453" spans="1:40" x14ac:dyDescent="0.3">
      <c r="A453" t="str">
        <f>"20200111153838039"</f>
        <v>20200111153838039</v>
      </c>
      <c r="B453" t="str">
        <f>"1578728318030910"</f>
        <v>1578728318030910</v>
      </c>
      <c r="C453" t="s">
        <v>40</v>
      </c>
      <c r="D453">
        <v>4.7755219999999996</v>
      </c>
      <c r="E453">
        <v>0.5071639</v>
      </c>
      <c r="F453" t="s">
        <v>43</v>
      </c>
      <c r="G453">
        <v>-311.24110000000002</v>
      </c>
      <c r="H453">
        <v>-0.05</v>
      </c>
      <c r="I453">
        <v>367.86829999999998</v>
      </c>
      <c r="J453">
        <v>-339.01799999999997</v>
      </c>
      <c r="K453">
        <v>1.1035469999999901</v>
      </c>
      <c r="L453">
        <v>367.471</v>
      </c>
      <c r="M453">
        <v>0.99993350000000003</v>
      </c>
      <c r="N453">
        <v>0</v>
      </c>
      <c r="O453">
        <v>-3.3085960000000001E-4</v>
      </c>
      <c r="P453">
        <v>0.99930450000000004</v>
      </c>
      <c r="Q453">
        <v>1.7562910000000001E-2</v>
      </c>
      <c r="R453">
        <v>3.2894880000000001E-2</v>
      </c>
      <c r="S453">
        <v>3.0028079999999999</v>
      </c>
      <c r="T453">
        <v>-0.1225367</v>
      </c>
      <c r="U453">
        <v>4.2175289999999997E-2</v>
      </c>
      <c r="V453">
        <v>-3.3224249999999997E-2</v>
      </c>
      <c r="W453">
        <v>2.9082319999999998E-2</v>
      </c>
      <c r="X453">
        <v>0.99902469999999999</v>
      </c>
      <c r="Y453">
        <v>-1.436253E-2</v>
      </c>
      <c r="Z453">
        <v>3.064082E-4</v>
      </c>
      <c r="AA453">
        <v>0.99989680000000003</v>
      </c>
      <c r="AB453">
        <v>47</v>
      </c>
      <c r="AC453">
        <v>27.776900000000001</v>
      </c>
      <c r="AD453">
        <v>-1.1535470000000001</v>
      </c>
      <c r="AE453">
        <v>0.39729999999997201</v>
      </c>
      <c r="AF453">
        <v>-0.40579113510379999</v>
      </c>
      <c r="AG453">
        <v>-1.1535470000000001</v>
      </c>
      <c r="AH453">
        <v>27.7289538343732</v>
      </c>
      <c r="AI453">
        <v>92.381922625699801</v>
      </c>
      <c r="AJ453">
        <v>90.838418211147797</v>
      </c>
      <c r="AK453">
        <v>27.755904198482501</v>
      </c>
      <c r="AL453">
        <v>88.333470815462107</v>
      </c>
      <c r="AM453">
        <v>91.904765684000196</v>
      </c>
      <c r="AN453">
        <v>0.99999999166736697</v>
      </c>
    </row>
    <row r="454" spans="1:40" x14ac:dyDescent="0.3">
      <c r="A454" t="str">
        <f>"20200111153838061"</f>
        <v>20200111153838061</v>
      </c>
      <c r="B454" t="str">
        <f>"1578728318050427"</f>
        <v>1578728318050427</v>
      </c>
      <c r="C454" t="s">
        <v>40</v>
      </c>
      <c r="D454">
        <v>4.7936120000000004</v>
      </c>
      <c r="E454">
        <v>0.50710329999999904</v>
      </c>
      <c r="F454" t="s">
        <v>43</v>
      </c>
      <c r="G454">
        <v>-310.78050000000002</v>
      </c>
      <c r="H454">
        <v>-0.05</v>
      </c>
      <c r="I454">
        <v>367.88400000000001</v>
      </c>
      <c r="J454">
        <v>-338.55860000000001</v>
      </c>
      <c r="K454">
        <v>1.1034710000000001</v>
      </c>
      <c r="L454">
        <v>367.47089999999997</v>
      </c>
      <c r="M454">
        <v>0.99993540000000003</v>
      </c>
      <c r="N454">
        <v>0</v>
      </c>
      <c r="O454">
        <v>-3.3052720000000002E-4</v>
      </c>
      <c r="P454">
        <v>0.99929990000000002</v>
      </c>
      <c r="Q454">
        <v>1.7786150000000001E-2</v>
      </c>
      <c r="R454">
        <v>3.2915340000000001E-2</v>
      </c>
      <c r="S454">
        <v>3.0028079999999999</v>
      </c>
      <c r="T454">
        <v>-0.12266920000000001</v>
      </c>
      <c r="U454">
        <v>4.3914790000000002E-2</v>
      </c>
      <c r="V454">
        <v>-3.3244199999999897E-2</v>
      </c>
      <c r="W454">
        <v>2.9144280000000002E-2</v>
      </c>
      <c r="X454">
        <v>0.99902219999999997</v>
      </c>
      <c r="Y454">
        <v>-1.4940790000000001E-2</v>
      </c>
      <c r="Z454">
        <v>3.1853030000000002E-4</v>
      </c>
      <c r="AA454">
        <v>0.99988829999999995</v>
      </c>
      <c r="AB454">
        <v>47</v>
      </c>
      <c r="AC454">
        <v>27.778099999999899</v>
      </c>
      <c r="AD454">
        <v>-1.1534709999999999</v>
      </c>
      <c r="AE454">
        <v>0.41310000000004199</v>
      </c>
      <c r="AF454">
        <v>-0.42155526827602002</v>
      </c>
      <c r="AG454">
        <v>-1.1534709999999999</v>
      </c>
      <c r="AH454">
        <v>27.730157893955401</v>
      </c>
      <c r="AI454">
        <v>92.381642430069405</v>
      </c>
      <c r="AJ454">
        <v>90.870946260855007</v>
      </c>
      <c r="AK454">
        <v>27.757338867689601</v>
      </c>
      <c r="AL454">
        <v>88.329919212248996</v>
      </c>
      <c r="AM454">
        <v>91.905913351807996</v>
      </c>
      <c r="AN454">
        <v>0.99999996099159805</v>
      </c>
    </row>
    <row r="455" spans="1:40" x14ac:dyDescent="0.3">
      <c r="A455" t="str">
        <f>"20200111153838082"</f>
        <v>20200111153838082</v>
      </c>
      <c r="B455" t="str">
        <f>"1578728318070923"</f>
        <v>1578728318070923</v>
      </c>
      <c r="C455" t="s">
        <v>40</v>
      </c>
      <c r="D455">
        <v>4.8056789999999996</v>
      </c>
      <c r="E455">
        <v>0.50708209999999998</v>
      </c>
      <c r="F455" t="s">
        <v>43</v>
      </c>
      <c r="G455">
        <v>-310.28339999999997</v>
      </c>
      <c r="H455">
        <v>-0.05</v>
      </c>
      <c r="I455">
        <v>367.88959999999997</v>
      </c>
      <c r="J455">
        <v>-338.10930000000002</v>
      </c>
      <c r="K455">
        <v>1.103192</v>
      </c>
      <c r="L455">
        <v>367.47070000000002</v>
      </c>
      <c r="M455">
        <v>0.99994649999999996</v>
      </c>
      <c r="N455">
        <v>0</v>
      </c>
      <c r="O455">
        <v>-3.3017529999999998E-4</v>
      </c>
      <c r="P455">
        <v>0.99927370000000004</v>
      </c>
      <c r="Q455">
        <v>1.8984299999999999E-2</v>
      </c>
      <c r="R455">
        <v>3.3046319999999997E-2</v>
      </c>
      <c r="S455">
        <v>3.0028079999999999</v>
      </c>
      <c r="T455">
        <v>-0.1224982</v>
      </c>
      <c r="U455">
        <v>4.4464110000000001E-2</v>
      </c>
      <c r="V455">
        <v>-3.3375519999999999E-2</v>
      </c>
      <c r="W455">
        <v>2.9314440000000001E-2</v>
      </c>
      <c r="X455">
        <v>0.99901289999999998</v>
      </c>
      <c r="Y455">
        <v>-1.51232E-2</v>
      </c>
      <c r="Z455">
        <v>3.2179049999999997E-4</v>
      </c>
      <c r="AA455">
        <v>0.99988560000000004</v>
      </c>
      <c r="AB455">
        <v>47</v>
      </c>
      <c r="AC455">
        <v>27.825900000000001</v>
      </c>
      <c r="AD455">
        <v>-1.153192</v>
      </c>
      <c r="AE455">
        <v>0.41889999999995098</v>
      </c>
      <c r="AF455">
        <v>-0.42735406518422703</v>
      </c>
      <c r="AG455">
        <v>-1.153192</v>
      </c>
      <c r="AH455">
        <v>27.778061270182601</v>
      </c>
      <c r="AI455">
        <v>92.376958952631</v>
      </c>
      <c r="AJ455">
        <v>90.8814025044435</v>
      </c>
      <c r="AK455">
        <v>27.8052723636347</v>
      </c>
      <c r="AL455">
        <v>88.320165690467206</v>
      </c>
      <c r="AM455">
        <v>91.913454233551505</v>
      </c>
      <c r="AN455">
        <v>1.00000001804709</v>
      </c>
    </row>
    <row r="456" spans="1:40" x14ac:dyDescent="0.3">
      <c r="A456" t="str">
        <f>"20200111153838105"</f>
        <v>20200111153838105</v>
      </c>
      <c r="B456" t="str">
        <f>"1578728318101179"</f>
        <v>1578728318101179</v>
      </c>
      <c r="C456" t="s">
        <v>40</v>
      </c>
      <c r="D456">
        <v>4.8450939999999996</v>
      </c>
      <c r="E456">
        <v>0.50708059999999999</v>
      </c>
      <c r="F456" t="s">
        <v>43</v>
      </c>
      <c r="G456">
        <v>-309.01900000000001</v>
      </c>
      <c r="H456">
        <v>-0.05</v>
      </c>
      <c r="I456">
        <v>367.90769999999998</v>
      </c>
      <c r="J456">
        <v>-337.62470000000002</v>
      </c>
      <c r="K456">
        <v>1.1028830000000001</v>
      </c>
      <c r="L456">
        <v>367.47059999999999</v>
      </c>
      <c r="M456">
        <v>0.99995959999999995</v>
      </c>
      <c r="N456">
        <v>0</v>
      </c>
      <c r="O456">
        <v>-3.2979009999999998E-4</v>
      </c>
      <c r="P456">
        <v>0.99923530000000005</v>
      </c>
      <c r="Q456">
        <v>2.0579340000000002E-2</v>
      </c>
      <c r="R456">
        <v>3.325057E-2</v>
      </c>
      <c r="S456">
        <v>3.0029599999999999</v>
      </c>
      <c r="T456">
        <v>-0.1190431</v>
      </c>
      <c r="U456">
        <v>4.5104980000000003E-2</v>
      </c>
      <c r="V456">
        <v>-3.3579169999999998E-2</v>
      </c>
      <c r="W456">
        <v>2.9551319999999999E-2</v>
      </c>
      <c r="X456">
        <v>0.99899910000000003</v>
      </c>
      <c r="Y456">
        <v>-1.5335939999999999E-2</v>
      </c>
      <c r="Z456">
        <v>3.169049E-4</v>
      </c>
      <c r="AA456">
        <v>0.9998823</v>
      </c>
      <c r="AB456">
        <v>47</v>
      </c>
      <c r="AC456">
        <v>28.605699999999999</v>
      </c>
      <c r="AD456">
        <v>-1.1528830000000001</v>
      </c>
      <c r="AE456">
        <v>0.437099999999986</v>
      </c>
      <c r="AF456">
        <v>-0.44581027448239002</v>
      </c>
      <c r="AG456">
        <v>-1.1528830000000001</v>
      </c>
      <c r="AH456">
        <v>28.559176544861099</v>
      </c>
      <c r="AI456">
        <v>92.311391947787101</v>
      </c>
      <c r="AJ456">
        <v>90.894317549072994</v>
      </c>
      <c r="AK456">
        <v>28.585913505310099</v>
      </c>
      <c r="AL456">
        <v>88.306587589661603</v>
      </c>
      <c r="AM456">
        <v>91.925147520311796</v>
      </c>
      <c r="AN456">
        <v>1.0000000214862199</v>
      </c>
    </row>
    <row r="457" spans="1:40" x14ac:dyDescent="0.3">
      <c r="A457" t="str">
        <f>"20200111153838129"</f>
        <v>20200111153838129</v>
      </c>
      <c r="B457" t="str">
        <f>"1578728318120699"</f>
        <v>1578728318120699</v>
      </c>
      <c r="C457" t="s">
        <v>40</v>
      </c>
      <c r="D457">
        <v>4.8292650000000004</v>
      </c>
      <c r="E457">
        <v>0.50701459999999998</v>
      </c>
      <c r="F457" t="s">
        <v>43</v>
      </c>
      <c r="G457">
        <v>-307.42149999999998</v>
      </c>
      <c r="H457">
        <v>-0.05</v>
      </c>
      <c r="I457">
        <v>367.92970000000003</v>
      </c>
      <c r="J457">
        <v>-337.11200000000002</v>
      </c>
      <c r="K457">
        <v>1.102641</v>
      </c>
      <c r="L457">
        <v>367.47039999999998</v>
      </c>
      <c r="M457">
        <v>0.9999709</v>
      </c>
      <c r="N457">
        <v>0</v>
      </c>
      <c r="O457">
        <v>-3.2967059999999999E-4</v>
      </c>
      <c r="P457">
        <v>0.9991795</v>
      </c>
      <c r="Q457">
        <v>2.2867309999999998E-2</v>
      </c>
      <c r="R457">
        <v>3.3433570000000003E-2</v>
      </c>
      <c r="S457">
        <v>3.003174</v>
      </c>
      <c r="T457">
        <v>-0.11463379999999999</v>
      </c>
      <c r="U457">
        <v>4.5654300000000002E-2</v>
      </c>
      <c r="V457">
        <v>-3.3761609999999997E-2</v>
      </c>
      <c r="W457">
        <v>3.0497420000000001E-2</v>
      </c>
      <c r="X457">
        <v>0.99896450000000003</v>
      </c>
      <c r="Y457">
        <v>-1.551836E-2</v>
      </c>
      <c r="Z457">
        <v>3.0862869999999999E-4</v>
      </c>
      <c r="AA457">
        <v>0.99987950000000003</v>
      </c>
      <c r="AB457">
        <v>48</v>
      </c>
      <c r="AC457">
        <v>29.690499999999901</v>
      </c>
      <c r="AD457">
        <v>-1.152641</v>
      </c>
      <c r="AE457">
        <v>0.45930000000004101</v>
      </c>
      <c r="AF457">
        <v>-0.468382595843989</v>
      </c>
      <c r="AG457">
        <v>-1.152641</v>
      </c>
      <c r="AH457">
        <v>29.645677518337202</v>
      </c>
      <c r="AI457">
        <v>92.226293792297895</v>
      </c>
      <c r="AJ457">
        <v>90.905161074406905</v>
      </c>
      <c r="AK457">
        <v>29.671773776641899</v>
      </c>
      <c r="AL457">
        <v>88.252355574455294</v>
      </c>
      <c r="AM457">
        <v>91.935666152651706</v>
      </c>
      <c r="AN457">
        <v>1.00000000559834</v>
      </c>
    </row>
    <row r="458" spans="1:40" x14ac:dyDescent="0.3">
      <c r="A458" t="str">
        <f>"20200111153838149"</f>
        <v>20200111153838149</v>
      </c>
      <c r="B458" t="str">
        <f>"1578728318141198"</f>
        <v>1578728318141198</v>
      </c>
      <c r="C458" t="s">
        <v>40</v>
      </c>
      <c r="D458">
        <v>4.8407309999999999</v>
      </c>
      <c r="E458">
        <v>0.50699919999999998</v>
      </c>
      <c r="F458" t="s">
        <v>43</v>
      </c>
      <c r="G458">
        <v>-305.23450000000003</v>
      </c>
      <c r="H458">
        <v>-0.05</v>
      </c>
      <c r="I458">
        <v>367.96499999999997</v>
      </c>
      <c r="J458">
        <v>-336.65570000000002</v>
      </c>
      <c r="K458">
        <v>1.1025149999999999</v>
      </c>
      <c r="L458">
        <v>367.47019999999998</v>
      </c>
      <c r="M458">
        <v>0.99997760000000002</v>
      </c>
      <c r="N458">
        <v>0</v>
      </c>
      <c r="O458">
        <v>-3.2908250000000003E-4</v>
      </c>
      <c r="P458">
        <v>0.99912619999999996</v>
      </c>
      <c r="Q458">
        <v>2.4488619999999999E-2</v>
      </c>
      <c r="R458">
        <v>3.3870650000000002E-2</v>
      </c>
      <c r="S458">
        <v>3.0034179999999999</v>
      </c>
      <c r="T458">
        <v>-0.108599</v>
      </c>
      <c r="U458">
        <v>4.6600339999999997E-2</v>
      </c>
      <c r="V458">
        <v>-3.4198190000000003E-2</v>
      </c>
      <c r="W458">
        <v>3.1160380000000001E-2</v>
      </c>
      <c r="X458">
        <v>0.99892919999999996</v>
      </c>
      <c r="Y458">
        <v>-1.5832389999999998E-2</v>
      </c>
      <c r="Z458">
        <v>2.9802170000000001E-4</v>
      </c>
      <c r="AA458">
        <v>0.99987459999999995</v>
      </c>
      <c r="AB458">
        <v>48</v>
      </c>
      <c r="AC458">
        <v>31.421199999999999</v>
      </c>
      <c r="AD458">
        <v>-1.152515</v>
      </c>
      <c r="AE458">
        <v>0.49479999999999702</v>
      </c>
      <c r="AF458">
        <v>-0.50446184253248505</v>
      </c>
      <c r="AG458">
        <v>-1.152515</v>
      </c>
      <c r="AH458">
        <v>31.378829222172399</v>
      </c>
      <c r="AI458">
        <v>92.103203235575407</v>
      </c>
      <c r="AJ458">
        <v>90.921036428937498</v>
      </c>
      <c r="AK458">
        <v>31.404039484277401</v>
      </c>
      <c r="AL458">
        <v>88.214352718987897</v>
      </c>
      <c r="AM458">
        <v>91.960746566089199</v>
      </c>
      <c r="AN458">
        <v>1.0000000160468201</v>
      </c>
    </row>
    <row r="459" spans="1:40" x14ac:dyDescent="0.3">
      <c r="A459" t="str">
        <f>"20200111153838171"</f>
        <v>20200111153838171</v>
      </c>
      <c r="B459" t="str">
        <f>"1578728318160715"</f>
        <v>1578728318160715</v>
      </c>
      <c r="C459" t="s">
        <v>40</v>
      </c>
      <c r="D459">
        <v>4.818619</v>
      </c>
      <c r="E459">
        <v>0.50696799999999997</v>
      </c>
      <c r="F459" t="s">
        <v>43</v>
      </c>
      <c r="G459">
        <v>-303.45249999999999</v>
      </c>
      <c r="H459">
        <v>-0.05</v>
      </c>
      <c r="I459">
        <v>368.00049999999999</v>
      </c>
      <c r="J459">
        <v>-336.18810000000002</v>
      </c>
      <c r="K459">
        <v>1.102495</v>
      </c>
      <c r="L459">
        <v>367.47</v>
      </c>
      <c r="M459">
        <v>0.99998180000000003</v>
      </c>
      <c r="N459">
        <v>0</v>
      </c>
      <c r="O459">
        <v>-3.2784660000000001E-4</v>
      </c>
      <c r="P459">
        <v>0.99911079999999997</v>
      </c>
      <c r="Q459">
        <v>2.5088940000000001E-2</v>
      </c>
      <c r="R459">
        <v>3.3888109999999999E-2</v>
      </c>
      <c r="S459">
        <v>3.0035400000000001</v>
      </c>
      <c r="T459">
        <v>-0.1042558</v>
      </c>
      <c r="U459">
        <v>4.7973630000000003E-2</v>
      </c>
      <c r="V459">
        <v>-3.4214429999999997E-2</v>
      </c>
      <c r="W459">
        <v>3.1113200000000001E-2</v>
      </c>
      <c r="X459">
        <v>0.99893010000000004</v>
      </c>
      <c r="Y459">
        <v>-1.6288130000000001E-2</v>
      </c>
      <c r="Z459">
        <v>2.9396130000000002E-4</v>
      </c>
      <c r="AA459">
        <v>0.99986730000000001</v>
      </c>
      <c r="AB459">
        <v>48</v>
      </c>
      <c r="AC459">
        <v>32.735599999999998</v>
      </c>
      <c r="AD459">
        <v>-1.152495</v>
      </c>
      <c r="AE459">
        <v>0.53049999999996</v>
      </c>
      <c r="AF459">
        <v>-0.54056258394241496</v>
      </c>
      <c r="AG459">
        <v>-1.152495</v>
      </c>
      <c r="AH459">
        <v>32.694910456917</v>
      </c>
      <c r="AI459">
        <v>92.018563639270894</v>
      </c>
      <c r="AJ459">
        <v>90.947215713686006</v>
      </c>
      <c r="AK459">
        <v>32.719682492622198</v>
      </c>
      <c r="AL459">
        <v>88.217057219321603</v>
      </c>
      <c r="AM459">
        <v>91.961675190000804</v>
      </c>
      <c r="AN459">
        <v>1.0000000015602299</v>
      </c>
    </row>
    <row r="460" spans="1:40" x14ac:dyDescent="0.3">
      <c r="A460" t="str">
        <f>"20200111153838193"</f>
        <v>20200111153838193</v>
      </c>
      <c r="B460" t="str">
        <f>"1578728318190971"</f>
        <v>1578728318190971</v>
      </c>
      <c r="C460" t="s">
        <v>40</v>
      </c>
      <c r="D460">
        <v>4.8779750000000002</v>
      </c>
      <c r="E460">
        <v>0.50695170000000001</v>
      </c>
      <c r="F460" t="s">
        <v>43</v>
      </c>
      <c r="G460">
        <v>-302.54989999999998</v>
      </c>
      <c r="H460">
        <v>-0.05</v>
      </c>
      <c r="I460">
        <v>368.0138</v>
      </c>
      <c r="J460">
        <v>-335.69830000000002</v>
      </c>
      <c r="K460">
        <v>1.1025799999999999</v>
      </c>
      <c r="L460">
        <v>367.4699</v>
      </c>
      <c r="M460">
        <v>0.99998330000000002</v>
      </c>
      <c r="N460">
        <v>0</v>
      </c>
      <c r="O460">
        <v>-3.2603569999999999E-4</v>
      </c>
      <c r="P460">
        <v>0.99911490000000003</v>
      </c>
      <c r="Q460">
        <v>2.519969E-2</v>
      </c>
      <c r="R460">
        <v>3.3682759999999999E-2</v>
      </c>
      <c r="S460">
        <v>3.0036320000000001</v>
      </c>
      <c r="T460">
        <v>-0.102909</v>
      </c>
      <c r="U460">
        <v>4.8553470000000001E-2</v>
      </c>
      <c r="V460">
        <v>-3.4007370000000002E-2</v>
      </c>
      <c r="W460">
        <v>3.0976409999999999E-2</v>
      </c>
      <c r="X460">
        <v>0.99894139999999998</v>
      </c>
      <c r="Y460">
        <v>-1.6478949999999999E-2</v>
      </c>
      <c r="Z460">
        <v>2.9336230000000002E-4</v>
      </c>
      <c r="AA460">
        <v>0.99986419999999998</v>
      </c>
      <c r="AB460">
        <v>48</v>
      </c>
      <c r="AC460">
        <v>33.148400000000002</v>
      </c>
      <c r="AD460">
        <v>-1.1525799999999999</v>
      </c>
      <c r="AE460">
        <v>0.54390000000000704</v>
      </c>
      <c r="AF460">
        <v>-0.554038075371593</v>
      </c>
      <c r="AG460">
        <v>-1.1525799999999999</v>
      </c>
      <c r="AH460">
        <v>33.108204713815098</v>
      </c>
      <c r="AI460">
        <v>91.993526343804703</v>
      </c>
      <c r="AJ460">
        <v>90.958707397832399</v>
      </c>
      <c r="AK460">
        <v>33.132893296801697</v>
      </c>
      <c r="AL460">
        <v>88.224898450095495</v>
      </c>
      <c r="AM460">
        <v>91.949790612481394</v>
      </c>
      <c r="AN460">
        <v>0.99999997991238199</v>
      </c>
    </row>
    <row r="461" spans="1:40" x14ac:dyDescent="0.3">
      <c r="A461" t="str">
        <f>"20200111153838218"</f>
        <v>20200111153838218</v>
      </c>
      <c r="B461" t="str">
        <f>"1578728318210491"</f>
        <v>1578728318210491</v>
      </c>
      <c r="C461" t="s">
        <v>40</v>
      </c>
      <c r="D461">
        <v>4.9289259999999997</v>
      </c>
      <c r="E461">
        <v>0.50698509999999997</v>
      </c>
      <c r="F461" t="s">
        <v>43</v>
      </c>
      <c r="G461">
        <v>-302.19850000000002</v>
      </c>
      <c r="H461">
        <v>-0.05</v>
      </c>
      <c r="I461">
        <v>368.00900000000001</v>
      </c>
      <c r="J461">
        <v>-335.18</v>
      </c>
      <c r="K461">
        <v>1.1027659999999999</v>
      </c>
      <c r="L461">
        <v>367.46969999999999</v>
      </c>
      <c r="M461">
        <v>0.99998200000000004</v>
      </c>
      <c r="N461">
        <v>0</v>
      </c>
      <c r="O461">
        <v>-3.2406129999999999E-4</v>
      </c>
      <c r="P461">
        <v>0.99915370000000003</v>
      </c>
      <c r="Q461">
        <v>2.4748840000000001E-2</v>
      </c>
      <c r="R461">
        <v>3.2858760000000001E-2</v>
      </c>
      <c r="S461">
        <v>3.0036320000000001</v>
      </c>
      <c r="T461">
        <v>-0.10334160000000001</v>
      </c>
      <c r="U461">
        <v>4.8339840000000002E-2</v>
      </c>
      <c r="V461">
        <v>-3.3181639999999998E-2</v>
      </c>
      <c r="W461">
        <v>3.074383E-2</v>
      </c>
      <c r="X461">
        <v>0.99897630000000004</v>
      </c>
      <c r="Y461">
        <v>-1.6405840000000001E-2</v>
      </c>
      <c r="Z461">
        <v>2.9326999999999999E-4</v>
      </c>
      <c r="AA461">
        <v>0.99986540000000002</v>
      </c>
      <c r="AB461">
        <v>49</v>
      </c>
      <c r="AC461">
        <v>32.981499999999897</v>
      </c>
      <c r="AD461">
        <v>-1.152766</v>
      </c>
      <c r="AE461">
        <v>0.53930000000002498</v>
      </c>
      <c r="AF461">
        <v>-0.54931730533803802</v>
      </c>
      <c r="AG461">
        <v>-1.152766</v>
      </c>
      <c r="AH461">
        <v>32.941092260261499</v>
      </c>
      <c r="AI461">
        <v>92.003956449432494</v>
      </c>
      <c r="AJ461">
        <v>90.9553613478394</v>
      </c>
      <c r="AK461">
        <v>32.965833498514201</v>
      </c>
      <c r="AL461">
        <v>88.238230557980202</v>
      </c>
      <c r="AM461">
        <v>91.902416722947194</v>
      </c>
      <c r="AN461">
        <v>0.99999992613892097</v>
      </c>
    </row>
    <row r="462" spans="1:40" x14ac:dyDescent="0.3">
      <c r="A462" t="str">
        <f>"20200111153838239"</f>
        <v>20200111153838239</v>
      </c>
      <c r="B462" t="str">
        <f>"1578728318230990"</f>
        <v>1578728318230990</v>
      </c>
      <c r="C462" t="s">
        <v>40</v>
      </c>
      <c r="D462">
        <v>4.9231230000000004</v>
      </c>
      <c r="E462">
        <v>0.51745240000000003</v>
      </c>
      <c r="F462" t="s">
        <v>43</v>
      </c>
      <c r="G462">
        <v>-302.27749999999997</v>
      </c>
      <c r="H462">
        <v>-0.05</v>
      </c>
      <c r="I462">
        <v>367.96809999999999</v>
      </c>
      <c r="J462">
        <v>-334.7122</v>
      </c>
      <c r="K462">
        <v>1.1029549999999999</v>
      </c>
      <c r="L462">
        <v>367.46949999999998</v>
      </c>
      <c r="M462">
        <v>0.99997910000000001</v>
      </c>
      <c r="N462">
        <v>0</v>
      </c>
      <c r="O462">
        <v>-3.2261749999999999E-4</v>
      </c>
      <c r="P462">
        <v>0.99921800000000005</v>
      </c>
      <c r="Q462">
        <v>2.3643210000000001E-2</v>
      </c>
      <c r="R462">
        <v>3.1694380000000001E-2</v>
      </c>
      <c r="S462">
        <v>3.0036320000000001</v>
      </c>
      <c r="T462">
        <v>-0.10523490000000001</v>
      </c>
      <c r="U462">
        <v>4.5501710000000001E-2</v>
      </c>
      <c r="V462">
        <v>-3.2015670000000003E-2</v>
      </c>
      <c r="W462">
        <v>3.009181E-2</v>
      </c>
      <c r="X462">
        <v>0.99903430000000004</v>
      </c>
      <c r="Y462">
        <v>-1.5460069999999999E-2</v>
      </c>
      <c r="Z462">
        <v>2.8202920000000001E-4</v>
      </c>
      <c r="AA462">
        <v>0.9998804</v>
      </c>
      <c r="AB462">
        <v>49</v>
      </c>
      <c r="AC462">
        <v>32.434699999999999</v>
      </c>
      <c r="AD462">
        <v>-1.152955</v>
      </c>
      <c r="AE462">
        <v>0.49860000000000998</v>
      </c>
      <c r="AF462">
        <v>-0.50842191080237198</v>
      </c>
      <c r="AG462">
        <v>-1.152955</v>
      </c>
      <c r="AH462">
        <v>32.393614990608</v>
      </c>
      <c r="AI462">
        <v>92.038162688948503</v>
      </c>
      <c r="AJ462">
        <v>90.899190723082796</v>
      </c>
      <c r="AK462">
        <v>32.418113613089098</v>
      </c>
      <c r="AL462">
        <v>88.275606023076406</v>
      </c>
      <c r="AM462">
        <v>91.835507751005196</v>
      </c>
      <c r="AN462">
        <v>1.00000002636555</v>
      </c>
    </row>
    <row r="463" spans="1:40" x14ac:dyDescent="0.3">
      <c r="A463" t="str">
        <f>"20200111153838261"</f>
        <v>20200111153838261</v>
      </c>
      <c r="B463" t="str">
        <f>"1578728318250507"</f>
        <v>1578728318250507</v>
      </c>
      <c r="C463" t="s">
        <v>40</v>
      </c>
      <c r="D463">
        <v>4.8920240000000002</v>
      </c>
      <c r="E463">
        <v>0.51956179999999996</v>
      </c>
      <c r="F463" t="s">
        <v>43</v>
      </c>
      <c r="G463">
        <v>-299.39120000000003</v>
      </c>
      <c r="H463">
        <v>-0.05</v>
      </c>
      <c r="I463">
        <v>366.97859999999997</v>
      </c>
      <c r="J463">
        <v>-334.24220000000003</v>
      </c>
      <c r="K463">
        <v>1.103124</v>
      </c>
      <c r="L463">
        <v>367.46940000000001</v>
      </c>
      <c r="M463">
        <v>0.99997530000000001</v>
      </c>
      <c r="N463">
        <v>0</v>
      </c>
      <c r="O463">
        <v>-3.214418E-4</v>
      </c>
      <c r="P463">
        <v>0.99927739999999998</v>
      </c>
      <c r="Q463">
        <v>2.220654E-2</v>
      </c>
      <c r="R463">
        <v>3.0849430000000001E-2</v>
      </c>
      <c r="S463">
        <v>3.0059809999999998</v>
      </c>
      <c r="T463">
        <v>-9.8121639999999996E-2</v>
      </c>
      <c r="U463">
        <v>-4.1778559999999999E-2</v>
      </c>
      <c r="V463">
        <v>-3.116994E-2</v>
      </c>
      <c r="W463">
        <v>2.9223880000000001E-2</v>
      </c>
      <c r="X463">
        <v>0.99908680000000005</v>
      </c>
      <c r="Y463">
        <v>1.356866E-2</v>
      </c>
      <c r="Z463">
        <v>-2.1089589999999999E-4</v>
      </c>
      <c r="AA463">
        <v>0.99990789999999996</v>
      </c>
      <c r="AB463">
        <v>49</v>
      </c>
      <c r="AC463">
        <v>34.850999999999999</v>
      </c>
      <c r="AD463">
        <v>-1.153124</v>
      </c>
      <c r="AE463">
        <v>-0.49080000000003499</v>
      </c>
      <c r="AF463">
        <v>0.47907276148296302</v>
      </c>
      <c r="AG463">
        <v>-1.153124</v>
      </c>
      <c r="AH463">
        <v>34.813051358620598</v>
      </c>
      <c r="AI463">
        <v>91.896953612557894</v>
      </c>
      <c r="AJ463">
        <v>89.211585490346394</v>
      </c>
      <c r="AK463">
        <v>34.835438142330297</v>
      </c>
      <c r="AL463">
        <v>88.325356618597297</v>
      </c>
      <c r="AM463">
        <v>91.786958766099602</v>
      </c>
      <c r="AN463">
        <v>1.0000000171280401</v>
      </c>
    </row>
    <row r="464" spans="1:40" x14ac:dyDescent="0.3">
      <c r="A464" t="str">
        <f>"20200111153838284"</f>
        <v>20200111153838284</v>
      </c>
      <c r="B464" t="str">
        <f>"1578728318280763"</f>
        <v>1578728318280763</v>
      </c>
      <c r="C464" t="s">
        <v>40</v>
      </c>
      <c r="D464">
        <v>4.8772520000000004</v>
      </c>
      <c r="E464">
        <v>0.51994189999999996</v>
      </c>
      <c r="F464" t="s">
        <v>43</v>
      </c>
      <c r="G464">
        <v>-295.00889999999998</v>
      </c>
      <c r="H464">
        <v>-0.05</v>
      </c>
      <c r="I464">
        <v>366.66559999999998</v>
      </c>
      <c r="J464">
        <v>-333.74029999999999</v>
      </c>
      <c r="K464">
        <v>1.1032900000000001</v>
      </c>
      <c r="L464">
        <v>367.4692</v>
      </c>
      <c r="M464">
        <v>0.99997020000000003</v>
      </c>
      <c r="N464">
        <v>0</v>
      </c>
      <c r="O464">
        <v>-3.2104079999999998E-4</v>
      </c>
      <c r="P464">
        <v>0.99935689999999999</v>
      </c>
      <c r="Q464">
        <v>1.97133E-2</v>
      </c>
      <c r="R464">
        <v>2.9956389999999999E-2</v>
      </c>
      <c r="S464">
        <v>3.0060120000000001</v>
      </c>
      <c r="T464">
        <v>-8.8351250000000006E-2</v>
      </c>
      <c r="U464">
        <v>-6.1584470000000002E-2</v>
      </c>
      <c r="V464">
        <v>-3.0276310000000001E-2</v>
      </c>
      <c r="W464">
        <v>2.7428350000000001E-2</v>
      </c>
      <c r="X464">
        <v>0.99916519999999998</v>
      </c>
      <c r="Y464">
        <v>2.0153259999999999E-2</v>
      </c>
      <c r="Z464">
        <v>-2.8663929999999998E-4</v>
      </c>
      <c r="AA464">
        <v>0.99979689999999999</v>
      </c>
      <c r="AB464">
        <v>49</v>
      </c>
      <c r="AC464">
        <v>38.731400000000001</v>
      </c>
      <c r="AD464">
        <v>-1.1532899999999999</v>
      </c>
      <c r="AE464">
        <v>-0.80360000000001697</v>
      </c>
      <c r="AF464">
        <v>0.79046466762243195</v>
      </c>
      <c r="AG464">
        <v>-1.1532899999999999</v>
      </c>
      <c r="AH464">
        <v>38.697359872634898</v>
      </c>
      <c r="AI464">
        <v>91.706714024874401</v>
      </c>
      <c r="AJ464">
        <v>88.829791184088606</v>
      </c>
      <c r="AK464">
        <v>38.722610621277497</v>
      </c>
      <c r="AL464">
        <v>88.428274244034696</v>
      </c>
      <c r="AM464">
        <v>91.735623044676302</v>
      </c>
      <c r="AN464">
        <v>1.00000003311098</v>
      </c>
    </row>
    <row r="465" spans="1:40" x14ac:dyDescent="0.3">
      <c r="A465" t="str">
        <f>"20200111153838306"</f>
        <v>20200111153838306</v>
      </c>
      <c r="B465" t="str">
        <f>"1578728318301260"</f>
        <v>1578728318301260</v>
      </c>
      <c r="C465" t="s">
        <v>40</v>
      </c>
      <c r="D465">
        <v>4.8657059999999897</v>
      </c>
      <c r="E465">
        <v>0.51941579999999998</v>
      </c>
      <c r="F465" t="s">
        <v>43</v>
      </c>
      <c r="G465">
        <v>-293.3877</v>
      </c>
      <c r="H465">
        <v>-0.05</v>
      </c>
      <c r="I465">
        <v>366.5625</v>
      </c>
      <c r="J465">
        <v>-333.26620000000003</v>
      </c>
      <c r="K465">
        <v>1.1034299999999999</v>
      </c>
      <c r="L465">
        <v>367.46910000000003</v>
      </c>
      <c r="M465">
        <v>0.99996470000000004</v>
      </c>
      <c r="N465">
        <v>0</v>
      </c>
      <c r="O465">
        <v>-3.211334E-4</v>
      </c>
      <c r="P465">
        <v>0.9993689</v>
      </c>
      <c r="Q465">
        <v>1.818641E-2</v>
      </c>
      <c r="R465">
        <v>3.0520220000000001E-2</v>
      </c>
      <c r="S465">
        <v>3.005646</v>
      </c>
      <c r="T465">
        <v>-8.5902450000000005E-2</v>
      </c>
      <c r="U465">
        <v>-6.7535399999999995E-2</v>
      </c>
      <c r="V465">
        <v>-3.084015E-2</v>
      </c>
      <c r="W465">
        <v>2.660086E-2</v>
      </c>
      <c r="X465">
        <v>0.99917029999999996</v>
      </c>
      <c r="Y465">
        <v>2.2133880000000002E-2</v>
      </c>
      <c r="Z465">
        <v>-3.0701740000000001E-4</v>
      </c>
      <c r="AA465">
        <v>0.99975499999999995</v>
      </c>
      <c r="AB465">
        <v>49</v>
      </c>
      <c r="AC465">
        <v>39.878500000000003</v>
      </c>
      <c r="AD465">
        <v>-1.15343</v>
      </c>
      <c r="AE465">
        <v>-0.90660000000002505</v>
      </c>
      <c r="AF465">
        <v>0.89304646916136898</v>
      </c>
      <c r="AG465">
        <v>-1.15343</v>
      </c>
      <c r="AH465">
        <v>39.845472588269701</v>
      </c>
      <c r="AI465">
        <v>91.657695040580705</v>
      </c>
      <c r="AJ465">
        <v>88.716059187560006</v>
      </c>
      <c r="AK465">
        <v>39.872165962529998</v>
      </c>
      <c r="AL465">
        <v>88.475703194527995</v>
      </c>
      <c r="AM465">
        <v>91.767916454645601</v>
      </c>
      <c r="AN465">
        <v>1.0000000045034201</v>
      </c>
    </row>
    <row r="466" spans="1:40" x14ac:dyDescent="0.3">
      <c r="A466" t="str">
        <f>"20200111153838329"</f>
        <v>20200111153838329</v>
      </c>
      <c r="B466" t="str">
        <f>"1578728318320782"</f>
        <v>1578728318320782</v>
      </c>
      <c r="C466" t="s">
        <v>40</v>
      </c>
      <c r="D466">
        <v>4.8631359999999999</v>
      </c>
      <c r="E466">
        <v>0.51914729999999998</v>
      </c>
      <c r="F466" t="s">
        <v>43</v>
      </c>
      <c r="G466">
        <v>-294.60579999999999</v>
      </c>
      <c r="H466">
        <v>-0.05</v>
      </c>
      <c r="I466">
        <v>366.67570000000001</v>
      </c>
      <c r="J466">
        <v>-332.76729999999998</v>
      </c>
      <c r="K466">
        <v>1.103545</v>
      </c>
      <c r="L466">
        <v>367.46890000000002</v>
      </c>
      <c r="M466">
        <v>0.99995829999999997</v>
      </c>
      <c r="N466">
        <v>0</v>
      </c>
      <c r="O466">
        <v>-3.209792E-4</v>
      </c>
      <c r="P466">
        <v>0.99936460000000005</v>
      </c>
      <c r="Q466">
        <v>1.7567050000000001E-2</v>
      </c>
      <c r="R466">
        <v>3.101568E-2</v>
      </c>
      <c r="S466">
        <v>3.0054020000000001</v>
      </c>
      <c r="T466">
        <v>-8.9666010000000004E-2</v>
      </c>
      <c r="U466">
        <v>-6.167603E-2</v>
      </c>
      <c r="V466">
        <v>-3.1335559999999998E-2</v>
      </c>
      <c r="W466">
        <v>2.6703830000000001E-2</v>
      </c>
      <c r="X466">
        <v>0.99915209999999999</v>
      </c>
      <c r="Y466">
        <v>2.018764E-2</v>
      </c>
      <c r="Z466">
        <v>-2.9147629999999998E-4</v>
      </c>
      <c r="AA466">
        <v>0.99979620000000002</v>
      </c>
      <c r="AB466">
        <v>49</v>
      </c>
      <c r="AC466">
        <v>38.161499999999897</v>
      </c>
      <c r="AD466">
        <v>-1.153545</v>
      </c>
      <c r="AE466">
        <v>-0.79320000000001301</v>
      </c>
      <c r="AF466">
        <v>0.78023778189250503</v>
      </c>
      <c r="AG466">
        <v>-1.153545</v>
      </c>
      <c r="AH466">
        <v>38.126929944078597</v>
      </c>
      <c r="AI466">
        <v>91.732614761595499</v>
      </c>
      <c r="AJ466">
        <v>88.827650349423493</v>
      </c>
      <c r="AK466">
        <v>38.152355419082603</v>
      </c>
      <c r="AL466">
        <v>88.469801291726696</v>
      </c>
      <c r="AM466">
        <v>91.796330151103405</v>
      </c>
      <c r="AN466">
        <v>0.99999996539579505</v>
      </c>
    </row>
    <row r="467" spans="1:40" x14ac:dyDescent="0.3">
      <c r="A467" t="str">
        <f>"20200111153838351"</f>
        <v>20200111153838351</v>
      </c>
      <c r="B467" t="str">
        <f>"1578728318341278"</f>
        <v>1578728318341278</v>
      </c>
      <c r="C467" t="s">
        <v>40</v>
      </c>
      <c r="D467">
        <v>4.8821649999999996</v>
      </c>
      <c r="E467">
        <v>0.51895760000000002</v>
      </c>
      <c r="F467" t="s">
        <v>43</v>
      </c>
      <c r="G467">
        <v>-294.56450000000001</v>
      </c>
      <c r="H467">
        <v>-0.05</v>
      </c>
      <c r="I467">
        <v>366.73489999999998</v>
      </c>
      <c r="J467">
        <v>-332.28899999999999</v>
      </c>
      <c r="K467">
        <v>1.1036330000000001</v>
      </c>
      <c r="L467">
        <v>367.46870000000001</v>
      </c>
      <c r="M467">
        <v>0.99995199999999995</v>
      </c>
      <c r="N467">
        <v>0</v>
      </c>
      <c r="O467">
        <v>-3.2047770000000002E-4</v>
      </c>
      <c r="P467">
        <v>0.99934120000000004</v>
      </c>
      <c r="Q467">
        <v>1.7519900000000001E-2</v>
      </c>
      <c r="R467">
        <v>3.1786740000000001E-2</v>
      </c>
      <c r="S467">
        <v>3.0053100000000001</v>
      </c>
      <c r="T467">
        <v>-9.0746160000000006E-2</v>
      </c>
      <c r="U467">
        <v>-5.7739260000000001E-2</v>
      </c>
      <c r="V467">
        <v>-3.2106370000000002E-2</v>
      </c>
      <c r="W467">
        <v>2.7302989999999999E-2</v>
      </c>
      <c r="X467">
        <v>0.99911150000000004</v>
      </c>
      <c r="Y467">
        <v>1.8879980000000001E-2</v>
      </c>
      <c r="Z467">
        <v>-2.7527759999999997E-4</v>
      </c>
      <c r="AA467">
        <v>0.99982170000000004</v>
      </c>
      <c r="AB467">
        <v>48</v>
      </c>
      <c r="AC467">
        <v>37.7244999999999</v>
      </c>
      <c r="AD467">
        <v>-1.1536329999999999</v>
      </c>
      <c r="AE467">
        <v>-0.73380000000002998</v>
      </c>
      <c r="AF467">
        <v>0.72103548930071104</v>
      </c>
      <c r="AG467">
        <v>-1.1536329999999999</v>
      </c>
      <c r="AH467">
        <v>37.689500660058698</v>
      </c>
      <c r="AI467">
        <v>91.752891090847797</v>
      </c>
      <c r="AJ467">
        <v>88.904011706200194</v>
      </c>
      <c r="AK467">
        <v>37.714045411226898</v>
      </c>
      <c r="AL467">
        <v>88.435459530138303</v>
      </c>
      <c r="AM467">
        <v>91.840562018878501</v>
      </c>
      <c r="AN467">
        <v>1.00000003084488</v>
      </c>
    </row>
    <row r="468" spans="1:40" x14ac:dyDescent="0.3">
      <c r="A468" t="str">
        <f>"20200111153838373"</f>
        <v>20200111153838373</v>
      </c>
      <c r="B468" t="str">
        <f>"1578728318360795"</f>
        <v>1578728318360795</v>
      </c>
      <c r="C468" t="s">
        <v>40</v>
      </c>
      <c r="D468">
        <v>4.9210710000000004</v>
      </c>
      <c r="E468">
        <v>0.51901330000000001</v>
      </c>
      <c r="F468" t="s">
        <v>43</v>
      </c>
      <c r="G468">
        <v>-293.25760000000002</v>
      </c>
      <c r="H468">
        <v>-0.05</v>
      </c>
      <c r="I468">
        <v>366.7672</v>
      </c>
      <c r="J468">
        <v>-331.82029999999997</v>
      </c>
      <c r="K468">
        <v>1.103694</v>
      </c>
      <c r="L468">
        <v>367.46850000000001</v>
      </c>
      <c r="M468">
        <v>0.99994640000000001</v>
      </c>
      <c r="N468">
        <v>0</v>
      </c>
      <c r="O468">
        <v>-3.2056560000000002E-4</v>
      </c>
      <c r="P468">
        <v>0.99932549999999998</v>
      </c>
      <c r="Q468">
        <v>1.7582239999999999E-2</v>
      </c>
      <c r="R468">
        <v>3.2243969999999997E-2</v>
      </c>
      <c r="S468">
        <v>3.0052490000000001</v>
      </c>
      <c r="T468">
        <v>-8.8824749999999994E-2</v>
      </c>
      <c r="U468">
        <v>-5.4016109999999999E-2</v>
      </c>
      <c r="V468">
        <v>-3.2563139999999997E-2</v>
      </c>
      <c r="W468">
        <v>2.7947429999999999E-2</v>
      </c>
      <c r="X468">
        <v>0.99907889999999999</v>
      </c>
      <c r="Y468">
        <v>1.7642919999999999E-2</v>
      </c>
      <c r="Z468">
        <v>-2.5118139999999998E-4</v>
      </c>
      <c r="AA468">
        <v>0.99984430000000002</v>
      </c>
      <c r="AB468">
        <v>48</v>
      </c>
      <c r="AC468">
        <v>38.5626999999999</v>
      </c>
      <c r="AD468">
        <v>-1.153694</v>
      </c>
      <c r="AE468">
        <v>-0.70130000000000303</v>
      </c>
      <c r="AF468">
        <v>0.68832154966006998</v>
      </c>
      <c r="AG468">
        <v>-1.153694</v>
      </c>
      <c r="AH468">
        <v>38.5284494269821</v>
      </c>
      <c r="AI468">
        <v>91.714876028445502</v>
      </c>
      <c r="AJ468">
        <v>88.976503717225498</v>
      </c>
      <c r="AK468">
        <v>38.551863919256597</v>
      </c>
      <c r="AL468">
        <v>88.398521744155701</v>
      </c>
      <c r="AM468">
        <v>91.866789746524006</v>
      </c>
      <c r="AN468">
        <v>1.0000000326777301</v>
      </c>
    </row>
    <row r="469" spans="1:40" x14ac:dyDescent="0.3">
      <c r="A469" t="str">
        <f>"20200111153838387"</f>
        <v>20200111153838387</v>
      </c>
      <c r="B469" t="str">
        <f>"1578728318381292"</f>
        <v>1578728318381292</v>
      </c>
      <c r="C469" t="s">
        <v>40</v>
      </c>
      <c r="D469">
        <v>4.8970649999999996</v>
      </c>
      <c r="E469">
        <v>0.51894490000000004</v>
      </c>
      <c r="F469" t="s">
        <v>43</v>
      </c>
      <c r="G469">
        <v>-291.87650000000002</v>
      </c>
      <c r="H469">
        <v>-0.05</v>
      </c>
      <c r="I469">
        <v>366.75909999999999</v>
      </c>
      <c r="J469">
        <v>-331.50650000000002</v>
      </c>
      <c r="K469">
        <v>1.103726</v>
      </c>
      <c r="L469">
        <v>367.46839999999997</v>
      </c>
      <c r="M469">
        <v>0.99994240000000001</v>
      </c>
      <c r="N469">
        <v>0</v>
      </c>
      <c r="O469">
        <v>-3.2031250000000001E-4</v>
      </c>
      <c r="P469">
        <v>0.99932270000000001</v>
      </c>
      <c r="Q469">
        <v>1.7636539999999999E-2</v>
      </c>
      <c r="R469">
        <v>3.229688E-2</v>
      </c>
      <c r="S469">
        <v>3.00528</v>
      </c>
      <c r="T469">
        <v>-8.6801409999999996E-2</v>
      </c>
      <c r="U469">
        <v>-5.3375239999999997E-2</v>
      </c>
      <c r="V469">
        <v>-3.261613E-2</v>
      </c>
      <c r="W469">
        <v>2.8358299999999999E-2</v>
      </c>
      <c r="X469">
        <v>0.9990656</v>
      </c>
      <c r="Y469">
        <v>1.7430279999999999E-2</v>
      </c>
      <c r="Z469">
        <v>-2.4239739999999999E-4</v>
      </c>
      <c r="AA469">
        <v>0.99984810000000002</v>
      </c>
      <c r="AB469">
        <v>48</v>
      </c>
      <c r="AC469">
        <v>39.630000000000003</v>
      </c>
      <c r="AD469">
        <v>-1.153726</v>
      </c>
      <c r="AE469">
        <v>-0.70929999999998405</v>
      </c>
      <c r="AF469">
        <v>0.69601554062535298</v>
      </c>
      <c r="AG469">
        <v>-1.153726</v>
      </c>
      <c r="AH469">
        <v>39.596676388377396</v>
      </c>
      <c r="AI469">
        <v>91.668693903092802</v>
      </c>
      <c r="AJ469">
        <v>88.992979961954006</v>
      </c>
      <c r="AK469">
        <v>39.619594928794399</v>
      </c>
      <c r="AL469">
        <v>88.374971303582001</v>
      </c>
      <c r="AM469">
        <v>91.869850293192002</v>
      </c>
      <c r="AN469">
        <v>1.0000000391092101</v>
      </c>
    </row>
    <row r="470" spans="1:40" x14ac:dyDescent="0.3">
      <c r="A470" t="str">
        <f>"20200111153838407"</f>
        <v>20200111153838407</v>
      </c>
      <c r="B470" t="str">
        <f>"1578728318400811"</f>
        <v>1578728318400811</v>
      </c>
      <c r="C470" t="s">
        <v>40</v>
      </c>
      <c r="D470">
        <v>4.8870570000000004</v>
      </c>
      <c r="E470">
        <v>0.51895579999999997</v>
      </c>
      <c r="F470" t="s">
        <v>43</v>
      </c>
      <c r="G470">
        <v>-291.21559999999999</v>
      </c>
      <c r="H470">
        <v>-0.05</v>
      </c>
      <c r="I470">
        <v>366.76220000000001</v>
      </c>
      <c r="J470">
        <v>-331.08300000000003</v>
      </c>
      <c r="K470">
        <v>1.103761</v>
      </c>
      <c r="L470">
        <v>367.4683</v>
      </c>
      <c r="M470">
        <v>0.99993759999999998</v>
      </c>
      <c r="N470">
        <v>0</v>
      </c>
      <c r="O470">
        <v>-3.1992700000000002E-4</v>
      </c>
      <c r="P470">
        <v>0.99932509999999997</v>
      </c>
      <c r="Q470">
        <v>1.7562089999999999E-2</v>
      </c>
      <c r="R470">
        <v>3.2269520000000003E-2</v>
      </c>
      <c r="S470">
        <v>3.0052189999999999</v>
      </c>
      <c r="T470">
        <v>-8.6054210000000006E-2</v>
      </c>
      <c r="U470">
        <v>-5.2673339999999999E-2</v>
      </c>
      <c r="V470">
        <v>-3.2588140000000002E-2</v>
      </c>
      <c r="W470">
        <v>2.8733890000000002E-2</v>
      </c>
      <c r="X470">
        <v>0.99905569999999999</v>
      </c>
      <c r="Y470">
        <v>1.7197790000000001E-2</v>
      </c>
      <c r="Z470">
        <v>-2.3700030000000001E-4</v>
      </c>
      <c r="AA470">
        <v>0.99985210000000002</v>
      </c>
      <c r="AB470">
        <v>48</v>
      </c>
      <c r="AC470">
        <v>39.867400000000004</v>
      </c>
      <c r="AD470">
        <v>-1.153761</v>
      </c>
      <c r="AE470">
        <v>-0.70609999999999196</v>
      </c>
      <c r="AF470">
        <v>0.69276448779534805</v>
      </c>
      <c r="AG470">
        <v>-1.153761</v>
      </c>
      <c r="AH470">
        <v>39.834272282829097</v>
      </c>
      <c r="AI470">
        <v>91.658802067668901</v>
      </c>
      <c r="AJ470">
        <v>89.003659961649504</v>
      </c>
      <c r="AK470">
        <v>39.856998574694998</v>
      </c>
      <c r="AL470">
        <v>88.353442674711005</v>
      </c>
      <c r="AM470">
        <v>91.868265291971696</v>
      </c>
      <c r="AN470">
        <v>0.99999995750283999</v>
      </c>
    </row>
    <row r="471" spans="1:40" x14ac:dyDescent="0.3">
      <c r="A471" t="str">
        <f>"20200111153838430"</f>
        <v>20200111153838430</v>
      </c>
      <c r="B471" t="str">
        <f>"1578728318421310"</f>
        <v>1578728318421310</v>
      </c>
      <c r="C471" t="s">
        <v>40</v>
      </c>
      <c r="D471">
        <v>4.8390959999999996</v>
      </c>
      <c r="E471">
        <v>0.51890429999999999</v>
      </c>
      <c r="F471" t="s">
        <v>43</v>
      </c>
      <c r="G471">
        <v>-290.68079999999998</v>
      </c>
      <c r="H471">
        <v>-0.05</v>
      </c>
      <c r="I471">
        <v>366.7577</v>
      </c>
      <c r="J471">
        <v>-330.58969999999999</v>
      </c>
      <c r="K471">
        <v>1.103791</v>
      </c>
      <c r="L471">
        <v>367.46809999999999</v>
      </c>
      <c r="M471">
        <v>0.99993220000000005</v>
      </c>
      <c r="N471">
        <v>0</v>
      </c>
      <c r="O471">
        <v>-3.1942230000000003E-4</v>
      </c>
      <c r="P471">
        <v>0.99932089999999996</v>
      </c>
      <c r="Q471">
        <v>1.7878910000000001E-2</v>
      </c>
      <c r="R471">
        <v>3.2225150000000001E-2</v>
      </c>
      <c r="S471">
        <v>3.0052490000000001</v>
      </c>
      <c r="T471">
        <v>-8.5820560000000004E-2</v>
      </c>
      <c r="U471">
        <v>-5.2856449999999999E-2</v>
      </c>
      <c r="V471">
        <v>-3.2543089999999997E-2</v>
      </c>
      <c r="W471">
        <v>2.9523669999999998E-2</v>
      </c>
      <c r="X471">
        <v>0.99903419999999998</v>
      </c>
      <c r="Y471">
        <v>1.725902E-2</v>
      </c>
      <c r="Z471">
        <v>-2.3724290000000001E-4</v>
      </c>
      <c r="AA471">
        <v>0.99985100000000005</v>
      </c>
      <c r="AB471">
        <v>48</v>
      </c>
      <c r="AC471">
        <v>39.908900000000003</v>
      </c>
      <c r="AD471">
        <v>-1.153791</v>
      </c>
      <c r="AE471">
        <v>-0.71039999999999204</v>
      </c>
      <c r="AF471">
        <v>0.69706886516056399</v>
      </c>
      <c r="AG471">
        <v>-1.153791</v>
      </c>
      <c r="AH471">
        <v>39.875806302612098</v>
      </c>
      <c r="AI471">
        <v>91.657115718864603</v>
      </c>
      <c r="AJ471">
        <v>88.998514633683101</v>
      </c>
      <c r="AK471">
        <v>39.898584773872599</v>
      </c>
      <c r="AL471">
        <v>88.3081725006695</v>
      </c>
      <c r="AM471">
        <v>91.865724542255606</v>
      </c>
      <c r="AN471">
        <v>1.00000001628332</v>
      </c>
    </row>
    <row r="472" spans="1:40" x14ac:dyDescent="0.3">
      <c r="A472" t="str">
        <f>"20200111153838451"</f>
        <v>20200111153838451</v>
      </c>
      <c r="B472" t="str">
        <f>"1578728318440827"</f>
        <v>1578728318440827</v>
      </c>
      <c r="C472" t="s">
        <v>40</v>
      </c>
      <c r="D472">
        <v>4.8184990000000001</v>
      </c>
      <c r="E472">
        <v>0.51904570000000005</v>
      </c>
      <c r="F472" t="s">
        <v>43</v>
      </c>
      <c r="G472">
        <v>-289.37569999999999</v>
      </c>
      <c r="H472">
        <v>-0.05</v>
      </c>
      <c r="I472">
        <v>366.74740000000003</v>
      </c>
      <c r="J472">
        <v>-330.1232</v>
      </c>
      <c r="K472">
        <v>1.1038059999999901</v>
      </c>
      <c r="L472">
        <v>367.46789999999999</v>
      </c>
      <c r="M472">
        <v>0.99992729999999996</v>
      </c>
      <c r="N472">
        <v>0</v>
      </c>
      <c r="O472">
        <v>-3.186908E-4</v>
      </c>
      <c r="P472">
        <v>0.9993166</v>
      </c>
      <c r="Q472">
        <v>1.8296469999999999E-2</v>
      </c>
      <c r="R472">
        <v>3.2118769999999998E-2</v>
      </c>
      <c r="S472">
        <v>3.0052490000000001</v>
      </c>
      <c r="T472">
        <v>-8.4132310000000002E-2</v>
      </c>
      <c r="U472">
        <v>-5.2551269999999997E-2</v>
      </c>
      <c r="V472">
        <v>-3.2436060000000003E-2</v>
      </c>
      <c r="W472">
        <v>3.03387E-2</v>
      </c>
      <c r="X472">
        <v>0.99901320000000005</v>
      </c>
      <c r="Y472">
        <v>1.715856E-2</v>
      </c>
      <c r="Z472">
        <v>-2.3119260000000001E-4</v>
      </c>
      <c r="AA472">
        <v>0.99985279999999999</v>
      </c>
      <c r="AB472">
        <v>48</v>
      </c>
      <c r="AC472">
        <v>40.747500000000002</v>
      </c>
      <c r="AD472">
        <v>-1.1538060000000001</v>
      </c>
      <c r="AE472">
        <v>-0.72049999999995795</v>
      </c>
      <c r="AF472">
        <v>0.70694651713720102</v>
      </c>
      <c r="AG472">
        <v>-1.1538060000000001</v>
      </c>
      <c r="AH472">
        <v>40.715092586742003</v>
      </c>
      <c r="AI472">
        <v>91.622999407498398</v>
      </c>
      <c r="AJ472">
        <v>89.005258752625593</v>
      </c>
      <c r="AK472">
        <v>40.737572411849797</v>
      </c>
      <c r="AL472">
        <v>88.261453681287307</v>
      </c>
      <c r="AM472">
        <v>91.859631794280105</v>
      </c>
      <c r="AN472">
        <v>0.999999954240125</v>
      </c>
    </row>
    <row r="473" spans="1:40" x14ac:dyDescent="0.3">
      <c r="A473" t="str">
        <f>"20200111153838474"</f>
        <v>20200111153838474</v>
      </c>
      <c r="B473" t="str">
        <f>"1578728318471083"</f>
        <v>1578728318471083</v>
      </c>
      <c r="C473" t="s">
        <v>40</v>
      </c>
      <c r="D473">
        <v>4.861631</v>
      </c>
      <c r="E473">
        <v>0.51911430000000003</v>
      </c>
      <c r="F473" t="s">
        <v>43</v>
      </c>
      <c r="G473">
        <v>-287.85039999999998</v>
      </c>
      <c r="H473">
        <v>-0.05</v>
      </c>
      <c r="I473">
        <v>366.70600000000002</v>
      </c>
      <c r="J473">
        <v>-329.63350000000003</v>
      </c>
      <c r="K473">
        <v>1.103818</v>
      </c>
      <c r="L473">
        <v>367.46780000000001</v>
      </c>
      <c r="M473">
        <v>0.99992289999999995</v>
      </c>
      <c r="N473">
        <v>0</v>
      </c>
      <c r="O473">
        <v>-3.1858100000000002E-4</v>
      </c>
      <c r="P473">
        <v>0.99930209999999997</v>
      </c>
      <c r="Q473">
        <v>1.8426339999999999E-2</v>
      </c>
      <c r="R473">
        <v>3.2495990000000002E-2</v>
      </c>
      <c r="S473">
        <v>3.00528</v>
      </c>
      <c r="T473">
        <v>-8.2026959999999996E-2</v>
      </c>
      <c r="U473">
        <v>-5.41687E-2</v>
      </c>
      <c r="V473">
        <v>-3.281332E-2</v>
      </c>
      <c r="W473">
        <v>3.0838669999999999E-2</v>
      </c>
      <c r="X473">
        <v>0.99898560000000003</v>
      </c>
      <c r="Y473">
        <v>1.769656E-2</v>
      </c>
      <c r="Z473">
        <v>-2.3274919999999999E-4</v>
      </c>
      <c r="AA473">
        <v>0.99984340000000005</v>
      </c>
      <c r="AB473">
        <v>48</v>
      </c>
      <c r="AC473">
        <v>41.783099999999997</v>
      </c>
      <c r="AD473">
        <v>-1.153818</v>
      </c>
      <c r="AE473">
        <v>-0.76180000000004999</v>
      </c>
      <c r="AF473">
        <v>0.74791749235216698</v>
      </c>
      <c r="AG473">
        <v>-1.153818</v>
      </c>
      <c r="AH473">
        <v>41.7515131916306</v>
      </c>
      <c r="AI473">
        <v>91.582732663052695</v>
      </c>
      <c r="AJ473">
        <v>88.973739401917996</v>
      </c>
      <c r="AK473">
        <v>41.774149067855298</v>
      </c>
      <c r="AL473">
        <v>88.232794149053902</v>
      </c>
      <c r="AM473">
        <v>91.881297438247003</v>
      </c>
      <c r="AN473">
        <v>0.99999998327207495</v>
      </c>
    </row>
    <row r="474" spans="1:40" x14ac:dyDescent="0.3">
      <c r="A474" t="str">
        <f>"20200111153838497"</f>
        <v>20200111153838497</v>
      </c>
      <c r="B474" t="str">
        <f>"1578728318490604"</f>
        <v>1578728318490604</v>
      </c>
      <c r="C474" t="s">
        <v>40</v>
      </c>
      <c r="D474">
        <v>4.8332540000000002</v>
      </c>
      <c r="E474">
        <v>0.51913929999999997</v>
      </c>
      <c r="F474" t="s">
        <v>43</v>
      </c>
      <c r="G474">
        <v>-286.65910000000002</v>
      </c>
      <c r="H474">
        <v>-0.05</v>
      </c>
      <c r="I474">
        <v>366.69889999999998</v>
      </c>
      <c r="J474">
        <v>-329.15769999999998</v>
      </c>
      <c r="K474">
        <v>1.1038239999999999</v>
      </c>
      <c r="L474">
        <v>367.46769999999998</v>
      </c>
      <c r="M474">
        <v>0.99991890000000005</v>
      </c>
      <c r="N474">
        <v>0</v>
      </c>
      <c r="O474">
        <v>-3.17943E-4</v>
      </c>
      <c r="P474">
        <v>0.99930540000000001</v>
      </c>
      <c r="Q474">
        <v>1.8293830000000001E-2</v>
      </c>
      <c r="R474">
        <v>3.2463970000000002E-2</v>
      </c>
      <c r="S474">
        <v>3.005341</v>
      </c>
      <c r="T474">
        <v>-8.069026E-2</v>
      </c>
      <c r="U474">
        <v>-5.3771970000000002E-2</v>
      </c>
      <c r="V474">
        <v>-3.2780740000000003E-2</v>
      </c>
      <c r="W474">
        <v>3.1020260000000001E-2</v>
      </c>
      <c r="X474">
        <v>0.99898109999999996</v>
      </c>
      <c r="Y474">
        <v>1.756514E-2</v>
      </c>
      <c r="Z474">
        <v>-2.272067E-4</v>
      </c>
      <c r="AA474">
        <v>0.99984569999999995</v>
      </c>
      <c r="AB474">
        <v>48</v>
      </c>
      <c r="AC474">
        <v>42.498599999999897</v>
      </c>
      <c r="AD474">
        <v>-1.153824</v>
      </c>
      <c r="AE474">
        <v>-0.76879999999999804</v>
      </c>
      <c r="AF474">
        <v>0.75473059913042095</v>
      </c>
      <c r="AG474">
        <v>-1.153824</v>
      </c>
      <c r="AH474">
        <v>42.467549465137402</v>
      </c>
      <c r="AI474">
        <v>91.556071794632302</v>
      </c>
      <c r="AJ474">
        <v>88.981850218072196</v>
      </c>
      <c r="AK474">
        <v>42.489924519515597</v>
      </c>
      <c r="AL474">
        <v>88.222384921535294</v>
      </c>
      <c r="AM474">
        <v>91.879439318101703</v>
      </c>
      <c r="AN474">
        <v>1.0000000358013099</v>
      </c>
    </row>
    <row r="475" spans="1:40" x14ac:dyDescent="0.3">
      <c r="A475" t="str">
        <f>"20200111153838519"</f>
        <v>20200111153838519</v>
      </c>
      <c r="B475" t="str">
        <f>"1578728318511099"</f>
        <v>1578728318511099</v>
      </c>
      <c r="C475" t="s">
        <v>40</v>
      </c>
      <c r="D475">
        <v>4.8395190000000001</v>
      </c>
      <c r="E475">
        <v>0.51929650000000005</v>
      </c>
      <c r="F475" t="s">
        <v>43</v>
      </c>
      <c r="G475">
        <v>-286.2971</v>
      </c>
      <c r="H475">
        <v>-0.05</v>
      </c>
      <c r="I475">
        <v>366.70080000000002</v>
      </c>
      <c r="J475">
        <v>-328.64789999999999</v>
      </c>
      <c r="K475">
        <v>1.103826</v>
      </c>
      <c r="L475">
        <v>367.46749999999997</v>
      </c>
      <c r="M475">
        <v>0.9999152</v>
      </c>
      <c r="N475">
        <v>0</v>
      </c>
      <c r="O475">
        <v>-3.1780650000000002E-4</v>
      </c>
      <c r="P475">
        <v>0.99930240000000004</v>
      </c>
      <c r="Q475">
        <v>1.7696179999999999E-2</v>
      </c>
      <c r="R475">
        <v>3.289359E-2</v>
      </c>
      <c r="S475">
        <v>3.0053100000000001</v>
      </c>
      <c r="T475">
        <v>-8.0904249999999997E-2</v>
      </c>
      <c r="U475">
        <v>-5.3771970000000002E-2</v>
      </c>
      <c r="V475">
        <v>-3.3210259999999998E-2</v>
      </c>
      <c r="W475">
        <v>3.0714760000000001E-2</v>
      </c>
      <c r="X475">
        <v>0.99897630000000004</v>
      </c>
      <c r="Y475">
        <v>1.756543E-2</v>
      </c>
      <c r="Z475">
        <v>-2.2781869999999999E-4</v>
      </c>
      <c r="AA475">
        <v>0.99984569999999995</v>
      </c>
      <c r="AB475">
        <v>48</v>
      </c>
      <c r="AC475">
        <v>42.3507999999999</v>
      </c>
      <c r="AD475">
        <v>-1.153826</v>
      </c>
      <c r="AE475">
        <v>-0.76669999999995697</v>
      </c>
      <c r="AF475">
        <v>0.75268095732597795</v>
      </c>
      <c r="AG475">
        <v>-1.153826</v>
      </c>
      <c r="AH475">
        <v>42.319639562298697</v>
      </c>
      <c r="AI475">
        <v>91.561510005022299</v>
      </c>
      <c r="AJ475">
        <v>88.981066563450995</v>
      </c>
      <c r="AK475">
        <v>42.342056347615802</v>
      </c>
      <c r="AL475">
        <v>88.239897033318201</v>
      </c>
      <c r="AM475">
        <v>91.904056397966002</v>
      </c>
      <c r="AN475">
        <v>0.99999998290640701</v>
      </c>
    </row>
    <row r="476" spans="1:40" x14ac:dyDescent="0.3">
      <c r="A476" t="str">
        <f>"20200111153838542"</f>
        <v>20200111153838542</v>
      </c>
      <c r="B476" t="str">
        <f>"1578728318530620"</f>
        <v>1578728318530620</v>
      </c>
      <c r="C476" t="s">
        <v>40</v>
      </c>
      <c r="D476">
        <v>4.7759660000000004</v>
      </c>
      <c r="E476">
        <v>0.51947209999999999</v>
      </c>
      <c r="F476" t="s">
        <v>43</v>
      </c>
      <c r="G476">
        <v>-286.28660000000002</v>
      </c>
      <c r="H476">
        <v>-0.05</v>
      </c>
      <c r="I476">
        <v>366.71</v>
      </c>
      <c r="J476">
        <v>-328.1696</v>
      </c>
      <c r="K476">
        <v>1.1038250000000001</v>
      </c>
      <c r="L476">
        <v>367.46730000000002</v>
      </c>
      <c r="M476">
        <v>0.99991200000000002</v>
      </c>
      <c r="N476">
        <v>0</v>
      </c>
      <c r="O476">
        <v>-3.1712150000000002E-4</v>
      </c>
      <c r="P476">
        <v>0.99930240000000004</v>
      </c>
      <c r="Q476">
        <v>1.7199369999999999E-2</v>
      </c>
      <c r="R476">
        <v>3.3147549999999998E-2</v>
      </c>
      <c r="S476">
        <v>3.00528</v>
      </c>
      <c r="T476">
        <v>-8.1857089999999993E-2</v>
      </c>
      <c r="U476">
        <v>-5.3741459999999998E-2</v>
      </c>
      <c r="V476">
        <v>-3.3463439999999997E-2</v>
      </c>
      <c r="W476">
        <v>3.045786E-2</v>
      </c>
      <c r="X476">
        <v>0.99897579999999997</v>
      </c>
      <c r="Y476">
        <v>1.7555999999999999E-2</v>
      </c>
      <c r="Z476">
        <v>-2.303935E-4</v>
      </c>
      <c r="AA476">
        <v>0.99984589999999995</v>
      </c>
      <c r="AB476">
        <v>48</v>
      </c>
      <c r="AC476">
        <v>41.882999999999903</v>
      </c>
      <c r="AD476">
        <v>-1.1538250000000001</v>
      </c>
      <c r="AE476">
        <v>-0.75730000000004305</v>
      </c>
      <c r="AF476">
        <v>0.74345274630792402</v>
      </c>
      <c r="AG476">
        <v>-1.1538250000000001</v>
      </c>
      <c r="AH476">
        <v>41.851485913000602</v>
      </c>
      <c r="AI476">
        <v>91.578967608211698</v>
      </c>
      <c r="AJ476">
        <v>88.982300773479395</v>
      </c>
      <c r="AK476">
        <v>41.873988432470803</v>
      </c>
      <c r="AL476">
        <v>88.254623354420602</v>
      </c>
      <c r="AM476">
        <v>91.918562215086993</v>
      </c>
      <c r="AN476">
        <v>1.00000006601902</v>
      </c>
    </row>
    <row r="477" spans="1:40" x14ac:dyDescent="0.3">
      <c r="A477" t="str">
        <f>"20200111153838562"</f>
        <v>20200111153838562</v>
      </c>
      <c r="B477" t="str">
        <f>"1578728318551115"</f>
        <v>1578728318551115</v>
      </c>
      <c r="C477" t="s">
        <v>40</v>
      </c>
      <c r="D477">
        <v>4.8059519999999996</v>
      </c>
      <c r="E477">
        <v>0.51960459999999997</v>
      </c>
      <c r="F477" t="s">
        <v>43</v>
      </c>
      <c r="G477">
        <v>-285.72649999999999</v>
      </c>
      <c r="H477">
        <v>-0.05</v>
      </c>
      <c r="I477">
        <v>366.69929999999999</v>
      </c>
      <c r="J477">
        <v>-327.72609999999997</v>
      </c>
      <c r="K477">
        <v>1.103823</v>
      </c>
      <c r="L477">
        <v>367.46719999999999</v>
      </c>
      <c r="M477">
        <v>0.99990939999999995</v>
      </c>
      <c r="N477">
        <v>0</v>
      </c>
      <c r="O477">
        <v>-3.16638E-4</v>
      </c>
      <c r="P477">
        <v>0.99930050000000004</v>
      </c>
      <c r="Q477">
        <v>1.6871199999999999E-2</v>
      </c>
      <c r="R477">
        <v>3.3376820000000001E-2</v>
      </c>
      <c r="S477">
        <v>3.00528</v>
      </c>
      <c r="T477">
        <v>-8.1699129999999995E-2</v>
      </c>
      <c r="U477">
        <v>-5.4382319999999998E-2</v>
      </c>
      <c r="V477">
        <v>-3.3692229999999997E-2</v>
      </c>
      <c r="W477">
        <v>3.0323929999999999E-2</v>
      </c>
      <c r="X477">
        <v>0.99897210000000003</v>
      </c>
      <c r="Y477">
        <v>1.7769569999999998E-2</v>
      </c>
      <c r="Z477">
        <v>-2.32864E-4</v>
      </c>
      <c r="AA477">
        <v>0.99984209999999996</v>
      </c>
      <c r="AB477">
        <v>48</v>
      </c>
      <c r="AC477">
        <v>41.999600000000001</v>
      </c>
      <c r="AD477">
        <v>-1.153823</v>
      </c>
      <c r="AE477">
        <v>-0.76789999999999703</v>
      </c>
      <c r="AF477">
        <v>0.75403119269996599</v>
      </c>
      <c r="AG477">
        <v>-1.153823</v>
      </c>
      <c r="AH477">
        <v>41.968177262929402</v>
      </c>
      <c r="AI477">
        <v>91.574571121553603</v>
      </c>
      <c r="AJ477">
        <v>88.970692557878607</v>
      </c>
      <c r="AK477">
        <v>41.990805818983198</v>
      </c>
      <c r="AL477">
        <v>88.262300377500097</v>
      </c>
      <c r="AM477">
        <v>91.931676696777501</v>
      </c>
      <c r="AN477">
        <v>0.99999998183571304</v>
      </c>
    </row>
    <row r="478" spans="1:40" x14ac:dyDescent="0.3">
      <c r="A478" t="str">
        <f>"20200111153838586"</f>
        <v>20200111153838586</v>
      </c>
      <c r="B478" t="str">
        <f>"1578728318581372"</f>
        <v>1578728318581372</v>
      </c>
      <c r="C478" t="s">
        <v>40</v>
      </c>
      <c r="D478">
        <v>4.8329259999999996</v>
      </c>
      <c r="E478">
        <v>0.51962379999999997</v>
      </c>
      <c r="F478" t="s">
        <v>43</v>
      </c>
      <c r="G478">
        <v>-285.5403</v>
      </c>
      <c r="H478">
        <v>-0.05</v>
      </c>
      <c r="I478">
        <v>366.69830000000002</v>
      </c>
      <c r="J478">
        <v>-327.2296</v>
      </c>
      <c r="K478">
        <v>1.103826</v>
      </c>
      <c r="L478">
        <v>367.46710000000002</v>
      </c>
      <c r="M478">
        <v>0.99990679999999998</v>
      </c>
      <c r="N478">
        <v>0</v>
      </c>
      <c r="O478">
        <v>-3.1625760000000001E-4</v>
      </c>
      <c r="P478">
        <v>0.99930669999999999</v>
      </c>
      <c r="Q478">
        <v>1.6271850000000001E-2</v>
      </c>
      <c r="R478">
        <v>3.3487049999999997E-2</v>
      </c>
      <c r="S478">
        <v>3.0053100000000001</v>
      </c>
      <c r="T478">
        <v>-8.2198019999999997E-2</v>
      </c>
      <c r="U478">
        <v>-5.4779050000000003E-2</v>
      </c>
      <c r="V478">
        <v>-3.3802209999999999E-2</v>
      </c>
      <c r="W478">
        <v>2.9914509999999998E-2</v>
      </c>
      <c r="X478">
        <v>0.9989808</v>
      </c>
      <c r="Y478">
        <v>1.790158E-2</v>
      </c>
      <c r="Z478">
        <v>-2.3609790000000001E-4</v>
      </c>
      <c r="AA478">
        <v>0.9998397</v>
      </c>
      <c r="AB478">
        <v>48</v>
      </c>
      <c r="AC478">
        <v>41.689300000000003</v>
      </c>
      <c r="AD478">
        <v>-1.153826</v>
      </c>
      <c r="AE478">
        <v>-0.76879999999999804</v>
      </c>
      <c r="AF478">
        <v>0.75503601081152905</v>
      </c>
      <c r="AG478">
        <v>-1.153826</v>
      </c>
      <c r="AH478">
        <v>41.657641974739299</v>
      </c>
      <c r="AI478">
        <v>91.586302328040304</v>
      </c>
      <c r="AJ478">
        <v>88.961639724283003</v>
      </c>
      <c r="AK478">
        <v>41.680457395660298</v>
      </c>
      <c r="AL478">
        <v>88.285769185663497</v>
      </c>
      <c r="AM478">
        <v>91.9379605152659</v>
      </c>
      <c r="AN478">
        <v>1.0000000530390301</v>
      </c>
    </row>
    <row r="479" spans="1:40" x14ac:dyDescent="0.3">
      <c r="A479" t="str">
        <f>"20200111153838608"</f>
        <v>20200111153838608</v>
      </c>
      <c r="B479" t="str">
        <f>"1578728318600894"</f>
        <v>1578728318600894</v>
      </c>
      <c r="C479" t="s">
        <v>40</v>
      </c>
      <c r="D479">
        <v>4.821326</v>
      </c>
      <c r="E479">
        <v>0.51970169999999904</v>
      </c>
      <c r="F479" t="s">
        <v>43</v>
      </c>
      <c r="G479">
        <v>-286.4907</v>
      </c>
      <c r="H479">
        <v>-0.05</v>
      </c>
      <c r="I479">
        <v>366.7253</v>
      </c>
      <c r="J479">
        <v>-326.7389</v>
      </c>
      <c r="K479">
        <v>1.1038250000000001</v>
      </c>
      <c r="L479">
        <v>367.46690000000001</v>
      </c>
      <c r="M479">
        <v>0.99990460000000003</v>
      </c>
      <c r="N479">
        <v>0</v>
      </c>
      <c r="O479">
        <v>-3.1594130000000002E-4</v>
      </c>
      <c r="P479">
        <v>0.99930649999999999</v>
      </c>
      <c r="Q479">
        <v>1.6132710000000001E-2</v>
      </c>
      <c r="R479">
        <v>3.3561349999999997E-2</v>
      </c>
      <c r="S479">
        <v>3.00528</v>
      </c>
      <c r="T479">
        <v>-8.5117100000000001E-2</v>
      </c>
      <c r="U479">
        <v>-5.4718019999999999E-2</v>
      </c>
      <c r="V479">
        <v>-3.387602E-2</v>
      </c>
      <c r="W479">
        <v>2.9936910000000001E-2</v>
      </c>
      <c r="X479">
        <v>0.99897760000000002</v>
      </c>
      <c r="Y479">
        <v>1.7881319999999999E-2</v>
      </c>
      <c r="Z479">
        <v>-2.4420380000000002E-4</v>
      </c>
      <c r="AA479">
        <v>0.99984010000000001</v>
      </c>
      <c r="AB479">
        <v>48</v>
      </c>
      <c r="AC479">
        <v>40.248199999999997</v>
      </c>
      <c r="AD479">
        <v>-1.1538250000000001</v>
      </c>
      <c r="AE479">
        <v>-0.74160000000000503</v>
      </c>
      <c r="AF479">
        <v>0.72828435210789999</v>
      </c>
      <c r="AG479">
        <v>-1.1538250000000001</v>
      </c>
      <c r="AH479">
        <v>40.215392937417597</v>
      </c>
      <c r="AI479">
        <v>91.643160442240699</v>
      </c>
      <c r="AJ479">
        <v>88.962510225935802</v>
      </c>
      <c r="AK479">
        <v>40.2385330167372</v>
      </c>
      <c r="AL479">
        <v>88.284485135894002</v>
      </c>
      <c r="AM479">
        <v>91.942195196107406</v>
      </c>
      <c r="AN479">
        <v>1.0000000243065701</v>
      </c>
    </row>
    <row r="480" spans="1:40" x14ac:dyDescent="0.3">
      <c r="A480" t="str">
        <f>"20200111153838622"</f>
        <v>20200111153838622</v>
      </c>
      <c r="B480" t="str">
        <f>"1578728318610651"</f>
        <v>1578728318610651</v>
      </c>
      <c r="C480" t="s">
        <v>40</v>
      </c>
      <c r="D480">
        <v>4.7883570000000004</v>
      </c>
      <c r="E480">
        <v>0.51971690000000004</v>
      </c>
      <c r="F480" t="s">
        <v>43</v>
      </c>
      <c r="G480">
        <v>-286.22890000000001</v>
      </c>
      <c r="H480">
        <v>-0.05</v>
      </c>
      <c r="I480">
        <v>366.72280000000001</v>
      </c>
      <c r="J480">
        <v>-326.44810000000001</v>
      </c>
      <c r="K480">
        <v>1.1038289999999999</v>
      </c>
      <c r="L480">
        <v>367.46690000000001</v>
      </c>
      <c r="M480">
        <v>0.9999036</v>
      </c>
      <c r="N480">
        <v>0</v>
      </c>
      <c r="O480">
        <v>-3.1605339999999998E-4</v>
      </c>
      <c r="P480">
        <v>0.99931049999999999</v>
      </c>
      <c r="Q480">
        <v>1.5851359999999998E-2</v>
      </c>
      <c r="R480">
        <v>3.357864E-2</v>
      </c>
      <c r="S480">
        <v>3.0052490000000001</v>
      </c>
      <c r="T480">
        <v>-8.5596920000000007E-2</v>
      </c>
      <c r="U480">
        <v>-5.52063E-2</v>
      </c>
      <c r="V480">
        <v>-3.3893369999999999E-2</v>
      </c>
      <c r="W480">
        <v>2.9740550000000001E-2</v>
      </c>
      <c r="X480">
        <v>0.99898279999999995</v>
      </c>
      <c r="Y480">
        <v>1.804364E-2</v>
      </c>
      <c r="Z480">
        <v>-2.4788970000000002E-4</v>
      </c>
      <c r="AA480">
        <v>0.99983719999999998</v>
      </c>
      <c r="AB480">
        <v>48</v>
      </c>
      <c r="AC480">
        <v>40.219200000000001</v>
      </c>
      <c r="AD480">
        <v>-1.153829</v>
      </c>
      <c r="AE480">
        <v>-0.74410000000000298</v>
      </c>
      <c r="AF480">
        <v>0.73078606948032598</v>
      </c>
      <c r="AG480">
        <v>-1.153829</v>
      </c>
      <c r="AH480">
        <v>40.186369889272797</v>
      </c>
      <c r="AI480">
        <v>91.644349951321402</v>
      </c>
      <c r="AJ480">
        <v>88.958195450765501</v>
      </c>
      <c r="AK480">
        <v>40.209572175267397</v>
      </c>
      <c r="AL480">
        <v>88.2957406162583</v>
      </c>
      <c r="AM480">
        <v>91.943179044583701</v>
      </c>
      <c r="AN480">
        <v>0.99999994777004797</v>
      </c>
    </row>
    <row r="481" spans="1:40" x14ac:dyDescent="0.3">
      <c r="A481" t="str">
        <f>"20200111153838640"</f>
        <v>20200111153838640</v>
      </c>
      <c r="B481" t="str">
        <f>"1578728318631150"</f>
        <v>1578728318631150</v>
      </c>
      <c r="C481" t="s">
        <v>40</v>
      </c>
      <c r="D481">
        <v>4.7969290000000004</v>
      </c>
      <c r="E481">
        <v>0.51976670000000003</v>
      </c>
      <c r="F481" t="s">
        <v>43</v>
      </c>
      <c r="G481">
        <v>-286.45359999999999</v>
      </c>
      <c r="H481">
        <v>-0.05</v>
      </c>
      <c r="I481">
        <v>366.7346</v>
      </c>
      <c r="J481">
        <v>-326.04899999999998</v>
      </c>
      <c r="K481">
        <v>1.1038349999999999</v>
      </c>
      <c r="L481">
        <v>367.46679999999998</v>
      </c>
      <c r="M481">
        <v>0.99990179999999995</v>
      </c>
      <c r="N481">
        <v>0</v>
      </c>
      <c r="O481">
        <v>-3.1583449999999998E-4</v>
      </c>
      <c r="P481">
        <v>0.99932270000000001</v>
      </c>
      <c r="Q481">
        <v>1.5802980000000001E-2</v>
      </c>
      <c r="R481">
        <v>3.323508E-2</v>
      </c>
      <c r="S481">
        <v>3.0053100000000001</v>
      </c>
      <c r="T481">
        <v>-8.6702349999999997E-2</v>
      </c>
      <c r="U481">
        <v>-5.502319E-2</v>
      </c>
      <c r="V481">
        <v>-3.3549379999999997E-2</v>
      </c>
      <c r="W481">
        <v>2.9797259999999999E-2</v>
      </c>
      <c r="X481">
        <v>0.99899280000000001</v>
      </c>
      <c r="Y481">
        <v>1.7982430000000001E-2</v>
      </c>
      <c r="Z481">
        <v>-2.5020830000000002E-4</v>
      </c>
      <c r="AA481">
        <v>0.99983829999999996</v>
      </c>
      <c r="AB481">
        <v>48</v>
      </c>
      <c r="AC481">
        <v>39.595399999999998</v>
      </c>
      <c r="AD481">
        <v>-1.1538349999999999</v>
      </c>
      <c r="AE481">
        <v>-0.73219999999997698</v>
      </c>
      <c r="AF481">
        <v>0.71908272317997501</v>
      </c>
      <c r="AG481">
        <v>-1.1538349999999999</v>
      </c>
      <c r="AH481">
        <v>39.562045627666102</v>
      </c>
      <c r="AI481">
        <v>91.670293619767804</v>
      </c>
      <c r="AJ481">
        <v>88.958702254079697</v>
      </c>
      <c r="AK481">
        <v>39.585399700085603</v>
      </c>
      <c r="AL481">
        <v>88.292490065418093</v>
      </c>
      <c r="AM481">
        <v>91.923453016205499</v>
      </c>
      <c r="AN481">
        <v>1.00000002602686</v>
      </c>
    </row>
    <row r="482" spans="1:40" x14ac:dyDescent="0.3">
      <c r="A482" t="str">
        <f>"20200111153838663"</f>
        <v>20200111153838663</v>
      </c>
      <c r="B482" t="str">
        <f>"1578728318660428"</f>
        <v>1578728318660428</v>
      </c>
      <c r="C482" t="s">
        <v>40</v>
      </c>
      <c r="D482">
        <v>4.8343280000000002</v>
      </c>
      <c r="E482">
        <v>0.51975979999999999</v>
      </c>
      <c r="F482" t="s">
        <v>43</v>
      </c>
      <c r="G482">
        <v>-286.23399999999998</v>
      </c>
      <c r="H482">
        <v>-0.05</v>
      </c>
      <c r="I482">
        <v>366.71879999999999</v>
      </c>
      <c r="J482">
        <v>-325.57319999999999</v>
      </c>
      <c r="K482">
        <v>1.1038399999999999</v>
      </c>
      <c r="L482">
        <v>367.46660000000003</v>
      </c>
      <c r="M482">
        <v>0.99990040000000002</v>
      </c>
      <c r="N482">
        <v>0</v>
      </c>
      <c r="O482">
        <v>-3.155303E-4</v>
      </c>
      <c r="P482">
        <v>0.99933499999999997</v>
      </c>
      <c r="Q482">
        <v>1.559897E-2</v>
      </c>
      <c r="R482">
        <v>3.2961509999999999E-2</v>
      </c>
      <c r="S482">
        <v>3.0052490000000001</v>
      </c>
      <c r="T482">
        <v>-8.7091680000000005E-2</v>
      </c>
      <c r="U482">
        <v>-5.6457519999999997E-2</v>
      </c>
      <c r="V482">
        <v>-3.3276050000000001E-2</v>
      </c>
      <c r="W482">
        <v>2.9702889999999999E-2</v>
      </c>
      <c r="X482">
        <v>0.99900469999999997</v>
      </c>
      <c r="Y482">
        <v>1.845987E-2</v>
      </c>
      <c r="Z482">
        <v>-2.582603E-4</v>
      </c>
      <c r="AA482">
        <v>0.99982959999999999</v>
      </c>
      <c r="AB482">
        <v>48</v>
      </c>
      <c r="AC482">
        <v>39.339199999999899</v>
      </c>
      <c r="AD482">
        <v>-1.15384</v>
      </c>
      <c r="AE482">
        <v>-0.74780000000003999</v>
      </c>
      <c r="AF482">
        <v>0.73475415095177898</v>
      </c>
      <c r="AG482">
        <v>-1.15384</v>
      </c>
      <c r="AH482">
        <v>39.305632359072099</v>
      </c>
      <c r="AI482">
        <v>91.681174937828601</v>
      </c>
      <c r="AJ482">
        <v>88.929074366754506</v>
      </c>
      <c r="AK482">
        <v>39.329428492599298</v>
      </c>
      <c r="AL482">
        <v>88.297899373609894</v>
      </c>
      <c r="AM482">
        <v>91.907771380042703</v>
      </c>
      <c r="AN482">
        <v>0.99999997390002104</v>
      </c>
    </row>
    <row r="483" spans="1:40" x14ac:dyDescent="0.3">
      <c r="A483" t="str">
        <f>"20200111153838687"</f>
        <v>20200111153838687</v>
      </c>
      <c r="B483" t="str">
        <f>"1578728318680923"</f>
        <v>1578728318680923</v>
      </c>
      <c r="C483" t="s">
        <v>40</v>
      </c>
      <c r="D483">
        <v>4.8122930000000004</v>
      </c>
      <c r="E483">
        <v>0.5198431</v>
      </c>
      <c r="F483" t="s">
        <v>43</v>
      </c>
      <c r="G483">
        <v>-286.3374</v>
      </c>
      <c r="H483">
        <v>-0.05</v>
      </c>
      <c r="I483">
        <v>366.72</v>
      </c>
      <c r="J483">
        <v>-325.0659</v>
      </c>
      <c r="K483">
        <v>1.1038509999999999</v>
      </c>
      <c r="L483">
        <v>367.4665</v>
      </c>
      <c r="M483">
        <v>0.99989890000000003</v>
      </c>
      <c r="N483">
        <v>0</v>
      </c>
      <c r="O483">
        <v>-3.1528619999999998E-4</v>
      </c>
      <c r="P483">
        <v>0.99935370000000001</v>
      </c>
      <c r="Q483">
        <v>1.6396480000000001E-2</v>
      </c>
      <c r="R483">
        <v>3.1991360000000003E-2</v>
      </c>
      <c r="S483">
        <v>3.00528</v>
      </c>
      <c r="T483">
        <v>-8.8378670000000006E-2</v>
      </c>
      <c r="U483">
        <v>-5.7189940000000002E-2</v>
      </c>
      <c r="V483">
        <v>-3.2305279999999999E-2</v>
      </c>
      <c r="W483">
        <v>3.0600369999999998E-2</v>
      </c>
      <c r="X483">
        <v>0.99900949999999999</v>
      </c>
      <c r="Y483">
        <v>1.8703170000000002E-2</v>
      </c>
      <c r="Z483">
        <v>-2.656553E-4</v>
      </c>
      <c r="AA483">
        <v>0.99982510000000002</v>
      </c>
      <c r="AB483">
        <v>48</v>
      </c>
      <c r="AC483">
        <v>38.728499999999997</v>
      </c>
      <c r="AD483">
        <v>-1.153851</v>
      </c>
      <c r="AE483">
        <v>-0.74649999999996897</v>
      </c>
      <c r="AF483">
        <v>0.73363720155253798</v>
      </c>
      <c r="AG483">
        <v>-1.153851</v>
      </c>
      <c r="AH483">
        <v>38.694399420830301</v>
      </c>
      <c r="AI483">
        <v>91.707723591553702</v>
      </c>
      <c r="AJ483">
        <v>88.913814910637399</v>
      </c>
      <c r="AK483">
        <v>38.7185503630037</v>
      </c>
      <c r="AL483">
        <v>88.246454205330195</v>
      </c>
      <c r="AM483">
        <v>91.852145972437796</v>
      </c>
      <c r="AN483">
        <v>0.99999999742513201</v>
      </c>
    </row>
    <row r="484" spans="1:40" x14ac:dyDescent="0.3">
      <c r="A484" t="str">
        <f>"20200111153838710"</f>
        <v>20200111153838710</v>
      </c>
      <c r="B484" t="str">
        <f>"1578728318700443"</f>
        <v>1578728318700443</v>
      </c>
      <c r="C484" t="s">
        <v>40</v>
      </c>
      <c r="D484">
        <v>4.7903419999999999</v>
      </c>
      <c r="E484">
        <v>0.51988869999999998</v>
      </c>
      <c r="F484" t="s">
        <v>43</v>
      </c>
      <c r="G484">
        <v>-284.60559999999998</v>
      </c>
      <c r="H484">
        <v>-0.05</v>
      </c>
      <c r="I484">
        <v>366.65050000000002</v>
      </c>
      <c r="J484">
        <v>-324.57659999999998</v>
      </c>
      <c r="K484">
        <v>1.1038600000000001</v>
      </c>
      <c r="L484">
        <v>367.46629999999999</v>
      </c>
      <c r="M484">
        <v>0.99989779999999995</v>
      </c>
      <c r="N484">
        <v>0</v>
      </c>
      <c r="O484">
        <v>-3.1516139999999997E-4</v>
      </c>
      <c r="P484">
        <v>0.99937940000000003</v>
      </c>
      <c r="Q484">
        <v>1.6499409999999999E-2</v>
      </c>
      <c r="R484">
        <v>3.1124809999999999E-2</v>
      </c>
      <c r="S484">
        <v>3.00528</v>
      </c>
      <c r="T484">
        <v>-8.5704680000000005E-2</v>
      </c>
      <c r="U484">
        <v>-6.0607910000000001E-2</v>
      </c>
      <c r="V484">
        <v>-3.1438580000000001E-2</v>
      </c>
      <c r="W484">
        <v>3.0786250000000001E-2</v>
      </c>
      <c r="X484">
        <v>0.99903140000000001</v>
      </c>
      <c r="Y484">
        <v>1.983998E-2</v>
      </c>
      <c r="Z484">
        <v>-2.7382650000000003E-4</v>
      </c>
      <c r="AA484">
        <v>0.99980309999999994</v>
      </c>
      <c r="AB484">
        <v>48</v>
      </c>
      <c r="AC484">
        <v>39.970999999999997</v>
      </c>
      <c r="AD484">
        <v>-1.1538600000000001</v>
      </c>
      <c r="AE484">
        <v>-0.815799999999967</v>
      </c>
      <c r="AF484">
        <v>0.80253286120788203</v>
      </c>
      <c r="AG484">
        <v>-1.1538600000000001</v>
      </c>
      <c r="AH484">
        <v>39.937987546106399</v>
      </c>
      <c r="AI484">
        <v>91.654554838478703</v>
      </c>
      <c r="AJ484">
        <v>88.848826362213899</v>
      </c>
      <c r="AK484">
        <v>39.962711383561903</v>
      </c>
      <c r="AL484">
        <v>88.235798975754506</v>
      </c>
      <c r="AM484">
        <v>91.802449544037799</v>
      </c>
      <c r="AN484">
        <v>0.99999995784371798</v>
      </c>
    </row>
    <row r="485" spans="1:40" x14ac:dyDescent="0.3">
      <c r="A485" t="str">
        <f>"20200111153838730"</f>
        <v>20200111153838730</v>
      </c>
      <c r="B485" t="str">
        <f>"1578728318720939"</f>
        <v>1578728318720939</v>
      </c>
      <c r="C485" t="s">
        <v>40</v>
      </c>
      <c r="D485">
        <v>4.8262799999999997</v>
      </c>
      <c r="E485">
        <v>0.5199471</v>
      </c>
      <c r="F485" t="s">
        <v>43</v>
      </c>
      <c r="G485">
        <v>-284.11160000000001</v>
      </c>
      <c r="H485">
        <v>-0.05</v>
      </c>
      <c r="I485">
        <v>366.6112</v>
      </c>
      <c r="J485">
        <v>-324.12950000000001</v>
      </c>
      <c r="K485">
        <v>1.1038680000000001</v>
      </c>
      <c r="L485">
        <v>367.46620000000001</v>
      </c>
      <c r="M485">
        <v>0.99989689999999998</v>
      </c>
      <c r="N485">
        <v>0</v>
      </c>
      <c r="O485">
        <v>-3.1514919999999999E-4</v>
      </c>
      <c r="P485">
        <v>0.99941760000000002</v>
      </c>
      <c r="Q485">
        <v>1.6039370000000001E-2</v>
      </c>
      <c r="R485">
        <v>3.012476E-2</v>
      </c>
      <c r="S485">
        <v>3.00528</v>
      </c>
      <c r="T485">
        <v>-8.5695510000000003E-2</v>
      </c>
      <c r="U485">
        <v>-6.3507079999999994E-2</v>
      </c>
      <c r="V485">
        <v>-3.0438550000000002E-2</v>
      </c>
      <c r="W485">
        <v>3.0391129999999999E-2</v>
      </c>
      <c r="X485">
        <v>0.99907449999999998</v>
      </c>
      <c r="Y485">
        <v>2.080369E-2</v>
      </c>
      <c r="Z485">
        <v>-2.8753060000000002E-4</v>
      </c>
      <c r="AA485">
        <v>0.99978350000000005</v>
      </c>
      <c r="AB485">
        <v>48</v>
      </c>
      <c r="AC485">
        <v>40.017899999999997</v>
      </c>
      <c r="AD485">
        <v>-1.1538679999999999</v>
      </c>
      <c r="AE485">
        <v>-0.85500000000001797</v>
      </c>
      <c r="AF485">
        <v>0.84168759904648005</v>
      </c>
      <c r="AG485">
        <v>-1.1538679999999999</v>
      </c>
      <c r="AH485">
        <v>39.984939667846199</v>
      </c>
      <c r="AI485">
        <v>91.652592057044203</v>
      </c>
      <c r="AJ485">
        <v>88.794095316512596</v>
      </c>
      <c r="AK485">
        <v>40.010439257987599</v>
      </c>
      <c r="AL485">
        <v>88.258448342189695</v>
      </c>
      <c r="AM485">
        <v>91.745076210938606</v>
      </c>
      <c r="AN485">
        <v>0.999999991329514</v>
      </c>
    </row>
    <row r="486" spans="1:40" x14ac:dyDescent="0.3">
      <c r="A486" t="str">
        <f>"20200111153838753"</f>
        <v>20200111153838753</v>
      </c>
      <c r="B486" t="str">
        <f>"1578728318740459"</f>
        <v>1578728318740459</v>
      </c>
      <c r="C486" t="s">
        <v>40</v>
      </c>
      <c r="D486">
        <v>5.0279369999999997</v>
      </c>
      <c r="E486">
        <v>0.51987740000000005</v>
      </c>
      <c r="F486" t="s">
        <v>43</v>
      </c>
      <c r="G486">
        <v>-284.24610000000001</v>
      </c>
      <c r="H486">
        <v>-0.05</v>
      </c>
      <c r="I486">
        <v>366.5772</v>
      </c>
      <c r="J486">
        <v>-323.67340000000002</v>
      </c>
      <c r="K486">
        <v>1.103872</v>
      </c>
      <c r="L486">
        <v>367.46609999999998</v>
      </c>
      <c r="M486">
        <v>0.99989600000000001</v>
      </c>
      <c r="N486">
        <v>0</v>
      </c>
      <c r="O486">
        <v>-3.1472649999999999E-4</v>
      </c>
      <c r="P486">
        <v>0.99944659999999996</v>
      </c>
      <c r="Q486">
        <v>1.5620429999999999E-2</v>
      </c>
      <c r="R486">
        <v>2.9369429999999998E-2</v>
      </c>
      <c r="S486">
        <v>3.0052189999999999</v>
      </c>
      <c r="T486">
        <v>-8.6944220000000003E-2</v>
      </c>
      <c r="U486">
        <v>-6.6986080000000003E-2</v>
      </c>
      <c r="V486">
        <v>-2.9682819999999999E-2</v>
      </c>
      <c r="W486">
        <v>3.0029380000000001E-2</v>
      </c>
      <c r="X486">
        <v>0.9991082</v>
      </c>
      <c r="Y486">
        <v>2.196066E-2</v>
      </c>
      <c r="Z486">
        <v>-3.0846360000000002E-4</v>
      </c>
      <c r="AA486">
        <v>0.99975879999999995</v>
      </c>
      <c r="AB486">
        <v>48</v>
      </c>
      <c r="AC486">
        <v>39.427300000000002</v>
      </c>
      <c r="AD486">
        <v>-1.153872</v>
      </c>
      <c r="AE486">
        <v>-0.88889999999997804</v>
      </c>
      <c r="AF486">
        <v>0.875740170056584</v>
      </c>
      <c r="AG486">
        <v>-1.153872</v>
      </c>
      <c r="AH486">
        <v>39.393854620609901</v>
      </c>
      <c r="AI486">
        <v>91.677337326063906</v>
      </c>
      <c r="AJ486">
        <v>88.726503077538197</v>
      </c>
      <c r="AK486">
        <v>39.420478476390699</v>
      </c>
      <c r="AL486">
        <v>88.279184595122203</v>
      </c>
      <c r="AM486">
        <v>91.701717796173895</v>
      </c>
      <c r="AN486">
        <v>1.00000001438678</v>
      </c>
    </row>
    <row r="487" spans="1:40" x14ac:dyDescent="0.3">
      <c r="A487" t="str">
        <f>"20200111153838775"</f>
        <v>20200111153838775</v>
      </c>
      <c r="B487" t="str">
        <f>"1578728318770715"</f>
        <v>1578728318770715</v>
      </c>
      <c r="C487" t="s">
        <v>40</v>
      </c>
      <c r="D487">
        <v>4.8491679999999997</v>
      </c>
      <c r="E487">
        <v>0.48389349999999998</v>
      </c>
      <c r="F487" t="s">
        <v>43</v>
      </c>
      <c r="G487">
        <v>-284.59559999999999</v>
      </c>
      <c r="H487">
        <v>-0.05</v>
      </c>
      <c r="I487">
        <v>366.57229999999998</v>
      </c>
      <c r="J487">
        <v>-323.18959999999998</v>
      </c>
      <c r="K487">
        <v>1.1038840000000001</v>
      </c>
      <c r="L487">
        <v>367.46589999999998</v>
      </c>
      <c r="M487">
        <v>0.99989530000000004</v>
      </c>
      <c r="N487">
        <v>0</v>
      </c>
      <c r="O487">
        <v>-3.1462809999999999E-4</v>
      </c>
      <c r="P487">
        <v>0.99944999999999995</v>
      </c>
      <c r="Q487">
        <v>1.5321E-2</v>
      </c>
      <c r="R487">
        <v>2.9414740000000002E-2</v>
      </c>
      <c r="S487">
        <v>3.0050349999999999</v>
      </c>
      <c r="T487">
        <v>-8.8731290000000004E-2</v>
      </c>
      <c r="U487">
        <v>-6.8725590000000003E-2</v>
      </c>
      <c r="V487">
        <v>-2.9728310000000001E-2</v>
      </c>
      <c r="W487">
        <v>2.9782489999999998E-2</v>
      </c>
      <c r="X487">
        <v>0.99911419999999995</v>
      </c>
      <c r="Y487">
        <v>2.2539900000000002E-2</v>
      </c>
      <c r="Z487">
        <v>-3.2337000000000002E-4</v>
      </c>
      <c r="AA487">
        <v>0.99974589999999997</v>
      </c>
      <c r="AB487">
        <v>48</v>
      </c>
      <c r="AC487">
        <v>38.594000000000001</v>
      </c>
      <c r="AD487">
        <v>-1.1538839999999999</v>
      </c>
      <c r="AE487">
        <v>-0.89359999999999196</v>
      </c>
      <c r="AF487">
        <v>0.88066912731208502</v>
      </c>
      <c r="AG487">
        <v>-1.1538839999999999</v>
      </c>
      <c r="AH487">
        <v>38.559829442414603</v>
      </c>
      <c r="AI487">
        <v>91.713590022376593</v>
      </c>
      <c r="AJ487">
        <v>88.691647390940702</v>
      </c>
      <c r="AK487">
        <v>38.587141291178298</v>
      </c>
      <c r="AL487">
        <v>88.293336615914697</v>
      </c>
      <c r="AM487">
        <v>91.704313974602101</v>
      </c>
      <c r="AN487">
        <v>0.99999997688384701</v>
      </c>
    </row>
    <row r="488" spans="1:40" x14ac:dyDescent="0.3">
      <c r="A488" t="str">
        <f>"20200111153838798"</f>
        <v>20200111153838798</v>
      </c>
      <c r="B488" t="str">
        <f>"1578728318791211"</f>
        <v>1578728318791211</v>
      </c>
      <c r="C488" t="s">
        <v>40</v>
      </c>
      <c r="D488">
        <v>4.8012319999999997</v>
      </c>
      <c r="E488">
        <v>0.48000130000000002</v>
      </c>
      <c r="F488" t="s">
        <v>43</v>
      </c>
      <c r="G488">
        <v>-290.52879999999999</v>
      </c>
      <c r="H488">
        <v>-0.05</v>
      </c>
      <c r="I488">
        <v>369.84629999999999</v>
      </c>
      <c r="J488">
        <v>-322.69119999999998</v>
      </c>
      <c r="K488">
        <v>1.103891</v>
      </c>
      <c r="L488">
        <v>367.4658</v>
      </c>
      <c r="M488">
        <v>0.99989470000000003</v>
      </c>
      <c r="N488">
        <v>0</v>
      </c>
      <c r="O488">
        <v>-3.14359E-4</v>
      </c>
      <c r="P488">
        <v>0.99943579999999999</v>
      </c>
      <c r="Q488">
        <v>1.518918E-2</v>
      </c>
      <c r="R488">
        <v>2.995888E-2</v>
      </c>
      <c r="S488">
        <v>2.996826</v>
      </c>
      <c r="T488">
        <v>-0.10587580000000001</v>
      </c>
      <c r="U488">
        <v>0.21841430000000001</v>
      </c>
      <c r="V488">
        <v>-3.0272440000000001E-2</v>
      </c>
      <c r="W488">
        <v>2.9695269999999999E-2</v>
      </c>
      <c r="X488">
        <v>0.99910049999999995</v>
      </c>
      <c r="Y488">
        <v>-7.2957170000000002E-2</v>
      </c>
      <c r="Z488">
        <v>1.297746E-3</v>
      </c>
      <c r="AA488">
        <v>0.99733419999999895</v>
      </c>
      <c r="AB488">
        <v>48</v>
      </c>
      <c r="AC488">
        <v>32.162399999999899</v>
      </c>
      <c r="AD488">
        <v>-1.153891</v>
      </c>
      <c r="AE488">
        <v>2.3804999999999801</v>
      </c>
      <c r="AF488">
        <v>-2.3875550639019298</v>
      </c>
      <c r="AG488">
        <v>-1.153891</v>
      </c>
      <c r="AH488">
        <v>32.120530983246098</v>
      </c>
      <c r="AI488">
        <v>92.051741057601106</v>
      </c>
      <c r="AJ488">
        <v>94.251041836039207</v>
      </c>
      <c r="AK488">
        <v>32.229805991794599</v>
      </c>
      <c r="AL488">
        <v>88.298336237569202</v>
      </c>
      <c r="AM488">
        <v>91.735513641129103</v>
      </c>
      <c r="AN488">
        <v>1.0000000193920799</v>
      </c>
    </row>
    <row r="489" spans="1:40" x14ac:dyDescent="0.3">
      <c r="A489" t="str">
        <f>"20200111153838820"</f>
        <v>20200111153838820</v>
      </c>
      <c r="B489" t="str">
        <f>"1578728318810734"</f>
        <v>1578728318810734</v>
      </c>
      <c r="C489" t="s">
        <v>40</v>
      </c>
      <c r="D489">
        <v>4.7334019999999999</v>
      </c>
      <c r="E489">
        <v>0.47904679999999999</v>
      </c>
      <c r="F489" t="s">
        <v>43</v>
      </c>
      <c r="G489">
        <v>-293.89800000000002</v>
      </c>
      <c r="H489">
        <v>-0.05</v>
      </c>
      <c r="I489">
        <v>369.88159999999999</v>
      </c>
      <c r="J489">
        <v>-322.22629999999998</v>
      </c>
      <c r="K489">
        <v>1.1039000000000001</v>
      </c>
      <c r="L489">
        <v>367.46559999999999</v>
      </c>
      <c r="M489">
        <v>0.99989430000000001</v>
      </c>
      <c r="N489">
        <v>0</v>
      </c>
      <c r="O489">
        <v>-3.1414270000000002E-4</v>
      </c>
      <c r="P489">
        <v>0.99941360000000001</v>
      </c>
      <c r="Q489">
        <v>1.4998569999999999E-2</v>
      </c>
      <c r="R489">
        <v>3.078784E-2</v>
      </c>
      <c r="S489">
        <v>2.9959720000000001</v>
      </c>
      <c r="T489">
        <v>-0.120064</v>
      </c>
      <c r="U489">
        <v>0.25137330000000002</v>
      </c>
      <c r="V489">
        <v>-3.1101050000000002E-2</v>
      </c>
      <c r="W489">
        <v>2.9540360000000002E-2</v>
      </c>
      <c r="X489">
        <v>0.99907959999999996</v>
      </c>
      <c r="Y489">
        <v>-8.3855959999999993E-2</v>
      </c>
      <c r="Z489">
        <v>1.689217E-3</v>
      </c>
      <c r="AA489">
        <v>0.99647649999999999</v>
      </c>
      <c r="AB489">
        <v>48</v>
      </c>
      <c r="AC489">
        <v>28.328299999999999</v>
      </c>
      <c r="AD489">
        <v>-1.1538999999999999</v>
      </c>
      <c r="AE489">
        <v>2.4159999999999902</v>
      </c>
      <c r="AF489">
        <v>-2.4209122092449902</v>
      </c>
      <c r="AG489">
        <v>-1.1538999999999999</v>
      </c>
      <c r="AH489">
        <v>28.280955001806799</v>
      </c>
      <c r="AI489">
        <v>92.327942590511498</v>
      </c>
      <c r="AJ489">
        <v>94.892717681547396</v>
      </c>
      <c r="AK489">
        <v>28.407828444798302</v>
      </c>
      <c r="AL489">
        <v>88.307215751449704</v>
      </c>
      <c r="AM489">
        <v>91.783024726455693</v>
      </c>
      <c r="AN489">
        <v>0.99999997765809501</v>
      </c>
    </row>
    <row r="490" spans="1:40" x14ac:dyDescent="0.3">
      <c r="A490" t="str">
        <f>"20200111153838841"</f>
        <v>20200111153838841</v>
      </c>
      <c r="B490" t="str">
        <f>"1578728318831230"</f>
        <v>1578728318831230</v>
      </c>
      <c r="C490" t="s">
        <v>40</v>
      </c>
      <c r="D490">
        <v>4.7515559999999999</v>
      </c>
      <c r="E490">
        <v>0.47923529999999998</v>
      </c>
      <c r="F490" t="s">
        <v>43</v>
      </c>
      <c r="G490">
        <v>-293.65859999999998</v>
      </c>
      <c r="H490">
        <v>-0.05</v>
      </c>
      <c r="I490">
        <v>369.95609999999999</v>
      </c>
      <c r="J490">
        <v>-321.7724</v>
      </c>
      <c r="K490">
        <v>1.1039060000000001</v>
      </c>
      <c r="L490">
        <v>367.46550000000002</v>
      </c>
      <c r="M490">
        <v>0.9998937</v>
      </c>
      <c r="N490">
        <v>0</v>
      </c>
      <c r="O490">
        <v>-3.1388489999999999E-4</v>
      </c>
      <c r="P490">
        <v>0.9993959</v>
      </c>
      <c r="Q490">
        <v>1.459938E-2</v>
      </c>
      <c r="R490">
        <v>3.1540400000000003E-2</v>
      </c>
      <c r="S490">
        <v>2.995514</v>
      </c>
      <c r="T490">
        <v>-0.1209944</v>
      </c>
      <c r="U490">
        <v>0.26113890000000001</v>
      </c>
      <c r="V490">
        <v>-3.1853140000000002E-2</v>
      </c>
      <c r="W490">
        <v>2.9170970000000001E-2</v>
      </c>
      <c r="X490">
        <v>0.99906680000000003</v>
      </c>
      <c r="Y490">
        <v>-8.7089269999999996E-2</v>
      </c>
      <c r="Z490">
        <v>1.76746E-3</v>
      </c>
      <c r="AA490">
        <v>0.99619899999999995</v>
      </c>
      <c r="AB490">
        <v>48</v>
      </c>
      <c r="AC490">
        <v>28.113800000000001</v>
      </c>
      <c r="AD490">
        <v>-1.1539059999999901</v>
      </c>
      <c r="AE490">
        <v>2.4905999999999699</v>
      </c>
      <c r="AF490">
        <v>-2.4952544918637201</v>
      </c>
      <c r="AG490">
        <v>-1.1539059999999901</v>
      </c>
      <c r="AH490">
        <v>28.066104248076599</v>
      </c>
      <c r="AI490">
        <v>92.345085412553502</v>
      </c>
      <c r="AJ490">
        <v>95.080599662481205</v>
      </c>
      <c r="AK490">
        <v>28.200425558844</v>
      </c>
      <c r="AL490">
        <v>88.328389435102494</v>
      </c>
      <c r="AM490">
        <v>91.826136614401605</v>
      </c>
      <c r="AN490">
        <v>1.0000000194404199</v>
      </c>
    </row>
    <row r="491" spans="1:40" x14ac:dyDescent="0.3">
      <c r="A491" t="str">
        <f>"20200111153838877"</f>
        <v>20200111153838877</v>
      </c>
      <c r="B491" t="str">
        <f>"1578728318871243"</f>
        <v>1578728318871243</v>
      </c>
      <c r="C491" t="s">
        <v>40</v>
      </c>
      <c r="D491">
        <v>4.7676879999999997</v>
      </c>
      <c r="E491">
        <v>0.47933100000000001</v>
      </c>
      <c r="F491" t="s">
        <v>43</v>
      </c>
      <c r="G491">
        <v>-293.50319999999999</v>
      </c>
      <c r="H491">
        <v>-0.05</v>
      </c>
      <c r="I491">
        <v>369.9425</v>
      </c>
      <c r="J491">
        <v>-321.04430000000002</v>
      </c>
      <c r="K491">
        <v>1.1039019999999999</v>
      </c>
      <c r="L491">
        <v>367.46530000000001</v>
      </c>
      <c r="M491">
        <v>0.9998939</v>
      </c>
      <c r="N491">
        <v>0</v>
      </c>
      <c r="O491">
        <v>-3.138355E-4</v>
      </c>
      <c r="P491">
        <v>0.99940399999999996</v>
      </c>
      <c r="Q491">
        <v>1.423512E-2</v>
      </c>
      <c r="R491">
        <v>3.1455549999999999E-2</v>
      </c>
      <c r="S491">
        <v>2.9952999999999999</v>
      </c>
      <c r="T491">
        <v>-0.1222637</v>
      </c>
      <c r="U491">
        <v>0.2624512</v>
      </c>
      <c r="V491">
        <v>-3.1767740000000003E-2</v>
      </c>
      <c r="W491">
        <v>2.8799669999999999E-2</v>
      </c>
      <c r="X491">
        <v>0.99908030000000003</v>
      </c>
      <c r="Y491">
        <v>-8.7526629999999994E-2</v>
      </c>
      <c r="Z491">
        <v>1.7949820000000001E-3</v>
      </c>
      <c r="AA491">
        <v>0.99616059999999995</v>
      </c>
      <c r="AB491">
        <v>48</v>
      </c>
      <c r="AC491">
        <v>27.5411</v>
      </c>
      <c r="AD491">
        <v>-1.153902</v>
      </c>
      <c r="AE491">
        <v>2.4771999999999799</v>
      </c>
      <c r="AF491">
        <v>-2.4815230706709102</v>
      </c>
      <c r="AG491">
        <v>-1.153902</v>
      </c>
      <c r="AH491">
        <v>27.492448274769298</v>
      </c>
      <c r="AI491">
        <v>92.393665136248302</v>
      </c>
      <c r="AJ491">
        <v>95.157654476496603</v>
      </c>
      <c r="AK491">
        <v>27.628321677523999</v>
      </c>
      <c r="AL491">
        <v>88.349672314259095</v>
      </c>
      <c r="AM491">
        <v>91.821219351678394</v>
      </c>
      <c r="AN491">
        <v>1.0000000280724499</v>
      </c>
    </row>
    <row r="492" spans="1:40" x14ac:dyDescent="0.3">
      <c r="A492" t="str">
        <f>"20200111153838899"</f>
        <v>20200111153838899</v>
      </c>
      <c r="B492" t="str">
        <f>"1578728318890767"</f>
        <v>1578728318890767</v>
      </c>
      <c r="C492" t="s">
        <v>40</v>
      </c>
      <c r="D492">
        <v>4.7678459999999996</v>
      </c>
      <c r="E492">
        <v>0.4794696</v>
      </c>
      <c r="F492" t="s">
        <v>43</v>
      </c>
      <c r="G492">
        <v>-293.12650000000002</v>
      </c>
      <c r="H492">
        <v>-0.05</v>
      </c>
      <c r="I492">
        <v>369.9015</v>
      </c>
      <c r="J492">
        <v>-320.54410000000001</v>
      </c>
      <c r="K492">
        <v>1.1036459999999999</v>
      </c>
      <c r="L492">
        <v>367.46510000000001</v>
      </c>
      <c r="M492">
        <v>0.99990630000000003</v>
      </c>
      <c r="N492">
        <v>0</v>
      </c>
      <c r="O492">
        <v>-3.1403010000000001E-4</v>
      </c>
      <c r="P492">
        <v>0.99939829999999996</v>
      </c>
      <c r="Q492">
        <v>1.46702E-2</v>
      </c>
      <c r="R492">
        <v>3.1431069999999998E-2</v>
      </c>
      <c r="S492">
        <v>2.9953310000000002</v>
      </c>
      <c r="T492">
        <v>-0.12380330000000001</v>
      </c>
      <c r="U492">
        <v>0.26138309999999998</v>
      </c>
      <c r="V492">
        <v>-3.1743840000000002E-2</v>
      </c>
      <c r="W492">
        <v>2.8354009999999999E-2</v>
      </c>
      <c r="X492">
        <v>0.99909380000000003</v>
      </c>
      <c r="Y492">
        <v>-8.7171869999999999E-2</v>
      </c>
      <c r="Z492">
        <v>1.810269E-3</v>
      </c>
      <c r="AA492">
        <v>0.99619159999999995</v>
      </c>
      <c r="AB492">
        <v>47</v>
      </c>
      <c r="AC492">
        <v>27.4176</v>
      </c>
      <c r="AD492">
        <v>-1.1536459999999999</v>
      </c>
      <c r="AE492">
        <v>2.4363999999999901</v>
      </c>
      <c r="AF492">
        <v>-2.4407232889309198</v>
      </c>
      <c r="AG492">
        <v>-1.1536459999999999</v>
      </c>
      <c r="AH492">
        <v>27.368757799724101</v>
      </c>
      <c r="AI492">
        <v>92.404169005956803</v>
      </c>
      <c r="AJ492">
        <v>95.096109320470205</v>
      </c>
      <c r="AK492">
        <v>27.5015805503321</v>
      </c>
      <c r="AL492">
        <v>88.375217172288004</v>
      </c>
      <c r="AM492">
        <v>91.819825531587497</v>
      </c>
      <c r="AN492">
        <v>1.00000002122973</v>
      </c>
    </row>
    <row r="493" spans="1:40" x14ac:dyDescent="0.3">
      <c r="A493" t="str">
        <f>"20200111153838920"</f>
        <v>20200111153838920</v>
      </c>
      <c r="B493" t="str">
        <f>"1578728318911261"</f>
        <v>1578728318911261</v>
      </c>
      <c r="C493" t="s">
        <v>40</v>
      </c>
      <c r="D493">
        <v>4.7567320000000004</v>
      </c>
      <c r="E493">
        <v>0.4795797</v>
      </c>
      <c r="F493" t="s">
        <v>43</v>
      </c>
      <c r="G493">
        <v>-292.77910000000003</v>
      </c>
      <c r="H493">
        <v>-0.05</v>
      </c>
      <c r="I493">
        <v>369.87700000000001</v>
      </c>
      <c r="J493">
        <v>-320.09390000000002</v>
      </c>
      <c r="K493">
        <v>1.1033999999999999</v>
      </c>
      <c r="L493">
        <v>367.46499999999997</v>
      </c>
      <c r="M493">
        <v>0.99991200000000002</v>
      </c>
      <c r="N493">
        <v>0</v>
      </c>
      <c r="O493">
        <v>-3.1453330000000003E-4</v>
      </c>
      <c r="P493">
        <v>0.99942399999999998</v>
      </c>
      <c r="Q493">
        <v>1.501868E-2</v>
      </c>
      <c r="R493">
        <v>3.0435690000000001E-2</v>
      </c>
      <c r="S493">
        <v>2.9953919999999998</v>
      </c>
      <c r="T493">
        <v>-0.12445929999999999</v>
      </c>
      <c r="U493">
        <v>0.2601929</v>
      </c>
      <c r="V493">
        <v>-3.074868E-2</v>
      </c>
      <c r="W493">
        <v>2.828394E-2</v>
      </c>
      <c r="X493">
        <v>0.99912690000000004</v>
      </c>
      <c r="Y493">
        <v>-8.6777290000000007E-2</v>
      </c>
      <c r="Z493">
        <v>1.8116899999999999E-3</v>
      </c>
      <c r="AA493">
        <v>0.9962261</v>
      </c>
      <c r="AB493">
        <v>48</v>
      </c>
      <c r="AC493">
        <v>27.314799999999899</v>
      </c>
      <c r="AD493">
        <v>-1.1534</v>
      </c>
      <c r="AE493">
        <v>2.4119999999999702</v>
      </c>
      <c r="AF493">
        <v>-2.41631696856179</v>
      </c>
      <c r="AG493">
        <v>-1.1534</v>
      </c>
      <c r="AH493">
        <v>27.265799762635599</v>
      </c>
      <c r="AI493">
        <v>92.412841352168996</v>
      </c>
      <c r="AJ493">
        <v>95.064367512870405</v>
      </c>
      <c r="AK493">
        <v>27.396947931269601</v>
      </c>
      <c r="AL493">
        <v>88.379233484028205</v>
      </c>
      <c r="AM493">
        <v>91.762752753986504</v>
      </c>
      <c r="AN493">
        <v>1.0000000124436299</v>
      </c>
    </row>
    <row r="494" spans="1:40" x14ac:dyDescent="0.3">
      <c r="A494" t="str">
        <f>"20200111153838942"</f>
        <v>20200111153838942</v>
      </c>
      <c r="B494" t="str">
        <f>"1578728318930779"</f>
        <v>1578728318930779</v>
      </c>
      <c r="C494" t="s">
        <v>40</v>
      </c>
      <c r="D494">
        <v>4.7985170000000004</v>
      </c>
      <c r="E494">
        <v>0.47964099999999998</v>
      </c>
      <c r="F494" t="s">
        <v>43</v>
      </c>
      <c r="G494">
        <v>-292.58929999999998</v>
      </c>
      <c r="H494">
        <v>-0.05</v>
      </c>
      <c r="I494">
        <v>369.8168</v>
      </c>
      <c r="J494">
        <v>-319.62920000000003</v>
      </c>
      <c r="K494">
        <v>1.1031059999999999</v>
      </c>
      <c r="L494">
        <v>367.4649</v>
      </c>
      <c r="M494">
        <v>0.99990829999999997</v>
      </c>
      <c r="N494">
        <v>0</v>
      </c>
      <c r="O494">
        <v>-3.1502130000000001E-4</v>
      </c>
      <c r="P494">
        <v>0.99943139999999997</v>
      </c>
      <c r="Q494">
        <v>1.563904E-2</v>
      </c>
      <c r="R494">
        <v>2.987424E-2</v>
      </c>
      <c r="S494">
        <v>2.995819</v>
      </c>
      <c r="T494">
        <v>-0.1256292</v>
      </c>
      <c r="U494">
        <v>0.25616460000000002</v>
      </c>
      <c r="V494">
        <v>-3.0188110000000001E-2</v>
      </c>
      <c r="W494">
        <v>2.9171929999999999E-2</v>
      </c>
      <c r="X494">
        <v>0.99911839999999996</v>
      </c>
      <c r="Y494">
        <v>-8.5435549999999999E-2</v>
      </c>
      <c r="Z494">
        <v>1.800502E-3</v>
      </c>
      <c r="AA494">
        <v>0.99634210000000001</v>
      </c>
      <c r="AB494">
        <v>48</v>
      </c>
      <c r="AC494">
        <v>27.039899999999999</v>
      </c>
      <c r="AD494">
        <v>-1.153106</v>
      </c>
      <c r="AE494">
        <v>2.3519000000000001</v>
      </c>
      <c r="AF494">
        <v>-2.3561661451806701</v>
      </c>
      <c r="AG494">
        <v>-1.153106</v>
      </c>
      <c r="AH494">
        <v>26.990442423961401</v>
      </c>
      <c r="AI494">
        <v>92.437088533273396</v>
      </c>
      <c r="AJ494">
        <v>94.989062734496301</v>
      </c>
      <c r="AK494">
        <v>27.117617052243101</v>
      </c>
      <c r="AL494">
        <v>88.328334292211196</v>
      </c>
      <c r="AM494">
        <v>91.7306509737639</v>
      </c>
      <c r="AN494">
        <v>0.99999995035192701</v>
      </c>
    </row>
    <row r="495" spans="1:40" x14ac:dyDescent="0.3">
      <c r="A495" t="str">
        <f>"20200111153838964"</f>
        <v>20200111153838964</v>
      </c>
      <c r="B495" t="str">
        <f>"1578728318961035"</f>
        <v>1578728318961035</v>
      </c>
      <c r="C495" t="s">
        <v>40</v>
      </c>
      <c r="D495">
        <v>4.8692799999999998</v>
      </c>
      <c r="E495">
        <v>0.47956280000000001</v>
      </c>
      <c r="F495" t="s">
        <v>43</v>
      </c>
      <c r="G495">
        <v>-291.96719999999999</v>
      </c>
      <c r="H495">
        <v>-0.05</v>
      </c>
      <c r="I495">
        <v>369.81169999999997</v>
      </c>
      <c r="J495">
        <v>-319.14879999999999</v>
      </c>
      <c r="K495">
        <v>1.1026020000000001</v>
      </c>
      <c r="L495">
        <v>367.46480000000003</v>
      </c>
      <c r="M495">
        <v>0.99989810000000001</v>
      </c>
      <c r="N495">
        <v>0</v>
      </c>
      <c r="O495">
        <v>-3.1571069999999999E-4</v>
      </c>
      <c r="P495">
        <v>0.99944630000000001</v>
      </c>
      <c r="Q495">
        <v>1.518662E-2</v>
      </c>
      <c r="R495">
        <v>2.9603440000000002E-2</v>
      </c>
      <c r="S495">
        <v>2.9960629999999999</v>
      </c>
      <c r="T495">
        <v>-0.1248924</v>
      </c>
      <c r="U495">
        <v>0.25418089999999999</v>
      </c>
      <c r="V495">
        <v>-2.9918210000000001E-2</v>
      </c>
      <c r="W495">
        <v>2.9449800000000002E-2</v>
      </c>
      <c r="X495">
        <v>0.99911839999999996</v>
      </c>
      <c r="Y495">
        <v>-8.4775840000000005E-2</v>
      </c>
      <c r="Z495">
        <v>1.776164E-3</v>
      </c>
      <c r="AA495">
        <v>0.99639840000000002</v>
      </c>
      <c r="AB495">
        <v>48</v>
      </c>
      <c r="AC495">
        <v>27.1816</v>
      </c>
      <c r="AD495">
        <v>-1.1526019999999999</v>
      </c>
      <c r="AE495">
        <v>2.3468999999999398</v>
      </c>
      <c r="AF495">
        <v>-2.3512857665622202</v>
      </c>
      <c r="AG495">
        <v>-1.1526019999999999</v>
      </c>
      <c r="AH495">
        <v>27.132432381786799</v>
      </c>
      <c r="AI495">
        <v>92.423424639638895</v>
      </c>
      <c r="AJ495">
        <v>94.952855667399007</v>
      </c>
      <c r="AK495">
        <v>27.258501849490401</v>
      </c>
      <c r="AL495">
        <v>88.312406725870801</v>
      </c>
      <c r="AM495">
        <v>91.715187189191596</v>
      </c>
      <c r="AN495">
        <v>0.99999998361410103</v>
      </c>
    </row>
    <row r="496" spans="1:40" x14ac:dyDescent="0.3">
      <c r="A496" t="str">
        <f>"20200111153838988"</f>
        <v>20200111153838988</v>
      </c>
      <c r="B496" t="str">
        <f>"1578728318980555"</f>
        <v>1578728318980555</v>
      </c>
      <c r="C496" t="s">
        <v>40</v>
      </c>
      <c r="D496">
        <v>4.7977959999999999</v>
      </c>
      <c r="E496">
        <v>0.47984579999999999</v>
      </c>
      <c r="F496" t="s">
        <v>43</v>
      </c>
      <c r="G496">
        <v>-291.50479999999999</v>
      </c>
      <c r="H496">
        <v>-0.05</v>
      </c>
      <c r="I496">
        <v>369.80860000000001</v>
      </c>
      <c r="J496">
        <v>-318.64980000000003</v>
      </c>
      <c r="K496">
        <v>1.1017980000000001</v>
      </c>
      <c r="L496">
        <v>367.46460000000002</v>
      </c>
      <c r="M496">
        <v>0.99988100000000002</v>
      </c>
      <c r="N496">
        <v>0</v>
      </c>
      <c r="O496">
        <v>-3.1490229999999998E-4</v>
      </c>
      <c r="P496">
        <v>0.99945589999999995</v>
      </c>
      <c r="Q496">
        <v>1.4549009999999999E-2</v>
      </c>
      <c r="R496">
        <v>2.9599210000000001E-2</v>
      </c>
      <c r="S496">
        <v>2.9960330000000002</v>
      </c>
      <c r="T496">
        <v>-0.1249178</v>
      </c>
      <c r="U496">
        <v>0.25402829999999998</v>
      </c>
      <c r="V496">
        <v>-2.991299E-2</v>
      </c>
      <c r="W496">
        <v>2.9967420000000002E-2</v>
      </c>
      <c r="X496">
        <v>0.99910319999999997</v>
      </c>
      <c r="Y496">
        <v>-8.4725540000000002E-2</v>
      </c>
      <c r="Z496">
        <v>1.7754680000000001E-3</v>
      </c>
      <c r="AA496">
        <v>0.99640269999999997</v>
      </c>
      <c r="AB496">
        <v>48</v>
      </c>
      <c r="AC496">
        <v>27.145</v>
      </c>
      <c r="AD496">
        <v>-1.1517979999999901</v>
      </c>
      <c r="AE496">
        <v>2.3439999999999901</v>
      </c>
      <c r="AF496">
        <v>-2.3483522047635002</v>
      </c>
      <c r="AG496">
        <v>-1.1517979999999901</v>
      </c>
      <c r="AH496">
        <v>27.095837710218301</v>
      </c>
      <c r="AI496">
        <v>92.425001168602606</v>
      </c>
      <c r="AJ496">
        <v>94.953354588857493</v>
      </c>
      <c r="AK496">
        <v>27.2217893961604</v>
      </c>
      <c r="AL496">
        <v>88.282736247479605</v>
      </c>
      <c r="AM496">
        <v>91.714914183567004</v>
      </c>
      <c r="AN496">
        <v>1.0000000187412099</v>
      </c>
    </row>
    <row r="497" spans="1:40" x14ac:dyDescent="0.3">
      <c r="A497" t="str">
        <f>"20200111153839009"</f>
        <v>20200111153839009</v>
      </c>
      <c r="B497" t="str">
        <f>"1578728319001054"</f>
        <v>1578728319001054</v>
      </c>
      <c r="C497" t="s">
        <v>40</v>
      </c>
      <c r="D497">
        <v>4.7931970000000002</v>
      </c>
      <c r="E497">
        <v>0.4800238</v>
      </c>
      <c r="F497" t="s">
        <v>43</v>
      </c>
      <c r="G497">
        <v>-290.8492</v>
      </c>
      <c r="H497">
        <v>-0.05</v>
      </c>
      <c r="I497">
        <v>369.80079999999998</v>
      </c>
      <c r="J497">
        <v>-318.18979999999999</v>
      </c>
      <c r="K497">
        <v>1.100773</v>
      </c>
      <c r="L497">
        <v>367.46449999999999</v>
      </c>
      <c r="M497">
        <v>0.99986019999999998</v>
      </c>
      <c r="N497">
        <v>0</v>
      </c>
      <c r="O497">
        <v>-3.1279620000000002E-4</v>
      </c>
      <c r="P497">
        <v>0.99945919999999999</v>
      </c>
      <c r="Q497">
        <v>1.338496E-2</v>
      </c>
      <c r="R497">
        <v>3.0035340000000001E-2</v>
      </c>
      <c r="S497">
        <v>2.9960330000000002</v>
      </c>
      <c r="T497">
        <v>-0.1241275</v>
      </c>
      <c r="U497">
        <v>0.25176999999999999</v>
      </c>
      <c r="V497">
        <v>-3.034688E-2</v>
      </c>
      <c r="W497">
        <v>3.0093720000000001E-2</v>
      </c>
      <c r="X497">
        <v>0.99908629999999998</v>
      </c>
      <c r="Y497">
        <v>-8.3979250000000005E-2</v>
      </c>
      <c r="Z497">
        <v>1.7487879999999901E-3</v>
      </c>
      <c r="AA497">
        <v>0.99646599999999996</v>
      </c>
      <c r="AB497">
        <v>48</v>
      </c>
      <c r="AC497">
        <v>27.340599999999899</v>
      </c>
      <c r="AD497">
        <v>-1.150773</v>
      </c>
      <c r="AE497">
        <v>2.3362999999999898</v>
      </c>
      <c r="AF497">
        <v>-2.3407363519990101</v>
      </c>
      <c r="AG497">
        <v>-1.150773</v>
      </c>
      <c r="AH497">
        <v>27.291868262392502</v>
      </c>
      <c r="AI497">
        <v>92.405648921221299</v>
      </c>
      <c r="AJ497">
        <v>94.902079645204907</v>
      </c>
      <c r="AK497">
        <v>27.416225094255498</v>
      </c>
      <c r="AL497">
        <v>88.275496493037593</v>
      </c>
      <c r="AM497">
        <v>91.739803365896194</v>
      </c>
      <c r="AN497">
        <v>0.99999999997843103</v>
      </c>
    </row>
    <row r="498" spans="1:40" x14ac:dyDescent="0.3">
      <c r="A498" t="str">
        <f>"20200111153839031"</f>
        <v>20200111153839031</v>
      </c>
      <c r="B498" t="str">
        <f>"1578728319020794"</f>
        <v>1578728319020794</v>
      </c>
      <c r="C498" t="s">
        <v>40</v>
      </c>
      <c r="D498">
        <v>4.9183029999999999</v>
      </c>
      <c r="E498">
        <v>0.48011389999999998</v>
      </c>
      <c r="F498" t="s">
        <v>43</v>
      </c>
      <c r="G498">
        <v>-290.67720000000003</v>
      </c>
      <c r="H498">
        <v>-0.05</v>
      </c>
      <c r="I498">
        <v>369.77620000000002</v>
      </c>
      <c r="J498">
        <v>-317.71719999999999</v>
      </c>
      <c r="K498">
        <v>1.099378</v>
      </c>
      <c r="L498">
        <v>367.46440000000001</v>
      </c>
      <c r="M498">
        <v>0.99983670000000002</v>
      </c>
      <c r="N498">
        <v>0</v>
      </c>
      <c r="O498">
        <v>-3.1124750000000002E-4</v>
      </c>
      <c r="P498">
        <v>0.99948079999999995</v>
      </c>
      <c r="Q498">
        <v>1.1917789999999999E-2</v>
      </c>
      <c r="R498">
        <v>2.9940830000000002E-2</v>
      </c>
      <c r="S498">
        <v>2.9956969999999998</v>
      </c>
      <c r="T498">
        <v>-0.12530150000000001</v>
      </c>
      <c r="U498">
        <v>0.25170900000000002</v>
      </c>
      <c r="V498">
        <v>-3.025075E-2</v>
      </c>
      <c r="W498">
        <v>2.998029E-2</v>
      </c>
      <c r="X498">
        <v>0.9990926</v>
      </c>
      <c r="Y498">
        <v>-8.3965509999999993E-2</v>
      </c>
      <c r="Z498">
        <v>1.7651609999999999E-3</v>
      </c>
      <c r="AA498">
        <v>0.99646710000000005</v>
      </c>
      <c r="AB498">
        <v>48</v>
      </c>
      <c r="AC498">
        <v>27.0399999999999</v>
      </c>
      <c r="AD498">
        <v>-1.149378</v>
      </c>
      <c r="AE498">
        <v>2.3117999999999999</v>
      </c>
      <c r="AF498">
        <v>-2.31606307555082</v>
      </c>
      <c r="AG498">
        <v>-1.149378</v>
      </c>
      <c r="AH498">
        <v>26.9908655536621</v>
      </c>
      <c r="AI498">
        <v>92.429490829535098</v>
      </c>
      <c r="AJ498">
        <v>94.904487764262299</v>
      </c>
      <c r="AK498">
        <v>27.114424967029599</v>
      </c>
      <c r="AL498">
        <v>88.281998443341493</v>
      </c>
      <c r="AM498">
        <v>91.734284621716995</v>
      </c>
      <c r="AN498">
        <v>0.99999997451940303</v>
      </c>
    </row>
    <row r="499" spans="1:40" x14ac:dyDescent="0.3">
      <c r="A499" t="str">
        <f>"20200111153839053"</f>
        <v>20200111153839053</v>
      </c>
      <c r="B499" t="str">
        <f>"1578728319051047"</f>
        <v>1578728319051047</v>
      </c>
      <c r="C499" t="s">
        <v>40</v>
      </c>
      <c r="D499">
        <v>4.7520699999999998</v>
      </c>
      <c r="E499">
        <v>0.48009550000000001</v>
      </c>
      <c r="F499" t="s">
        <v>43</v>
      </c>
      <c r="G499">
        <v>-290.93049999999999</v>
      </c>
      <c r="H499">
        <v>-0.05</v>
      </c>
      <c r="I499">
        <v>369.7072</v>
      </c>
      <c r="J499">
        <v>-317.24110000000002</v>
      </c>
      <c r="K499">
        <v>1.097594</v>
      </c>
      <c r="L499">
        <v>367.46420000000001</v>
      </c>
      <c r="M499">
        <v>0.99981330000000002</v>
      </c>
      <c r="N499">
        <v>0</v>
      </c>
      <c r="O499">
        <v>-3.1077580000000001E-4</v>
      </c>
      <c r="P499">
        <v>0.99949239999999995</v>
      </c>
      <c r="Q499">
        <v>1.074778E-2</v>
      </c>
      <c r="R499">
        <v>2.9994079999999999E-2</v>
      </c>
      <c r="S499">
        <v>2.9955750000000001</v>
      </c>
      <c r="T499">
        <v>-0.12853619999999999</v>
      </c>
      <c r="U499">
        <v>0.25082399999999999</v>
      </c>
      <c r="V499">
        <v>-3.030356E-2</v>
      </c>
      <c r="W499">
        <v>3.005797E-2</v>
      </c>
      <c r="X499">
        <v>0.99908869999999905</v>
      </c>
      <c r="Y499">
        <v>-8.367252E-2</v>
      </c>
      <c r="Z499">
        <v>1.8044910000000001E-3</v>
      </c>
      <c r="AA499">
        <v>0.99649169999999998</v>
      </c>
      <c r="AB499">
        <v>48</v>
      </c>
      <c r="AC499">
        <v>26.310600000000001</v>
      </c>
      <c r="AD499">
        <v>-1.147594</v>
      </c>
      <c r="AE499">
        <v>2.2429999999999901</v>
      </c>
      <c r="AF499">
        <v>-2.2469342613237999</v>
      </c>
      <c r="AG499">
        <v>-1.147594</v>
      </c>
      <c r="AH499">
        <v>26.260302878631801</v>
      </c>
      <c r="AI499">
        <v>92.493176109440299</v>
      </c>
      <c r="AJ499">
        <v>94.890539439393095</v>
      </c>
      <c r="AK499">
        <v>26.381228038911001</v>
      </c>
      <c r="AL499">
        <v>88.277545759548403</v>
      </c>
      <c r="AM499">
        <v>91.737317158689805</v>
      </c>
      <c r="AN499">
        <v>1.00000000888844</v>
      </c>
    </row>
    <row r="500" spans="1:40" x14ac:dyDescent="0.3">
      <c r="A500" t="str">
        <f>"20200111153839077"</f>
        <v>20200111153839077</v>
      </c>
      <c r="B500" t="str">
        <f>"1578728319070567"</f>
        <v>1578728319070567</v>
      </c>
      <c r="C500" t="s">
        <v>40</v>
      </c>
      <c r="D500">
        <v>4.807194</v>
      </c>
      <c r="E500">
        <v>0.48012700000000003</v>
      </c>
      <c r="F500" t="s">
        <v>43</v>
      </c>
      <c r="G500">
        <v>-290.96929999999998</v>
      </c>
      <c r="H500">
        <v>-0.05</v>
      </c>
      <c r="I500">
        <v>369.66359999999997</v>
      </c>
      <c r="J500">
        <v>-316.75170000000003</v>
      </c>
      <c r="K500">
        <v>1.0953520000000001</v>
      </c>
      <c r="L500">
        <v>367.46409999999997</v>
      </c>
      <c r="M500">
        <v>0.99979340000000005</v>
      </c>
      <c r="N500">
        <v>0</v>
      </c>
      <c r="O500">
        <v>-3.1141680000000002E-4</v>
      </c>
      <c r="P500">
        <v>0.99948539999999997</v>
      </c>
      <c r="Q500">
        <v>1.052384E-2</v>
      </c>
      <c r="R500">
        <v>3.0303779999999999E-2</v>
      </c>
      <c r="S500">
        <v>2.9953919999999998</v>
      </c>
      <c r="T500">
        <v>-0.1308435</v>
      </c>
      <c r="U500">
        <v>0.25076290000000001</v>
      </c>
      <c r="V500">
        <v>-3.0613910000000001E-2</v>
      </c>
      <c r="W500">
        <v>3.0845819999999999E-2</v>
      </c>
      <c r="X500">
        <v>0.99905520000000003</v>
      </c>
      <c r="Y500">
        <v>-8.3655289999999993E-2</v>
      </c>
      <c r="Z500">
        <v>1.8366190000000001E-3</v>
      </c>
      <c r="AA500">
        <v>0.99649299999999996</v>
      </c>
      <c r="AB500">
        <v>48</v>
      </c>
      <c r="AC500">
        <v>25.782399999999999</v>
      </c>
      <c r="AD500">
        <v>-1.1453519999999999</v>
      </c>
      <c r="AE500">
        <v>2.1995</v>
      </c>
      <c r="AF500">
        <v>-2.2032140554800099</v>
      </c>
      <c r="AG500">
        <v>-1.1453519999999999</v>
      </c>
      <c r="AH500">
        <v>25.731300507584301</v>
      </c>
      <c r="AI500">
        <v>92.539388695417003</v>
      </c>
      <c r="AJ500">
        <v>94.893950920655001</v>
      </c>
      <c r="AK500">
        <v>25.850837688356901</v>
      </c>
      <c r="AL500">
        <v>88.232384291183706</v>
      </c>
      <c r="AM500">
        <v>91.755157411038695</v>
      </c>
      <c r="AN500">
        <v>0.99999998437199999</v>
      </c>
    </row>
    <row r="501" spans="1:40" x14ac:dyDescent="0.3">
      <c r="A501" t="str">
        <f>"20200111153839099"</f>
        <v>20200111153839099</v>
      </c>
      <c r="B501" t="str">
        <f>"1578728319091065"</f>
        <v>1578728319091065</v>
      </c>
      <c r="C501" t="s">
        <v>40</v>
      </c>
      <c r="D501">
        <v>4.9053269999999998</v>
      </c>
      <c r="E501">
        <v>0.4801472</v>
      </c>
      <c r="F501" t="s">
        <v>43</v>
      </c>
      <c r="G501">
        <v>-290.59570000000002</v>
      </c>
      <c r="H501">
        <v>-0.05</v>
      </c>
      <c r="I501">
        <v>369.65859999999998</v>
      </c>
      <c r="J501">
        <v>-316.28190000000001</v>
      </c>
      <c r="K501">
        <v>1.092903</v>
      </c>
      <c r="L501">
        <v>367.46390000000002</v>
      </c>
      <c r="M501">
        <v>0.99977870000000002</v>
      </c>
      <c r="N501">
        <v>0</v>
      </c>
      <c r="O501">
        <v>-3.118517E-4</v>
      </c>
      <c r="P501">
        <v>0.99948499999999996</v>
      </c>
      <c r="Q501">
        <v>1.0190879999999999E-2</v>
      </c>
      <c r="R501">
        <v>3.043146E-2</v>
      </c>
      <c r="S501">
        <v>2.9952700000000001</v>
      </c>
      <c r="T501">
        <v>-0.131161</v>
      </c>
      <c r="U501">
        <v>0.25131229999999999</v>
      </c>
      <c r="V501">
        <v>-3.07417E-2</v>
      </c>
      <c r="W501">
        <v>3.1221390000000002E-2</v>
      </c>
      <c r="X501">
        <v>0.99903960000000003</v>
      </c>
      <c r="Y501">
        <v>-8.3840020000000001E-2</v>
      </c>
      <c r="Z501">
        <v>1.8451870000000001E-3</v>
      </c>
      <c r="AA501">
        <v>0.99647750000000002</v>
      </c>
      <c r="AB501">
        <v>48</v>
      </c>
      <c r="AC501">
        <v>25.6861999999999</v>
      </c>
      <c r="AD501">
        <v>-1.142903</v>
      </c>
      <c r="AE501">
        <v>2.1946999999999499</v>
      </c>
      <c r="AF501">
        <v>-2.1983911431670999</v>
      </c>
      <c r="AG501">
        <v>-1.142903</v>
      </c>
      <c r="AH501">
        <v>25.635129845198801</v>
      </c>
      <c r="AI501">
        <v>92.543431044680503</v>
      </c>
      <c r="AJ501">
        <v>94.901520419675606</v>
      </c>
      <c r="AK501">
        <v>25.754592465538401</v>
      </c>
      <c r="AL501">
        <v>88.210855328153301</v>
      </c>
      <c r="AM501">
        <v>91.762506762813501</v>
      </c>
      <c r="AN501">
        <v>0.99999997484029002</v>
      </c>
    </row>
    <row r="502" spans="1:40" x14ac:dyDescent="0.3">
      <c r="A502" t="str">
        <f>"20200111153839122"</f>
        <v>20200111153839122</v>
      </c>
      <c r="B502" t="str">
        <f>"1578728319110583"</f>
        <v>1578728319110583</v>
      </c>
      <c r="C502" t="s">
        <v>40</v>
      </c>
      <c r="D502">
        <v>4.7756489999999996</v>
      </c>
      <c r="E502">
        <v>0.4801165</v>
      </c>
      <c r="F502" t="s">
        <v>43</v>
      </c>
      <c r="G502">
        <v>-290.22840000000002</v>
      </c>
      <c r="H502">
        <v>-0.05</v>
      </c>
      <c r="I502">
        <v>369.65230000000003</v>
      </c>
      <c r="J502">
        <v>-315.7953</v>
      </c>
      <c r="K502">
        <v>1.0901259999999999</v>
      </c>
      <c r="L502">
        <v>367.46379999999999</v>
      </c>
      <c r="M502">
        <v>0.9997684</v>
      </c>
      <c r="N502">
        <v>0</v>
      </c>
      <c r="O502">
        <v>-3.118811E-4</v>
      </c>
      <c r="P502">
        <v>0.99948040000000005</v>
      </c>
      <c r="Q502">
        <v>9.251291E-3</v>
      </c>
      <c r="R502">
        <v>3.0880680000000001E-2</v>
      </c>
      <c r="S502">
        <v>2.9952390000000002</v>
      </c>
      <c r="T502">
        <v>-0.1313936</v>
      </c>
      <c r="U502">
        <v>0.2515869</v>
      </c>
      <c r="V502">
        <v>-3.1191380000000001E-2</v>
      </c>
      <c r="W502">
        <v>3.0753829999999999E-2</v>
      </c>
      <c r="X502">
        <v>0.99904020000000004</v>
      </c>
      <c r="Y502">
        <v>-8.3931259999999994E-2</v>
      </c>
      <c r="Z502">
        <v>1.850466E-3</v>
      </c>
      <c r="AA502">
        <v>0.99646990000000002</v>
      </c>
      <c r="AB502">
        <v>48</v>
      </c>
      <c r="AC502">
        <v>25.566899999999901</v>
      </c>
      <c r="AD502">
        <v>-1.140126</v>
      </c>
      <c r="AE502">
        <v>2.1885000000000301</v>
      </c>
      <c r="AF502">
        <v>-2.1921479557360599</v>
      </c>
      <c r="AG502">
        <v>-1.140126</v>
      </c>
      <c r="AH502">
        <v>25.515844075623601</v>
      </c>
      <c r="AI502">
        <v>92.549071267090198</v>
      </c>
      <c r="AJ502">
        <v>94.910406402390805</v>
      </c>
      <c r="AK502">
        <v>25.6352042872151</v>
      </c>
      <c r="AL502">
        <v>88.2376574782147</v>
      </c>
      <c r="AM502">
        <v>91.788270469426493</v>
      </c>
      <c r="AN502">
        <v>1.0000000107310001</v>
      </c>
    </row>
    <row r="503" spans="1:40" x14ac:dyDescent="0.3">
      <c r="A503" t="str">
        <f>"20200111153839143"</f>
        <v>20200111153839143</v>
      </c>
      <c r="B503" t="str">
        <f>"1578728319131079"</f>
        <v>1578728319131079</v>
      </c>
      <c r="C503" t="s">
        <v>40</v>
      </c>
      <c r="D503">
        <v>4.7958740000000004</v>
      </c>
      <c r="E503">
        <v>0.47994160000000002</v>
      </c>
      <c r="F503" t="s">
        <v>43</v>
      </c>
      <c r="G503">
        <v>-290.27080000000001</v>
      </c>
      <c r="H503">
        <v>-0.05</v>
      </c>
      <c r="I503">
        <v>369.62040000000002</v>
      </c>
      <c r="J503">
        <v>-315.34930000000003</v>
      </c>
      <c r="K503">
        <v>1.087413</v>
      </c>
      <c r="L503">
        <v>367.46370000000002</v>
      </c>
      <c r="M503">
        <v>0.99976339999999997</v>
      </c>
      <c r="N503">
        <v>0</v>
      </c>
      <c r="O503">
        <v>-3.1089460000000002E-4</v>
      </c>
      <c r="P503">
        <v>0.9994767</v>
      </c>
      <c r="Q503">
        <v>8.5663830000000003E-3</v>
      </c>
      <c r="R503">
        <v>3.1192080000000001E-2</v>
      </c>
      <c r="S503">
        <v>2.9950260000000002</v>
      </c>
      <c r="T503">
        <v>-0.13378129999999999</v>
      </c>
      <c r="U503">
        <v>0.25305179999999999</v>
      </c>
      <c r="V503">
        <v>-3.1501460000000002E-2</v>
      </c>
      <c r="W503">
        <v>3.030629E-2</v>
      </c>
      <c r="X503">
        <v>0.99904409999999999</v>
      </c>
      <c r="Y503">
        <v>-8.4416679999999994E-2</v>
      </c>
      <c r="Z503">
        <v>1.894927E-3</v>
      </c>
      <c r="AA503">
        <v>0.99642869999999995</v>
      </c>
      <c r="AB503">
        <v>48</v>
      </c>
      <c r="AC503">
        <v>25.078499999999998</v>
      </c>
      <c r="AD503">
        <v>-1.137413</v>
      </c>
      <c r="AE503">
        <v>2.1566999999999998</v>
      </c>
      <c r="AF503">
        <v>-2.1600878403491999</v>
      </c>
      <c r="AG503">
        <v>-1.137413</v>
      </c>
      <c r="AH503">
        <v>25.026726200643498</v>
      </c>
      <c r="AI503">
        <v>92.592558514819501</v>
      </c>
      <c r="AJ503">
        <v>94.933044388469597</v>
      </c>
      <c r="AK503">
        <v>25.145510774938899</v>
      </c>
      <c r="AL503">
        <v>88.263311507903097</v>
      </c>
      <c r="AM503">
        <v>91.806029277186298</v>
      </c>
      <c r="AN503">
        <v>0.999999963470252</v>
      </c>
    </row>
    <row r="504" spans="1:40" x14ac:dyDescent="0.3">
      <c r="A504" t="str">
        <f>"20200111153839167"</f>
        <v>20200111153839167</v>
      </c>
      <c r="B504" t="str">
        <f>"1578728319161336"</f>
        <v>1578728319161336</v>
      </c>
      <c r="C504" t="s">
        <v>40</v>
      </c>
      <c r="D504">
        <v>4.7683140000000002</v>
      </c>
      <c r="E504">
        <v>0.4797324</v>
      </c>
      <c r="F504" t="s">
        <v>43</v>
      </c>
      <c r="G504">
        <v>-290.44630000000001</v>
      </c>
      <c r="H504">
        <v>-0.05</v>
      </c>
      <c r="I504">
        <v>369.589</v>
      </c>
      <c r="J504">
        <v>-314.85939999999999</v>
      </c>
      <c r="K504">
        <v>1.084338</v>
      </c>
      <c r="L504">
        <v>367.46350000000001</v>
      </c>
      <c r="M504">
        <v>0.99975979999999998</v>
      </c>
      <c r="N504">
        <v>0</v>
      </c>
      <c r="O504">
        <v>-3.0794299999999998E-4</v>
      </c>
      <c r="P504">
        <v>0.99946939999999995</v>
      </c>
      <c r="Q504">
        <v>7.9094530000000003E-3</v>
      </c>
      <c r="R504">
        <v>3.1596649999999997E-2</v>
      </c>
      <c r="S504">
        <v>2.9947509999999999</v>
      </c>
      <c r="T504">
        <v>-0.1367815</v>
      </c>
      <c r="U504">
        <v>0.2555847</v>
      </c>
      <c r="V504">
        <v>-3.1903040000000001E-2</v>
      </c>
      <c r="W504">
        <v>2.9813949999999999E-2</v>
      </c>
      <c r="X504">
        <v>0.9990462</v>
      </c>
      <c r="Y504">
        <v>-8.5253449999999995E-2</v>
      </c>
      <c r="Z504">
        <v>1.9564180000000001E-3</v>
      </c>
      <c r="AA504">
        <v>0.99635739999999995</v>
      </c>
      <c r="AB504">
        <v>47</v>
      </c>
      <c r="AC504">
        <v>24.413099999999901</v>
      </c>
      <c r="AD504">
        <v>-1.1343379999999901</v>
      </c>
      <c r="AE504">
        <v>2.1254999999999802</v>
      </c>
      <c r="AF504">
        <v>-2.1284589188931902</v>
      </c>
      <c r="AG504">
        <v>-1.1343379999999901</v>
      </c>
      <c r="AH504">
        <v>24.360247672672902</v>
      </c>
      <c r="AI504">
        <v>92.655955068827893</v>
      </c>
      <c r="AJ504">
        <v>94.993495599693802</v>
      </c>
      <c r="AK504">
        <v>24.479353070324901</v>
      </c>
      <c r="AL504">
        <v>88.291533316807104</v>
      </c>
      <c r="AM504">
        <v>91.829033121428097</v>
      </c>
      <c r="AN504">
        <v>0.99999999265514194</v>
      </c>
    </row>
    <row r="505" spans="1:40" x14ac:dyDescent="0.3">
      <c r="A505" t="str">
        <f>"20200111153839188"</f>
        <v>20200111153839188</v>
      </c>
      <c r="B505" t="str">
        <f>"1578728319180857"</f>
        <v>1578728319180857</v>
      </c>
      <c r="C505" t="s">
        <v>40</v>
      </c>
      <c r="D505">
        <v>4.7771460000000001</v>
      </c>
      <c r="E505">
        <v>0.47964440000000003</v>
      </c>
      <c r="F505" t="s">
        <v>43</v>
      </c>
      <c r="G505">
        <v>-290.61169999999998</v>
      </c>
      <c r="H505">
        <v>-0.05</v>
      </c>
      <c r="I505">
        <v>369.55599999999998</v>
      </c>
      <c r="J505">
        <v>-314.38049999999998</v>
      </c>
      <c r="K505">
        <v>1.0813109999999999</v>
      </c>
      <c r="L505">
        <v>367.46339999999998</v>
      </c>
      <c r="M505">
        <v>0.99975720000000001</v>
      </c>
      <c r="N505">
        <v>0</v>
      </c>
      <c r="O505">
        <v>-3.0546190000000002E-4</v>
      </c>
      <c r="P505">
        <v>0.99945430000000002</v>
      </c>
      <c r="Q505">
        <v>7.8419089999999993E-3</v>
      </c>
      <c r="R505">
        <v>3.2089239999999998E-2</v>
      </c>
      <c r="S505">
        <v>2.9945369999999998</v>
      </c>
      <c r="T505">
        <v>-0.14008779999999901</v>
      </c>
      <c r="U505">
        <v>0.25842290000000001</v>
      </c>
      <c r="V505">
        <v>-3.2393180000000001E-2</v>
      </c>
      <c r="W505">
        <v>2.9867330000000001E-2</v>
      </c>
      <c r="X505">
        <v>0.9990289</v>
      </c>
      <c r="Y505">
        <v>-8.6189020000000005E-2</v>
      </c>
      <c r="Z505">
        <v>2.0254359999999998E-3</v>
      </c>
      <c r="AA505">
        <v>0.99627670000000002</v>
      </c>
      <c r="AB505">
        <v>47</v>
      </c>
      <c r="AC505">
        <v>23.768799999999999</v>
      </c>
      <c r="AD505">
        <v>-1.131311</v>
      </c>
      <c r="AE505">
        <v>2.0926</v>
      </c>
      <c r="AF505">
        <v>-2.09515222628252</v>
      </c>
      <c r="AG505">
        <v>-1.131311</v>
      </c>
      <c r="AH505">
        <v>23.714848551034599</v>
      </c>
      <c r="AI505">
        <v>92.720629406263896</v>
      </c>
      <c r="AJ505">
        <v>95.048841397419906</v>
      </c>
      <c r="AK505">
        <v>23.834084191101699</v>
      </c>
      <c r="AL505">
        <v>88.288473619497907</v>
      </c>
      <c r="AM505">
        <v>91.857145945251901</v>
      </c>
      <c r="AN505">
        <v>1.0000000592735201</v>
      </c>
    </row>
    <row r="506" spans="1:40" x14ac:dyDescent="0.3">
      <c r="A506" t="str">
        <f>"20200111153839210"</f>
        <v>20200111153839210</v>
      </c>
      <c r="B506" t="str">
        <f>"1578728319201368"</f>
        <v>1578728319201368</v>
      </c>
      <c r="C506" t="s">
        <v>40</v>
      </c>
      <c r="D506">
        <v>4.8025880000000001</v>
      </c>
      <c r="E506">
        <v>0.47966360000000002</v>
      </c>
      <c r="F506" t="s">
        <v>43</v>
      </c>
      <c r="G506">
        <v>-290.49930000000001</v>
      </c>
      <c r="H506">
        <v>-0.05</v>
      </c>
      <c r="I506">
        <v>369.54289999999997</v>
      </c>
      <c r="J506">
        <v>-313.93119999999999</v>
      </c>
      <c r="K506">
        <v>1.0785039999999999</v>
      </c>
      <c r="L506">
        <v>367.4633</v>
      </c>
      <c r="M506">
        <v>0.99975630000000004</v>
      </c>
      <c r="N506">
        <v>0</v>
      </c>
      <c r="O506">
        <v>-3.0452749999999997E-4</v>
      </c>
      <c r="P506">
        <v>0.99944639999999996</v>
      </c>
      <c r="Q506">
        <v>8.4312090000000003E-3</v>
      </c>
      <c r="R506">
        <v>3.2186989999999999E-2</v>
      </c>
      <c r="S506">
        <v>2.9943849999999999</v>
      </c>
      <c r="T506">
        <v>-0.14185110000000001</v>
      </c>
      <c r="U506">
        <v>0.26074219999999998</v>
      </c>
      <c r="V506">
        <v>-3.249022E-2</v>
      </c>
      <c r="W506">
        <v>3.04917E-2</v>
      </c>
      <c r="X506">
        <v>0.99900679999999997</v>
      </c>
      <c r="Y506">
        <v>-8.6955119999999997E-2</v>
      </c>
      <c r="Z506">
        <v>2.0689950000000001E-3</v>
      </c>
      <c r="AA506">
        <v>0.99621009999999999</v>
      </c>
      <c r="AB506">
        <v>47</v>
      </c>
      <c r="AC506">
        <v>23.431899999999899</v>
      </c>
      <c r="AD506">
        <v>-1.128504</v>
      </c>
      <c r="AE506">
        <v>2.0795999999999699</v>
      </c>
      <c r="AF506">
        <v>-2.08194600178193</v>
      </c>
      <c r="AG506">
        <v>-1.128504</v>
      </c>
      <c r="AH506">
        <v>23.3774655947703</v>
      </c>
      <c r="AI506">
        <v>92.752824267975598</v>
      </c>
      <c r="AJ506">
        <v>95.089210584964206</v>
      </c>
      <c r="AK506">
        <v>23.497104461337798</v>
      </c>
      <c r="AL506">
        <v>88.252683400609101</v>
      </c>
      <c r="AM506">
        <v>91.862746647346896</v>
      </c>
      <c r="AN506">
        <v>0.99999997230538795</v>
      </c>
    </row>
    <row r="507" spans="1:40" x14ac:dyDescent="0.3">
      <c r="A507" t="str">
        <f>"20200111153839232"</f>
        <v>20200111153839232</v>
      </c>
      <c r="B507" t="str">
        <f>"1578728319220871"</f>
        <v>1578728319220871</v>
      </c>
      <c r="C507" t="s">
        <v>40</v>
      </c>
      <c r="D507">
        <v>4.7902440000000004</v>
      </c>
      <c r="E507">
        <v>0.47969030000000001</v>
      </c>
      <c r="F507" t="s">
        <v>43</v>
      </c>
      <c r="G507">
        <v>-289.81060000000002</v>
      </c>
      <c r="H507">
        <v>-0.05</v>
      </c>
      <c r="I507">
        <v>369.56479999999999</v>
      </c>
      <c r="J507">
        <v>-313.46300000000002</v>
      </c>
      <c r="K507">
        <v>1.075674</v>
      </c>
      <c r="L507">
        <v>367.4631</v>
      </c>
      <c r="M507">
        <v>0.99975809999999998</v>
      </c>
      <c r="N507">
        <v>0</v>
      </c>
      <c r="O507">
        <v>-3.0504510000000002E-4</v>
      </c>
      <c r="P507">
        <v>0.99943400000000004</v>
      </c>
      <c r="Q507">
        <v>8.9364879999999994E-3</v>
      </c>
      <c r="R507">
        <v>3.2435659999999998E-2</v>
      </c>
      <c r="S507">
        <v>2.9944459999999999</v>
      </c>
      <c r="T507">
        <v>-0.14009820000000001</v>
      </c>
      <c r="U507">
        <v>0.26089479999999998</v>
      </c>
      <c r="V507">
        <v>-3.2739890000000001E-2</v>
      </c>
      <c r="W507">
        <v>3.091588E-2</v>
      </c>
      <c r="X507">
        <v>0.99898560000000003</v>
      </c>
      <c r="Y507">
        <v>-8.7006609999999998E-2</v>
      </c>
      <c r="Z507">
        <v>2.0446349999999999E-3</v>
      </c>
      <c r="AA507">
        <v>0.99620560000000002</v>
      </c>
      <c r="AB507">
        <v>47</v>
      </c>
      <c r="AC507">
        <v>23.652399999999901</v>
      </c>
      <c r="AD507">
        <v>-1.1256740000000001</v>
      </c>
      <c r="AE507">
        <v>2.1016999999999899</v>
      </c>
      <c r="AF507">
        <v>-2.1041879743362801</v>
      </c>
      <c r="AG507">
        <v>-1.1256740000000001</v>
      </c>
      <c r="AH507">
        <v>23.598724437832502</v>
      </c>
      <c r="AI507">
        <v>92.720198974512002</v>
      </c>
      <c r="AJ507">
        <v>95.0953220323224</v>
      </c>
      <c r="AK507">
        <v>23.719075531697499</v>
      </c>
      <c r="AL507">
        <v>88.228368191170503</v>
      </c>
      <c r="AM507">
        <v>91.877090465770706</v>
      </c>
      <c r="AN507">
        <v>0.99999996052037199</v>
      </c>
    </row>
    <row r="508" spans="1:40" x14ac:dyDescent="0.3">
      <c r="A508" t="str">
        <f>"20200111153839256"</f>
        <v>20200111153839256</v>
      </c>
      <c r="B508" t="str">
        <f>"1578728319251127"</f>
        <v>1578728319251127</v>
      </c>
      <c r="C508" t="s">
        <v>40</v>
      </c>
      <c r="D508">
        <v>4.774222</v>
      </c>
      <c r="E508">
        <v>0.4796166</v>
      </c>
      <c r="F508" t="s">
        <v>43</v>
      </c>
      <c r="G508">
        <v>-289.11399999999998</v>
      </c>
      <c r="H508">
        <v>-0.05</v>
      </c>
      <c r="I508">
        <v>369.58879999999999</v>
      </c>
      <c r="J508">
        <v>-312.99439999999998</v>
      </c>
      <c r="K508">
        <v>1.072997</v>
      </c>
      <c r="L508">
        <v>367.46300000000002</v>
      </c>
      <c r="M508">
        <v>0.9997627</v>
      </c>
      <c r="N508">
        <v>0</v>
      </c>
      <c r="O508">
        <v>-3.061688E-4</v>
      </c>
      <c r="P508">
        <v>0.99942030000000004</v>
      </c>
      <c r="Q508">
        <v>9.3526389999999994E-3</v>
      </c>
      <c r="R508">
        <v>3.273686E-2</v>
      </c>
      <c r="S508">
        <v>2.9944459999999999</v>
      </c>
      <c r="T508">
        <v>-0.138436</v>
      </c>
      <c r="U508">
        <v>0.26141360000000002</v>
      </c>
      <c r="V508">
        <v>-3.3041679999999997E-2</v>
      </c>
      <c r="W508">
        <v>3.1119870000000001E-2</v>
      </c>
      <c r="X508">
        <v>0.99896940000000001</v>
      </c>
      <c r="Y508">
        <v>-8.7181049999999996E-2</v>
      </c>
      <c r="Z508">
        <v>2.024461E-3</v>
      </c>
      <c r="AA508">
        <v>0.99619040000000003</v>
      </c>
      <c r="AB508">
        <v>47</v>
      </c>
      <c r="AC508">
        <v>23.880399999999899</v>
      </c>
      <c r="AD508">
        <v>-1.122997</v>
      </c>
      <c r="AE508">
        <v>2.1257999999999599</v>
      </c>
      <c r="AF508">
        <v>-2.1284431628486602</v>
      </c>
      <c r="AG508">
        <v>-1.122997</v>
      </c>
      <c r="AH508">
        <v>23.827469266561899</v>
      </c>
      <c r="AI508">
        <v>92.687687539774203</v>
      </c>
      <c r="AJ508">
        <v>95.104528291804201</v>
      </c>
      <c r="AK508">
        <v>23.948688569699101</v>
      </c>
      <c r="AL508">
        <v>88.216674923007304</v>
      </c>
      <c r="AM508">
        <v>91.894411272769801</v>
      </c>
      <c r="AN508">
        <v>1.00000003053119</v>
      </c>
    </row>
    <row r="509" spans="1:40" x14ac:dyDescent="0.3">
      <c r="A509" t="str">
        <f>"20200111153839278"</f>
        <v>20200111153839278</v>
      </c>
      <c r="B509" t="str">
        <f>"1578728319270664"</f>
        <v>1578728319270664</v>
      </c>
      <c r="C509" t="s">
        <v>40</v>
      </c>
      <c r="D509">
        <v>4.7848550000000003</v>
      </c>
      <c r="E509">
        <v>0.47953610000000002</v>
      </c>
      <c r="F509" t="s">
        <v>43</v>
      </c>
      <c r="G509">
        <v>-288.83049999999997</v>
      </c>
      <c r="H509">
        <v>-0.05</v>
      </c>
      <c r="I509">
        <v>369.58330000000001</v>
      </c>
      <c r="J509">
        <v>-312.50670000000002</v>
      </c>
      <c r="K509">
        <v>1.07043</v>
      </c>
      <c r="L509">
        <v>367.46289999999999</v>
      </c>
      <c r="M509">
        <v>0.9997703</v>
      </c>
      <c r="N509">
        <v>0</v>
      </c>
      <c r="O509">
        <v>-3.0705590000000002E-4</v>
      </c>
      <c r="P509">
        <v>0.99940479999999998</v>
      </c>
      <c r="Q509">
        <v>1.0579669999999999E-2</v>
      </c>
      <c r="R509">
        <v>3.2836539999999997E-2</v>
      </c>
      <c r="S509">
        <v>2.9944459999999999</v>
      </c>
      <c r="T509">
        <v>-0.13916439999999999</v>
      </c>
      <c r="U509">
        <v>0.2627563</v>
      </c>
      <c r="V509">
        <v>-3.314222E-2</v>
      </c>
      <c r="W509">
        <v>3.1998720000000001E-2</v>
      </c>
      <c r="X509">
        <v>0.99893829999999995</v>
      </c>
      <c r="Y509">
        <v>-8.7623800000000002E-2</v>
      </c>
      <c r="Z509">
        <v>2.0453659999999999E-3</v>
      </c>
      <c r="AA509">
        <v>0.99615160000000003</v>
      </c>
      <c r="AB509">
        <v>47</v>
      </c>
      <c r="AC509">
        <v>23.676200000000001</v>
      </c>
      <c r="AD509">
        <v>-1.12043</v>
      </c>
      <c r="AE509">
        <v>2.1204000000000098</v>
      </c>
      <c r="AF509">
        <v>-2.1229550197813398</v>
      </c>
      <c r="AG509">
        <v>-1.12043</v>
      </c>
      <c r="AH509">
        <v>23.623065424275602</v>
      </c>
      <c r="AI509">
        <v>92.704591531627699</v>
      </c>
      <c r="AJ509">
        <v>95.135255882296306</v>
      </c>
      <c r="AK509">
        <v>23.744715652972499</v>
      </c>
      <c r="AL509">
        <v>88.166295423852603</v>
      </c>
      <c r="AM509">
        <v>91.900230527301503</v>
      </c>
      <c r="AN509">
        <v>1.0000000260175199</v>
      </c>
    </row>
    <row r="510" spans="1:40" x14ac:dyDescent="0.3">
      <c r="A510" t="str">
        <f>"20200111153839299"</f>
        <v>20200111153839299</v>
      </c>
      <c r="B510" t="str">
        <f>"1578728319291147"</f>
        <v>1578728319291147</v>
      </c>
      <c r="C510" t="s">
        <v>40</v>
      </c>
      <c r="D510">
        <v>4.7863619999999996</v>
      </c>
      <c r="E510">
        <v>0.47942390000000001</v>
      </c>
      <c r="F510" t="s">
        <v>43</v>
      </c>
      <c r="G510">
        <v>-287.94240000000002</v>
      </c>
      <c r="H510">
        <v>-0.05</v>
      </c>
      <c r="I510">
        <v>369.62729999999999</v>
      </c>
      <c r="J510">
        <v>-312.05430000000001</v>
      </c>
      <c r="K510">
        <v>1.0682529999999999</v>
      </c>
      <c r="L510">
        <v>367.46269999999998</v>
      </c>
      <c r="M510">
        <v>0.99977879999999997</v>
      </c>
      <c r="N510">
        <v>0</v>
      </c>
      <c r="O510">
        <v>-3.0760549999999997E-4</v>
      </c>
      <c r="P510">
        <v>0.99939480000000003</v>
      </c>
      <c r="Q510">
        <v>1.0710020000000001E-2</v>
      </c>
      <c r="R510">
        <v>3.3100339999999999E-2</v>
      </c>
      <c r="S510">
        <v>2.9945680000000001</v>
      </c>
      <c r="T510">
        <v>-0.13658879999999901</v>
      </c>
      <c r="U510">
        <v>0.26385500000000001</v>
      </c>
      <c r="V510">
        <v>-3.3406400000000003E-2</v>
      </c>
      <c r="W510">
        <v>3.173231E-2</v>
      </c>
      <c r="X510">
        <v>0.99893799999999999</v>
      </c>
      <c r="Y510">
        <v>-8.7986549999999997E-2</v>
      </c>
      <c r="Z510">
        <v>2.015715E-3</v>
      </c>
      <c r="AA510">
        <v>0.99611959999999999</v>
      </c>
      <c r="AB510">
        <v>47</v>
      </c>
      <c r="AC510">
        <v>24.111899999999899</v>
      </c>
      <c r="AD510">
        <v>-1.1182529999999999</v>
      </c>
      <c r="AE510">
        <v>2.1646000000000001</v>
      </c>
      <c r="AF510">
        <v>-2.1673939453839202</v>
      </c>
      <c r="AG510">
        <v>-1.1182529999999999</v>
      </c>
      <c r="AH510">
        <v>24.059896518292799</v>
      </c>
      <c r="AI510">
        <v>92.650354682589494</v>
      </c>
      <c r="AJ510">
        <v>95.147496714166294</v>
      </c>
      <c r="AK510">
        <v>24.1831905826641</v>
      </c>
      <c r="AL510">
        <v>88.181567350338199</v>
      </c>
      <c r="AM510">
        <v>91.915366794860205</v>
      </c>
      <c r="AN510">
        <v>1.00000002745144</v>
      </c>
    </row>
    <row r="511" spans="1:40" x14ac:dyDescent="0.3">
      <c r="A511" t="str">
        <f>"20200111153839322"</f>
        <v>20200111153839322</v>
      </c>
      <c r="B511" t="str">
        <f>"1578728319310662"</f>
        <v>1578728319310662</v>
      </c>
      <c r="C511" t="s">
        <v>40</v>
      </c>
      <c r="D511">
        <v>4.7594960000000004</v>
      </c>
      <c r="E511">
        <v>0.47925509999999899</v>
      </c>
      <c r="F511" t="s">
        <v>43</v>
      </c>
      <c r="G511">
        <v>-287.63749999999999</v>
      </c>
      <c r="H511">
        <v>-0.05</v>
      </c>
      <c r="I511">
        <v>369.6293</v>
      </c>
      <c r="J511">
        <v>-311.59530000000001</v>
      </c>
      <c r="K511">
        <v>1.0662579999999999</v>
      </c>
      <c r="L511">
        <v>367.46260000000001</v>
      </c>
      <c r="M511">
        <v>0.99978809999999996</v>
      </c>
      <c r="N511">
        <v>0</v>
      </c>
      <c r="O511">
        <v>-3.0733989999999999E-4</v>
      </c>
      <c r="P511">
        <v>0.99940379999999995</v>
      </c>
      <c r="Q511">
        <v>1.0991580000000001E-2</v>
      </c>
      <c r="R511">
        <v>3.2736380000000002E-2</v>
      </c>
      <c r="S511">
        <v>2.9944760000000001</v>
      </c>
      <c r="T511">
        <v>-0.1371425</v>
      </c>
      <c r="U511">
        <v>0.26571660000000002</v>
      </c>
      <c r="V511">
        <v>-3.3042179999999997E-2</v>
      </c>
      <c r="W511">
        <v>3.1564540000000002E-2</v>
      </c>
      <c r="X511">
        <v>0.99895540000000005</v>
      </c>
      <c r="Y511">
        <v>-8.8601990000000005E-2</v>
      </c>
      <c r="Z511">
        <v>2.0379310000000002E-3</v>
      </c>
      <c r="AA511">
        <v>0.99606499999999998</v>
      </c>
      <c r="AB511">
        <v>47</v>
      </c>
      <c r="AC511">
        <v>23.957799999999999</v>
      </c>
      <c r="AD511">
        <v>-1.116258</v>
      </c>
      <c r="AE511">
        <v>2.1666999999999899</v>
      </c>
      <c r="AF511">
        <v>-2.1693933653912598</v>
      </c>
      <c r="AG511">
        <v>-1.116258</v>
      </c>
      <c r="AH511">
        <v>23.905657580944101</v>
      </c>
      <c r="AI511">
        <v>92.662519652713996</v>
      </c>
      <c r="AJ511">
        <v>95.185281140131707</v>
      </c>
      <c r="AK511">
        <v>24.029830708386498</v>
      </c>
      <c r="AL511">
        <v>88.191184628334895</v>
      </c>
      <c r="AM511">
        <v>91.894466449421401</v>
      </c>
      <c r="AN511">
        <v>0.99999999851686205</v>
      </c>
    </row>
    <row r="512" spans="1:40" x14ac:dyDescent="0.3">
      <c r="A512" t="str">
        <f>"20200111153839344"</f>
        <v>20200111153839344</v>
      </c>
      <c r="B512" t="str">
        <f>"1578728319340666"</f>
        <v>1578728319340666</v>
      </c>
      <c r="C512" t="s">
        <v>40</v>
      </c>
      <c r="D512">
        <v>4.8410630000000001</v>
      </c>
      <c r="E512">
        <v>0.47916969999999998</v>
      </c>
      <c r="F512" t="s">
        <v>43</v>
      </c>
      <c r="G512">
        <v>-287.20440000000002</v>
      </c>
      <c r="H512">
        <v>-0.05</v>
      </c>
      <c r="I512">
        <v>369.62880000000001</v>
      </c>
      <c r="J512">
        <v>-311.12939999999998</v>
      </c>
      <c r="K512">
        <v>1.064452</v>
      </c>
      <c r="L512">
        <v>367.46249999999998</v>
      </c>
      <c r="M512">
        <v>0.99979779999999996</v>
      </c>
      <c r="N512">
        <v>0</v>
      </c>
      <c r="O512">
        <v>-3.066484E-4</v>
      </c>
      <c r="P512">
        <v>0.99941000000000002</v>
      </c>
      <c r="Q512">
        <v>1.1213229999999999E-2</v>
      </c>
      <c r="R512">
        <v>3.2466750000000003E-2</v>
      </c>
      <c r="S512">
        <v>2.9945979999999999</v>
      </c>
      <c r="T512">
        <v>-0.137048799999999</v>
      </c>
      <c r="U512">
        <v>0.26596069999999999</v>
      </c>
      <c r="V512">
        <v>-3.2772349999999999E-2</v>
      </c>
      <c r="W512">
        <v>3.130956E-2</v>
      </c>
      <c r="X512">
        <v>0.99897230000000004</v>
      </c>
      <c r="Y512">
        <v>-8.8678350000000003E-2</v>
      </c>
      <c r="Z512">
        <v>2.0381610000000001E-3</v>
      </c>
      <c r="AA512">
        <v>0.9960582</v>
      </c>
      <c r="AB512">
        <v>47</v>
      </c>
      <c r="AC512">
        <v>23.924999999999901</v>
      </c>
      <c r="AD512">
        <v>-1.114452</v>
      </c>
      <c r="AE512">
        <v>2.1663000000000299</v>
      </c>
      <c r="AF512">
        <v>-2.1689699928390298</v>
      </c>
      <c r="AG512">
        <v>-1.114452</v>
      </c>
      <c r="AH512">
        <v>23.8729562335201</v>
      </c>
      <c r="AI512">
        <v>92.661828632786296</v>
      </c>
      <c r="AJ512">
        <v>95.191337391338095</v>
      </c>
      <c r="AK512">
        <v>23.997176363432899</v>
      </c>
      <c r="AL512">
        <v>88.205801107910901</v>
      </c>
      <c r="AM512">
        <v>91.878975173650701</v>
      </c>
      <c r="AN512">
        <v>0.99999998581960303</v>
      </c>
    </row>
    <row r="513" spans="1:40" x14ac:dyDescent="0.3">
      <c r="A513" t="str">
        <f>"20200111153839367"</f>
        <v>20200111153839367</v>
      </c>
      <c r="B513" t="str">
        <f>"1578728319361161"</f>
        <v>1578728319361161</v>
      </c>
      <c r="C513" t="s">
        <v>40</v>
      </c>
      <c r="D513">
        <v>4.8231169999999999</v>
      </c>
      <c r="E513">
        <v>0.4897185</v>
      </c>
      <c r="F513" t="s">
        <v>43</v>
      </c>
      <c r="G513">
        <v>-286.82650000000001</v>
      </c>
      <c r="H513">
        <v>-0.05</v>
      </c>
      <c r="I513">
        <v>369.61930000000001</v>
      </c>
      <c r="J513">
        <v>-310.66070000000002</v>
      </c>
      <c r="K513">
        <v>1.0628629999999999</v>
      </c>
      <c r="L513">
        <v>367.46230000000003</v>
      </c>
      <c r="M513">
        <v>0.99980740000000001</v>
      </c>
      <c r="N513">
        <v>0</v>
      </c>
      <c r="O513">
        <v>-3.0625930000000002E-4</v>
      </c>
      <c r="P513">
        <v>0.99941809999999998</v>
      </c>
      <c r="Q513">
        <v>1.1189620000000001E-2</v>
      </c>
      <c r="R513">
        <v>3.2223450000000001E-2</v>
      </c>
      <c r="S513">
        <v>2.9946899999999999</v>
      </c>
      <c r="T513">
        <v>-0.137327</v>
      </c>
      <c r="U513">
        <v>0.2657776</v>
      </c>
      <c r="V513">
        <v>-3.2528019999999998E-2</v>
      </c>
      <c r="W513">
        <v>3.0804359999999999E-2</v>
      </c>
      <c r="X513">
        <v>0.998996</v>
      </c>
      <c r="Y513">
        <v>-8.8614559999999995E-2</v>
      </c>
      <c r="Z513">
        <v>2.0407590000000001E-3</v>
      </c>
      <c r="AA513">
        <v>0.9960639</v>
      </c>
      <c r="AB513">
        <v>47</v>
      </c>
      <c r="AC513">
        <v>23.834199999999999</v>
      </c>
      <c r="AD513">
        <v>-1.1128629999999999</v>
      </c>
      <c r="AE513">
        <v>2.15699999999998</v>
      </c>
      <c r="AF513">
        <v>-2.1596307246795599</v>
      </c>
      <c r="AG513">
        <v>-1.1128629999999999</v>
      </c>
      <c r="AH513">
        <v>23.782111276966699</v>
      </c>
      <c r="AI513">
        <v>92.668188527072999</v>
      </c>
      <c r="AJ513">
        <v>95.188743422047395</v>
      </c>
      <c r="AK513">
        <v>23.905883914086498</v>
      </c>
      <c r="AL513">
        <v>88.234760921235804</v>
      </c>
      <c r="AM513">
        <v>91.864932434766999</v>
      </c>
      <c r="AN513">
        <v>0.99999999434806497</v>
      </c>
    </row>
    <row r="514" spans="1:40" x14ac:dyDescent="0.3">
      <c r="A514" t="str">
        <f>"20200111153839389"</f>
        <v>20200111153839389</v>
      </c>
      <c r="B514" t="str">
        <f>"1578728319380684"</f>
        <v>1578728319380684</v>
      </c>
      <c r="C514" t="s">
        <v>40</v>
      </c>
      <c r="D514">
        <v>4.7393179999999999</v>
      </c>
      <c r="E514">
        <v>0.49158829999999998</v>
      </c>
      <c r="F514" t="s">
        <v>43</v>
      </c>
      <c r="G514">
        <v>-293.767</v>
      </c>
      <c r="H514">
        <v>-0.05</v>
      </c>
      <c r="I514">
        <v>368.48579999999998</v>
      </c>
      <c r="J514">
        <v>-310.19400000000002</v>
      </c>
      <c r="K514">
        <v>1.0614840000000001</v>
      </c>
      <c r="L514">
        <v>367.4622</v>
      </c>
      <c r="M514">
        <v>0.99981640000000005</v>
      </c>
      <c r="N514">
        <v>0</v>
      </c>
      <c r="O514">
        <v>-3.0600460000000001E-4</v>
      </c>
      <c r="P514">
        <v>0.99941659999999999</v>
      </c>
      <c r="Q514">
        <v>1.1522910000000001E-2</v>
      </c>
      <c r="R514">
        <v>3.215121E-2</v>
      </c>
      <c r="S514">
        <v>2.998138</v>
      </c>
      <c r="T514">
        <v>-0.19750029999999999</v>
      </c>
      <c r="U514">
        <v>0.18164060000000001</v>
      </c>
      <c r="V514">
        <v>-3.2455749999999998E-2</v>
      </c>
      <c r="W514">
        <v>3.0669950000000001E-2</v>
      </c>
      <c r="X514">
        <v>0.99900250000000002</v>
      </c>
      <c r="Y514">
        <v>-6.0647449999999999E-2</v>
      </c>
      <c r="Z514">
        <v>2.0136920000000001E-3</v>
      </c>
      <c r="AA514">
        <v>0.99815719999999997</v>
      </c>
      <c r="AB514">
        <v>47</v>
      </c>
      <c r="AC514">
        <v>16.427</v>
      </c>
      <c r="AD514">
        <v>-1.1114839999999999</v>
      </c>
      <c r="AE514">
        <v>1.0235999999999801</v>
      </c>
      <c r="AF514">
        <v>-1.0239579121175399</v>
      </c>
      <c r="AG514">
        <v>-1.1114839999999999</v>
      </c>
      <c r="AH514">
        <v>16.352113088609599</v>
      </c>
      <c r="AI514">
        <v>93.880942927410302</v>
      </c>
      <c r="AJ514">
        <v>93.583143243151497</v>
      </c>
      <c r="AK514">
        <v>16.421799199561601</v>
      </c>
      <c r="AL514">
        <v>88.242465711978397</v>
      </c>
      <c r="AM514">
        <v>91.860779788623702</v>
      </c>
      <c r="AN514">
        <v>1.00000000827365</v>
      </c>
    </row>
    <row r="515" spans="1:40" x14ac:dyDescent="0.3">
      <c r="A515" t="str">
        <f>"20200111153839404"</f>
        <v>20200111153839404</v>
      </c>
      <c r="B515" t="str">
        <f>"1578728319401178"</f>
        <v>1578728319401178</v>
      </c>
      <c r="C515" t="s">
        <v>40</v>
      </c>
      <c r="D515">
        <v>4.8037640000000001</v>
      </c>
      <c r="E515">
        <v>0.49165609999999998</v>
      </c>
      <c r="F515" t="s">
        <v>43</v>
      </c>
      <c r="G515">
        <v>-292.52269999999999</v>
      </c>
      <c r="H515">
        <v>-0.05</v>
      </c>
      <c r="I515">
        <v>368.44420000000002</v>
      </c>
      <c r="J515">
        <v>-309.89240000000001</v>
      </c>
      <c r="K515">
        <v>1.060697</v>
      </c>
      <c r="L515">
        <v>367.46210000000002</v>
      </c>
      <c r="M515">
        <v>0.99982199999999999</v>
      </c>
      <c r="N515">
        <v>0</v>
      </c>
      <c r="O515">
        <v>-3.0610130000000002E-4</v>
      </c>
      <c r="P515">
        <v>0.99941860000000005</v>
      </c>
      <c r="Q515">
        <v>1.163168E-2</v>
      </c>
      <c r="R515">
        <v>3.2049250000000001E-2</v>
      </c>
      <c r="S515">
        <v>2.9985659999999998</v>
      </c>
      <c r="T515">
        <v>-0.1886024</v>
      </c>
      <c r="U515">
        <v>0.166626</v>
      </c>
      <c r="V515">
        <v>-3.2354460000000002E-2</v>
      </c>
      <c r="W515">
        <v>3.048884E-2</v>
      </c>
      <c r="X515">
        <v>0.99901130000000005</v>
      </c>
      <c r="Y515">
        <v>-5.5678360000000003E-2</v>
      </c>
      <c r="Z515">
        <v>1.7671659999999999E-3</v>
      </c>
      <c r="AA515">
        <v>0.99844719999999998</v>
      </c>
      <c r="AB515">
        <v>47</v>
      </c>
      <c r="AC515">
        <v>17.369700000000002</v>
      </c>
      <c r="AD515">
        <v>-1.110697</v>
      </c>
      <c r="AE515">
        <v>0.98210000000000197</v>
      </c>
      <c r="AF515">
        <v>-0.98340953802029796</v>
      </c>
      <c r="AG515">
        <v>-1.110697</v>
      </c>
      <c r="AH515">
        <v>17.298890471191498</v>
      </c>
      <c r="AI515">
        <v>93.667799197726296</v>
      </c>
      <c r="AJ515">
        <v>93.253655860265894</v>
      </c>
      <c r="AK515">
        <v>17.3623832949154</v>
      </c>
      <c r="AL515">
        <v>88.252847354443304</v>
      </c>
      <c r="AM515">
        <v>91.854960281866497</v>
      </c>
      <c r="AN515">
        <v>0.99999997898706305</v>
      </c>
    </row>
    <row r="516" spans="1:40" x14ac:dyDescent="0.3">
      <c r="A516" t="str">
        <f>"20200111153839422"</f>
        <v>20200111153839422</v>
      </c>
      <c r="B516" t="str">
        <f>"1578728319410937"</f>
        <v>1578728319410937</v>
      </c>
      <c r="C516" t="s">
        <v>40</v>
      </c>
      <c r="D516">
        <v>4.801971</v>
      </c>
      <c r="E516">
        <v>0.49143629999999999</v>
      </c>
      <c r="F516" t="s">
        <v>43</v>
      </c>
      <c r="G516">
        <v>-292.07549999999998</v>
      </c>
      <c r="H516">
        <v>-0.05</v>
      </c>
      <c r="I516">
        <v>368.44650000000001</v>
      </c>
      <c r="J516">
        <v>-309.51209999999998</v>
      </c>
      <c r="K516">
        <v>1.059804</v>
      </c>
      <c r="L516">
        <v>367.46199999999999</v>
      </c>
      <c r="M516">
        <v>0.99982870000000001</v>
      </c>
      <c r="N516">
        <v>0</v>
      </c>
      <c r="O516">
        <v>-3.0626999999999998E-4</v>
      </c>
      <c r="P516">
        <v>0.99940309999999999</v>
      </c>
      <c r="Q516">
        <v>1.2280900000000001E-2</v>
      </c>
      <c r="R516">
        <v>3.2298840000000002E-2</v>
      </c>
      <c r="S516">
        <v>2.998596</v>
      </c>
      <c r="T516">
        <v>-0.18693080000000001</v>
      </c>
      <c r="U516">
        <v>0.16567989999999999</v>
      </c>
      <c r="V516">
        <v>-3.2603779999999999E-2</v>
      </c>
      <c r="W516">
        <v>3.0787200000000001E-2</v>
      </c>
      <c r="X516">
        <v>0.9989941</v>
      </c>
      <c r="Y516">
        <v>-5.5366459999999999E-2</v>
      </c>
      <c r="Z516">
        <v>1.7418360000000001E-3</v>
      </c>
      <c r="AA516">
        <v>0.99846460000000004</v>
      </c>
      <c r="AB516">
        <v>47</v>
      </c>
      <c r="AC516">
        <v>17.436599999999999</v>
      </c>
      <c r="AD516">
        <v>-1.109804</v>
      </c>
      <c r="AE516">
        <v>0.98450000000002502</v>
      </c>
      <c r="AF516">
        <v>-0.98586008640575395</v>
      </c>
      <c r="AG516">
        <v>-1.109804</v>
      </c>
      <c r="AH516">
        <v>17.366169727833199</v>
      </c>
      <c r="AI516">
        <v>93.650714879119704</v>
      </c>
      <c r="AJ516">
        <v>93.249136740284698</v>
      </c>
      <c r="AK516">
        <v>17.429499018741001</v>
      </c>
      <c r="AL516">
        <v>88.235744655104597</v>
      </c>
      <c r="AM516">
        <v>91.869276465665806</v>
      </c>
      <c r="AN516">
        <v>1.00000003499446</v>
      </c>
    </row>
    <row r="517" spans="1:40" x14ac:dyDescent="0.3">
      <c r="A517" t="str">
        <f>"20200111153839444"</f>
        <v>20200111153839444</v>
      </c>
      <c r="B517" t="str">
        <f>"1578728319440785"</f>
        <v>1578728319440785</v>
      </c>
      <c r="C517" t="s">
        <v>40</v>
      </c>
      <c r="D517">
        <v>4.7811839999999997</v>
      </c>
      <c r="E517">
        <v>0.49126989999999998</v>
      </c>
      <c r="F517" t="s">
        <v>43</v>
      </c>
      <c r="G517">
        <v>-291.45319999999998</v>
      </c>
      <c r="H517">
        <v>-0.05</v>
      </c>
      <c r="I517">
        <v>368.47480000000002</v>
      </c>
      <c r="J517">
        <v>-309.04239999999999</v>
      </c>
      <c r="K517">
        <v>1.0588599999999999</v>
      </c>
      <c r="L517">
        <v>367.46179999999998</v>
      </c>
      <c r="M517">
        <v>0.99983599999999995</v>
      </c>
      <c r="N517">
        <v>0</v>
      </c>
      <c r="O517">
        <v>-3.0600359999999999E-4</v>
      </c>
      <c r="P517">
        <v>0.99937960000000003</v>
      </c>
      <c r="Q517">
        <v>1.2603700000000001E-2</v>
      </c>
      <c r="R517">
        <v>3.2891419999999998E-2</v>
      </c>
      <c r="S517">
        <v>2.9986570000000001</v>
      </c>
      <c r="T517">
        <v>-0.18428159999999999</v>
      </c>
      <c r="U517">
        <v>0.16818239999999901</v>
      </c>
      <c r="V517">
        <v>-3.3196450000000002E-2</v>
      </c>
      <c r="W517">
        <v>3.0704740000000001E-2</v>
      </c>
      <c r="X517">
        <v>0.99897709999999995</v>
      </c>
      <c r="Y517">
        <v>-5.6197200000000003E-2</v>
      </c>
      <c r="Z517">
        <v>1.7425889999999999E-3</v>
      </c>
      <c r="AA517">
        <v>0.99841820000000003</v>
      </c>
      <c r="AB517">
        <v>47</v>
      </c>
      <c r="AC517">
        <v>17.589200000000002</v>
      </c>
      <c r="AD517">
        <v>-1.10886</v>
      </c>
      <c r="AE517">
        <v>1.0130000000000301</v>
      </c>
      <c r="AF517">
        <v>-1.0143651240282101</v>
      </c>
      <c r="AG517">
        <v>-1.10886</v>
      </c>
      <c r="AH517">
        <v>17.519491512213001</v>
      </c>
      <c r="AI517">
        <v>93.615547994176296</v>
      </c>
      <c r="AJ517">
        <v>93.313682159542793</v>
      </c>
      <c r="AK517">
        <v>17.583830354929699</v>
      </c>
      <c r="AL517">
        <v>88.240471465907603</v>
      </c>
      <c r="AM517">
        <v>91.903263683410898</v>
      </c>
      <c r="AN517">
        <v>1.00000001583773</v>
      </c>
    </row>
    <row r="518" spans="1:40" x14ac:dyDescent="0.3">
      <c r="A518" t="str">
        <f>"20200111153839469"</f>
        <v>20200111153839469</v>
      </c>
      <c r="B518" t="str">
        <f>"1578728319461281"</f>
        <v>1578728319461281</v>
      </c>
      <c r="C518" t="s">
        <v>40</v>
      </c>
      <c r="D518">
        <v>4.8053339999999896</v>
      </c>
      <c r="E518">
        <v>0.49116199999999999</v>
      </c>
      <c r="F518" t="s">
        <v>43</v>
      </c>
      <c r="G518">
        <v>-291.44499999999999</v>
      </c>
      <c r="H518">
        <v>-0.05</v>
      </c>
      <c r="I518">
        <v>368.46780000000001</v>
      </c>
      <c r="J518">
        <v>-308.54230000000001</v>
      </c>
      <c r="K518">
        <v>1.0580050000000001</v>
      </c>
      <c r="L518">
        <v>367.46170000000001</v>
      </c>
      <c r="M518">
        <v>0.99984309999999998</v>
      </c>
      <c r="N518">
        <v>0</v>
      </c>
      <c r="O518">
        <v>-3.0565019999999999E-4</v>
      </c>
      <c r="P518">
        <v>0.999363</v>
      </c>
      <c r="Q518">
        <v>1.314914E-2</v>
      </c>
      <c r="R518">
        <v>3.3182070000000001E-2</v>
      </c>
      <c r="S518">
        <v>2.998596</v>
      </c>
      <c r="T518">
        <v>-0.18894949999999999</v>
      </c>
      <c r="U518">
        <v>0.17141719999999999</v>
      </c>
      <c r="V518">
        <v>-3.3486870000000002E-2</v>
      </c>
      <c r="W518">
        <v>3.0852020000000001E-2</v>
      </c>
      <c r="X518">
        <v>0.99896289999999999</v>
      </c>
      <c r="Y518">
        <v>-5.7264040000000002E-2</v>
      </c>
      <c r="Z518">
        <v>1.820154E-3</v>
      </c>
      <c r="AA518">
        <v>0.99835739999999995</v>
      </c>
      <c r="AB518">
        <v>46</v>
      </c>
      <c r="AC518">
        <v>17.097300000000001</v>
      </c>
      <c r="AD518">
        <v>-1.1080049999999999</v>
      </c>
      <c r="AE518">
        <v>1.0061</v>
      </c>
      <c r="AF518">
        <v>-1.00711149730328</v>
      </c>
      <c r="AG518">
        <v>-1.1080049999999999</v>
      </c>
      <c r="AH518">
        <v>17.0257337516943</v>
      </c>
      <c r="AI518">
        <v>93.716979716522005</v>
      </c>
      <c r="AJ518">
        <v>93.385233138468493</v>
      </c>
      <c r="AK518">
        <v>17.091446937916299</v>
      </c>
      <c r="AL518">
        <v>88.232028998225999</v>
      </c>
      <c r="AM518">
        <v>91.919929298204906</v>
      </c>
      <c r="AN518">
        <v>1.00000004658844</v>
      </c>
    </row>
    <row r="519" spans="1:40" x14ac:dyDescent="0.3">
      <c r="A519" t="str">
        <f>"20200111153839489"</f>
        <v>20200111153839489</v>
      </c>
      <c r="B519" t="str">
        <f>"1578728319480801"</f>
        <v>1578728319480801</v>
      </c>
      <c r="C519" t="s">
        <v>40</v>
      </c>
      <c r="D519">
        <v>4.833793</v>
      </c>
      <c r="E519">
        <v>0.491039</v>
      </c>
      <c r="F519" t="s">
        <v>43</v>
      </c>
      <c r="G519">
        <v>-290.78980000000001</v>
      </c>
      <c r="H519">
        <v>-0.05</v>
      </c>
      <c r="I519">
        <v>368.48660000000001</v>
      </c>
      <c r="J519">
        <v>-308.10340000000002</v>
      </c>
      <c r="K519">
        <v>1.057372</v>
      </c>
      <c r="L519">
        <v>367.4615</v>
      </c>
      <c r="M519">
        <v>0.99984859999999998</v>
      </c>
      <c r="N519">
        <v>0</v>
      </c>
      <c r="O519">
        <v>-3.0546620000000002E-4</v>
      </c>
      <c r="P519">
        <v>0.99934460000000003</v>
      </c>
      <c r="Q519">
        <v>1.3399879999999999E-2</v>
      </c>
      <c r="R519">
        <v>3.3631210000000002E-2</v>
      </c>
      <c r="S519">
        <v>2.9986269999999999</v>
      </c>
      <c r="T519">
        <v>-0.1871564</v>
      </c>
      <c r="U519">
        <v>0.17312620000000001</v>
      </c>
      <c r="V519">
        <v>-3.3935170000000001E-2</v>
      </c>
      <c r="W519">
        <v>3.078386E-2</v>
      </c>
      <c r="X519">
        <v>0.9989498</v>
      </c>
      <c r="Y519">
        <v>-5.7831430000000003E-2</v>
      </c>
      <c r="Z519">
        <v>1.8205300000000001E-3</v>
      </c>
      <c r="AA519">
        <v>0.99832469999999995</v>
      </c>
      <c r="AB519">
        <v>46</v>
      </c>
      <c r="AC519">
        <v>17.313600000000001</v>
      </c>
      <c r="AD519">
        <v>-1.107372</v>
      </c>
      <c r="AE519">
        <v>1.0250999999999999</v>
      </c>
      <c r="AF519">
        <v>-1.0262060942114799</v>
      </c>
      <c r="AG519">
        <v>-1.107372</v>
      </c>
      <c r="AH519">
        <v>17.242994122453801</v>
      </c>
      <c r="AI519">
        <v>93.668105491177499</v>
      </c>
      <c r="AJ519">
        <v>93.405905356042993</v>
      </c>
      <c r="AK519">
        <v>17.308963516084901</v>
      </c>
      <c r="AL519">
        <v>88.235936003223699</v>
      </c>
      <c r="AM519">
        <v>91.945637908961203</v>
      </c>
      <c r="AN519">
        <v>0.99999997235973304</v>
      </c>
    </row>
    <row r="520" spans="1:40" x14ac:dyDescent="0.3">
      <c r="A520" t="str">
        <f>"20200111153839513"</f>
        <v>20200111153839513</v>
      </c>
      <c r="B520" t="str">
        <f>"1578728319501297"</f>
        <v>1578728319501297</v>
      </c>
      <c r="C520" t="s">
        <v>40</v>
      </c>
      <c r="D520">
        <v>4.8585820000000002</v>
      </c>
      <c r="E520">
        <v>0.49097439999999998</v>
      </c>
      <c r="F520" t="s">
        <v>43</v>
      </c>
      <c r="G520">
        <v>-290.4307</v>
      </c>
      <c r="H520">
        <v>-0.05</v>
      </c>
      <c r="I520">
        <v>368.49590000000001</v>
      </c>
      <c r="J520">
        <v>-307.64019999999999</v>
      </c>
      <c r="K520">
        <v>1.0568010000000001</v>
      </c>
      <c r="L520">
        <v>367.46140000000003</v>
      </c>
      <c r="M520">
        <v>0.99985400000000002</v>
      </c>
      <c r="N520">
        <v>0</v>
      </c>
      <c r="O520">
        <v>-3.0531260000000001E-4</v>
      </c>
      <c r="P520">
        <v>0.99933470000000002</v>
      </c>
      <c r="Q520">
        <v>1.356394E-2</v>
      </c>
      <c r="R520">
        <v>3.3857959999999999E-2</v>
      </c>
      <c r="S520">
        <v>2.9985659999999998</v>
      </c>
      <c r="T520">
        <v>-0.18789049999999999</v>
      </c>
      <c r="U520">
        <v>0.17550660000000001</v>
      </c>
      <c r="V520">
        <v>-3.4162060000000001E-2</v>
      </c>
      <c r="W520">
        <v>3.0640879999999999E-2</v>
      </c>
      <c r="X520">
        <v>0.99894649999999996</v>
      </c>
      <c r="Y520">
        <v>-5.8619839999999999E-2</v>
      </c>
      <c r="Z520">
        <v>1.852299E-3</v>
      </c>
      <c r="AA520">
        <v>0.99827869999999996</v>
      </c>
      <c r="AB520">
        <v>46</v>
      </c>
      <c r="AC520">
        <v>17.209499999999899</v>
      </c>
      <c r="AD520">
        <v>-1.1068009999999999</v>
      </c>
      <c r="AE520">
        <v>1.03449999999998</v>
      </c>
      <c r="AF520">
        <v>-1.0354874232615701</v>
      </c>
      <c r="AG520">
        <v>-1.1068009999999999</v>
      </c>
      <c r="AH520">
        <v>17.1385498959099</v>
      </c>
      <c r="AI520">
        <v>93.688301369555404</v>
      </c>
      <c r="AJ520">
        <v>93.457528518095899</v>
      </c>
      <c r="AK520">
        <v>17.205439116509801</v>
      </c>
      <c r="AL520">
        <v>88.244132086246793</v>
      </c>
      <c r="AM520">
        <v>91.958642779521398</v>
      </c>
      <c r="AN520">
        <v>1.0000000098664299</v>
      </c>
    </row>
    <row r="521" spans="1:40" x14ac:dyDescent="0.3">
      <c r="A521" t="str">
        <f>"20200111153839534"</f>
        <v>20200111153839534</v>
      </c>
      <c r="B521" t="str">
        <f>"1578728319531168"</f>
        <v>1578728319531168</v>
      </c>
      <c r="C521" t="s">
        <v>40</v>
      </c>
      <c r="D521">
        <v>4.8031470000000001</v>
      </c>
      <c r="E521">
        <v>0.4908362</v>
      </c>
      <c r="F521" t="s">
        <v>43</v>
      </c>
      <c r="G521">
        <v>-289.85489999999999</v>
      </c>
      <c r="H521">
        <v>-0.05</v>
      </c>
      <c r="I521">
        <v>368.51150000000001</v>
      </c>
      <c r="J521">
        <v>-307.18970000000002</v>
      </c>
      <c r="K521">
        <v>1.056343</v>
      </c>
      <c r="L521">
        <v>367.46129999999999</v>
      </c>
      <c r="M521">
        <v>0.99985860000000004</v>
      </c>
      <c r="N521">
        <v>0</v>
      </c>
      <c r="O521">
        <v>-3.050393E-4</v>
      </c>
      <c r="P521">
        <v>0.99932900000000002</v>
      </c>
      <c r="Q521">
        <v>1.4054229999999999E-2</v>
      </c>
      <c r="R521">
        <v>3.382491E-2</v>
      </c>
      <c r="S521">
        <v>2.9985050000000002</v>
      </c>
      <c r="T521">
        <v>-0.18660060000000001</v>
      </c>
      <c r="U521">
        <v>0.17703250000000001</v>
      </c>
      <c r="V521">
        <v>-3.4128480000000003E-2</v>
      </c>
      <c r="W521">
        <v>3.086059E-2</v>
      </c>
      <c r="X521">
        <v>0.99894090000000002</v>
      </c>
      <c r="Y521">
        <v>-5.9127600000000002E-2</v>
      </c>
      <c r="Z521">
        <v>1.855371E-3</v>
      </c>
      <c r="AA521">
        <v>0.99824869999999999</v>
      </c>
      <c r="AB521">
        <v>46</v>
      </c>
      <c r="AC521">
        <v>17.334800000000001</v>
      </c>
      <c r="AD521">
        <v>-1.1063430000000001</v>
      </c>
      <c r="AE521">
        <v>1.05020000000001</v>
      </c>
      <c r="AF521">
        <v>-1.05122225309298</v>
      </c>
      <c r="AG521">
        <v>-1.1063430000000001</v>
      </c>
      <c r="AH521">
        <v>17.264413549260201</v>
      </c>
      <c r="AI521">
        <v>93.659870871031799</v>
      </c>
      <c r="AJ521">
        <v>93.484411891212403</v>
      </c>
      <c r="AK521">
        <v>17.331735004289801</v>
      </c>
      <c r="AL521">
        <v>88.231537702062099</v>
      </c>
      <c r="AM521">
        <v>91.956729966558996</v>
      </c>
      <c r="AN521">
        <v>1.0000000254275301</v>
      </c>
    </row>
    <row r="522" spans="1:40" x14ac:dyDescent="0.3">
      <c r="A522" t="str">
        <f>"20200111153839557"</f>
        <v>20200111153839557</v>
      </c>
      <c r="B522" t="str">
        <f>"1578728319550688"</f>
        <v>1578728319550688</v>
      </c>
      <c r="C522" t="s">
        <v>40</v>
      </c>
      <c r="D522">
        <v>4.8154629999999896</v>
      </c>
      <c r="E522">
        <v>0.4907492</v>
      </c>
      <c r="F522" t="s">
        <v>43</v>
      </c>
      <c r="G522">
        <v>-289.51900000000001</v>
      </c>
      <c r="H522">
        <v>-0.05</v>
      </c>
      <c r="I522">
        <v>368.50900000000001</v>
      </c>
      <c r="J522">
        <v>-306.72210000000001</v>
      </c>
      <c r="K522">
        <v>1.0559459999999901</v>
      </c>
      <c r="L522">
        <v>367.46120000000002</v>
      </c>
      <c r="M522">
        <v>0.99986280000000005</v>
      </c>
      <c r="N522">
        <v>0</v>
      </c>
      <c r="O522">
        <v>-3.0507780000000001E-4</v>
      </c>
      <c r="P522">
        <v>0.99933179999999999</v>
      </c>
      <c r="Q522">
        <v>1.403606E-2</v>
      </c>
      <c r="R522">
        <v>3.3747989999999999E-2</v>
      </c>
      <c r="S522">
        <v>2.9986269999999999</v>
      </c>
      <c r="T522">
        <v>-0.1877413</v>
      </c>
      <c r="U522">
        <v>0.17779539999999999</v>
      </c>
      <c r="V522">
        <v>-3.4051599999999897E-2</v>
      </c>
      <c r="W522">
        <v>3.0590829999999999E-2</v>
      </c>
      <c r="X522">
        <v>0.99895179999999995</v>
      </c>
      <c r="Y522">
        <v>-5.9376459999999999E-2</v>
      </c>
      <c r="Z522">
        <v>1.874379E-3</v>
      </c>
      <c r="AA522">
        <v>0.99823390000000001</v>
      </c>
      <c r="AB522">
        <v>46</v>
      </c>
      <c r="AC522">
        <v>17.203099999999999</v>
      </c>
      <c r="AD522">
        <v>-1.1059460000000001</v>
      </c>
      <c r="AE522">
        <v>1.0477999999999901</v>
      </c>
      <c r="AF522">
        <v>-1.04873068048397</v>
      </c>
      <c r="AG522">
        <v>-1.1059460000000001</v>
      </c>
      <c r="AH522">
        <v>17.132235457234199</v>
      </c>
      <c r="AI522">
        <v>93.686637468545101</v>
      </c>
      <c r="AJ522">
        <v>93.502926268149494</v>
      </c>
      <c r="AK522">
        <v>17.199896637980601</v>
      </c>
      <c r="AL522">
        <v>88.247001075546194</v>
      </c>
      <c r="AM522">
        <v>91.952304240059604</v>
      </c>
      <c r="AN522">
        <v>1.00000000453294</v>
      </c>
    </row>
    <row r="523" spans="1:40" x14ac:dyDescent="0.3">
      <c r="A523" t="str">
        <f>"20200111153839579"</f>
        <v>20200111153839579</v>
      </c>
      <c r="B523" t="str">
        <f>"1578728319571187"</f>
        <v>1578728319571187</v>
      </c>
      <c r="C523" t="s">
        <v>40</v>
      </c>
      <c r="D523">
        <v>4.8019590000000001</v>
      </c>
      <c r="E523">
        <v>0.49062060000000002</v>
      </c>
      <c r="F523" t="s">
        <v>43</v>
      </c>
      <c r="G523">
        <v>-289.1481</v>
      </c>
      <c r="H523">
        <v>-0.05</v>
      </c>
      <c r="I523">
        <v>368.50670000000002</v>
      </c>
      <c r="J523">
        <v>-306.25139999999999</v>
      </c>
      <c r="K523">
        <v>1.055615</v>
      </c>
      <c r="L523">
        <v>367.46100000000001</v>
      </c>
      <c r="M523">
        <v>0.99986660000000005</v>
      </c>
      <c r="N523">
        <v>0</v>
      </c>
      <c r="O523">
        <v>-3.0487659999999997E-4</v>
      </c>
      <c r="P523">
        <v>0.99933260000000002</v>
      </c>
      <c r="Q523">
        <v>1.436172E-2</v>
      </c>
      <c r="R523">
        <v>3.3592370000000003E-2</v>
      </c>
      <c r="S523">
        <v>2.9986269999999999</v>
      </c>
      <c r="T523">
        <v>-0.18870600000000001</v>
      </c>
      <c r="U523">
        <v>0.1784058</v>
      </c>
      <c r="V523">
        <v>-3.3896219999999998E-2</v>
      </c>
      <c r="W523">
        <v>3.0690450000000001E-2</v>
      </c>
      <c r="X523">
        <v>0.99895400000000001</v>
      </c>
      <c r="Y523">
        <v>-5.9577129999999999E-2</v>
      </c>
      <c r="Z523">
        <v>1.890269E-3</v>
      </c>
      <c r="AA523">
        <v>0.9982219</v>
      </c>
      <c r="AB523">
        <v>46</v>
      </c>
      <c r="AC523">
        <v>17.103299999999901</v>
      </c>
      <c r="AD523">
        <v>-1.105615</v>
      </c>
      <c r="AE523">
        <v>1.0457000000000101</v>
      </c>
      <c r="AF523">
        <v>-1.04655800927664</v>
      </c>
      <c r="AG523">
        <v>-1.105615</v>
      </c>
      <c r="AH523">
        <v>17.032072376957199</v>
      </c>
      <c r="AI523">
        <v>93.707098463563</v>
      </c>
      <c r="AJ523">
        <v>93.516193406135898</v>
      </c>
      <c r="AK523">
        <v>17.099975369833501</v>
      </c>
      <c r="AL523">
        <v>88.241290538165799</v>
      </c>
      <c r="AM523">
        <v>91.943398299769996</v>
      </c>
      <c r="AN523">
        <v>0.999999975783745</v>
      </c>
    </row>
    <row r="524" spans="1:40" x14ac:dyDescent="0.3">
      <c r="A524" t="str">
        <f>"20200111153839600"</f>
        <v>20200111153839600</v>
      </c>
      <c r="B524" t="str">
        <f>"1578728319590704"</f>
        <v>1578728319590704</v>
      </c>
      <c r="C524" t="s">
        <v>40</v>
      </c>
      <c r="D524">
        <v>4.8086699999999896</v>
      </c>
      <c r="E524">
        <v>0.49040869999999998</v>
      </c>
      <c r="F524" t="s">
        <v>43</v>
      </c>
      <c r="G524">
        <v>-288.68270000000001</v>
      </c>
      <c r="H524">
        <v>-0.05</v>
      </c>
      <c r="I524">
        <v>368.50869999999998</v>
      </c>
      <c r="J524">
        <v>-305.81009999999998</v>
      </c>
      <c r="K524">
        <v>1.055353</v>
      </c>
      <c r="L524">
        <v>367.46089999999998</v>
      </c>
      <c r="M524">
        <v>0.99986960000000003</v>
      </c>
      <c r="N524">
        <v>0</v>
      </c>
      <c r="O524">
        <v>-3.0475260000000003E-4</v>
      </c>
      <c r="P524">
        <v>0.99933609999999995</v>
      </c>
      <c r="Q524">
        <v>1.4672060000000001E-2</v>
      </c>
      <c r="R524">
        <v>3.3355199999999897E-2</v>
      </c>
      <c r="S524">
        <v>2.9987180000000002</v>
      </c>
      <c r="T524">
        <v>-0.18871250000000001</v>
      </c>
      <c r="U524">
        <v>0.17883299999999999</v>
      </c>
      <c r="V524">
        <v>-3.365887E-2</v>
      </c>
      <c r="W524">
        <v>3.0809599999999999E-2</v>
      </c>
      <c r="X524">
        <v>0.99895840000000002</v>
      </c>
      <c r="Y524">
        <v>-5.9716650000000003E-2</v>
      </c>
      <c r="Z524">
        <v>1.8946430000000001E-3</v>
      </c>
      <c r="AA524">
        <v>0.99821360000000003</v>
      </c>
      <c r="AB524">
        <v>46</v>
      </c>
      <c r="AC524">
        <v>17.127399999999898</v>
      </c>
      <c r="AD524">
        <v>-1.105353</v>
      </c>
      <c r="AE524">
        <v>1.0477999999999901</v>
      </c>
      <c r="AF524">
        <v>-1.0486687905285199</v>
      </c>
      <c r="AG524">
        <v>-1.105353</v>
      </c>
      <c r="AH524">
        <v>17.0563045475755</v>
      </c>
      <c r="AI524">
        <v>93.700963348208006</v>
      </c>
      <c r="AJ524">
        <v>93.518274316704904</v>
      </c>
      <c r="AK524">
        <v>17.124223670183799</v>
      </c>
      <c r="AL524">
        <v>88.234460590472693</v>
      </c>
      <c r="AM524">
        <v>91.929791960004394</v>
      </c>
      <c r="AN524">
        <v>1.0000000179561901</v>
      </c>
    </row>
    <row r="525" spans="1:40" x14ac:dyDescent="0.3">
      <c r="A525" t="str">
        <f>"20200111153839623"</f>
        <v>20200111153839623</v>
      </c>
      <c r="B525" t="str">
        <f>"1578728319611203"</f>
        <v>1578728319611203</v>
      </c>
      <c r="C525" t="s">
        <v>40</v>
      </c>
      <c r="D525">
        <v>4.8390069999999996</v>
      </c>
      <c r="E525">
        <v>0.49032880000000001</v>
      </c>
      <c r="F525" t="s">
        <v>43</v>
      </c>
      <c r="G525">
        <v>-288.28710000000001</v>
      </c>
      <c r="H525">
        <v>-0.05</v>
      </c>
      <c r="I525">
        <v>368.51249999999999</v>
      </c>
      <c r="J525">
        <v>-305.34519999999998</v>
      </c>
      <c r="K525">
        <v>1.055126</v>
      </c>
      <c r="L525">
        <v>367.46069999999997</v>
      </c>
      <c r="M525">
        <v>0.99987239999999999</v>
      </c>
      <c r="N525">
        <v>0</v>
      </c>
      <c r="O525">
        <v>-3.0449660000000001E-4</v>
      </c>
      <c r="P525">
        <v>0.99934020000000001</v>
      </c>
      <c r="Q525">
        <v>1.5080909999999999E-2</v>
      </c>
      <c r="R525">
        <v>3.3044370000000003E-2</v>
      </c>
      <c r="S525">
        <v>2.9988100000000002</v>
      </c>
      <c r="T525">
        <v>-0.18916540000000001</v>
      </c>
      <c r="U525">
        <v>0.17996219999999999</v>
      </c>
      <c r="V525">
        <v>-3.334757E-2</v>
      </c>
      <c r="W525">
        <v>3.103885E-2</v>
      </c>
      <c r="X525">
        <v>0.99896169999999995</v>
      </c>
      <c r="Y525">
        <v>-6.0087809999999998E-2</v>
      </c>
      <c r="Z525">
        <v>1.91077E-3</v>
      </c>
      <c r="AA525">
        <v>0.99819119999999995</v>
      </c>
      <c r="AB525">
        <v>46</v>
      </c>
      <c r="AC525">
        <v>17.0580999999999</v>
      </c>
      <c r="AD525">
        <v>-1.1051260000000001</v>
      </c>
      <c r="AE525">
        <v>1.0518000000000101</v>
      </c>
      <c r="AF525">
        <v>-1.05259350843773</v>
      </c>
      <c r="AG525">
        <v>-1.1051260000000001</v>
      </c>
      <c r="AH525">
        <v>16.986751715661701</v>
      </c>
      <c r="AI525">
        <v>93.715203698015998</v>
      </c>
      <c r="AJ525">
        <v>93.545831105700799</v>
      </c>
      <c r="AK525">
        <v>17.055174886802401</v>
      </c>
      <c r="AL525">
        <v>88.221319170554693</v>
      </c>
      <c r="AM525">
        <v>91.911950935747299</v>
      </c>
      <c r="AN525">
        <v>0.99999997435055799</v>
      </c>
    </row>
    <row r="526" spans="1:40" x14ac:dyDescent="0.3">
      <c r="A526" t="str">
        <f>"20200111153839646"</f>
        <v>20200111153839646</v>
      </c>
      <c r="B526" t="str">
        <f>"1578728319640480"</f>
        <v>1578728319640480</v>
      </c>
      <c r="C526" t="s">
        <v>40</v>
      </c>
      <c r="D526">
        <v>4.837466</v>
      </c>
      <c r="E526">
        <v>0.49005789999999999</v>
      </c>
      <c r="F526" t="s">
        <v>43</v>
      </c>
      <c r="G526">
        <v>-287.83929999999998</v>
      </c>
      <c r="H526">
        <v>-0.05</v>
      </c>
      <c r="I526">
        <v>368.51119999999997</v>
      </c>
      <c r="J526">
        <v>-304.8818</v>
      </c>
      <c r="K526">
        <v>1.0549379999999999</v>
      </c>
      <c r="L526">
        <v>367.4606</v>
      </c>
      <c r="M526">
        <v>0.99987490000000001</v>
      </c>
      <c r="N526">
        <v>0</v>
      </c>
      <c r="O526">
        <v>-3.0405919999999998E-4</v>
      </c>
      <c r="P526">
        <v>0.99933729999999998</v>
      </c>
      <c r="Q526">
        <v>1.539273E-2</v>
      </c>
      <c r="R526">
        <v>3.2989789999999998E-2</v>
      </c>
      <c r="S526">
        <v>2.998901</v>
      </c>
      <c r="T526">
        <v>-0.18931719999999999</v>
      </c>
      <c r="U526">
        <v>0.17996219999999999</v>
      </c>
      <c r="V526">
        <v>-3.3292639999999998E-2</v>
      </c>
      <c r="W526">
        <v>3.1191360000000001E-2</v>
      </c>
      <c r="X526">
        <v>0.99895880000000004</v>
      </c>
      <c r="Y526">
        <v>-6.0085369999999999E-2</v>
      </c>
      <c r="Z526">
        <v>1.9121380000000001E-3</v>
      </c>
      <c r="AA526">
        <v>0.99819139999999995</v>
      </c>
      <c r="AB526">
        <v>46</v>
      </c>
      <c r="AC526">
        <v>17.0425</v>
      </c>
      <c r="AD526">
        <v>-1.104938</v>
      </c>
      <c r="AE526">
        <v>1.05059999999997</v>
      </c>
      <c r="AF526">
        <v>-1.0513798034392401</v>
      </c>
      <c r="AG526">
        <v>-1.104938</v>
      </c>
      <c r="AH526">
        <v>16.971112032420798</v>
      </c>
      <c r="AI526">
        <v>93.717990306860401</v>
      </c>
      <c r="AJ526">
        <v>93.545008531274306</v>
      </c>
      <c r="AK526">
        <v>17.039510881826999</v>
      </c>
      <c r="AL526">
        <v>88.212576790355797</v>
      </c>
      <c r="AM526">
        <v>91.908809445776399</v>
      </c>
      <c r="AN526">
        <v>0.99999999245712901</v>
      </c>
    </row>
    <row r="527" spans="1:40" x14ac:dyDescent="0.3">
      <c r="A527" t="str">
        <f>"20200111153839669"</f>
        <v>20200111153839669</v>
      </c>
      <c r="B527" t="str">
        <f>"1578728319660976"</f>
        <v>1578728319660976</v>
      </c>
      <c r="C527" t="s">
        <v>40</v>
      </c>
      <c r="D527">
        <v>6.5393559999999997</v>
      </c>
      <c r="E527">
        <v>0.48994349999999998</v>
      </c>
      <c r="F527" t="s">
        <v>43</v>
      </c>
      <c r="G527">
        <v>-287.51740000000001</v>
      </c>
      <c r="H527">
        <v>-0.05</v>
      </c>
      <c r="I527">
        <v>368.51229999999998</v>
      </c>
      <c r="J527">
        <v>-304.40309999999999</v>
      </c>
      <c r="K527">
        <v>1.054783</v>
      </c>
      <c r="L527">
        <v>367.46039999999999</v>
      </c>
      <c r="M527">
        <v>0.99987740000000003</v>
      </c>
      <c r="N527">
        <v>0</v>
      </c>
      <c r="O527">
        <v>-3.038583E-4</v>
      </c>
      <c r="P527">
        <v>0.99933430000000001</v>
      </c>
      <c r="Q527">
        <v>1.521317E-2</v>
      </c>
      <c r="R527">
        <v>3.31626E-2</v>
      </c>
      <c r="S527">
        <v>2.9989620000000001</v>
      </c>
      <c r="T527">
        <v>-0.190831</v>
      </c>
      <c r="U527">
        <v>0.18164060000000001</v>
      </c>
      <c r="V527">
        <v>-3.3464939999999999E-2</v>
      </c>
      <c r="W527">
        <v>3.0865360000000001E-2</v>
      </c>
      <c r="X527">
        <v>0.99896320000000005</v>
      </c>
      <c r="Y527">
        <v>-6.0637570000000002E-2</v>
      </c>
      <c r="Z527">
        <v>1.9448480000000001E-3</v>
      </c>
      <c r="AA527">
        <v>0.99815799999999999</v>
      </c>
      <c r="AB527">
        <v>46</v>
      </c>
      <c r="AC527">
        <v>16.8856999999999</v>
      </c>
      <c r="AD527">
        <v>-1.1047830000000001</v>
      </c>
      <c r="AE527">
        <v>1.0518999999999801</v>
      </c>
      <c r="AF527">
        <v>-1.0525432253309801</v>
      </c>
      <c r="AG527">
        <v>-1.1047830000000001</v>
      </c>
      <c r="AH527">
        <v>16.813683279225302</v>
      </c>
      <c r="AI527">
        <v>93.752027717563394</v>
      </c>
      <c r="AJ527">
        <v>93.582064202948999</v>
      </c>
      <c r="AK527">
        <v>16.882782298317402</v>
      </c>
      <c r="AL527">
        <v>88.231264268075407</v>
      </c>
      <c r="AM527">
        <v>91.918672332407397</v>
      </c>
      <c r="AN527">
        <v>1.0000000238056801</v>
      </c>
    </row>
    <row r="528" spans="1:40" x14ac:dyDescent="0.3">
      <c r="A528" t="str">
        <f>"20200111153839691"</f>
        <v>20200111153839691</v>
      </c>
      <c r="B528" t="str">
        <f>"1578728319680497"</f>
        <v>1578728319680497</v>
      </c>
      <c r="C528" t="s">
        <v>40</v>
      </c>
      <c r="D528">
        <v>4.8074389999999996</v>
      </c>
      <c r="E528">
        <v>0.48975780000000002</v>
      </c>
      <c r="F528" t="s">
        <v>43</v>
      </c>
      <c r="G528">
        <v>-287.19920000000002</v>
      </c>
      <c r="H528">
        <v>-0.05</v>
      </c>
      <c r="I528">
        <v>368.51139999999998</v>
      </c>
      <c r="J528">
        <v>-303.95060000000001</v>
      </c>
      <c r="K528">
        <v>1.054657</v>
      </c>
      <c r="L528">
        <v>367.46030000000002</v>
      </c>
      <c r="M528">
        <v>0.99987919999999997</v>
      </c>
      <c r="N528">
        <v>0</v>
      </c>
      <c r="O528">
        <v>-3.033752E-4</v>
      </c>
      <c r="P528">
        <v>0.99932560000000004</v>
      </c>
      <c r="Q528">
        <v>1.561477E-2</v>
      </c>
      <c r="R528">
        <v>3.3234859999999998E-2</v>
      </c>
      <c r="S528">
        <v>2.99884</v>
      </c>
      <c r="T528">
        <v>-0.1925762</v>
      </c>
      <c r="U528">
        <v>0.183197</v>
      </c>
      <c r="V528">
        <v>-3.3537049999999999E-2</v>
      </c>
      <c r="W528">
        <v>3.114418E-2</v>
      </c>
      <c r="X528">
        <v>0.99895210000000001</v>
      </c>
      <c r="Y528">
        <v>-6.1152339999999999E-2</v>
      </c>
      <c r="Z528">
        <v>1.979111E-3</v>
      </c>
      <c r="AA528">
        <v>0.99812650000000003</v>
      </c>
      <c r="AB528">
        <v>46</v>
      </c>
      <c r="AC528">
        <v>16.751399999999901</v>
      </c>
      <c r="AD528">
        <v>-1.104657</v>
      </c>
      <c r="AE528">
        <v>1.05109999999996</v>
      </c>
      <c r="AF528">
        <v>-1.05162731892732</v>
      </c>
      <c r="AG528">
        <v>-1.104657</v>
      </c>
      <c r="AH528">
        <v>16.678834639593902</v>
      </c>
      <c r="AI528">
        <v>93.781738631285705</v>
      </c>
      <c r="AJ528">
        <v>93.607815040772394</v>
      </c>
      <c r="AK528">
        <v>16.7484241658874</v>
      </c>
      <c r="AL528">
        <v>88.2152813253185</v>
      </c>
      <c r="AM528">
        <v>91.9228249224346</v>
      </c>
      <c r="AN528">
        <v>0.999999995882492</v>
      </c>
    </row>
    <row r="529" spans="1:40" x14ac:dyDescent="0.3">
      <c r="A529" t="str">
        <f>"20200111153839713"</f>
        <v>20200111153839713</v>
      </c>
      <c r="B529" t="str">
        <f>"1578728319700992"</f>
        <v>1578728319700992</v>
      </c>
      <c r="C529" t="s">
        <v>40</v>
      </c>
      <c r="D529">
        <v>4.7876789999999998</v>
      </c>
      <c r="E529">
        <v>0.48960989999999999</v>
      </c>
      <c r="F529" t="s">
        <v>43</v>
      </c>
      <c r="G529">
        <v>-286.6925</v>
      </c>
      <c r="H529">
        <v>-0.05</v>
      </c>
      <c r="I529">
        <v>368.52370000000002</v>
      </c>
      <c r="J529">
        <v>-303.49770000000001</v>
      </c>
      <c r="K529">
        <v>1.054556</v>
      </c>
      <c r="L529">
        <v>367.46019999999999</v>
      </c>
      <c r="M529">
        <v>0.99988089999999996</v>
      </c>
      <c r="N529">
        <v>0</v>
      </c>
      <c r="O529">
        <v>-3.0324449999999999E-4</v>
      </c>
      <c r="P529">
        <v>0.99930330000000001</v>
      </c>
      <c r="Q529">
        <v>1.604935E-2</v>
      </c>
      <c r="R529">
        <v>3.3696660000000003E-2</v>
      </c>
      <c r="S529">
        <v>2.9988709999999998</v>
      </c>
      <c r="T529">
        <v>-0.1919525</v>
      </c>
      <c r="U529">
        <v>0.1847839</v>
      </c>
      <c r="V529">
        <v>-3.399874E-2</v>
      </c>
      <c r="W529">
        <v>3.1469700000000003E-2</v>
      </c>
      <c r="X529">
        <v>0.99892630000000004</v>
      </c>
      <c r="Y529">
        <v>-6.1677540000000003E-2</v>
      </c>
      <c r="Z529">
        <v>1.9894299999999999E-3</v>
      </c>
      <c r="AA529">
        <v>0.99809409999999998</v>
      </c>
      <c r="AB529">
        <v>46</v>
      </c>
      <c r="AC529">
        <v>16.805199999999999</v>
      </c>
      <c r="AD529">
        <v>-1.1045559999999901</v>
      </c>
      <c r="AE529">
        <v>1.0635000000000301</v>
      </c>
      <c r="AF529">
        <v>-1.0640183721657199</v>
      </c>
      <c r="AG529">
        <v>-1.1045559999999901</v>
      </c>
      <c r="AH529">
        <v>16.732878272038299</v>
      </c>
      <c r="AI529">
        <v>93.769088778668802</v>
      </c>
      <c r="AJ529">
        <v>93.638453046682599</v>
      </c>
      <c r="AK529">
        <v>16.803017417127599</v>
      </c>
      <c r="AL529">
        <v>88.196621271874903</v>
      </c>
      <c r="AM529">
        <v>91.949325642046205</v>
      </c>
      <c r="AN529">
        <v>1.0000000045856801</v>
      </c>
    </row>
    <row r="530" spans="1:40" x14ac:dyDescent="0.3">
      <c r="A530" t="str">
        <f>"20200111153839736"</f>
        <v>20200111153839736</v>
      </c>
      <c r="B530" t="str">
        <f>"1578728319731248"</f>
        <v>1578728319731248</v>
      </c>
      <c r="C530" t="s">
        <v>40</v>
      </c>
      <c r="D530">
        <v>4.798273</v>
      </c>
      <c r="E530">
        <v>0.48950110000000002</v>
      </c>
      <c r="F530" t="s">
        <v>43</v>
      </c>
      <c r="G530">
        <v>-286.10899999999998</v>
      </c>
      <c r="H530">
        <v>-0.05</v>
      </c>
      <c r="I530">
        <v>368.54700000000003</v>
      </c>
      <c r="J530">
        <v>-303.03620000000001</v>
      </c>
      <c r="K530">
        <v>1.0544690000000001</v>
      </c>
      <c r="L530">
        <v>367.46010000000001</v>
      </c>
      <c r="M530">
        <v>0.99988239999999995</v>
      </c>
      <c r="N530">
        <v>0</v>
      </c>
      <c r="O530">
        <v>-3.029641E-4</v>
      </c>
      <c r="P530">
        <v>0.99928249999999996</v>
      </c>
      <c r="Q530">
        <v>1.6443960000000001E-2</v>
      </c>
      <c r="R530">
        <v>3.4121140000000001E-2</v>
      </c>
      <c r="S530">
        <v>2.99884</v>
      </c>
      <c r="T530">
        <v>-0.1904911</v>
      </c>
      <c r="U530">
        <v>0.18743899999999999</v>
      </c>
      <c r="V530">
        <v>-3.4422830000000001E-2</v>
      </c>
      <c r="W530">
        <v>3.1766139999999998E-2</v>
      </c>
      <c r="X530">
        <v>0.99890239999999997</v>
      </c>
      <c r="Y530">
        <v>-6.2558279999999994E-2</v>
      </c>
      <c r="Z530">
        <v>2.0021800000000001E-3</v>
      </c>
      <c r="AA530">
        <v>0.99803929999999996</v>
      </c>
      <c r="AB530">
        <v>46</v>
      </c>
      <c r="AC530">
        <v>16.9271999999999</v>
      </c>
      <c r="AD530">
        <v>-1.1044689999999999</v>
      </c>
      <c r="AE530">
        <v>1.08689999999995</v>
      </c>
      <c r="AF530">
        <v>-1.08741840217858</v>
      </c>
      <c r="AG530">
        <v>-1.1044689999999999</v>
      </c>
      <c r="AH530">
        <v>16.855405596381601</v>
      </c>
      <c r="AI530">
        <v>93.741253925402404</v>
      </c>
      <c r="AJ530">
        <v>93.691294180268599</v>
      </c>
      <c r="AK530">
        <v>16.926518495304599</v>
      </c>
      <c r="AL530">
        <v>88.179628028007301</v>
      </c>
      <c r="AM530">
        <v>91.973669013396702</v>
      </c>
      <c r="AN530">
        <v>1.0000000118007299</v>
      </c>
    </row>
    <row r="531" spans="1:40" x14ac:dyDescent="0.3">
      <c r="A531" t="str">
        <f>"20200111153839758"</f>
        <v>20200111153839758</v>
      </c>
      <c r="B531" t="str">
        <f>"1578728319750771"</f>
        <v>1578728319750771</v>
      </c>
      <c r="C531" t="s">
        <v>40</v>
      </c>
      <c r="D531">
        <v>4.816878</v>
      </c>
      <c r="E531">
        <v>0.48939490000000002</v>
      </c>
      <c r="F531" t="s">
        <v>43</v>
      </c>
      <c r="G531">
        <v>-285.30450000000002</v>
      </c>
      <c r="H531">
        <v>-0.05</v>
      </c>
      <c r="I531">
        <v>368.58170000000001</v>
      </c>
      <c r="J531">
        <v>-302.5659</v>
      </c>
      <c r="K531">
        <v>1.0544009999999999</v>
      </c>
      <c r="L531">
        <v>367.4599</v>
      </c>
      <c r="M531">
        <v>0.99988379999999999</v>
      </c>
      <c r="N531">
        <v>0</v>
      </c>
      <c r="O531">
        <v>-3.0265080000000001E-4</v>
      </c>
      <c r="P531">
        <v>0.99926479999999995</v>
      </c>
      <c r="Q531">
        <v>1.69366E-2</v>
      </c>
      <c r="R531">
        <v>3.4400710000000001E-2</v>
      </c>
      <c r="S531">
        <v>2.9987789999999999</v>
      </c>
      <c r="T531">
        <v>-0.18678700000000001</v>
      </c>
      <c r="U531">
        <v>0.18969730000000001</v>
      </c>
      <c r="V531">
        <v>-3.4701969999999999E-2</v>
      </c>
      <c r="W531">
        <v>3.2170770000000001E-2</v>
      </c>
      <c r="X531">
        <v>0.99887979999999998</v>
      </c>
      <c r="Y531">
        <v>-6.3311259999999994E-2</v>
      </c>
      <c r="Z531">
        <v>1.9867029999999998E-3</v>
      </c>
      <c r="AA531">
        <v>0.99799190000000004</v>
      </c>
      <c r="AB531">
        <v>46</v>
      </c>
      <c r="AC531">
        <v>17.261399999999899</v>
      </c>
      <c r="AD531">
        <v>-1.104401</v>
      </c>
      <c r="AE531">
        <v>1.1217999999999999</v>
      </c>
      <c r="AF531">
        <v>-1.1224492394625101</v>
      </c>
      <c r="AG531">
        <v>-1.104401</v>
      </c>
      <c r="AH531">
        <v>17.190983243824601</v>
      </c>
      <c r="AI531">
        <v>93.668014674443299</v>
      </c>
      <c r="AJ531">
        <v>93.735705281758996</v>
      </c>
      <c r="AK531">
        <v>17.262951623445801</v>
      </c>
      <c r="AL531">
        <v>88.156432596294707</v>
      </c>
      <c r="AM531">
        <v>91.989705966204994</v>
      </c>
      <c r="AN531">
        <v>1.0000000200061501</v>
      </c>
    </row>
    <row r="532" spans="1:40" x14ac:dyDescent="0.3">
      <c r="A532" t="str">
        <f>"20200111153839781"</f>
        <v>20200111153839781</v>
      </c>
      <c r="B532" t="str">
        <f>"1578728319771265"</f>
        <v>1578728319771265</v>
      </c>
      <c r="C532" t="s">
        <v>40</v>
      </c>
      <c r="D532">
        <v>4.7847140000000001</v>
      </c>
      <c r="E532">
        <v>0.48920750000000002</v>
      </c>
      <c r="F532" t="s">
        <v>43</v>
      </c>
      <c r="G532">
        <v>-284.61369999999999</v>
      </c>
      <c r="H532">
        <v>-0.05</v>
      </c>
      <c r="I532">
        <v>368.60520000000002</v>
      </c>
      <c r="J532">
        <v>-302.10930000000002</v>
      </c>
      <c r="K532">
        <v>1.054349</v>
      </c>
      <c r="L532">
        <v>367.45979999999997</v>
      </c>
      <c r="M532">
        <v>0.99988500000000002</v>
      </c>
      <c r="N532">
        <v>0</v>
      </c>
      <c r="O532">
        <v>-3.0255359999999999E-4</v>
      </c>
      <c r="P532">
        <v>0.99925120000000001</v>
      </c>
      <c r="Q532">
        <v>1.7416439999999998E-2</v>
      </c>
      <c r="R532">
        <v>3.4556190000000001E-2</v>
      </c>
      <c r="S532">
        <v>2.9987490000000001</v>
      </c>
      <c r="T532">
        <v>-0.18448030000000001</v>
      </c>
      <c r="U532">
        <v>0.1913147</v>
      </c>
      <c r="V532">
        <v>-3.4857739999999998E-2</v>
      </c>
      <c r="W532">
        <v>3.2575390000000003E-2</v>
      </c>
      <c r="X532">
        <v>0.99886129999999995</v>
      </c>
      <c r="Y532">
        <v>-6.3849920000000004E-2</v>
      </c>
      <c r="Z532">
        <v>1.9787310000000001E-3</v>
      </c>
      <c r="AA532">
        <v>0.99795750000000005</v>
      </c>
      <c r="AB532">
        <v>46</v>
      </c>
      <c r="AC532">
        <v>17.4956</v>
      </c>
      <c r="AD532">
        <v>-1.104349</v>
      </c>
      <c r="AE532">
        <v>1.1454000000000499</v>
      </c>
      <c r="AF532">
        <v>-1.14614677826158</v>
      </c>
      <c r="AG532">
        <v>-1.104349</v>
      </c>
      <c r="AH532">
        <v>17.426117574902499</v>
      </c>
      <c r="AI532">
        <v>93.618371077050995</v>
      </c>
      <c r="AJ532">
        <v>93.763025481760195</v>
      </c>
      <c r="AK532">
        <v>17.498651744790099</v>
      </c>
      <c r="AL532">
        <v>88.133237490391593</v>
      </c>
      <c r="AM532">
        <v>91.998667106281104</v>
      </c>
      <c r="AN532">
        <v>1.0000000573546199</v>
      </c>
    </row>
    <row r="533" spans="1:40" x14ac:dyDescent="0.3">
      <c r="A533" t="str">
        <f>"20200111153839803"</f>
        <v>20200111153839803</v>
      </c>
      <c r="B533" t="str">
        <f>"1578728319790784"</f>
        <v>1578728319790784</v>
      </c>
      <c r="C533" t="s">
        <v>40</v>
      </c>
      <c r="D533">
        <v>4.8412559999999996</v>
      </c>
      <c r="E533">
        <v>0.48907869999999998</v>
      </c>
      <c r="F533" t="s">
        <v>43</v>
      </c>
      <c r="G533">
        <v>-283.99079999999998</v>
      </c>
      <c r="H533">
        <v>-0.05</v>
      </c>
      <c r="I533">
        <v>368.62729999999999</v>
      </c>
      <c r="J533">
        <v>-301.66109999999998</v>
      </c>
      <c r="K533">
        <v>1.0543070000000001</v>
      </c>
      <c r="L533">
        <v>367.45960000000002</v>
      </c>
      <c r="M533">
        <v>0.99988589999999999</v>
      </c>
      <c r="N533">
        <v>0</v>
      </c>
      <c r="O533">
        <v>-3.0265320000000002E-4</v>
      </c>
      <c r="P533">
        <v>0.99923399999999996</v>
      </c>
      <c r="Q533">
        <v>1.7987360000000001E-2</v>
      </c>
      <c r="R533">
        <v>3.4753810000000003E-2</v>
      </c>
      <c r="S533">
        <v>2.9987180000000002</v>
      </c>
      <c r="T533">
        <v>-0.18277669999999999</v>
      </c>
      <c r="U533">
        <v>0.1932373</v>
      </c>
      <c r="V533">
        <v>-3.505482E-2</v>
      </c>
      <c r="W533">
        <v>3.3080569999999997E-2</v>
      </c>
      <c r="X533">
        <v>0.9988378</v>
      </c>
      <c r="Y533">
        <v>-6.4488909999999997E-2</v>
      </c>
      <c r="Z533">
        <v>1.9799150000000001E-3</v>
      </c>
      <c r="AA533">
        <v>0.99791649999999998</v>
      </c>
      <c r="AB533">
        <v>46</v>
      </c>
      <c r="AC533">
        <v>17.670299999999902</v>
      </c>
      <c r="AD533">
        <v>-1.1043069999999999</v>
      </c>
      <c r="AE533">
        <v>1.16769999999996</v>
      </c>
      <c r="AF533">
        <v>-1.16850461813366</v>
      </c>
      <c r="AG533">
        <v>-1.1043069999999999</v>
      </c>
      <c r="AH533">
        <v>17.6014995839639</v>
      </c>
      <c r="AI533">
        <v>93.5821314267601</v>
      </c>
      <c r="AJ533">
        <v>93.798101838338297</v>
      </c>
      <c r="AK533">
        <v>17.6747753761436</v>
      </c>
      <c r="AL533">
        <v>88.104277201224605</v>
      </c>
      <c r="AM533">
        <v>92.010005253055098</v>
      </c>
      <c r="AN533">
        <v>1.0000000576127901</v>
      </c>
    </row>
    <row r="534" spans="1:40" x14ac:dyDescent="0.3">
      <c r="A534" t="str">
        <f>"20200111153839824"</f>
        <v>20200111153839824</v>
      </c>
      <c r="B534" t="str">
        <f>"1578728319821040"</f>
        <v>1578728319821040</v>
      </c>
      <c r="C534" t="s">
        <v>40</v>
      </c>
      <c r="D534">
        <v>4.8388269999999904</v>
      </c>
      <c r="E534">
        <v>0.48890070000000002</v>
      </c>
      <c r="F534" t="s">
        <v>43</v>
      </c>
      <c r="G534">
        <v>-283.34969999999998</v>
      </c>
      <c r="H534">
        <v>-0.05</v>
      </c>
      <c r="I534">
        <v>368.64960000000002</v>
      </c>
      <c r="J534">
        <v>-301.20159999999998</v>
      </c>
      <c r="K534">
        <v>1.054268</v>
      </c>
      <c r="L534">
        <v>367.45949999999999</v>
      </c>
      <c r="M534">
        <v>0.99988690000000002</v>
      </c>
      <c r="N534">
        <v>0</v>
      </c>
      <c r="O534">
        <v>-3.024441E-4</v>
      </c>
      <c r="P534">
        <v>0.9992278</v>
      </c>
      <c r="Q534">
        <v>1.8065609999999999E-2</v>
      </c>
      <c r="R534">
        <v>3.489681E-2</v>
      </c>
      <c r="S534">
        <v>2.9988100000000002</v>
      </c>
      <c r="T534">
        <v>-0.18084919999999999</v>
      </c>
      <c r="U534">
        <v>0.19488530000000001</v>
      </c>
      <c r="V534">
        <v>-3.5198159999999999E-2</v>
      </c>
      <c r="W534">
        <v>3.3099629999999998E-2</v>
      </c>
      <c r="X534">
        <v>0.99883200000000005</v>
      </c>
      <c r="Y534">
        <v>-6.5034350000000005E-2</v>
      </c>
      <c r="Z534">
        <v>1.9753800000000001E-3</v>
      </c>
      <c r="AA534">
        <v>0.99788109999999997</v>
      </c>
      <c r="AB534">
        <v>46</v>
      </c>
      <c r="AC534">
        <v>17.851900000000001</v>
      </c>
      <c r="AD534">
        <v>-1.104268</v>
      </c>
      <c r="AE534">
        <v>1.1901000000000199</v>
      </c>
      <c r="AF534">
        <v>-1.1909629280083001</v>
      </c>
      <c r="AG534">
        <v>-1.104268</v>
      </c>
      <c r="AH534">
        <v>17.7837939824019</v>
      </c>
      <c r="AI534">
        <v>93.545245011058995</v>
      </c>
      <c r="AJ534">
        <v>93.831320356204799</v>
      </c>
      <c r="AK534">
        <v>17.8578030261347</v>
      </c>
      <c r="AL534">
        <v>88.103184303402799</v>
      </c>
      <c r="AM534">
        <v>92.018229139374895</v>
      </c>
      <c r="AN534">
        <v>0.99999993009875798</v>
      </c>
    </row>
    <row r="535" spans="1:40" x14ac:dyDescent="0.3">
      <c r="A535" t="str">
        <f>"20200111153839847"</f>
        <v>20200111153839847</v>
      </c>
      <c r="B535" t="str">
        <f>"1578728319840560"</f>
        <v>1578728319840560</v>
      </c>
      <c r="C535" t="s">
        <v>40</v>
      </c>
      <c r="D535">
        <v>4.8565800000000001</v>
      </c>
      <c r="E535">
        <v>0.48875259999999998</v>
      </c>
      <c r="F535" t="s">
        <v>43</v>
      </c>
      <c r="G535">
        <v>-282.91719999999998</v>
      </c>
      <c r="H535">
        <v>-0.05</v>
      </c>
      <c r="I535">
        <v>368.66039999999998</v>
      </c>
      <c r="J535">
        <v>-300.74759999999998</v>
      </c>
      <c r="K535">
        <v>1.054235</v>
      </c>
      <c r="L535">
        <v>367.45940000000002</v>
      </c>
      <c r="M535">
        <v>0.99988770000000005</v>
      </c>
      <c r="N535">
        <v>0</v>
      </c>
      <c r="O535">
        <v>-3.0241259999999999E-4</v>
      </c>
      <c r="P535">
        <v>0.99923879999999998</v>
      </c>
      <c r="Q535">
        <v>1.7743040000000002E-2</v>
      </c>
      <c r="R535">
        <v>3.4750009999999998E-2</v>
      </c>
      <c r="S535">
        <v>2.9987180000000002</v>
      </c>
      <c r="T535">
        <v>-0.1811046</v>
      </c>
      <c r="U535">
        <v>0.19696040000000001</v>
      </c>
      <c r="V535">
        <v>-3.5050940000000003E-2</v>
      </c>
      <c r="W535">
        <v>3.2725520000000001E-2</v>
      </c>
      <c r="X535">
        <v>0.9988496</v>
      </c>
      <c r="Y535">
        <v>-6.5722320000000001E-2</v>
      </c>
      <c r="Z535">
        <v>1.9989130000000002E-3</v>
      </c>
      <c r="AA535">
        <v>0.9978359</v>
      </c>
      <c r="AB535">
        <v>46</v>
      </c>
      <c r="AC535">
        <v>17.830399999999901</v>
      </c>
      <c r="AD535">
        <v>-1.1042350000000001</v>
      </c>
      <c r="AE535">
        <v>1.2009999999999601</v>
      </c>
      <c r="AF535">
        <v>-1.2018042100858899</v>
      </c>
      <c r="AG535">
        <v>-1.1042350000000001</v>
      </c>
      <c r="AH535">
        <v>17.762219945745301</v>
      </c>
      <c r="AI535">
        <v>93.549270171507004</v>
      </c>
      <c r="AJ535">
        <v>93.870772901040993</v>
      </c>
      <c r="AK535">
        <v>17.837043636646701</v>
      </c>
      <c r="AL535">
        <v>88.124631027522497</v>
      </c>
      <c r="AM535">
        <v>92.009759237249796</v>
      </c>
      <c r="AN535">
        <v>1.00000002573715</v>
      </c>
    </row>
    <row r="536" spans="1:40" x14ac:dyDescent="0.3">
      <c r="A536" t="str">
        <f>"20200111153839869"</f>
        <v>20200111153839869</v>
      </c>
      <c r="B536" t="str">
        <f>"1578728319861059"</f>
        <v>1578728319861059</v>
      </c>
      <c r="C536" t="s">
        <v>40</v>
      </c>
      <c r="D536">
        <v>4.8103369999999996</v>
      </c>
      <c r="E536">
        <v>0.4886122</v>
      </c>
      <c r="F536" t="s">
        <v>43</v>
      </c>
      <c r="G536">
        <v>-282.56540000000001</v>
      </c>
      <c r="H536">
        <v>-0.05</v>
      </c>
      <c r="I536">
        <v>368.65800000000002</v>
      </c>
      <c r="J536">
        <v>-300.29329999999999</v>
      </c>
      <c r="K536">
        <v>1.054211</v>
      </c>
      <c r="L536">
        <v>367.45920000000001</v>
      </c>
      <c r="M536">
        <v>0.99988829999999995</v>
      </c>
      <c r="N536">
        <v>0</v>
      </c>
      <c r="O536">
        <v>-3.0230840000000002E-4</v>
      </c>
      <c r="P536">
        <v>0.99923969999999995</v>
      </c>
      <c r="Q536">
        <v>1.778105E-2</v>
      </c>
      <c r="R536">
        <v>3.4697550000000001E-2</v>
      </c>
      <c r="S536">
        <v>2.998688</v>
      </c>
      <c r="T536">
        <v>-0.1821151</v>
      </c>
      <c r="U536">
        <v>0.1976929</v>
      </c>
      <c r="V536">
        <v>-3.4998559999999998E-2</v>
      </c>
      <c r="W536">
        <v>3.2717889999999999E-2</v>
      </c>
      <c r="X536">
        <v>0.99885170000000001</v>
      </c>
      <c r="Y536">
        <v>-6.5963770000000005E-2</v>
      </c>
      <c r="Z536">
        <v>2.0173600000000002E-3</v>
      </c>
      <c r="AA536">
        <v>0.99782000000000004</v>
      </c>
      <c r="AB536">
        <v>46</v>
      </c>
      <c r="AC536">
        <v>17.727899999999899</v>
      </c>
      <c r="AD536">
        <v>-1.1042110000000001</v>
      </c>
      <c r="AE536">
        <v>1.1988000000000001</v>
      </c>
      <c r="AF536">
        <v>-1.19952730621062</v>
      </c>
      <c r="AG536">
        <v>-1.1042110000000001</v>
      </c>
      <c r="AH536">
        <v>17.659337028934299</v>
      </c>
      <c r="AI536">
        <v>93.569753698899206</v>
      </c>
      <c r="AJ536">
        <v>93.885901359337794</v>
      </c>
      <c r="AK536">
        <v>17.734439150769798</v>
      </c>
      <c r="AL536">
        <v>88.125068453525699</v>
      </c>
      <c r="AM536">
        <v>92.006754102041299</v>
      </c>
      <c r="AN536">
        <v>1.0000000390604999</v>
      </c>
    </row>
    <row r="537" spans="1:40" x14ac:dyDescent="0.3">
      <c r="A537" t="str">
        <f>"20200111153839903"</f>
        <v>20200111153839903</v>
      </c>
      <c r="B537" t="str">
        <f>"1578728319891312"</f>
        <v>1578728319891312</v>
      </c>
      <c r="C537" t="s">
        <v>40</v>
      </c>
      <c r="D537">
        <v>6.2546480000000004</v>
      </c>
      <c r="E537">
        <v>0.48840939999999999</v>
      </c>
      <c r="F537" t="s">
        <v>43</v>
      </c>
      <c r="G537">
        <v>-282.15640000000002</v>
      </c>
      <c r="H537">
        <v>-0.05</v>
      </c>
      <c r="I537">
        <v>368.66070000000002</v>
      </c>
      <c r="J537">
        <v>-299.6232</v>
      </c>
      <c r="K537">
        <v>1.054181</v>
      </c>
      <c r="L537">
        <v>367.459</v>
      </c>
      <c r="M537">
        <v>0.99988920000000003</v>
      </c>
      <c r="N537">
        <v>0</v>
      </c>
      <c r="O537">
        <v>-3.0211659999999999E-4</v>
      </c>
      <c r="P537">
        <v>0.99923039999999996</v>
      </c>
      <c r="Q537">
        <v>1.7929919999999998E-2</v>
      </c>
      <c r="R537">
        <v>3.488637E-2</v>
      </c>
      <c r="S537">
        <v>2.9986269999999999</v>
      </c>
      <c r="T537">
        <v>-0.18256240000000001</v>
      </c>
      <c r="U537">
        <v>0.19863890000000001</v>
      </c>
      <c r="V537">
        <v>-3.5187070000000001E-2</v>
      </c>
      <c r="W537">
        <v>3.2808909999999997E-2</v>
      </c>
      <c r="X537">
        <v>0.99884209999999995</v>
      </c>
      <c r="Y537">
        <v>-6.6277169999999996E-2</v>
      </c>
      <c r="Z537">
        <v>2.0318350000000001E-3</v>
      </c>
      <c r="AA537">
        <v>0.9977992</v>
      </c>
      <c r="AB537">
        <v>46</v>
      </c>
      <c r="AC537">
        <v>17.4667999999999</v>
      </c>
      <c r="AD537">
        <v>-1.1041809999999901</v>
      </c>
      <c r="AE537">
        <v>1.20170000000001</v>
      </c>
      <c r="AF537">
        <v>-1.20219588444639</v>
      </c>
      <c r="AG537">
        <v>-1.1041809999999901</v>
      </c>
      <c r="AH537">
        <v>17.397239726619599</v>
      </c>
      <c r="AI537">
        <v>93.623003292451301</v>
      </c>
      <c r="AJ537">
        <v>93.953007783624102</v>
      </c>
      <c r="AK537">
        <v>17.473649897225599</v>
      </c>
      <c r="AL537">
        <v>88.1198506066563</v>
      </c>
      <c r="AM537">
        <v>92.017573390447197</v>
      </c>
      <c r="AN537">
        <v>1.0000000476014901</v>
      </c>
    </row>
    <row r="538" spans="1:40" x14ac:dyDescent="0.3">
      <c r="A538" t="str">
        <f>"20200111153839925"</f>
        <v>20200111153839925</v>
      </c>
      <c r="B538" t="str">
        <f>"1578728319920592"</f>
        <v>1578728319920592</v>
      </c>
      <c r="C538" t="s">
        <v>40</v>
      </c>
      <c r="D538">
        <v>4.803909</v>
      </c>
      <c r="E538">
        <v>0.48831570000000002</v>
      </c>
      <c r="F538" t="s">
        <v>43</v>
      </c>
      <c r="G538">
        <v>-281.44940000000003</v>
      </c>
      <c r="H538">
        <v>-0.05</v>
      </c>
      <c r="I538">
        <v>368.67419999999998</v>
      </c>
      <c r="J538">
        <v>-299.16109999999998</v>
      </c>
      <c r="K538">
        <v>1.054163</v>
      </c>
      <c r="L538">
        <v>367.45890000000003</v>
      </c>
      <c r="M538">
        <v>0.99988969999999999</v>
      </c>
      <c r="N538">
        <v>0</v>
      </c>
      <c r="O538">
        <v>-3.018637E-4</v>
      </c>
      <c r="P538">
        <v>0.99921870000000002</v>
      </c>
      <c r="Q538">
        <v>1.789E-2</v>
      </c>
      <c r="R538">
        <v>3.5247109999999998E-2</v>
      </c>
      <c r="S538">
        <v>2.998596</v>
      </c>
      <c r="T538">
        <v>-0.18218519999999999</v>
      </c>
      <c r="U538">
        <v>0.2005005</v>
      </c>
      <c r="V538">
        <v>-3.5547219999999997E-2</v>
      </c>
      <c r="W538">
        <v>3.2735050000000002E-2</v>
      </c>
      <c r="X538">
        <v>0.99883169999999999</v>
      </c>
      <c r="Y538">
        <v>-6.6893679999999997E-2</v>
      </c>
      <c r="Z538">
        <v>2.0462990000000001E-3</v>
      </c>
      <c r="AA538">
        <v>0.99775800000000003</v>
      </c>
      <c r="AB538">
        <v>46</v>
      </c>
      <c r="AC538">
        <v>17.711699999999901</v>
      </c>
      <c r="AD538">
        <v>-1.104163</v>
      </c>
      <c r="AE538">
        <v>1.2152999999999501</v>
      </c>
      <c r="AF538">
        <v>-1.2159435724021099</v>
      </c>
      <c r="AG538">
        <v>-1.104163</v>
      </c>
      <c r="AH538">
        <v>17.6430857755361</v>
      </c>
      <c r="AI538">
        <v>93.572637412901798</v>
      </c>
      <c r="AJ538">
        <v>93.942532767540897</v>
      </c>
      <c r="AK538">
        <v>17.7193727424184</v>
      </c>
      <c r="AL538">
        <v>88.124084613908494</v>
      </c>
      <c r="AM538">
        <v>92.038227722001494</v>
      </c>
      <c r="AN538">
        <v>0.99999997663656004</v>
      </c>
    </row>
    <row r="539" spans="1:40" x14ac:dyDescent="0.3">
      <c r="A539" t="str">
        <f>"20200111153839947"</f>
        <v>20200111153839947</v>
      </c>
      <c r="B539" t="str">
        <f>"1578728319941091"</f>
        <v>1578728319941091</v>
      </c>
      <c r="C539" t="s">
        <v>40</v>
      </c>
      <c r="D539">
        <v>4.8209339999999896</v>
      </c>
      <c r="E539">
        <v>0.48818980000000001</v>
      </c>
      <c r="F539" t="s">
        <v>43</v>
      </c>
      <c r="G539">
        <v>-280.94740000000002</v>
      </c>
      <c r="H539">
        <v>-0.05</v>
      </c>
      <c r="I539">
        <v>368.68849999999998</v>
      </c>
      <c r="J539">
        <v>-298.6902</v>
      </c>
      <c r="K539">
        <v>1.0541419999999999</v>
      </c>
      <c r="L539">
        <v>367.45870000000002</v>
      </c>
      <c r="M539">
        <v>0.9998901</v>
      </c>
      <c r="N539">
        <v>0</v>
      </c>
      <c r="O539">
        <v>-3.0163599999999998E-4</v>
      </c>
      <c r="P539">
        <v>0.99919800000000003</v>
      </c>
      <c r="Q539">
        <v>1.7872579999999999E-2</v>
      </c>
      <c r="R539">
        <v>3.5832240000000001E-2</v>
      </c>
      <c r="S539">
        <v>2.9984739999999999</v>
      </c>
      <c r="T539">
        <v>-0.1817751</v>
      </c>
      <c r="U539">
        <v>0.20242309999999999</v>
      </c>
      <c r="V539">
        <v>-3.6132619999999997E-2</v>
      </c>
      <c r="W539">
        <v>3.2686430000000002E-2</v>
      </c>
      <c r="X539">
        <v>0.99881229999999999</v>
      </c>
      <c r="Y539">
        <v>-6.7532389999999998E-2</v>
      </c>
      <c r="Z539">
        <v>2.0610469999999999E-3</v>
      </c>
      <c r="AA539">
        <v>0.99771489999999996</v>
      </c>
      <c r="AB539">
        <v>46</v>
      </c>
      <c r="AC539">
        <v>17.7427999999999</v>
      </c>
      <c r="AD539">
        <v>-1.104142</v>
      </c>
      <c r="AE539">
        <v>1.22979999999995</v>
      </c>
      <c r="AF539">
        <v>-1.2304102629570099</v>
      </c>
      <c r="AG539">
        <v>-1.104142</v>
      </c>
      <c r="AH539">
        <v>17.674309469987602</v>
      </c>
      <c r="AI539">
        <v>93.566103739404298</v>
      </c>
      <c r="AJ539">
        <v>93.982263653867705</v>
      </c>
      <c r="AK539">
        <v>17.751457805268998</v>
      </c>
      <c r="AL539">
        <v>88.126871850954501</v>
      </c>
      <c r="AM539">
        <v>92.071804927953806</v>
      </c>
      <c r="AN539">
        <v>0.99999998978274895</v>
      </c>
    </row>
    <row r="540" spans="1:40" x14ac:dyDescent="0.3">
      <c r="A540" t="str">
        <f>"20200111153839969"</f>
        <v>20200111153839969</v>
      </c>
      <c r="B540" t="str">
        <f>"1578728319960608"</f>
        <v>1578728319960608</v>
      </c>
      <c r="C540" t="s">
        <v>40</v>
      </c>
      <c r="D540">
        <v>4.8610819999999997</v>
      </c>
      <c r="E540">
        <v>0.48815229999999998</v>
      </c>
      <c r="F540" t="s">
        <v>43</v>
      </c>
      <c r="G540">
        <v>-280.47899999999998</v>
      </c>
      <c r="H540">
        <v>-0.05</v>
      </c>
      <c r="I540">
        <v>368.70409999999998</v>
      </c>
      <c r="J540">
        <v>-298.2475</v>
      </c>
      <c r="K540">
        <v>1.054135</v>
      </c>
      <c r="L540">
        <v>367.45859999999999</v>
      </c>
      <c r="M540">
        <v>0.99989039999999996</v>
      </c>
      <c r="N540">
        <v>0</v>
      </c>
      <c r="O540">
        <v>-3.0144669999999999E-4</v>
      </c>
      <c r="P540">
        <v>0.99918030000000002</v>
      </c>
      <c r="Q540">
        <v>1.7627400000000001E-2</v>
      </c>
      <c r="R540">
        <v>3.6442990000000001E-2</v>
      </c>
      <c r="S540">
        <v>2.9983219999999999</v>
      </c>
      <c r="T540">
        <v>-0.181787</v>
      </c>
      <c r="U540">
        <v>0.2050476</v>
      </c>
      <c r="V540">
        <v>-3.6743039999999998E-2</v>
      </c>
      <c r="W540">
        <v>3.2415739999999998E-2</v>
      </c>
      <c r="X540">
        <v>0.99879879999999999</v>
      </c>
      <c r="Y540">
        <v>-6.8403309999999995E-2</v>
      </c>
      <c r="Z540">
        <v>2.08756E-3</v>
      </c>
      <c r="AA540">
        <v>0.99765559999999998</v>
      </c>
      <c r="AB540">
        <v>46</v>
      </c>
      <c r="AC540">
        <v>17.7684999999999</v>
      </c>
      <c r="AD540">
        <v>-1.1041350000000001</v>
      </c>
      <c r="AE540">
        <v>1.2454999999999901</v>
      </c>
      <c r="AF540">
        <v>-1.2460687635521699</v>
      </c>
      <c r="AG540">
        <v>-1.1041350000000001</v>
      </c>
      <c r="AH540">
        <v>17.700110977938799</v>
      </c>
      <c r="AI540">
        <v>93.560702506967402</v>
      </c>
      <c r="AJ540">
        <v>94.026917504689195</v>
      </c>
      <c r="AK540">
        <v>17.7782375418115</v>
      </c>
      <c r="AL540">
        <v>88.142389370901995</v>
      </c>
      <c r="AM540">
        <v>92.106802915116901</v>
      </c>
      <c r="AN540">
        <v>0.99999993703481205</v>
      </c>
    </row>
    <row r="541" spans="1:40" x14ac:dyDescent="0.3">
      <c r="A541" t="str">
        <f>"20200111153839991"</f>
        <v>20200111153839991</v>
      </c>
      <c r="B541" t="str">
        <f>"1578728319981104"</f>
        <v>1578728319981104</v>
      </c>
      <c r="C541" t="s">
        <v>40</v>
      </c>
      <c r="D541">
        <v>4.8346549999999997</v>
      </c>
      <c r="E541">
        <v>0.48810019999999998</v>
      </c>
      <c r="F541" t="s">
        <v>43</v>
      </c>
      <c r="G541">
        <v>-280.07580000000002</v>
      </c>
      <c r="H541">
        <v>-0.05</v>
      </c>
      <c r="I541">
        <v>368.7149</v>
      </c>
      <c r="J541">
        <v>-297.79700000000003</v>
      </c>
      <c r="K541">
        <v>1.054133</v>
      </c>
      <c r="L541">
        <v>367.45850000000002</v>
      </c>
      <c r="M541">
        <v>0.99989070000000002</v>
      </c>
      <c r="N541">
        <v>0</v>
      </c>
      <c r="O541">
        <v>-3.012763E-4</v>
      </c>
      <c r="P541">
        <v>0.99915500000000002</v>
      </c>
      <c r="Q541">
        <v>1.8388729999999999E-2</v>
      </c>
      <c r="R541">
        <v>3.6757959999999999E-2</v>
      </c>
      <c r="S541">
        <v>2.9981080000000002</v>
      </c>
      <c r="T541">
        <v>-0.182168</v>
      </c>
      <c r="U541">
        <v>0.2072754</v>
      </c>
      <c r="V541">
        <v>-3.7057909999999999E-2</v>
      </c>
      <c r="W541">
        <v>3.3153950000000001E-2</v>
      </c>
      <c r="X541">
        <v>0.99876299999999996</v>
      </c>
      <c r="Y541">
        <v>-6.914389E-2</v>
      </c>
      <c r="Z541">
        <v>2.1144649999999998E-3</v>
      </c>
      <c r="AA541">
        <v>0.99760439999999995</v>
      </c>
      <c r="AB541">
        <v>46</v>
      </c>
      <c r="AC541">
        <v>17.7212</v>
      </c>
      <c r="AD541">
        <v>-1.104133</v>
      </c>
      <c r="AE541">
        <v>1.25639999999998</v>
      </c>
      <c r="AF541">
        <v>-1.2568846694840701</v>
      </c>
      <c r="AG541">
        <v>-1.104133</v>
      </c>
      <c r="AH541">
        <v>17.652635676698701</v>
      </c>
      <c r="AI541">
        <v>93.570046338908995</v>
      </c>
      <c r="AJ541">
        <v>94.072641797661703</v>
      </c>
      <c r="AK541">
        <v>17.731734689204199</v>
      </c>
      <c r="AL541">
        <v>88.100070423293602</v>
      </c>
      <c r="AM541">
        <v>92.124916807143904</v>
      </c>
      <c r="AN541">
        <v>1.00000000163158</v>
      </c>
    </row>
    <row r="542" spans="1:40" x14ac:dyDescent="0.3">
      <c r="A542" t="str">
        <f>"20200111153840014"</f>
        <v>20200111153840014</v>
      </c>
      <c r="B542" t="str">
        <f>"1578728320011360"</f>
        <v>1578728320011360</v>
      </c>
      <c r="C542" t="s">
        <v>40</v>
      </c>
      <c r="D542">
        <v>4.8661099999999999</v>
      </c>
      <c r="E542">
        <v>0.48801709999999898</v>
      </c>
      <c r="F542" t="s">
        <v>43</v>
      </c>
      <c r="G542">
        <v>-279.40710000000001</v>
      </c>
      <c r="H542">
        <v>-0.05</v>
      </c>
      <c r="I542">
        <v>368.73750000000001</v>
      </c>
      <c r="J542">
        <v>-297.34410000000003</v>
      </c>
      <c r="K542">
        <v>1.0541400000000001</v>
      </c>
      <c r="L542">
        <v>367.45830000000001</v>
      </c>
      <c r="M542">
        <v>0.99989099999999997</v>
      </c>
      <c r="N542">
        <v>0</v>
      </c>
      <c r="O542">
        <v>-3.0112470000000002E-4</v>
      </c>
      <c r="P542">
        <v>0.99913090000000004</v>
      </c>
      <c r="Q542">
        <v>1.8838049999999999E-2</v>
      </c>
      <c r="R542">
        <v>3.7186009999999999E-2</v>
      </c>
      <c r="S542">
        <v>2.9981990000000001</v>
      </c>
      <c r="T542">
        <v>-0.18001239999999999</v>
      </c>
      <c r="U542">
        <v>0.20852660000000001</v>
      </c>
      <c r="V542">
        <v>-3.7485989999999997E-2</v>
      </c>
      <c r="W542">
        <v>3.3581920000000001E-2</v>
      </c>
      <c r="X542">
        <v>0.99873270000000003</v>
      </c>
      <c r="Y542">
        <v>-6.9558229999999999E-2</v>
      </c>
      <c r="Z542">
        <v>2.1017990000000001E-3</v>
      </c>
      <c r="AA542">
        <v>0.99757569999999995</v>
      </c>
      <c r="AB542">
        <v>46</v>
      </c>
      <c r="AC542">
        <v>17.937000000000001</v>
      </c>
      <c r="AD542">
        <v>-1.1041399999999999</v>
      </c>
      <c r="AE542">
        <v>1.2791999999999999</v>
      </c>
      <c r="AF542">
        <v>-1.2797769995436299</v>
      </c>
      <c r="AG542">
        <v>-1.1041399999999999</v>
      </c>
      <c r="AH542">
        <v>17.869246252769699</v>
      </c>
      <c r="AI542">
        <v>93.526798051401002</v>
      </c>
      <c r="AJ542">
        <v>94.096470254243599</v>
      </c>
      <c r="AK542">
        <v>17.949008773475001</v>
      </c>
      <c r="AL542">
        <v>88.075535835516305</v>
      </c>
      <c r="AM542">
        <v>92.149505358962699</v>
      </c>
      <c r="AN542">
        <v>0.99999997542322805</v>
      </c>
    </row>
    <row r="543" spans="1:40" x14ac:dyDescent="0.3">
      <c r="A543" t="str">
        <f>"20200111153840037"</f>
        <v>20200111153840037</v>
      </c>
      <c r="B543" t="str">
        <f>"1578728320030883"</f>
        <v>1578728320030883</v>
      </c>
      <c r="C543" t="s">
        <v>40</v>
      </c>
      <c r="D543">
        <v>4.7007409999999998</v>
      </c>
      <c r="E543">
        <v>0.48764439999999998</v>
      </c>
      <c r="F543" t="s">
        <v>42</v>
      </c>
      <c r="G543">
        <v>-279.70519999999999</v>
      </c>
      <c r="H543" s="1">
        <v>-3.3119790000000001E-7</v>
      </c>
      <c r="I543">
        <v>368.69630000000001</v>
      </c>
      <c r="J543">
        <v>-296.8732</v>
      </c>
      <c r="K543">
        <v>1.05414599999999</v>
      </c>
      <c r="L543">
        <v>367.45819999999998</v>
      </c>
      <c r="M543">
        <v>0.99989150000000004</v>
      </c>
      <c r="N543">
        <v>0</v>
      </c>
      <c r="O543">
        <v>-3.0122550000000002E-4</v>
      </c>
      <c r="P543">
        <v>0.99911890000000003</v>
      </c>
      <c r="Q543">
        <v>1.933255E-2</v>
      </c>
      <c r="R543">
        <v>3.7255730000000001E-2</v>
      </c>
      <c r="S543">
        <v>2.9981689999999999</v>
      </c>
      <c r="T543">
        <v>-0.179176</v>
      </c>
      <c r="U543">
        <v>0.21041869999999999</v>
      </c>
      <c r="V543">
        <v>-3.7555869999999998E-2</v>
      </c>
      <c r="W543">
        <v>3.405801E-2</v>
      </c>
      <c r="X543">
        <v>0.99871399999999999</v>
      </c>
      <c r="Y543">
        <v>-7.0185549999999999E-2</v>
      </c>
      <c r="Z543">
        <v>2.110738E-3</v>
      </c>
      <c r="AA543">
        <v>0.99753170000000002</v>
      </c>
      <c r="AB543">
        <v>46</v>
      </c>
      <c r="AC543">
        <v>17.167999999999999</v>
      </c>
      <c r="AD543">
        <v>-1.05414633119789</v>
      </c>
      <c r="AE543">
        <v>1.23810000000003</v>
      </c>
      <c r="AF543">
        <v>-1.23862625825091</v>
      </c>
      <c r="AG543">
        <v>-1.05414633119789</v>
      </c>
      <c r="AH543">
        <v>17.103476632528601</v>
      </c>
      <c r="AI543">
        <v>93.517686318674194</v>
      </c>
      <c r="AJ543">
        <v>94.142104045761798</v>
      </c>
      <c r="AK543">
        <v>17.1806383005597</v>
      </c>
      <c r="AL543">
        <v>88.048242365525496</v>
      </c>
      <c r="AM543">
        <v>92.153548902843298</v>
      </c>
      <c r="AN543">
        <v>1.0000000226062999</v>
      </c>
    </row>
    <row r="544" spans="1:40" x14ac:dyDescent="0.3">
      <c r="A544" t="str">
        <f>"20200111153840059"</f>
        <v>20200111153840059</v>
      </c>
      <c r="B544" t="str">
        <f>"1578728320051379"</f>
        <v>1578728320051379</v>
      </c>
      <c r="C544" t="s">
        <v>40</v>
      </c>
      <c r="D544">
        <v>4.7159079999999998</v>
      </c>
      <c r="E544">
        <v>0.42197519999999999</v>
      </c>
      <c r="F544" t="s">
        <v>42</v>
      </c>
      <c r="G544">
        <v>-279.16140000000001</v>
      </c>
      <c r="H544" s="1">
        <v>-5.099193E-7</v>
      </c>
      <c r="I544">
        <v>368.72</v>
      </c>
      <c r="J544">
        <v>-296.42739999999998</v>
      </c>
      <c r="K544">
        <v>1.0541480000000001</v>
      </c>
      <c r="L544">
        <v>367.4581</v>
      </c>
      <c r="M544">
        <v>0.99989159999999999</v>
      </c>
      <c r="N544">
        <v>0</v>
      </c>
      <c r="O544">
        <v>-3.0111020000000001E-4</v>
      </c>
      <c r="P544">
        <v>0.99909400000000004</v>
      </c>
      <c r="Q544">
        <v>1.9833469999999999E-2</v>
      </c>
      <c r="R544">
        <v>3.7652400000000003E-2</v>
      </c>
      <c r="S544">
        <v>2.998138</v>
      </c>
      <c r="T544">
        <v>-0.17843870000000001</v>
      </c>
      <c r="U544">
        <v>0.21359249999999999</v>
      </c>
      <c r="V544">
        <v>-3.7951930000000002E-2</v>
      </c>
      <c r="W544">
        <v>3.4542669999999998E-2</v>
      </c>
      <c r="X544">
        <v>0.99868239999999997</v>
      </c>
      <c r="Y544">
        <v>-7.1236049999999995E-2</v>
      </c>
      <c r="Z544">
        <v>2.1331969999999999E-3</v>
      </c>
      <c r="AA544">
        <v>0.99745720000000004</v>
      </c>
      <c r="AB544">
        <v>45</v>
      </c>
      <c r="AC544">
        <v>17.265999999999899</v>
      </c>
      <c r="AD544">
        <v>-1.05414850991929</v>
      </c>
      <c r="AE544">
        <v>1.26190000000002</v>
      </c>
      <c r="AF544">
        <v>-1.2624187841651799</v>
      </c>
      <c r="AG544">
        <v>-1.05414850991929</v>
      </c>
      <c r="AH544">
        <v>17.2018396633907</v>
      </c>
      <c r="AI544">
        <v>93.497383711773296</v>
      </c>
      <c r="AJ544">
        <v>94.197331900336195</v>
      </c>
      <c r="AK544">
        <v>17.280284085413101</v>
      </c>
      <c r="AL544">
        <v>88.020457079216598</v>
      </c>
      <c r="AM544">
        <v>92.176307059064698</v>
      </c>
      <c r="AN544">
        <v>1.0000000405556</v>
      </c>
    </row>
    <row r="545" spans="1:40" x14ac:dyDescent="0.3">
      <c r="A545" t="str">
        <f>"20200111153840081"</f>
        <v>20200111153840081</v>
      </c>
      <c r="B545" t="str">
        <f>"1578728320070899"</f>
        <v>1578728320070899</v>
      </c>
      <c r="C545" t="s">
        <v>40</v>
      </c>
      <c r="D545">
        <v>4.8036440000000002</v>
      </c>
      <c r="E545">
        <v>0.37765290000000001</v>
      </c>
      <c r="F545" t="s">
        <v>42</v>
      </c>
      <c r="G545">
        <v>-275.30739999999997</v>
      </c>
      <c r="H545" s="1">
        <v>-2.8132800000000001E-6</v>
      </c>
      <c r="I545">
        <v>372.69</v>
      </c>
      <c r="J545">
        <v>-295.98219999999998</v>
      </c>
      <c r="K545">
        <v>1.054144</v>
      </c>
      <c r="L545">
        <v>367.4579</v>
      </c>
      <c r="M545">
        <v>0.9998918</v>
      </c>
      <c r="N545">
        <v>0</v>
      </c>
      <c r="O545">
        <v>-3.0076860000000002E-4</v>
      </c>
      <c r="P545">
        <v>0.99911059999999996</v>
      </c>
      <c r="Q545">
        <v>1.967205E-2</v>
      </c>
      <c r="R545">
        <v>3.7296030000000001E-2</v>
      </c>
      <c r="S545">
        <v>2.977875</v>
      </c>
      <c r="T545">
        <v>-0.14863280000000001</v>
      </c>
      <c r="U545">
        <v>0.73770139999999995</v>
      </c>
      <c r="V545">
        <v>-3.7595000000000003E-2</v>
      </c>
      <c r="W545">
        <v>3.4367300000000003E-2</v>
      </c>
      <c r="X545">
        <v>0.99870190000000003</v>
      </c>
      <c r="Y545">
        <v>-0.2404686</v>
      </c>
      <c r="Z545">
        <v>5.9230919999999996E-3</v>
      </c>
      <c r="AA545">
        <v>0.97063889999999997</v>
      </c>
      <c r="AB545">
        <v>45</v>
      </c>
      <c r="AC545">
        <v>20.674800000000001</v>
      </c>
      <c r="AD545">
        <v>-1.05414681328</v>
      </c>
      <c r="AE545">
        <v>5.2321</v>
      </c>
      <c r="AF545">
        <v>-5.2255516546099496</v>
      </c>
      <c r="AG545">
        <v>-1.05414681328</v>
      </c>
      <c r="AH545">
        <v>20.622839347716202</v>
      </c>
      <c r="AI545">
        <v>92.836662239432798</v>
      </c>
      <c r="AJ545">
        <v>104.218722668352</v>
      </c>
      <c r="AK545">
        <v>21.300683518625799</v>
      </c>
      <c r="AL545">
        <v>88.030510909972406</v>
      </c>
      <c r="AM545">
        <v>92.155816694687203</v>
      </c>
      <c r="AN545">
        <v>0.99999999019895003</v>
      </c>
    </row>
    <row r="546" spans="1:40" x14ac:dyDescent="0.3">
      <c r="A546" t="str">
        <f>"20200111153840103"</f>
        <v>20200111153840103</v>
      </c>
      <c r="B546" t="str">
        <f>"1578728320101152"</f>
        <v>1578728320101152</v>
      </c>
      <c r="C546" t="s">
        <v>40</v>
      </c>
      <c r="D546">
        <v>4.669397</v>
      </c>
      <c r="E546">
        <v>0.378473</v>
      </c>
      <c r="F546" t="s">
        <v>43</v>
      </c>
      <c r="G546">
        <v>-281.89960000000002</v>
      </c>
      <c r="H546">
        <v>-0.05</v>
      </c>
      <c r="I546">
        <v>372.63839999999999</v>
      </c>
      <c r="J546">
        <v>-295.5342</v>
      </c>
      <c r="K546">
        <v>1.054141</v>
      </c>
      <c r="L546">
        <v>367.45780000000002</v>
      </c>
      <c r="M546">
        <v>0.999892</v>
      </c>
      <c r="N546">
        <v>0</v>
      </c>
      <c r="O546">
        <v>-3.0067590000000001E-4</v>
      </c>
      <c r="P546">
        <v>0.99911970000000005</v>
      </c>
      <c r="Q546">
        <v>1.8846330000000001E-2</v>
      </c>
      <c r="R546">
        <v>3.7482719999999997E-2</v>
      </c>
      <c r="S546">
        <v>2.9664609999999998</v>
      </c>
      <c r="T546">
        <v>-0.2325854</v>
      </c>
      <c r="U546">
        <v>1.091248</v>
      </c>
      <c r="V546">
        <v>-3.7781790000000003E-2</v>
      </c>
      <c r="W546">
        <v>3.3529499999999997E-2</v>
      </c>
      <c r="X546">
        <v>0.99872329999999998</v>
      </c>
      <c r="Y546">
        <v>-0.34459279999999998</v>
      </c>
      <c r="Z546">
        <v>1.3084999999999999E-2</v>
      </c>
      <c r="AA546">
        <v>0.93866099999999997</v>
      </c>
      <c r="AB546">
        <v>45</v>
      </c>
      <c r="AC546">
        <v>13.634599999999899</v>
      </c>
      <c r="AD546">
        <v>-1.104141</v>
      </c>
      <c r="AE546">
        <v>5.1805999999999699</v>
      </c>
      <c r="AF546">
        <v>-5.1551577983909098</v>
      </c>
      <c r="AG546">
        <v>-1.104141</v>
      </c>
      <c r="AH546">
        <v>13.555361551368501</v>
      </c>
      <c r="AI546">
        <v>94.353777901836494</v>
      </c>
      <c r="AJ546">
        <v>110.822008051522</v>
      </c>
      <c r="AK546">
        <v>14.5445043250882</v>
      </c>
      <c r="AL546">
        <v>88.078540944003905</v>
      </c>
      <c r="AM546">
        <v>92.166471266157998</v>
      </c>
      <c r="AN546">
        <v>0.99999996049437101</v>
      </c>
    </row>
    <row r="547" spans="1:40" x14ac:dyDescent="0.3">
      <c r="A547" t="str">
        <f>"20200111153840127"</f>
        <v>20200111153840127</v>
      </c>
      <c r="B547" t="str">
        <f>"1578728320120673"</f>
        <v>1578728320120673</v>
      </c>
      <c r="C547" t="s">
        <v>40</v>
      </c>
      <c r="D547">
        <v>4.6365439999999998</v>
      </c>
      <c r="E547">
        <v>0.3792122</v>
      </c>
      <c r="F547" t="s">
        <v>43</v>
      </c>
      <c r="G547">
        <v>-282.03890000000001</v>
      </c>
      <c r="H547">
        <v>-0.05</v>
      </c>
      <c r="I547">
        <v>372.39519999999999</v>
      </c>
      <c r="J547">
        <v>-295.05849999999998</v>
      </c>
      <c r="K547">
        <v>1.0541320000000001</v>
      </c>
      <c r="L547">
        <v>367.45760000000001</v>
      </c>
      <c r="M547">
        <v>0.99989220000000001</v>
      </c>
      <c r="N547">
        <v>0</v>
      </c>
      <c r="O547">
        <v>-3.0046849999999998E-4</v>
      </c>
      <c r="P547">
        <v>0.99913280000000004</v>
      </c>
      <c r="Q547">
        <v>1.8147630000000001E-2</v>
      </c>
      <c r="R547">
        <v>3.7478789999999998E-2</v>
      </c>
      <c r="S547">
        <v>2.9665219999999999</v>
      </c>
      <c r="T547">
        <v>-0.24271019999999999</v>
      </c>
      <c r="U547">
        <v>1.0853269999999999</v>
      </c>
      <c r="V547">
        <v>-3.7777930000000001E-2</v>
      </c>
      <c r="W547">
        <v>3.2818460000000001E-2</v>
      </c>
      <c r="X547">
        <v>0.9987471</v>
      </c>
      <c r="Y547">
        <v>-0.3428561</v>
      </c>
      <c r="Z547">
        <v>1.358846E-2</v>
      </c>
      <c r="AA547">
        <v>0.93928959999999995</v>
      </c>
      <c r="AB547">
        <v>45</v>
      </c>
      <c r="AC547">
        <v>13.019599999999899</v>
      </c>
      <c r="AD547">
        <v>-1.1041319999999999</v>
      </c>
      <c r="AE547">
        <v>4.9375999999999696</v>
      </c>
      <c r="AF547">
        <v>-4.9106359251691698</v>
      </c>
      <c r="AG547">
        <v>-1.1041319999999999</v>
      </c>
      <c r="AH547">
        <v>12.9367740331629</v>
      </c>
      <c r="AI547">
        <v>94.562144294471196</v>
      </c>
      <c r="AJ547">
        <v>110.786128947512</v>
      </c>
      <c r="AK547">
        <v>13.8814111331703</v>
      </c>
      <c r="AL547">
        <v>88.119303041093204</v>
      </c>
      <c r="AM547">
        <v>92.166198565906598</v>
      </c>
      <c r="AN547">
        <v>0.99999999653513305</v>
      </c>
    </row>
    <row r="548" spans="1:40" x14ac:dyDescent="0.3">
      <c r="A548" t="str">
        <f>"20200111153840148"</f>
        <v>20200111153840148</v>
      </c>
      <c r="B548" t="str">
        <f>"1578728320141168"</f>
        <v>1578728320141168</v>
      </c>
      <c r="C548" t="s">
        <v>40</v>
      </c>
      <c r="D548">
        <v>4.6728730000000001</v>
      </c>
      <c r="E548">
        <v>0.37941760000000002</v>
      </c>
      <c r="F548" t="s">
        <v>43</v>
      </c>
      <c r="G548">
        <v>-281.80009999999999</v>
      </c>
      <c r="H548">
        <v>-0.05</v>
      </c>
      <c r="I548">
        <v>372.28160000000003</v>
      </c>
      <c r="J548">
        <v>-294.60129999999998</v>
      </c>
      <c r="K548">
        <v>1.054122</v>
      </c>
      <c r="L548">
        <v>367.45760000000001</v>
      </c>
      <c r="M548">
        <v>0.99989240000000001</v>
      </c>
      <c r="N548">
        <v>0</v>
      </c>
      <c r="O548">
        <v>-3.0039150000000001E-4</v>
      </c>
      <c r="P548">
        <v>0.999135</v>
      </c>
      <c r="Q548">
        <v>1.7412199999999999E-2</v>
      </c>
      <c r="R548">
        <v>3.7763739999999997E-2</v>
      </c>
      <c r="S548">
        <v>2.9666139999999999</v>
      </c>
      <c r="T548">
        <v>-0.2470521</v>
      </c>
      <c r="U548">
        <v>1.0793759999999999</v>
      </c>
      <c r="V548">
        <v>-3.8062209999999999E-2</v>
      </c>
      <c r="W548">
        <v>3.2073070000000002E-2</v>
      </c>
      <c r="X548">
        <v>0.99876050000000005</v>
      </c>
      <c r="Y548">
        <v>-0.34115129999999999</v>
      </c>
      <c r="Z548">
        <v>1.376629E-2</v>
      </c>
      <c r="AA548">
        <v>0.93990759999999995</v>
      </c>
      <c r="AB548">
        <v>45</v>
      </c>
      <c r="AC548">
        <v>12.8011999999999</v>
      </c>
      <c r="AD548">
        <v>-1.1041219999999901</v>
      </c>
      <c r="AE548">
        <v>4.8240000000000096</v>
      </c>
      <c r="AF548">
        <v>-4.79659938189846</v>
      </c>
      <c r="AG548">
        <v>-1.1041219999999901</v>
      </c>
      <c r="AH548">
        <v>12.7169092158691</v>
      </c>
      <c r="AI548">
        <v>94.644315324568794</v>
      </c>
      <c r="AJ548">
        <v>110.665612512045</v>
      </c>
      <c r="AK548">
        <v>13.636210288271799</v>
      </c>
      <c r="AL548">
        <v>88.162033201294093</v>
      </c>
      <c r="AM548">
        <v>92.182454314121401</v>
      </c>
      <c r="AN548">
        <v>0.999999975004779</v>
      </c>
    </row>
    <row r="549" spans="1:40" x14ac:dyDescent="0.3">
      <c r="A549" t="str">
        <f>"20200111153840170"</f>
        <v>20200111153840170</v>
      </c>
      <c r="B549" t="str">
        <f>"1578728320160691"</f>
        <v>1578728320160691</v>
      </c>
      <c r="C549" t="s">
        <v>40</v>
      </c>
      <c r="D549">
        <v>4.6346829999999999</v>
      </c>
      <c r="E549">
        <v>0.37991920000000001</v>
      </c>
      <c r="F549" t="s">
        <v>43</v>
      </c>
      <c r="G549">
        <v>-281.48739999999998</v>
      </c>
      <c r="H549">
        <v>-0.05</v>
      </c>
      <c r="I549">
        <v>372.22430000000003</v>
      </c>
      <c r="J549">
        <v>-294.17309999999998</v>
      </c>
      <c r="K549">
        <v>1.054109</v>
      </c>
      <c r="L549">
        <v>367.45740000000001</v>
      </c>
      <c r="M549">
        <v>0.99989249999999996</v>
      </c>
      <c r="N549">
        <v>0</v>
      </c>
      <c r="O549">
        <v>-3.0020779999999998E-4</v>
      </c>
      <c r="P549">
        <v>0.9991314</v>
      </c>
      <c r="Q549">
        <v>1.60251E-2</v>
      </c>
      <c r="R549">
        <v>3.8465260000000001E-2</v>
      </c>
      <c r="S549">
        <v>2.9662169999999999</v>
      </c>
      <c r="T549">
        <v>-0.24973980000000001</v>
      </c>
      <c r="U549">
        <v>1.0781860000000001</v>
      </c>
      <c r="V549">
        <v>-3.8763980000000003E-2</v>
      </c>
      <c r="W549">
        <v>3.0677099999999902E-2</v>
      </c>
      <c r="X549">
        <v>0.99877740000000004</v>
      </c>
      <c r="Y549">
        <v>-0.34083619999999998</v>
      </c>
      <c r="Z549">
        <v>1.390539E-2</v>
      </c>
      <c r="AA549">
        <v>0.94001979999999996</v>
      </c>
      <c r="AB549">
        <v>45</v>
      </c>
      <c r="AC549">
        <v>12.685699999999899</v>
      </c>
      <c r="AD549">
        <v>-1.104109</v>
      </c>
      <c r="AE549">
        <v>4.7669000000000201</v>
      </c>
      <c r="AF549">
        <v>-4.7392497654796601</v>
      </c>
      <c r="AG549">
        <v>-1.104109</v>
      </c>
      <c r="AH549">
        <v>12.6006262272195</v>
      </c>
      <c r="AI549">
        <v>94.688577663789999</v>
      </c>
      <c r="AJ549">
        <v>110.611894764952</v>
      </c>
      <c r="AK549">
        <v>13.507602538628801</v>
      </c>
      <c r="AL549">
        <v>88.2420558620516</v>
      </c>
      <c r="AM549">
        <v>92.222615637366602</v>
      </c>
      <c r="AN549">
        <v>1.0000000126802999</v>
      </c>
    </row>
    <row r="550" spans="1:40" x14ac:dyDescent="0.3">
      <c r="A550" t="str">
        <f>"20200111153840192"</f>
        <v>20200111153840192</v>
      </c>
      <c r="B550" t="str">
        <f>"1578728320190944"</f>
        <v>1578728320190944</v>
      </c>
      <c r="C550" t="s">
        <v>40</v>
      </c>
      <c r="D550">
        <v>4.5984369999999997</v>
      </c>
      <c r="E550">
        <v>0.37987959999999998</v>
      </c>
      <c r="F550" t="s">
        <v>43</v>
      </c>
      <c r="G550">
        <v>-281.39940000000001</v>
      </c>
      <c r="H550">
        <v>-0.05</v>
      </c>
      <c r="I550">
        <v>372.09399999999999</v>
      </c>
      <c r="J550">
        <v>-293.7217</v>
      </c>
      <c r="K550">
        <v>1.054101</v>
      </c>
      <c r="L550">
        <v>367.45729999999998</v>
      </c>
      <c r="M550">
        <v>0.99989269999999997</v>
      </c>
      <c r="N550">
        <v>0</v>
      </c>
      <c r="O550">
        <v>-2.9990790000000001E-4</v>
      </c>
      <c r="P550">
        <v>0.99915299999999996</v>
      </c>
      <c r="Q550">
        <v>1.4720759999999999E-2</v>
      </c>
      <c r="R550">
        <v>3.8430520000000003E-2</v>
      </c>
      <c r="S550">
        <v>2.965271</v>
      </c>
      <c r="T550">
        <v>-0.2563066</v>
      </c>
      <c r="U550">
        <v>1.0763240000000001</v>
      </c>
      <c r="V550">
        <v>-3.8728829999999999E-2</v>
      </c>
      <c r="W550">
        <v>2.9364479999999998E-2</v>
      </c>
      <c r="X550">
        <v>0.99881819999999999</v>
      </c>
      <c r="Y550">
        <v>-0.34035470000000001</v>
      </c>
      <c r="Z550">
        <v>1.42554E-2</v>
      </c>
      <c r="AA550">
        <v>0.9401891</v>
      </c>
      <c r="AB550">
        <v>45</v>
      </c>
      <c r="AC550">
        <v>12.322299999999901</v>
      </c>
      <c r="AD550">
        <v>-1.104101</v>
      </c>
      <c r="AE550">
        <v>4.63670000000001</v>
      </c>
      <c r="AF550">
        <v>-4.6079890212204102</v>
      </c>
      <c r="AG550">
        <v>-1.104101</v>
      </c>
      <c r="AH550">
        <v>12.2348642720548</v>
      </c>
      <c r="AI550">
        <v>94.827238582577493</v>
      </c>
      <c r="AJ550">
        <v>110.637764869648</v>
      </c>
      <c r="AK550">
        <v>13.120385116051001</v>
      </c>
      <c r="AL550">
        <v>88.3172973374799</v>
      </c>
      <c r="AM550">
        <v>92.220511638544906</v>
      </c>
      <c r="AN550">
        <v>0.99999999580503895</v>
      </c>
    </row>
    <row r="551" spans="1:40" x14ac:dyDescent="0.3">
      <c r="A551" t="str">
        <f>"20200111153840215"</f>
        <v>20200111153840215</v>
      </c>
      <c r="B551" t="str">
        <f>"1578728320211441"</f>
        <v>1578728320211441</v>
      </c>
      <c r="C551" t="s">
        <v>40</v>
      </c>
      <c r="D551">
        <v>4.721889</v>
      </c>
      <c r="E551">
        <v>0.38011879999999998</v>
      </c>
      <c r="F551" t="s">
        <v>43</v>
      </c>
      <c r="G551">
        <v>-281.18490000000003</v>
      </c>
      <c r="H551">
        <v>-0.05</v>
      </c>
      <c r="I551">
        <v>372.00889999999998</v>
      </c>
      <c r="J551">
        <v>-293.2774</v>
      </c>
      <c r="K551">
        <v>1.0540969999999901</v>
      </c>
      <c r="L551">
        <v>367.4572</v>
      </c>
      <c r="M551">
        <v>0.99989269999999997</v>
      </c>
      <c r="N551">
        <v>0</v>
      </c>
      <c r="O551">
        <v>-2.9973320000000001E-4</v>
      </c>
      <c r="P551">
        <v>0.99913359999999996</v>
      </c>
      <c r="Q551">
        <v>1.347308E-2</v>
      </c>
      <c r="R551">
        <v>3.9378580000000003E-2</v>
      </c>
      <c r="S551">
        <v>2.9649960000000002</v>
      </c>
      <c r="T551">
        <v>-0.26112449999999998</v>
      </c>
      <c r="U551">
        <v>1.0764769999999999</v>
      </c>
      <c r="V551">
        <v>-3.9677080000000003E-2</v>
      </c>
      <c r="W551">
        <v>2.810901E-2</v>
      </c>
      <c r="X551">
        <v>0.99881710000000001</v>
      </c>
      <c r="Y551">
        <v>-0.34038249999999998</v>
      </c>
      <c r="Z551">
        <v>1.452473E-2</v>
      </c>
      <c r="AA551">
        <v>0.94017490000000004</v>
      </c>
      <c r="AB551">
        <v>45</v>
      </c>
      <c r="AC551">
        <v>12.0924999999999</v>
      </c>
      <c r="AD551">
        <v>-1.1040970000000001</v>
      </c>
      <c r="AE551">
        <v>4.5516999999999799</v>
      </c>
      <c r="AF551">
        <v>-4.5223032121311197</v>
      </c>
      <c r="AG551">
        <v>-1.1040970000000001</v>
      </c>
      <c r="AH551">
        <v>12.0034865175198</v>
      </c>
      <c r="AI551">
        <v>94.919621604035797</v>
      </c>
      <c r="AJ551">
        <v>110.6438572644</v>
      </c>
      <c r="AK551">
        <v>12.874546403821</v>
      </c>
      <c r="AL551">
        <v>88.389260190227006</v>
      </c>
      <c r="AM551">
        <v>92.274825476877396</v>
      </c>
      <c r="AN551">
        <v>0.99999999318645805</v>
      </c>
    </row>
    <row r="552" spans="1:40" x14ac:dyDescent="0.3">
      <c r="A552" t="str">
        <f>"20200111153840238"</f>
        <v>20200111153840238</v>
      </c>
      <c r="B552" t="str">
        <f>"1578728320230963"</f>
        <v>1578728320230963</v>
      </c>
      <c r="C552" t="s">
        <v>40</v>
      </c>
      <c r="D552">
        <v>4.8202220000000002</v>
      </c>
      <c r="E552">
        <v>0.32613979999999998</v>
      </c>
      <c r="F552" t="s">
        <v>41</v>
      </c>
      <c r="G552">
        <v>-292.07229999999998</v>
      </c>
      <c r="H552">
        <v>0.9450326</v>
      </c>
      <c r="I552">
        <v>367.89530000000002</v>
      </c>
      <c r="J552">
        <v>-292.79829999999998</v>
      </c>
      <c r="K552">
        <v>1.0540860000000001</v>
      </c>
      <c r="L552">
        <v>367.45699999999999</v>
      </c>
      <c r="M552">
        <v>0.99989280000000003</v>
      </c>
      <c r="N552">
        <v>0</v>
      </c>
      <c r="O552">
        <v>-2.9944010000000003E-4</v>
      </c>
      <c r="P552">
        <v>0.99911289999999997</v>
      </c>
      <c r="Q552">
        <v>1.310889E-2</v>
      </c>
      <c r="R552">
        <v>4.0022200000000001E-2</v>
      </c>
      <c r="S552">
        <v>2.9637449999999999</v>
      </c>
      <c r="T552">
        <v>-0.26823229999999998</v>
      </c>
      <c r="U552">
        <v>1.077332</v>
      </c>
      <c r="V552">
        <v>-4.0320460000000002E-2</v>
      </c>
      <c r="W552">
        <v>2.7737700000000001E-2</v>
      </c>
      <c r="X552">
        <v>0.99880170000000001</v>
      </c>
      <c r="Y552">
        <v>-0.34068280000000001</v>
      </c>
      <c r="Z552">
        <v>1.4936960000000001E-2</v>
      </c>
      <c r="AA552">
        <v>0.9400596</v>
      </c>
      <c r="AB552">
        <v>45</v>
      </c>
      <c r="AC552">
        <v>0.72599999999999898</v>
      </c>
      <c r="AD552">
        <v>-0.10905339999999999</v>
      </c>
      <c r="AE552">
        <v>0.438300000000026</v>
      </c>
      <c r="AF552">
        <v>-0.43138389169448499</v>
      </c>
      <c r="AG552">
        <v>-0.10905339999999999</v>
      </c>
      <c r="AH552">
        <v>0.714060765856534</v>
      </c>
      <c r="AI552">
        <v>97.4474825666952</v>
      </c>
      <c r="AJ552">
        <v>121.13733701558201</v>
      </c>
      <c r="AK552">
        <v>0.84134860991188398</v>
      </c>
      <c r="AL552">
        <v>88.410542960641294</v>
      </c>
      <c r="AM552">
        <v>92.311708602749405</v>
      </c>
      <c r="AN552">
        <v>0.99999997770939497</v>
      </c>
    </row>
    <row r="553" spans="1:40" x14ac:dyDescent="0.3">
      <c r="A553" t="str">
        <f>"20200111153840260"</f>
        <v>20200111153840260</v>
      </c>
      <c r="B553" t="str">
        <f>"1578728320250480"</f>
        <v>1578728320250480</v>
      </c>
      <c r="C553" t="s">
        <v>40</v>
      </c>
      <c r="D553">
        <v>4.8357970000000003</v>
      </c>
      <c r="E553">
        <v>0.31382779999999999</v>
      </c>
      <c r="F553" t="s">
        <v>41</v>
      </c>
      <c r="G553">
        <v>-291.77109999999999</v>
      </c>
      <c r="H553">
        <v>0.91504319999999895</v>
      </c>
      <c r="I553">
        <v>367.9837</v>
      </c>
      <c r="J553">
        <v>-292.36329999999998</v>
      </c>
      <c r="K553">
        <v>1.0540849999999999</v>
      </c>
      <c r="L553">
        <v>367.45690000000002</v>
      </c>
      <c r="M553">
        <v>0.99989300000000003</v>
      </c>
      <c r="N553">
        <v>0</v>
      </c>
      <c r="O553">
        <v>-2.9939410000000001E-4</v>
      </c>
      <c r="P553">
        <v>0.99909099999999995</v>
      </c>
      <c r="Q553">
        <v>1.305271E-2</v>
      </c>
      <c r="R553">
        <v>4.0580810000000002E-2</v>
      </c>
      <c r="S553">
        <v>2.9473569999999998</v>
      </c>
      <c r="T553">
        <v>-0.39894160000000001</v>
      </c>
      <c r="U553">
        <v>1.5113829999999999</v>
      </c>
      <c r="V553">
        <v>-4.0879180000000001E-2</v>
      </c>
      <c r="W553">
        <v>2.767478E-2</v>
      </c>
      <c r="X553">
        <v>0.99878069999999997</v>
      </c>
      <c r="Y553">
        <v>-0.4532852</v>
      </c>
      <c r="Z553">
        <v>2.8816919999999999E-2</v>
      </c>
      <c r="AA553">
        <v>0.89089959999999901</v>
      </c>
      <c r="AB553">
        <v>45</v>
      </c>
      <c r="AC553">
        <v>0.59219999999999096</v>
      </c>
      <c r="AD553">
        <v>-0.13904179999999999</v>
      </c>
      <c r="AE553">
        <v>0.52679999999997995</v>
      </c>
      <c r="AF553">
        <v>-0.51124441695221401</v>
      </c>
      <c r="AG553">
        <v>-0.13904179999999999</v>
      </c>
      <c r="AH553">
        <v>0.57436684583383002</v>
      </c>
      <c r="AI553">
        <v>100.249629641985</v>
      </c>
      <c r="AJ553">
        <v>131.67230672341</v>
      </c>
      <c r="AK553">
        <v>0.781409463472994</v>
      </c>
      <c r="AL553">
        <v>88.414149341779293</v>
      </c>
      <c r="AM553">
        <v>92.343755659062396</v>
      </c>
      <c r="AN553">
        <v>0.99999994374900303</v>
      </c>
    </row>
    <row r="554" spans="1:40" x14ac:dyDescent="0.3">
      <c r="A554" t="str">
        <f>"20200111153840281"</f>
        <v>20200111153840281</v>
      </c>
      <c r="B554" t="str">
        <f>"1578728320270976"</f>
        <v>1578728320270976</v>
      </c>
      <c r="C554" t="s">
        <v>40</v>
      </c>
      <c r="D554">
        <v>4.7468669999999999</v>
      </c>
      <c r="E554">
        <v>0.31027100000000002</v>
      </c>
      <c r="F554" t="s">
        <v>43</v>
      </c>
      <c r="G554">
        <v>-285.17759999999998</v>
      </c>
      <c r="H554">
        <v>-0.05</v>
      </c>
      <c r="I554">
        <v>371.39179999999999</v>
      </c>
      <c r="J554">
        <v>-291.92759999999998</v>
      </c>
      <c r="K554">
        <v>1.0540969999999901</v>
      </c>
      <c r="L554">
        <v>367.45670000000001</v>
      </c>
      <c r="M554">
        <v>0.99989300000000003</v>
      </c>
      <c r="N554">
        <v>0</v>
      </c>
      <c r="O554">
        <v>-2.9923189999999999E-4</v>
      </c>
      <c r="P554">
        <v>0.99909000000000003</v>
      </c>
      <c r="Q554">
        <v>1.3688789999999999E-2</v>
      </c>
      <c r="R554">
        <v>4.0396809999999998E-2</v>
      </c>
      <c r="S554">
        <v>2.9431759999999998</v>
      </c>
      <c r="T554">
        <v>-0.45221810000000001</v>
      </c>
      <c r="U554">
        <v>1.611694</v>
      </c>
      <c r="V554">
        <v>-4.069511E-2</v>
      </c>
      <c r="W554">
        <v>2.830444E-2</v>
      </c>
      <c r="X554">
        <v>0.99877070000000001</v>
      </c>
      <c r="Y554">
        <v>-0.47625849999999997</v>
      </c>
      <c r="Z554">
        <v>3.4071829999999997E-2</v>
      </c>
      <c r="AA554">
        <v>0.87864500000000001</v>
      </c>
      <c r="AB554">
        <v>45</v>
      </c>
      <c r="AC554">
        <v>6.75</v>
      </c>
      <c r="AD554">
        <v>-1.1040970000000001</v>
      </c>
      <c r="AE554">
        <v>3.9350999999999701</v>
      </c>
      <c r="AF554">
        <v>-3.8600404513998399</v>
      </c>
      <c r="AG554">
        <v>-1.1040970000000001</v>
      </c>
      <c r="AH554">
        <v>6.6166962464830998</v>
      </c>
      <c r="AI554">
        <v>98.201665377298795</v>
      </c>
      <c r="AJ554">
        <v>120.258381661125</v>
      </c>
      <c r="AK554">
        <v>7.7394839421033597</v>
      </c>
      <c r="AL554">
        <v>88.378058547137499</v>
      </c>
      <c r="AM554">
        <v>92.333237265002296</v>
      </c>
      <c r="AN554">
        <v>1.0000000722400499</v>
      </c>
    </row>
    <row r="555" spans="1:40" x14ac:dyDescent="0.3">
      <c r="A555" t="str">
        <f>"20200111153840305"</f>
        <v>20200111153840305</v>
      </c>
      <c r="B555" t="str">
        <f>"1578728320301233"</f>
        <v>1578728320301233</v>
      </c>
      <c r="C555" t="s">
        <v>40</v>
      </c>
      <c r="D555">
        <v>4.696002</v>
      </c>
      <c r="E555">
        <v>0.3097259</v>
      </c>
      <c r="F555" t="s">
        <v>43</v>
      </c>
      <c r="G555">
        <v>-284.94560000000001</v>
      </c>
      <c r="H555">
        <v>-0.05</v>
      </c>
      <c r="I555">
        <v>371.34679999999997</v>
      </c>
      <c r="J555">
        <v>-291.46420000000001</v>
      </c>
      <c r="K555">
        <v>1.054108</v>
      </c>
      <c r="L555">
        <v>367.45659999999998</v>
      </c>
      <c r="M555">
        <v>0.99989309999999998</v>
      </c>
      <c r="N555">
        <v>0</v>
      </c>
      <c r="O555">
        <v>-2.9907030000000002E-4</v>
      </c>
      <c r="P555">
        <v>0.99909959999999998</v>
      </c>
      <c r="Q555">
        <v>1.4875909999999999E-2</v>
      </c>
      <c r="R555">
        <v>3.9731889999999999E-2</v>
      </c>
      <c r="S555">
        <v>2.9428100000000001</v>
      </c>
      <c r="T555">
        <v>-0.46536169999999999</v>
      </c>
      <c r="U555">
        <v>1.639618</v>
      </c>
      <c r="V555">
        <v>-4.002936E-2</v>
      </c>
      <c r="W555">
        <v>2.9486020000000002E-2</v>
      </c>
      <c r="X555">
        <v>0.99876330000000002</v>
      </c>
      <c r="Y555">
        <v>-0.48239130000000002</v>
      </c>
      <c r="Z555">
        <v>3.5432020000000002E-2</v>
      </c>
      <c r="AA555">
        <v>0.87523899999999999</v>
      </c>
      <c r="AB555">
        <v>45</v>
      </c>
      <c r="AC555">
        <v>6.5185999999999904</v>
      </c>
      <c r="AD555">
        <v>-1.1041080000000001</v>
      </c>
      <c r="AE555">
        <v>3.8901999999999899</v>
      </c>
      <c r="AF555">
        <v>-3.8115181680321499</v>
      </c>
      <c r="AG555">
        <v>-1.1041080000000001</v>
      </c>
      <c r="AH555">
        <v>6.3824182280535799</v>
      </c>
      <c r="AI555">
        <v>98.4480008731786</v>
      </c>
      <c r="AJ555">
        <v>120.84523865295</v>
      </c>
      <c r="AK555">
        <v>7.5154499305559703</v>
      </c>
      <c r="AL555">
        <v>88.310330518043898</v>
      </c>
      <c r="AM555">
        <v>92.295124908783507</v>
      </c>
      <c r="AN555">
        <v>0.99999995223216798</v>
      </c>
    </row>
    <row r="556" spans="1:40" x14ac:dyDescent="0.3">
      <c r="A556" t="str">
        <f>"20200111153840326"</f>
        <v>20200111153840326</v>
      </c>
      <c r="B556" t="str">
        <f>"1578728320320755"</f>
        <v>1578728320320755</v>
      </c>
      <c r="C556" t="s">
        <v>40</v>
      </c>
      <c r="D556">
        <v>4.7349160000000001</v>
      </c>
      <c r="E556">
        <v>0.31002879999999999</v>
      </c>
      <c r="F556" t="s">
        <v>41</v>
      </c>
      <c r="G556">
        <v>-290.55900000000003</v>
      </c>
      <c r="H556">
        <v>0.9081996</v>
      </c>
      <c r="I556">
        <v>367.96140000000003</v>
      </c>
      <c r="J556">
        <v>-291.01620000000003</v>
      </c>
      <c r="K556">
        <v>1.0541199999999999</v>
      </c>
      <c r="L556">
        <v>367.45650000000001</v>
      </c>
      <c r="M556">
        <v>0.99989320000000004</v>
      </c>
      <c r="N556">
        <v>0</v>
      </c>
      <c r="O556">
        <v>-2.9879359999999998E-4</v>
      </c>
      <c r="P556">
        <v>0.99907860000000004</v>
      </c>
      <c r="Q556">
        <v>1.585949E-2</v>
      </c>
      <c r="R556">
        <v>3.9881390000000003E-2</v>
      </c>
      <c r="S556">
        <v>2.9444270000000001</v>
      </c>
      <c r="T556">
        <v>-0.47456229999999999</v>
      </c>
      <c r="U556">
        <v>1.64209</v>
      </c>
      <c r="V556">
        <v>-4.0179159999999998E-2</v>
      </c>
      <c r="W556">
        <v>3.0464060000000001E-2</v>
      </c>
      <c r="X556">
        <v>0.99872799999999995</v>
      </c>
      <c r="Y556">
        <v>-0.48257</v>
      </c>
      <c r="Z556">
        <v>3.6114670000000001E-2</v>
      </c>
      <c r="AA556">
        <v>0.87511249999999996</v>
      </c>
      <c r="AB556">
        <v>45</v>
      </c>
      <c r="AC556">
        <v>0.4572</v>
      </c>
      <c r="AD556">
        <v>-0.14592040000000001</v>
      </c>
      <c r="AE556">
        <v>0.50490000000002</v>
      </c>
      <c r="AF556">
        <v>-0.48287553825385698</v>
      </c>
      <c r="AG556">
        <v>-0.14592040000000001</v>
      </c>
      <c r="AH556">
        <v>0.436993737115415</v>
      </c>
      <c r="AI556">
        <v>102.62913848063</v>
      </c>
      <c r="AJ556">
        <v>137.85546741266299</v>
      </c>
      <c r="AK556">
        <v>0.66740173423374405</v>
      </c>
      <c r="AL556">
        <v>88.254267876930498</v>
      </c>
      <c r="AM556">
        <v>92.303785947404805</v>
      </c>
      <c r="AN556">
        <v>1.0000000209169899</v>
      </c>
    </row>
    <row r="557" spans="1:40" x14ac:dyDescent="0.3">
      <c r="A557" t="str">
        <f>"20200111153840350"</f>
        <v>20200111153840350</v>
      </c>
      <c r="B557" t="str">
        <f>"1578728320341248"</f>
        <v>1578728320341248</v>
      </c>
      <c r="C557" t="s">
        <v>40</v>
      </c>
      <c r="D557">
        <v>4.6997999999999998</v>
      </c>
      <c r="E557">
        <v>0.31011640000000001</v>
      </c>
      <c r="F557" t="s">
        <v>41</v>
      </c>
      <c r="G557">
        <v>-290.15190000000001</v>
      </c>
      <c r="H557">
        <v>0.91512720000000003</v>
      </c>
      <c r="I557">
        <v>367.93770000000001</v>
      </c>
      <c r="J557">
        <v>-290.5643</v>
      </c>
      <c r="K557">
        <v>1.0541149999999999</v>
      </c>
      <c r="L557">
        <v>367.4563</v>
      </c>
      <c r="M557">
        <v>0.99989320000000004</v>
      </c>
      <c r="N557">
        <v>0</v>
      </c>
      <c r="O557">
        <v>-2.9863820000000001E-4</v>
      </c>
      <c r="P557">
        <v>0.99908129999999995</v>
      </c>
      <c r="Q557">
        <v>1.6491249999999999E-2</v>
      </c>
      <c r="R557">
        <v>3.9557479999999999E-2</v>
      </c>
      <c r="S557">
        <v>2.9447939999999999</v>
      </c>
      <c r="T557">
        <v>-0.47348170000000001</v>
      </c>
      <c r="U557">
        <v>1.640045</v>
      </c>
      <c r="V557">
        <v>-3.9854550000000002E-2</v>
      </c>
      <c r="W557">
        <v>3.1090799999999998E-2</v>
      </c>
      <c r="X557">
        <v>0.99872169999999905</v>
      </c>
      <c r="Y557">
        <v>-0.48208529999999999</v>
      </c>
      <c r="Z557">
        <v>3.5998849999999999E-2</v>
      </c>
      <c r="AA557">
        <v>0.87538439999999995</v>
      </c>
      <c r="AB557">
        <v>45</v>
      </c>
      <c r="AC557">
        <v>0.412399999999991</v>
      </c>
      <c r="AD557">
        <v>-0.13898779999999999</v>
      </c>
      <c r="AE557">
        <v>0.48140000000000699</v>
      </c>
      <c r="AF557">
        <v>-0.45943563825601702</v>
      </c>
      <c r="AG557">
        <v>-0.13898779999999999</v>
      </c>
      <c r="AH557">
        <v>0.39334597138981497</v>
      </c>
      <c r="AI557">
        <v>102.941982098658</v>
      </c>
      <c r="AJ557">
        <v>139.43150408284899</v>
      </c>
      <c r="AK557">
        <v>0.62058018616223298</v>
      </c>
      <c r="AL557">
        <v>88.218341314040899</v>
      </c>
      <c r="AM557">
        <v>92.285207725817003</v>
      </c>
      <c r="AN557">
        <v>1.0000000285256101</v>
      </c>
    </row>
    <row r="558" spans="1:40" x14ac:dyDescent="0.3">
      <c r="A558" t="str">
        <f>"20200111153840371"</f>
        <v>20200111153840371</v>
      </c>
      <c r="B558" t="str">
        <f>"1578728320360770"</f>
        <v>1578728320360770</v>
      </c>
      <c r="C558" t="s">
        <v>40</v>
      </c>
      <c r="D558">
        <v>4.6944549999999996</v>
      </c>
      <c r="E558">
        <v>0.31022559999999999</v>
      </c>
      <c r="F558" t="s">
        <v>41</v>
      </c>
      <c r="G558">
        <v>-289.74470000000002</v>
      </c>
      <c r="H558">
        <v>0.92262109999999997</v>
      </c>
      <c r="I558">
        <v>367.91210000000001</v>
      </c>
      <c r="J558">
        <v>-290.1311</v>
      </c>
      <c r="K558">
        <v>1.0541130000000001</v>
      </c>
      <c r="L558">
        <v>367.45620000000002</v>
      </c>
      <c r="M558">
        <v>0.99989329999999998</v>
      </c>
      <c r="N558">
        <v>0</v>
      </c>
      <c r="O558">
        <v>-2.9836709999999999E-4</v>
      </c>
      <c r="P558">
        <v>0.99906919999999999</v>
      </c>
      <c r="Q558">
        <v>1.682341E-2</v>
      </c>
      <c r="R558">
        <v>3.9720310000000002E-2</v>
      </c>
      <c r="S558">
        <v>2.9456790000000002</v>
      </c>
      <c r="T558">
        <v>-0.47259649999999997</v>
      </c>
      <c r="U558">
        <v>1.638641</v>
      </c>
      <c r="V558">
        <v>-4.0017009999999999E-2</v>
      </c>
      <c r="W558">
        <v>3.1418219999999997E-2</v>
      </c>
      <c r="X558">
        <v>0.99870490000000001</v>
      </c>
      <c r="Y558">
        <v>-0.48167749999999998</v>
      </c>
      <c r="Z558">
        <v>3.5896329999999997E-2</v>
      </c>
      <c r="AA558">
        <v>0.87561309999999903</v>
      </c>
      <c r="AB558">
        <v>45</v>
      </c>
      <c r="AC558">
        <v>0.38639999999997998</v>
      </c>
      <c r="AD558">
        <v>-0.131491899999999</v>
      </c>
      <c r="AE558">
        <v>0.45589999999998498</v>
      </c>
      <c r="AF558">
        <v>-0.43495833962741198</v>
      </c>
      <c r="AG558">
        <v>-0.131491899999999</v>
      </c>
      <c r="AH558">
        <v>0.36842783601532098</v>
      </c>
      <c r="AI558">
        <v>102.98963564255099</v>
      </c>
      <c r="AJ558">
        <v>139.73401075531601</v>
      </c>
      <c r="AK558">
        <v>0.58499397204413806</v>
      </c>
      <c r="AL558">
        <v>88.199572258175905</v>
      </c>
      <c r="AM558">
        <v>92.294551589944106</v>
      </c>
      <c r="AN558">
        <v>0.999999971460658</v>
      </c>
    </row>
    <row r="559" spans="1:40" x14ac:dyDescent="0.3">
      <c r="A559" t="str">
        <f>"20200111153840393"</f>
        <v>20200111153840393</v>
      </c>
      <c r="B559" t="str">
        <f>"1578728320391024"</f>
        <v>1578728320391024</v>
      </c>
      <c r="C559" t="s">
        <v>40</v>
      </c>
      <c r="D559">
        <v>4.6987829999999997</v>
      </c>
      <c r="E559">
        <v>0.31042950000000002</v>
      </c>
      <c r="F559" t="s">
        <v>41</v>
      </c>
      <c r="G559">
        <v>-289.3399</v>
      </c>
      <c r="H559">
        <v>0.92725179999999996</v>
      </c>
      <c r="I559">
        <v>367.89609999999999</v>
      </c>
      <c r="J559">
        <v>-289.6848</v>
      </c>
      <c r="K559">
        <v>1.054114</v>
      </c>
      <c r="L559">
        <v>367.45609999999999</v>
      </c>
      <c r="M559">
        <v>0.99989340000000004</v>
      </c>
      <c r="N559">
        <v>0</v>
      </c>
      <c r="O559">
        <v>-2.9833520000000001E-4</v>
      </c>
      <c r="P559">
        <v>0.99906320000000004</v>
      </c>
      <c r="Q559">
        <v>1.6808690000000001E-2</v>
      </c>
      <c r="R559">
        <v>3.9881510000000002E-2</v>
      </c>
      <c r="S559">
        <v>2.9456180000000001</v>
      </c>
      <c r="T559">
        <v>-0.47224110000000002</v>
      </c>
      <c r="U559">
        <v>1.638245</v>
      </c>
      <c r="V559">
        <v>-4.0178470000000001E-2</v>
      </c>
      <c r="W559">
        <v>3.1398679999999998E-2</v>
      </c>
      <c r="X559">
        <v>0.99869909999999995</v>
      </c>
      <c r="Y559">
        <v>-0.48160239999999999</v>
      </c>
      <c r="Z559">
        <v>3.586574E-2</v>
      </c>
      <c r="AA559">
        <v>0.87565569999999904</v>
      </c>
      <c r="AB559">
        <v>45</v>
      </c>
      <c r="AC559">
        <v>0.34489999999999499</v>
      </c>
      <c r="AD559">
        <v>-0.12686220000000001</v>
      </c>
      <c r="AE559">
        <v>0.439999999999997</v>
      </c>
      <c r="AF559">
        <v>-0.41855101408418399</v>
      </c>
      <c r="AG559">
        <v>-0.12686220000000001</v>
      </c>
      <c r="AH559">
        <v>0.32788535257728102</v>
      </c>
      <c r="AI559">
        <v>103.419973760396</v>
      </c>
      <c r="AJ559">
        <v>141.92548824905899</v>
      </c>
      <c r="AK559">
        <v>0.54661483113291698</v>
      </c>
      <c r="AL559">
        <v>88.200692492738398</v>
      </c>
      <c r="AM559">
        <v>92.303813020093202</v>
      </c>
      <c r="AN559">
        <v>1.00000003944904</v>
      </c>
    </row>
    <row r="560" spans="1:40" x14ac:dyDescent="0.3">
      <c r="A560" t="str">
        <f>"20200111153840416"</f>
        <v>20200111153840416</v>
      </c>
      <c r="B560" t="str">
        <f>"1578728320411521"</f>
        <v>1578728320411521</v>
      </c>
      <c r="C560" t="s">
        <v>40</v>
      </c>
      <c r="D560">
        <v>4.6994069999999999</v>
      </c>
      <c r="E560">
        <v>0.310668</v>
      </c>
      <c r="F560" t="s">
        <v>41</v>
      </c>
      <c r="G560">
        <v>-288.92129999999997</v>
      </c>
      <c r="H560">
        <v>0.93158070000000004</v>
      </c>
      <c r="I560">
        <v>367.88040000000001</v>
      </c>
      <c r="J560">
        <v>-289.22590000000002</v>
      </c>
      <c r="K560">
        <v>1.054114</v>
      </c>
      <c r="L560">
        <v>367.45589999999999</v>
      </c>
      <c r="M560">
        <v>0.99989329999999998</v>
      </c>
      <c r="N560">
        <v>0</v>
      </c>
      <c r="O560">
        <v>-2.9818489999999998E-4</v>
      </c>
      <c r="P560">
        <v>0.99905540000000004</v>
      </c>
      <c r="Q560">
        <v>1.6826319999999999E-2</v>
      </c>
      <c r="R560">
        <v>4.0062269999999997E-2</v>
      </c>
      <c r="S560">
        <v>2.9454039999999999</v>
      </c>
      <c r="T560">
        <v>-0.47269949999999999</v>
      </c>
      <c r="U560">
        <v>1.6369929999999999</v>
      </c>
      <c r="V560">
        <v>-4.0359409999999998E-2</v>
      </c>
      <c r="W560">
        <v>3.1412030000000001E-2</v>
      </c>
      <c r="X560">
        <v>0.99869129999999995</v>
      </c>
      <c r="Y560">
        <v>-0.48133690000000001</v>
      </c>
      <c r="Z560">
        <v>3.5886059999999997E-2</v>
      </c>
      <c r="AA560">
        <v>0.87580069999999999</v>
      </c>
      <c r="AB560">
        <v>45</v>
      </c>
      <c r="AC560">
        <v>0.30460000000005</v>
      </c>
      <c r="AD560">
        <v>-0.1225333</v>
      </c>
      <c r="AE560">
        <v>0.42450000000002303</v>
      </c>
      <c r="AF560">
        <v>-0.40245514782033198</v>
      </c>
      <c r="AG560">
        <v>-0.1225333</v>
      </c>
      <c r="AH560">
        <v>0.28859993998545302</v>
      </c>
      <c r="AI560">
        <v>103.897213141547</v>
      </c>
      <c r="AJ560">
        <v>144.355753588742</v>
      </c>
      <c r="AK560">
        <v>0.51017103110190598</v>
      </c>
      <c r="AL560">
        <v>88.199927064830007</v>
      </c>
      <c r="AM560">
        <v>92.314194827574596</v>
      </c>
      <c r="AN560">
        <v>0.99999995514997797</v>
      </c>
    </row>
    <row r="561" spans="1:40" x14ac:dyDescent="0.3">
      <c r="A561" t="str">
        <f>"20200111153840430"</f>
        <v>20200111153840430</v>
      </c>
      <c r="B561" t="str">
        <f>"1578728320421280"</f>
        <v>1578728320421280</v>
      </c>
      <c r="C561" t="s">
        <v>40</v>
      </c>
      <c r="D561">
        <v>4.7289159999999999</v>
      </c>
      <c r="E561">
        <v>0.3106777</v>
      </c>
      <c r="F561" t="s">
        <v>43</v>
      </c>
      <c r="G561">
        <v>-282.3562</v>
      </c>
      <c r="H561">
        <v>-0.05</v>
      </c>
      <c r="I561">
        <v>371.27120000000002</v>
      </c>
      <c r="J561">
        <v>-288.94659999999999</v>
      </c>
      <c r="K561">
        <v>1.0541130000000001</v>
      </c>
      <c r="L561">
        <v>367.45580000000001</v>
      </c>
      <c r="M561">
        <v>0.99989349999999999</v>
      </c>
      <c r="N561">
        <v>0</v>
      </c>
      <c r="O561">
        <v>-2.981665E-4</v>
      </c>
      <c r="P561">
        <v>0.99905710000000003</v>
      </c>
      <c r="Q561">
        <v>1.6282120000000001E-2</v>
      </c>
      <c r="R561">
        <v>4.024643E-2</v>
      </c>
      <c r="S561">
        <v>2.9452509999999998</v>
      </c>
      <c r="T561">
        <v>-0.47336929999999999</v>
      </c>
      <c r="U561">
        <v>1.6357120000000001</v>
      </c>
      <c r="V561">
        <v>-4.054344E-2</v>
      </c>
      <c r="W561">
        <v>3.0865360000000001E-2</v>
      </c>
      <c r="X561">
        <v>0.9987009</v>
      </c>
      <c r="Y561">
        <v>-0.4810528</v>
      </c>
      <c r="Z561">
        <v>3.5920300000000002E-2</v>
      </c>
      <c r="AA561">
        <v>0.87595540000000005</v>
      </c>
      <c r="AB561">
        <v>45</v>
      </c>
      <c r="AC561">
        <v>6.5903999999999803</v>
      </c>
      <c r="AD561">
        <v>-1.1041129999999999</v>
      </c>
      <c r="AE561">
        <v>3.8154000000000101</v>
      </c>
      <c r="AF561">
        <v>-3.7387695594113799</v>
      </c>
      <c r="AG561">
        <v>-1.1041129999999999</v>
      </c>
      <c r="AH561">
        <v>6.4535960143465898</v>
      </c>
      <c r="AI561">
        <v>98.420723228715701</v>
      </c>
      <c r="AJ561">
        <v>120.085051454449</v>
      </c>
      <c r="AK561">
        <v>7.5396528336217497</v>
      </c>
      <c r="AL561">
        <v>88.231264162823805</v>
      </c>
      <c r="AM561">
        <v>92.324713171963296</v>
      </c>
      <c r="AN561">
        <v>0.99999996431788596</v>
      </c>
    </row>
    <row r="562" spans="1:40" x14ac:dyDescent="0.3">
      <c r="A562" t="str">
        <f>"20200111153840449"</f>
        <v>20200111153840449</v>
      </c>
      <c r="B562" t="str">
        <f>"1578728320440803"</f>
        <v>1578728320440803</v>
      </c>
      <c r="C562" t="s">
        <v>40</v>
      </c>
      <c r="D562">
        <v>4.7368670000000002</v>
      </c>
      <c r="E562">
        <v>0.31076569999999998</v>
      </c>
      <c r="F562" t="s">
        <v>41</v>
      </c>
      <c r="G562">
        <v>-288.13959999999997</v>
      </c>
      <c r="H562">
        <v>0.92376329999999995</v>
      </c>
      <c r="I562">
        <v>367.90410000000003</v>
      </c>
      <c r="J562">
        <v>-288.55309999999997</v>
      </c>
      <c r="K562">
        <v>1.054108</v>
      </c>
      <c r="L562">
        <v>367.45569999999998</v>
      </c>
      <c r="M562">
        <v>0.99989349999999999</v>
      </c>
      <c r="N562">
        <v>0</v>
      </c>
      <c r="O562">
        <v>-2.9778349999999999E-4</v>
      </c>
      <c r="P562">
        <v>0.99905809999999995</v>
      </c>
      <c r="Q562">
        <v>1.5945750000000002E-2</v>
      </c>
      <c r="R562">
        <v>4.0358989999999997E-2</v>
      </c>
      <c r="S562">
        <v>2.9447019999999999</v>
      </c>
      <c r="T562">
        <v>-0.47562280000000001</v>
      </c>
      <c r="U562">
        <v>1.635742</v>
      </c>
      <c r="V562">
        <v>-4.0655299999999998E-2</v>
      </c>
      <c r="W562">
        <v>3.0526020000000001E-2</v>
      </c>
      <c r="X562">
        <v>0.99870680000000001</v>
      </c>
      <c r="Y562">
        <v>-0.48108210000000001</v>
      </c>
      <c r="Z562">
        <v>3.609739E-2</v>
      </c>
      <c r="AA562">
        <v>0.87593199999999904</v>
      </c>
      <c r="AB562">
        <v>45</v>
      </c>
      <c r="AC562">
        <v>0.41349999999999898</v>
      </c>
      <c r="AD562">
        <v>-0.13034470000000001</v>
      </c>
      <c r="AE562">
        <v>0.44840000000004898</v>
      </c>
      <c r="AF562">
        <v>-0.42893542772348098</v>
      </c>
      <c r="AG562">
        <v>-0.13034470000000001</v>
      </c>
      <c r="AH562">
        <v>0.39531408919783101</v>
      </c>
      <c r="AI562">
        <v>102.596059796235</v>
      </c>
      <c r="AJ562">
        <v>137.335813897316</v>
      </c>
      <c r="AK562">
        <v>0.59770274475923801</v>
      </c>
      <c r="AL562">
        <v>88.250716110298299</v>
      </c>
      <c r="AM562">
        <v>92.331106270560596</v>
      </c>
      <c r="AN562">
        <v>0.99999998184068495</v>
      </c>
    </row>
    <row r="563" spans="1:40" x14ac:dyDescent="0.3">
      <c r="A563" t="str">
        <f>"20200111153840472"</f>
        <v>20200111153840472</v>
      </c>
      <c r="B563" t="str">
        <f>"1578728320461296"</f>
        <v>1578728320461296</v>
      </c>
      <c r="C563" t="s">
        <v>40</v>
      </c>
      <c r="D563">
        <v>4.7085039999999996</v>
      </c>
      <c r="E563">
        <v>0.31078719999999999</v>
      </c>
      <c r="F563" t="s">
        <v>41</v>
      </c>
      <c r="G563">
        <v>-287.74020000000002</v>
      </c>
      <c r="H563">
        <v>0.92198150000000001</v>
      </c>
      <c r="I563">
        <v>367.90699999999998</v>
      </c>
      <c r="J563">
        <v>-288.11349999999999</v>
      </c>
      <c r="K563">
        <v>1.054111</v>
      </c>
      <c r="L563">
        <v>367.4556</v>
      </c>
      <c r="M563">
        <v>0.99989360000000005</v>
      </c>
      <c r="N563">
        <v>0</v>
      </c>
      <c r="O563">
        <v>-2.9775629999999998E-4</v>
      </c>
      <c r="P563">
        <v>0.99907089999999998</v>
      </c>
      <c r="Q563">
        <v>1.511885E-2</v>
      </c>
      <c r="R563">
        <v>4.035851E-2</v>
      </c>
      <c r="S563">
        <v>2.944366</v>
      </c>
      <c r="T563">
        <v>-0.47845100000000002</v>
      </c>
      <c r="U563">
        <v>1.635162</v>
      </c>
      <c r="V563">
        <v>-4.0654889999999999E-2</v>
      </c>
      <c r="W563">
        <v>2.9695260000000001E-2</v>
      </c>
      <c r="X563">
        <v>0.99873190000000001</v>
      </c>
      <c r="Y563">
        <v>-0.48093609999999998</v>
      </c>
      <c r="Z563">
        <v>3.630394E-2</v>
      </c>
      <c r="AA563">
        <v>0.87600370000000005</v>
      </c>
      <c r="AB563">
        <v>45</v>
      </c>
      <c r="AC563">
        <v>0.37329999999997199</v>
      </c>
      <c r="AD563">
        <v>-0.13212950000000001</v>
      </c>
      <c r="AE563">
        <v>0.45139999999997799</v>
      </c>
      <c r="AF563">
        <v>-0.42964990444526602</v>
      </c>
      <c r="AG563">
        <v>-0.13212950000000001</v>
      </c>
      <c r="AH563">
        <v>0.35509765392192</v>
      </c>
      <c r="AI563">
        <v>103.335626832344</v>
      </c>
      <c r="AJ563">
        <v>140.42690167909399</v>
      </c>
      <c r="AK563">
        <v>0.572845170164617</v>
      </c>
      <c r="AL563">
        <v>88.298336808942096</v>
      </c>
      <c r="AM563">
        <v>92.331024267942695</v>
      </c>
      <c r="AN563">
        <v>1.00000001831249</v>
      </c>
    </row>
    <row r="564" spans="1:40" x14ac:dyDescent="0.3">
      <c r="A564" t="str">
        <f>"20200111153840486"</f>
        <v>20200111153840486</v>
      </c>
      <c r="B564" t="str">
        <f>"1578728320480816"</f>
        <v>1578728320480816</v>
      </c>
      <c r="C564" t="s">
        <v>40</v>
      </c>
      <c r="D564">
        <v>4.6770259999999997</v>
      </c>
      <c r="E564">
        <v>0.31071359999999998</v>
      </c>
      <c r="F564" t="s">
        <v>41</v>
      </c>
      <c r="G564">
        <v>-287.33609999999999</v>
      </c>
      <c r="H564">
        <v>0.92681259999999999</v>
      </c>
      <c r="I564">
        <v>367.88729999999998</v>
      </c>
      <c r="J564">
        <v>-287.82119999999998</v>
      </c>
      <c r="K564">
        <v>1.0541069999999999</v>
      </c>
      <c r="L564">
        <v>367.45549999999997</v>
      </c>
      <c r="M564">
        <v>0.9998937</v>
      </c>
      <c r="N564">
        <v>0</v>
      </c>
      <c r="O564">
        <v>-2.9773890000000001E-4</v>
      </c>
      <c r="P564">
        <v>0.99906530000000004</v>
      </c>
      <c r="Q564">
        <v>1.5153740000000001E-2</v>
      </c>
      <c r="R564">
        <v>4.0487759999999998E-2</v>
      </c>
      <c r="S564">
        <v>2.944061</v>
      </c>
      <c r="T564">
        <v>-0.48199389999999998</v>
      </c>
      <c r="U564">
        <v>1.634979</v>
      </c>
      <c r="V564">
        <v>-4.0784389999999997E-2</v>
      </c>
      <c r="W564">
        <v>2.9727670000000001E-2</v>
      </c>
      <c r="X564">
        <v>0.99872570000000005</v>
      </c>
      <c r="Y564">
        <v>-0.48086119999999999</v>
      </c>
      <c r="Z564">
        <v>3.656798E-2</v>
      </c>
      <c r="AA564">
        <v>0.87603379999999997</v>
      </c>
      <c r="AB564">
        <v>45</v>
      </c>
      <c r="AC564">
        <v>0.48509999999998799</v>
      </c>
      <c r="AD564">
        <v>-0.127294399999999</v>
      </c>
      <c r="AE564">
        <v>0.43180000000000901</v>
      </c>
      <c r="AF564">
        <v>-0.41596375666244001</v>
      </c>
      <c r="AG564">
        <v>-0.127294399999999</v>
      </c>
      <c r="AH564">
        <v>0.46702888659098102</v>
      </c>
      <c r="AI564">
        <v>101.504629045538</v>
      </c>
      <c r="AJ564">
        <v>131.690163668488</v>
      </c>
      <c r="AK564">
        <v>0.63823639197283399</v>
      </c>
      <c r="AL564">
        <v>88.296479107602195</v>
      </c>
      <c r="AM564">
        <v>92.338455663974798</v>
      </c>
      <c r="AN564">
        <v>1.00000006233589</v>
      </c>
    </row>
    <row r="565" spans="1:40" x14ac:dyDescent="0.3">
      <c r="A565" t="str">
        <f>"20200111153840506"</f>
        <v>20200111153840506</v>
      </c>
      <c r="B565" t="str">
        <f>"1578728320501312"</f>
        <v>1578728320501312</v>
      </c>
      <c r="C565" t="s">
        <v>40</v>
      </c>
      <c r="D565">
        <v>4.6987310000000004</v>
      </c>
      <c r="E565">
        <v>0.31068210000000002</v>
      </c>
      <c r="F565" t="s">
        <v>41</v>
      </c>
      <c r="G565">
        <v>-286.94819999999999</v>
      </c>
      <c r="H565">
        <v>0.9110665</v>
      </c>
      <c r="I565">
        <v>367.94049999999999</v>
      </c>
      <c r="J565">
        <v>-287.4307</v>
      </c>
      <c r="K565">
        <v>1.0541100000000001</v>
      </c>
      <c r="L565">
        <v>367.4554</v>
      </c>
      <c r="M565">
        <v>0.99989360000000005</v>
      </c>
      <c r="N565">
        <v>0</v>
      </c>
      <c r="O565">
        <v>-2.9735839999999998E-4</v>
      </c>
      <c r="P565">
        <v>0.99905980000000005</v>
      </c>
      <c r="Q565">
        <v>1.468299E-2</v>
      </c>
      <c r="R565">
        <v>4.0789529999999997E-2</v>
      </c>
      <c r="S565">
        <v>2.9439090000000001</v>
      </c>
      <c r="T565">
        <v>-0.48232770000000003</v>
      </c>
      <c r="U565">
        <v>1.635651</v>
      </c>
      <c r="V565">
        <v>-4.1085459999999997E-2</v>
      </c>
      <c r="W565">
        <v>2.9253899999999999E-2</v>
      </c>
      <c r="X565">
        <v>0.99872729999999998</v>
      </c>
      <c r="Y565">
        <v>-0.48102460000000002</v>
      </c>
      <c r="Z565">
        <v>3.6605180000000001E-2</v>
      </c>
      <c r="AA565">
        <v>0.87594259999999902</v>
      </c>
      <c r="AB565">
        <v>45</v>
      </c>
      <c r="AC565">
        <v>0.48250000000001497</v>
      </c>
      <c r="AD565">
        <v>-0.14304349999999999</v>
      </c>
      <c r="AE565">
        <v>0.48509999999998799</v>
      </c>
      <c r="AF565">
        <v>-0.46492216185881702</v>
      </c>
      <c r="AG565">
        <v>-0.14304349999999999</v>
      </c>
      <c r="AH565">
        <v>0.46215534243810702</v>
      </c>
      <c r="AI565">
        <v>102.3092960644</v>
      </c>
      <c r="AJ565">
        <v>135.17099606460499</v>
      </c>
      <c r="AK565">
        <v>0.67097065511377596</v>
      </c>
      <c r="AL565">
        <v>88.323635856240898</v>
      </c>
      <c r="AM565">
        <v>92.355694976824495</v>
      </c>
      <c r="AN565">
        <v>1.0000000127269499</v>
      </c>
    </row>
    <row r="566" spans="1:40" x14ac:dyDescent="0.3">
      <c r="A566" t="str">
        <f>"20200111153840529"</f>
        <v>20200111153840529</v>
      </c>
      <c r="B566" t="str">
        <f>"1578728320520832"</f>
        <v>1578728320520832</v>
      </c>
      <c r="C566" t="s">
        <v>40</v>
      </c>
      <c r="D566">
        <v>4.695398</v>
      </c>
      <c r="E566">
        <v>0.31066369999999999</v>
      </c>
      <c r="F566" t="s">
        <v>41</v>
      </c>
      <c r="G566">
        <v>-286.55</v>
      </c>
      <c r="H566">
        <v>0.9089431</v>
      </c>
      <c r="I566">
        <v>367.9452</v>
      </c>
      <c r="J566">
        <v>-286.97579999999999</v>
      </c>
      <c r="K566">
        <v>1.0541100000000001</v>
      </c>
      <c r="L566">
        <v>367.45519999999999</v>
      </c>
      <c r="M566">
        <v>0.99989360000000005</v>
      </c>
      <c r="N566">
        <v>0</v>
      </c>
      <c r="O566">
        <v>-2.9721320000000002E-4</v>
      </c>
      <c r="P566">
        <v>0.99904999999999999</v>
      </c>
      <c r="Q566">
        <v>1.4407710000000001E-2</v>
      </c>
      <c r="R566">
        <v>4.1129480000000003E-2</v>
      </c>
      <c r="S566">
        <v>2.9431150000000001</v>
      </c>
      <c r="T566">
        <v>-0.48514580000000002</v>
      </c>
      <c r="U566">
        <v>1.6369629999999999</v>
      </c>
      <c r="V566">
        <v>-4.142535E-2</v>
      </c>
      <c r="W566">
        <v>2.8975069999999999E-2</v>
      </c>
      <c r="X566">
        <v>0.99872139999999998</v>
      </c>
      <c r="Y566">
        <v>-0.48136109999999999</v>
      </c>
      <c r="Z566">
        <v>3.6847350000000001E-2</v>
      </c>
      <c r="AA566">
        <v>0.87574759999999996</v>
      </c>
      <c r="AB566">
        <v>45</v>
      </c>
      <c r="AC566">
        <v>0.42579999999998103</v>
      </c>
      <c r="AD566">
        <v>-0.14516689999999999</v>
      </c>
      <c r="AE566">
        <v>0.49000000000000898</v>
      </c>
      <c r="AF566">
        <v>-0.46678386616796103</v>
      </c>
      <c r="AG566">
        <v>-0.14516689999999999</v>
      </c>
      <c r="AH566">
        <v>0.40538219431466899</v>
      </c>
      <c r="AI566">
        <v>103.214035522394</v>
      </c>
      <c r="AJ566">
        <v>139.027056078063</v>
      </c>
      <c r="AK566">
        <v>0.63505537556790703</v>
      </c>
      <c r="AL566">
        <v>88.339618433214895</v>
      </c>
      <c r="AM566">
        <v>92.375174855377693</v>
      </c>
      <c r="AN566">
        <v>1.0000000245610401</v>
      </c>
    </row>
    <row r="567" spans="1:40" x14ac:dyDescent="0.3">
      <c r="A567" t="str">
        <f>"20200111153840551"</f>
        <v>20200111153840551</v>
      </c>
      <c r="B567" t="str">
        <f>"1578728320541328"</f>
        <v>1578728320541328</v>
      </c>
      <c r="C567" t="s">
        <v>40</v>
      </c>
      <c r="D567">
        <v>4.7166160000000001</v>
      </c>
      <c r="E567">
        <v>0.31079519999999999</v>
      </c>
      <c r="F567" t="s">
        <v>41</v>
      </c>
      <c r="G567">
        <v>-286.14510000000001</v>
      </c>
      <c r="H567">
        <v>0.91673419999999906</v>
      </c>
      <c r="I567">
        <v>367.91750000000002</v>
      </c>
      <c r="J567">
        <v>-286.54109999999997</v>
      </c>
      <c r="K567">
        <v>1.0541119999999999</v>
      </c>
      <c r="L567">
        <v>367.45510000000002</v>
      </c>
      <c r="M567">
        <v>0.9998939</v>
      </c>
      <c r="N567">
        <v>0</v>
      </c>
      <c r="O567">
        <v>-2.973079E-4</v>
      </c>
      <c r="P567">
        <v>0.99904479999999996</v>
      </c>
      <c r="Q567">
        <v>1.431287E-2</v>
      </c>
      <c r="R567">
        <v>4.1293009999999998E-2</v>
      </c>
      <c r="S567">
        <v>2.942383</v>
      </c>
      <c r="T567">
        <v>-0.48648910000000001</v>
      </c>
      <c r="U567">
        <v>1.638031</v>
      </c>
      <c r="V567">
        <v>-4.1588809999999997E-2</v>
      </c>
      <c r="W567">
        <v>2.8876880000000001E-2</v>
      </c>
      <c r="X567">
        <v>0.99871739999999998</v>
      </c>
      <c r="Y567">
        <v>-0.48166490000000001</v>
      </c>
      <c r="Z567">
        <v>3.6976519999999999E-2</v>
      </c>
      <c r="AA567">
        <v>0.87557510000000005</v>
      </c>
      <c r="AB567">
        <v>45</v>
      </c>
      <c r="AC567">
        <v>0.395999999999958</v>
      </c>
      <c r="AD567">
        <v>-0.13737779999999999</v>
      </c>
      <c r="AE567">
        <v>0.46240000000000198</v>
      </c>
      <c r="AF567">
        <v>-0.44010723682695702</v>
      </c>
      <c r="AG567">
        <v>-0.13737779999999999</v>
      </c>
      <c r="AH567">
        <v>0.37668166658003499</v>
      </c>
      <c r="AI567">
        <v>103.341031447818</v>
      </c>
      <c r="AJ567">
        <v>139.440240984036</v>
      </c>
      <c r="AK567">
        <v>0.59536217362023602</v>
      </c>
      <c r="AL567">
        <v>88.345246577388707</v>
      </c>
      <c r="AM567">
        <v>92.384545783516799</v>
      </c>
      <c r="AN567">
        <v>0.99999997418925402</v>
      </c>
    </row>
    <row r="568" spans="1:40" x14ac:dyDescent="0.3">
      <c r="A568" t="str">
        <f>"20200111153840572"</f>
        <v>20200111153840572</v>
      </c>
      <c r="B568" t="str">
        <f>"1578728320560848"</f>
        <v>1578728320560848</v>
      </c>
      <c r="C568" t="s">
        <v>40</v>
      </c>
      <c r="D568">
        <v>4.6867190000000001</v>
      </c>
      <c r="E568">
        <v>0.31082670000000001</v>
      </c>
      <c r="F568" t="s">
        <v>41</v>
      </c>
      <c r="G568">
        <v>-285.74259999999998</v>
      </c>
      <c r="H568">
        <v>0.92153739999999995</v>
      </c>
      <c r="I568">
        <v>367.89940000000001</v>
      </c>
      <c r="J568">
        <v>-286.11180000000002</v>
      </c>
      <c r="K568">
        <v>1.0541130000000001</v>
      </c>
      <c r="L568">
        <v>367.45499999999998</v>
      </c>
      <c r="M568">
        <v>0.9998939</v>
      </c>
      <c r="N568">
        <v>0</v>
      </c>
      <c r="O568">
        <v>-2.969267E-4</v>
      </c>
      <c r="P568">
        <v>0.99903149999999996</v>
      </c>
      <c r="Q568">
        <v>1.457991E-2</v>
      </c>
      <c r="R568">
        <v>4.1520979999999999E-2</v>
      </c>
      <c r="S568">
        <v>2.9422000000000001</v>
      </c>
      <c r="T568">
        <v>-0.48845549999999999</v>
      </c>
      <c r="U568">
        <v>1.6372679999999999</v>
      </c>
      <c r="V568">
        <v>-4.181708E-2</v>
      </c>
      <c r="W568">
        <v>2.9140470000000002E-2</v>
      </c>
      <c r="X568">
        <v>0.99870029999999999</v>
      </c>
      <c r="Y568">
        <v>-0.48147479999999998</v>
      </c>
      <c r="Z568">
        <v>3.7113800000000002E-2</v>
      </c>
      <c r="AA568">
        <v>0.87567379999999995</v>
      </c>
      <c r="AB568">
        <v>45</v>
      </c>
      <c r="AC568">
        <v>0.369200000000034</v>
      </c>
      <c r="AD568">
        <v>-0.13257559999999899</v>
      </c>
      <c r="AE568">
        <v>0.44440000000002999</v>
      </c>
      <c r="AF568">
        <v>-0.42227467994089402</v>
      </c>
      <c r="AG568">
        <v>-0.13257559999999899</v>
      </c>
      <c r="AH568">
        <v>0.35060676311885802</v>
      </c>
      <c r="AI568">
        <v>103.57966073922999</v>
      </c>
      <c r="AJ568">
        <v>140.29778566169301</v>
      </c>
      <c r="AK568">
        <v>0.56463908594714496</v>
      </c>
      <c r="AL568">
        <v>88.330137770978894</v>
      </c>
      <c r="AM568">
        <v>92.397659698328596</v>
      </c>
      <c r="AN568">
        <v>1.0000000621958101</v>
      </c>
    </row>
    <row r="569" spans="1:40" x14ac:dyDescent="0.3">
      <c r="A569" t="str">
        <f>"20200111153840595"</f>
        <v>20200111153840595</v>
      </c>
      <c r="B569" t="str">
        <f>"1578728320591104"</f>
        <v>1578728320591104</v>
      </c>
      <c r="C569" t="s">
        <v>40</v>
      </c>
      <c r="D569">
        <v>4.679125</v>
      </c>
      <c r="E569">
        <v>0.3108764</v>
      </c>
      <c r="F569" t="s">
        <v>41</v>
      </c>
      <c r="G569">
        <v>-285.34089999999998</v>
      </c>
      <c r="H569">
        <v>0.92622819999999995</v>
      </c>
      <c r="I569">
        <v>367.88409999999999</v>
      </c>
      <c r="J569">
        <v>-285.66379999999998</v>
      </c>
      <c r="K569">
        <v>1.054117</v>
      </c>
      <c r="L569">
        <v>367.45479999999998</v>
      </c>
      <c r="M569">
        <v>0.9998937</v>
      </c>
      <c r="N569">
        <v>0</v>
      </c>
      <c r="O569">
        <v>-2.9678350000000002E-4</v>
      </c>
      <c r="P569">
        <v>0.99904669999999896</v>
      </c>
      <c r="Q569">
        <v>1.4575370000000001E-2</v>
      </c>
      <c r="R569">
        <v>4.1149379999999999E-2</v>
      </c>
      <c r="S569">
        <v>2.9419559999999998</v>
      </c>
      <c r="T569">
        <v>-0.4879809</v>
      </c>
      <c r="U569">
        <v>1.6377870000000001</v>
      </c>
      <c r="V569">
        <v>-4.144515E-2</v>
      </c>
      <c r="W569">
        <v>2.913284E-2</v>
      </c>
      <c r="X569">
        <v>0.99871589999999999</v>
      </c>
      <c r="Y569">
        <v>-0.48163119999999998</v>
      </c>
      <c r="Z569">
        <v>3.709134E-2</v>
      </c>
      <c r="AA569">
        <v>0.875588699999999</v>
      </c>
      <c r="AB569">
        <v>45</v>
      </c>
      <c r="AC569">
        <v>0.32290000000000402</v>
      </c>
      <c r="AD569">
        <v>-0.1278888</v>
      </c>
      <c r="AE569">
        <v>0.42930000000001201</v>
      </c>
      <c r="AF569">
        <v>-0.40636342537096698</v>
      </c>
      <c r="AG569">
        <v>-0.1278888</v>
      </c>
      <c r="AH569">
        <v>0.30545933943872999</v>
      </c>
      <c r="AI569">
        <v>104.12076952623001</v>
      </c>
      <c r="AJ569">
        <v>143.06818003193399</v>
      </c>
      <c r="AK569">
        <v>0.52420624442580899</v>
      </c>
      <c r="AL569">
        <v>88.330574912479804</v>
      </c>
      <c r="AM569">
        <v>92.376321883829903</v>
      </c>
      <c r="AN569">
        <v>0.99999993586889702</v>
      </c>
    </row>
    <row r="570" spans="1:40" x14ac:dyDescent="0.3">
      <c r="A570" t="str">
        <f>"20200111153840608"</f>
        <v>20200111153840608</v>
      </c>
      <c r="B570" t="str">
        <f>"1578728320600864"</f>
        <v>1578728320600864</v>
      </c>
      <c r="C570" t="s">
        <v>40</v>
      </c>
      <c r="D570">
        <v>4.6793329999999997</v>
      </c>
      <c r="E570">
        <v>0.31083939999999999</v>
      </c>
      <c r="F570" t="s">
        <v>42</v>
      </c>
      <c r="G570">
        <v>-279.315</v>
      </c>
      <c r="H570" s="1">
        <v>-6.4082299999999997E-7</v>
      </c>
      <c r="I570">
        <v>370.98669999999998</v>
      </c>
      <c r="J570">
        <v>-285.37670000000003</v>
      </c>
      <c r="K570">
        <v>1.0541160000000001</v>
      </c>
      <c r="L570">
        <v>367.4547</v>
      </c>
      <c r="M570">
        <v>0.99989399999999995</v>
      </c>
      <c r="N570">
        <v>0</v>
      </c>
      <c r="O570">
        <v>-2.9676840000000002E-4</v>
      </c>
      <c r="P570">
        <v>0.99906030000000001</v>
      </c>
      <c r="Q570">
        <v>1.4622349999999999E-2</v>
      </c>
      <c r="R570">
        <v>4.0803590000000001E-2</v>
      </c>
      <c r="S570">
        <v>2.9425659999999998</v>
      </c>
      <c r="T570">
        <v>-0.4885582</v>
      </c>
      <c r="U570">
        <v>1.6369629999999999</v>
      </c>
      <c r="V570">
        <v>-4.1099370000000003E-2</v>
      </c>
      <c r="W570">
        <v>2.9177640000000001E-2</v>
      </c>
      <c r="X570">
        <v>0.99872890000000003</v>
      </c>
      <c r="Y570">
        <v>-0.48135879999999998</v>
      </c>
      <c r="Z570">
        <v>3.7109410000000002E-2</v>
      </c>
      <c r="AA570">
        <v>0.87573780000000001</v>
      </c>
      <c r="AB570">
        <v>45</v>
      </c>
      <c r="AC570">
        <v>6.0617000000000196</v>
      </c>
      <c r="AD570">
        <v>-1.0541166408230001</v>
      </c>
      <c r="AE570">
        <v>3.53199999999998</v>
      </c>
      <c r="AF570">
        <v>-3.4557820259699499</v>
      </c>
      <c r="AG570">
        <v>-1.0541166408230001</v>
      </c>
      <c r="AH570">
        <v>5.9268482894451697</v>
      </c>
      <c r="AI570">
        <v>98.734869921549304</v>
      </c>
      <c r="AJ570">
        <v>120.24528387506599</v>
      </c>
      <c r="AK570">
        <v>6.9412622735044502</v>
      </c>
      <c r="AL570">
        <v>88.328007000562295</v>
      </c>
      <c r="AM570">
        <v>92.356487857157305</v>
      </c>
      <c r="AN570">
        <v>0.99999995429278699</v>
      </c>
    </row>
    <row r="571" spans="1:40" x14ac:dyDescent="0.3">
      <c r="A571" t="str">
        <f>"20200111153840630"</f>
        <v>20200111153840630</v>
      </c>
      <c r="B571" t="str">
        <f>"1578728320621373"</f>
        <v>1578728320621373</v>
      </c>
      <c r="C571" t="s">
        <v>40</v>
      </c>
      <c r="D571">
        <v>4.6893200000000004</v>
      </c>
      <c r="E571">
        <v>0.31080140000000001</v>
      </c>
      <c r="F571" t="s">
        <v>41</v>
      </c>
      <c r="G571">
        <v>-284.55149999999998</v>
      </c>
      <c r="H571">
        <v>0.91724490000000003</v>
      </c>
      <c r="I571">
        <v>367.91340000000002</v>
      </c>
      <c r="J571">
        <v>-284.97739999999999</v>
      </c>
      <c r="K571">
        <v>1.0541160000000001</v>
      </c>
      <c r="L571">
        <v>367.45460000000003</v>
      </c>
      <c r="M571">
        <v>0.9998939</v>
      </c>
      <c r="N571">
        <v>0</v>
      </c>
      <c r="O571">
        <v>-2.9662859999999999E-4</v>
      </c>
      <c r="P571">
        <v>0.9990888</v>
      </c>
      <c r="Q571">
        <v>1.427789E-2</v>
      </c>
      <c r="R571">
        <v>4.0222800000000003E-2</v>
      </c>
      <c r="S571">
        <v>2.943146</v>
      </c>
      <c r="T571">
        <v>-0.48816850000000001</v>
      </c>
      <c r="U571">
        <v>1.6361079999999999</v>
      </c>
      <c r="V571">
        <v>-4.0518289999999998E-2</v>
      </c>
      <c r="W571">
        <v>2.883113E-2</v>
      </c>
      <c r="X571">
        <v>0.9987627</v>
      </c>
      <c r="Y571">
        <v>-0.48110269999999999</v>
      </c>
      <c r="Z571">
        <v>3.7056489999999997E-2</v>
      </c>
      <c r="AA571">
        <v>0.87588069999999896</v>
      </c>
      <c r="AB571">
        <v>45</v>
      </c>
      <c r="AC571">
        <v>0.42590000000001199</v>
      </c>
      <c r="AD571">
        <v>-0.1368711</v>
      </c>
      <c r="AE571">
        <v>0.45879999999999599</v>
      </c>
      <c r="AF571">
        <v>-0.43798885122020798</v>
      </c>
      <c r="AG571">
        <v>-0.1368711</v>
      </c>
      <c r="AH571">
        <v>0.40633935948507199</v>
      </c>
      <c r="AI571">
        <v>102.90336206284201</v>
      </c>
      <c r="AJ571">
        <v>137.14671694910899</v>
      </c>
      <c r="AK571">
        <v>0.61292708120554296</v>
      </c>
      <c r="AL571">
        <v>88.347868908605193</v>
      </c>
      <c r="AM571">
        <v>92.323129082601397</v>
      </c>
      <c r="AN571">
        <v>0.99999994839644402</v>
      </c>
    </row>
    <row r="572" spans="1:40" x14ac:dyDescent="0.3">
      <c r="A572" t="str">
        <f>"20200111153840650"</f>
        <v>20200111153840650</v>
      </c>
      <c r="B572" t="str">
        <f>"1578728320640880"</f>
        <v>1578728320640880</v>
      </c>
      <c r="C572" t="s">
        <v>40</v>
      </c>
      <c r="D572">
        <v>4.7331440000000002</v>
      </c>
      <c r="E572">
        <v>0.31071949999999998</v>
      </c>
      <c r="F572" t="s">
        <v>41</v>
      </c>
      <c r="G572">
        <v>-284.15379999999999</v>
      </c>
      <c r="H572">
        <v>0.91734720000000003</v>
      </c>
      <c r="I572">
        <v>367.9119</v>
      </c>
      <c r="J572">
        <v>-284.5591</v>
      </c>
      <c r="K572">
        <v>1.0541149999999999</v>
      </c>
      <c r="L572">
        <v>367.4545</v>
      </c>
      <c r="M572">
        <v>0.9998939</v>
      </c>
      <c r="N572">
        <v>0</v>
      </c>
      <c r="O572">
        <v>-2.9624989999999998E-4</v>
      </c>
      <c r="P572">
        <v>0.99910960000000004</v>
      </c>
      <c r="Q572">
        <v>1.4284369999999999E-2</v>
      </c>
      <c r="R572">
        <v>3.9697959999999997E-2</v>
      </c>
      <c r="S572">
        <v>2.9439090000000001</v>
      </c>
      <c r="T572">
        <v>-0.48887599999999998</v>
      </c>
      <c r="U572">
        <v>1.6347050000000001</v>
      </c>
      <c r="V572">
        <v>-3.99925E-2</v>
      </c>
      <c r="W572">
        <v>2.883494E-2</v>
      </c>
      <c r="X572">
        <v>0.9987838</v>
      </c>
      <c r="Y572">
        <v>-0.48067759999999998</v>
      </c>
      <c r="Z572">
        <v>3.7072439999999998E-2</v>
      </c>
      <c r="AA572">
        <v>0.87611340000000004</v>
      </c>
      <c r="AB572">
        <v>44</v>
      </c>
      <c r="AC572">
        <v>0.40530000000001098</v>
      </c>
      <c r="AD572">
        <v>-0.136767799999999</v>
      </c>
      <c r="AE572">
        <v>0.45740000000000602</v>
      </c>
      <c r="AF572">
        <v>-0.43569863046198798</v>
      </c>
      <c r="AG572">
        <v>-0.136767799999999</v>
      </c>
      <c r="AH572">
        <v>0.38584013265025602</v>
      </c>
      <c r="AI572">
        <v>103.224686783913</v>
      </c>
      <c r="AJ572">
        <v>138.47297308093499</v>
      </c>
      <c r="AK572">
        <v>0.59783888771713301</v>
      </c>
      <c r="AL572">
        <v>88.347650550769004</v>
      </c>
      <c r="AM572">
        <v>92.292966745577004</v>
      </c>
      <c r="AN572">
        <v>0.99999996648174605</v>
      </c>
    </row>
    <row r="573" spans="1:40" x14ac:dyDescent="0.3">
      <c r="A573" t="str">
        <f>"20200111153840673"</f>
        <v>20200111153840673</v>
      </c>
      <c r="B573" t="str">
        <f>"1578728320671137"</f>
        <v>1578728320671137</v>
      </c>
      <c r="C573" t="s">
        <v>40</v>
      </c>
      <c r="D573">
        <v>4.76471</v>
      </c>
      <c r="E573">
        <v>0.29663990000000001</v>
      </c>
      <c r="F573" t="s">
        <v>41</v>
      </c>
      <c r="G573">
        <v>-283.7543</v>
      </c>
      <c r="H573">
        <v>0.9199794</v>
      </c>
      <c r="I573">
        <v>367.90089999999998</v>
      </c>
      <c r="J573">
        <v>-284.11</v>
      </c>
      <c r="K573">
        <v>1.0541100000000001</v>
      </c>
      <c r="L573">
        <v>367.45429999999999</v>
      </c>
      <c r="M573">
        <v>0.99989399999999995</v>
      </c>
      <c r="N573">
        <v>0</v>
      </c>
      <c r="O573">
        <v>-2.9622749999999999E-4</v>
      </c>
      <c r="P573">
        <v>0.99914570000000003</v>
      </c>
      <c r="Q573">
        <v>1.385363E-2</v>
      </c>
      <c r="R573">
        <v>3.8930689999999997E-2</v>
      </c>
      <c r="S573">
        <v>2.9447329999999998</v>
      </c>
      <c r="T573">
        <v>-0.49070540000000001</v>
      </c>
      <c r="U573">
        <v>1.633942</v>
      </c>
      <c r="V573">
        <v>-3.9225250000000003E-2</v>
      </c>
      <c r="W573">
        <v>2.840167E-2</v>
      </c>
      <c r="X573">
        <v>0.99882669999999996</v>
      </c>
      <c r="Y573">
        <v>-0.4803673</v>
      </c>
      <c r="Z573">
        <v>3.717877E-2</v>
      </c>
      <c r="AA573">
        <v>0.87627909999999998</v>
      </c>
      <c r="AB573">
        <v>44</v>
      </c>
      <c r="AC573">
        <v>0.35570000000001201</v>
      </c>
      <c r="AD573">
        <v>-0.13413059999999999</v>
      </c>
      <c r="AE573">
        <v>0.44659999999998901</v>
      </c>
      <c r="AF573">
        <v>-0.42334053327517601</v>
      </c>
      <c r="AG573">
        <v>-0.13413059999999999</v>
      </c>
      <c r="AH573">
        <v>0.33696978546837503</v>
      </c>
      <c r="AI573">
        <v>103.92267113265</v>
      </c>
      <c r="AJ573">
        <v>141.48097923640799</v>
      </c>
      <c r="AK573">
        <v>0.55745570343182704</v>
      </c>
      <c r="AL573">
        <v>88.372485362849503</v>
      </c>
      <c r="AM573">
        <v>92.248925645275193</v>
      </c>
      <c r="AN573">
        <v>1.00000002586462</v>
      </c>
    </row>
    <row r="574" spans="1:40" x14ac:dyDescent="0.3">
      <c r="A574" t="str">
        <f>"20200111153840696"</f>
        <v>20200111153840696</v>
      </c>
      <c r="B574" t="str">
        <f>"1578728320690657"</f>
        <v>1578728320690657</v>
      </c>
      <c r="C574" t="s">
        <v>40</v>
      </c>
      <c r="D574">
        <v>4.6982030000000004</v>
      </c>
      <c r="E574">
        <v>0.29656179999999999</v>
      </c>
      <c r="F574" t="s">
        <v>41</v>
      </c>
      <c r="G574">
        <v>-283.35750000000002</v>
      </c>
      <c r="H574">
        <v>0.91624059999999896</v>
      </c>
      <c r="I574">
        <v>367.90050000000002</v>
      </c>
      <c r="J574">
        <v>-283.66079999999999</v>
      </c>
      <c r="K574">
        <v>1.0541100000000001</v>
      </c>
      <c r="L574">
        <v>367.45420000000001</v>
      </c>
      <c r="M574">
        <v>0.99989410000000001</v>
      </c>
      <c r="N574">
        <v>0</v>
      </c>
      <c r="O574">
        <v>-2.9620550000000002E-4</v>
      </c>
      <c r="P574">
        <v>0.99915569999999998</v>
      </c>
      <c r="Q574">
        <v>1.405519E-2</v>
      </c>
      <c r="R574">
        <v>3.8607700000000002E-2</v>
      </c>
      <c r="S574">
        <v>2.9420470000000001</v>
      </c>
      <c r="T574">
        <v>-0.53896460000000002</v>
      </c>
      <c r="U574">
        <v>1.744354</v>
      </c>
      <c r="V574">
        <v>-3.8902590000000001E-2</v>
      </c>
      <c r="W574">
        <v>2.8599960000000001E-2</v>
      </c>
      <c r="X574">
        <v>0.99883370000000005</v>
      </c>
      <c r="Y574">
        <v>-0.50403279999999995</v>
      </c>
      <c r="Z574">
        <v>4.2465959999999997E-2</v>
      </c>
      <c r="AA574">
        <v>0.86263989999999902</v>
      </c>
      <c r="AB574">
        <v>44</v>
      </c>
      <c r="AC574">
        <v>0.30329999999997798</v>
      </c>
      <c r="AD574">
        <v>-0.1378694</v>
      </c>
      <c r="AE574">
        <v>0.44630000000000702</v>
      </c>
      <c r="AF574">
        <v>-0.41903508234584802</v>
      </c>
      <c r="AG574">
        <v>-0.1378694</v>
      </c>
      <c r="AH574">
        <v>0.28458966980832201</v>
      </c>
      <c r="AI574">
        <v>105.225890725497</v>
      </c>
      <c r="AJ574">
        <v>145.817426870448</v>
      </c>
      <c r="AK574">
        <v>0.52496633402015602</v>
      </c>
      <c r="AL574">
        <v>88.361119629595606</v>
      </c>
      <c r="AM574">
        <v>92.230429524671095</v>
      </c>
      <c r="AN574">
        <v>1.0000000647381899</v>
      </c>
    </row>
    <row r="575" spans="1:40" x14ac:dyDescent="0.3">
      <c r="A575" t="str">
        <f>"20200111153840718"</f>
        <v>20200111153840718</v>
      </c>
      <c r="B575" t="str">
        <f>"1578728320711152"</f>
        <v>1578728320711152</v>
      </c>
      <c r="C575" t="s">
        <v>40</v>
      </c>
      <c r="D575">
        <v>4.7410670000000001</v>
      </c>
      <c r="E575">
        <v>0.29717710000000003</v>
      </c>
      <c r="F575" t="s">
        <v>42</v>
      </c>
      <c r="G575">
        <v>-277.96980000000002</v>
      </c>
      <c r="H575" s="1">
        <v>-1.175399E-6</v>
      </c>
      <c r="I575">
        <v>370.82690000000002</v>
      </c>
      <c r="J575">
        <v>-283.19659999999999</v>
      </c>
      <c r="K575">
        <v>1.054109</v>
      </c>
      <c r="L575">
        <v>367.45409999999998</v>
      </c>
      <c r="M575">
        <v>0.99989410000000001</v>
      </c>
      <c r="N575">
        <v>0</v>
      </c>
      <c r="O575">
        <v>-2.9594449999999998E-4</v>
      </c>
      <c r="P575">
        <v>0.99915960000000004</v>
      </c>
      <c r="Q575">
        <v>1.381927E-2</v>
      </c>
      <c r="R575">
        <v>3.8590010000000001E-2</v>
      </c>
      <c r="S575">
        <v>2.9428709999999998</v>
      </c>
      <c r="T575">
        <v>-0.54508540000000005</v>
      </c>
      <c r="U575">
        <v>1.7440800000000001</v>
      </c>
      <c r="V575">
        <v>-3.8884269999999999E-2</v>
      </c>
      <c r="W575">
        <v>2.8361629999999999E-2</v>
      </c>
      <c r="X575">
        <v>0.99884119999999998</v>
      </c>
      <c r="Y575">
        <v>-0.50373210000000002</v>
      </c>
      <c r="Z575">
        <v>4.2906890000000003E-2</v>
      </c>
      <c r="AA575">
        <v>0.8627937</v>
      </c>
      <c r="AB575">
        <v>44</v>
      </c>
      <c r="AC575">
        <v>5.2267999999999599</v>
      </c>
      <c r="AD575">
        <v>-1.0541101753990001</v>
      </c>
      <c r="AE575">
        <v>3.3728000000000402</v>
      </c>
      <c r="AF575">
        <v>-3.2801559040868402</v>
      </c>
      <c r="AG575">
        <v>-1.0541101753990001</v>
      </c>
      <c r="AH575">
        <v>5.0799293533804999</v>
      </c>
      <c r="AI575">
        <v>99.888557736413006</v>
      </c>
      <c r="AJ575">
        <v>122.85069307638599</v>
      </c>
      <c r="AK575">
        <v>6.1380985046129997</v>
      </c>
      <c r="AL575">
        <v>88.374780458782098</v>
      </c>
      <c r="AM575">
        <v>92.229363508458704</v>
      </c>
      <c r="AN575">
        <v>1.00000005566356</v>
      </c>
    </row>
    <row r="576" spans="1:40" x14ac:dyDescent="0.3">
      <c r="A576" t="str">
        <f>"20200111153840740"</f>
        <v>20200111153840740</v>
      </c>
      <c r="B576" t="str">
        <f>"1578728320730672"</f>
        <v>1578728320730672</v>
      </c>
      <c r="C576" t="s">
        <v>40</v>
      </c>
      <c r="D576">
        <v>4.73325</v>
      </c>
      <c r="E576">
        <v>0.29776550000000002</v>
      </c>
      <c r="F576" t="s">
        <v>42</v>
      </c>
      <c r="G576">
        <v>-277.52999999999997</v>
      </c>
      <c r="H576" s="1">
        <v>-1.3576619999999999E-6</v>
      </c>
      <c r="I576">
        <v>370.80279999999999</v>
      </c>
      <c r="J576">
        <v>-282.7765</v>
      </c>
      <c r="K576">
        <v>1.0541069999999999</v>
      </c>
      <c r="L576">
        <v>367.45389999999998</v>
      </c>
      <c r="M576">
        <v>0.99989410000000001</v>
      </c>
      <c r="N576">
        <v>0</v>
      </c>
      <c r="O576">
        <v>-2.95805E-4</v>
      </c>
      <c r="P576">
        <v>0.99915410000000004</v>
      </c>
      <c r="Q576">
        <v>1.3859069999999999E-2</v>
      </c>
      <c r="R576">
        <v>3.8720959999999999E-2</v>
      </c>
      <c r="S576">
        <v>2.9429319999999999</v>
      </c>
      <c r="T576">
        <v>-0.54744059999999894</v>
      </c>
      <c r="U576">
        <v>1.739166</v>
      </c>
      <c r="V576">
        <v>-3.9015689999999999E-2</v>
      </c>
      <c r="W576">
        <v>2.8398340000000001E-2</v>
      </c>
      <c r="X576">
        <v>0.99883500000000003</v>
      </c>
      <c r="Y576">
        <v>-0.50261069999999997</v>
      </c>
      <c r="Z576">
        <v>4.3009779999999997E-2</v>
      </c>
      <c r="AA576">
        <v>0.86344240000000005</v>
      </c>
      <c r="AB576">
        <v>44</v>
      </c>
      <c r="AC576">
        <v>5.2465000000000197</v>
      </c>
      <c r="AD576">
        <v>-1.0541083576619901</v>
      </c>
      <c r="AE576">
        <v>3.3489000000000102</v>
      </c>
      <c r="AF576">
        <v>-3.2570355055262699</v>
      </c>
      <c r="AG576">
        <v>-1.0541083576619901</v>
      </c>
      <c r="AH576">
        <v>5.0992550891974204</v>
      </c>
      <c r="AI576">
        <v>99.882505260657993</v>
      </c>
      <c r="AJ576">
        <v>122.56749847016999</v>
      </c>
      <c r="AK576">
        <v>6.1418097641214402</v>
      </c>
      <c r="AL576">
        <v>88.372676230936506</v>
      </c>
      <c r="AM576">
        <v>92.236904480368807</v>
      </c>
      <c r="AN576">
        <v>1.00000002350296</v>
      </c>
    </row>
    <row r="577" spans="1:40" x14ac:dyDescent="0.3">
      <c r="A577" t="str">
        <f>"20200111153840761"</f>
        <v>20200111153840761</v>
      </c>
      <c r="B577" t="str">
        <f>"1578728320751168"</f>
        <v>1578728320751168</v>
      </c>
      <c r="C577" t="s">
        <v>40</v>
      </c>
      <c r="D577">
        <v>4.7247019999999997</v>
      </c>
      <c r="E577">
        <v>0.2982204</v>
      </c>
      <c r="F577" t="s">
        <v>42</v>
      </c>
      <c r="G577">
        <v>-277.0942</v>
      </c>
      <c r="H577" s="1">
        <v>-1.545059E-6</v>
      </c>
      <c r="I577">
        <v>370.80450000000002</v>
      </c>
      <c r="J577">
        <v>-282.34559999999999</v>
      </c>
      <c r="K577">
        <v>1.0541100000000001</v>
      </c>
      <c r="L577">
        <v>367.4538</v>
      </c>
      <c r="M577">
        <v>0.99989410000000001</v>
      </c>
      <c r="N577">
        <v>0</v>
      </c>
      <c r="O577">
        <v>-2.9554599999999999E-4</v>
      </c>
      <c r="P577">
        <v>0.99913819999999998</v>
      </c>
      <c r="Q577">
        <v>1.405697E-2</v>
      </c>
      <c r="R577">
        <v>3.905761E-2</v>
      </c>
      <c r="S577">
        <v>2.942841</v>
      </c>
      <c r="T577">
        <v>-0.54591519999999905</v>
      </c>
      <c r="U577">
        <v>1.73525999999999</v>
      </c>
      <c r="V577">
        <v>-3.935172E-2</v>
      </c>
      <c r="W577">
        <v>2.8593279999999999E-2</v>
      </c>
      <c r="X577">
        <v>0.99881629999999999</v>
      </c>
      <c r="Y577">
        <v>-0.50181249999999999</v>
      </c>
      <c r="Z577">
        <v>4.2837720000000003E-2</v>
      </c>
      <c r="AA577">
        <v>0.86391499999999999</v>
      </c>
      <c r="AB577">
        <v>44</v>
      </c>
      <c r="AC577">
        <v>5.2513999999999896</v>
      </c>
      <c r="AD577">
        <v>-1.054111545059</v>
      </c>
      <c r="AE577">
        <v>3.35070000000001</v>
      </c>
      <c r="AF577">
        <v>-3.2589335466735601</v>
      </c>
      <c r="AG577">
        <v>-1.054111545059</v>
      </c>
      <c r="AH577">
        <v>5.1042508186997404</v>
      </c>
      <c r="AI577">
        <v>99.874164678202405</v>
      </c>
      <c r="AJ577">
        <v>122.55718984066699</v>
      </c>
      <c r="AK577">
        <v>6.1469647332043396</v>
      </c>
      <c r="AL577">
        <v>88.361502526227397</v>
      </c>
      <c r="AM577">
        <v>92.256192614895397</v>
      </c>
      <c r="AN577">
        <v>1.0000000673369001</v>
      </c>
    </row>
    <row r="578" spans="1:40" x14ac:dyDescent="0.3">
      <c r="A578" t="str">
        <f>"20200111153840785"</f>
        <v>20200111153840785</v>
      </c>
      <c r="B578" t="str">
        <f>"1578728320781424"</f>
        <v>1578728320781424</v>
      </c>
      <c r="C578" t="s">
        <v>40</v>
      </c>
      <c r="D578">
        <v>4.8154389999999996</v>
      </c>
      <c r="E578">
        <v>0.29875309999999999</v>
      </c>
      <c r="F578" t="s">
        <v>42</v>
      </c>
      <c r="G578">
        <v>-276.65190000000001</v>
      </c>
      <c r="H578" s="1">
        <v>-1.7352389999999999E-6</v>
      </c>
      <c r="I578">
        <v>370.80610000000001</v>
      </c>
      <c r="J578">
        <v>-281.89429999999999</v>
      </c>
      <c r="K578">
        <v>1.054119</v>
      </c>
      <c r="L578">
        <v>367.45370000000003</v>
      </c>
      <c r="M578">
        <v>0.99989430000000001</v>
      </c>
      <c r="N578">
        <v>0</v>
      </c>
      <c r="O578">
        <v>-2.9540540000000002E-4</v>
      </c>
      <c r="P578">
        <v>0.99913019999999997</v>
      </c>
      <c r="Q578">
        <v>1.4187079999999999E-2</v>
      </c>
      <c r="R578">
        <v>3.9214789999999999E-2</v>
      </c>
      <c r="S578">
        <v>2.9425349999999999</v>
      </c>
      <c r="T578">
        <v>-0.5447651</v>
      </c>
      <c r="U578">
        <v>1.732483</v>
      </c>
      <c r="V578">
        <v>-3.9508740000000001E-2</v>
      </c>
      <c r="W578">
        <v>2.8720539999999999E-2</v>
      </c>
      <c r="X578">
        <v>0.99880639999999998</v>
      </c>
      <c r="Y578">
        <v>-0.50127529999999998</v>
      </c>
      <c r="Z578">
        <v>4.2715999999999997E-2</v>
      </c>
      <c r="AA578">
        <v>0.86423280000000002</v>
      </c>
      <c r="AB578">
        <v>44</v>
      </c>
      <c r="AC578">
        <v>5.2423999999999698</v>
      </c>
      <c r="AD578">
        <v>-1.0541207352390001</v>
      </c>
      <c r="AE578">
        <v>3.3523999999999798</v>
      </c>
      <c r="AF578">
        <v>-3.2603866706376401</v>
      </c>
      <c r="AG578">
        <v>-1.0541207352390001</v>
      </c>
      <c r="AH578">
        <v>5.0951946373423302</v>
      </c>
      <c r="AI578">
        <v>99.885207064899504</v>
      </c>
      <c r="AJ578">
        <v>122.614951798511</v>
      </c>
      <c r="AK578">
        <v>6.1402198787123599</v>
      </c>
      <c r="AL578">
        <v>88.354207987682699</v>
      </c>
      <c r="AM578">
        <v>92.265208273480994</v>
      </c>
      <c r="AN578">
        <v>1.00000001731761</v>
      </c>
    </row>
    <row r="579" spans="1:40" x14ac:dyDescent="0.3">
      <c r="A579" t="str">
        <f>"20200111153840807"</f>
        <v>20200111153840807</v>
      </c>
      <c r="B579" t="str">
        <f>"1578728320800947"</f>
        <v>1578728320800947</v>
      </c>
      <c r="C579" t="s">
        <v>40</v>
      </c>
      <c r="D579">
        <v>4.8948809999999998</v>
      </c>
      <c r="E579">
        <v>0.29912090000000002</v>
      </c>
      <c r="F579" t="s">
        <v>42</v>
      </c>
      <c r="G579">
        <v>-276.21449999999999</v>
      </c>
      <c r="H579" s="1">
        <v>-1.91867E-6</v>
      </c>
      <c r="I579">
        <v>370.7903</v>
      </c>
      <c r="J579">
        <v>-281.44560000000001</v>
      </c>
      <c r="K579">
        <v>1.0541240000000001</v>
      </c>
      <c r="L579">
        <v>367.45350000000002</v>
      </c>
      <c r="M579">
        <v>0.99989430000000001</v>
      </c>
      <c r="N579">
        <v>0</v>
      </c>
      <c r="O579">
        <v>-2.9526489999999998E-4</v>
      </c>
      <c r="P579">
        <v>0.99913450000000004</v>
      </c>
      <c r="Q579">
        <v>1.4500020000000001E-2</v>
      </c>
      <c r="R579">
        <v>3.8990789999999997E-2</v>
      </c>
      <c r="S579">
        <v>2.9425349999999999</v>
      </c>
      <c r="T579">
        <v>-0.54610590000000003</v>
      </c>
      <c r="U579">
        <v>1.7286379999999999</v>
      </c>
      <c r="V579">
        <v>-3.9285029999999999E-2</v>
      </c>
      <c r="W579">
        <v>2.9030360000000002E-2</v>
      </c>
      <c r="X579">
        <v>0.99880619999999998</v>
      </c>
      <c r="Y579">
        <v>-0.50041099999999905</v>
      </c>
      <c r="Z579">
        <v>4.2758820000000003E-2</v>
      </c>
      <c r="AA579">
        <v>0.86473140000000004</v>
      </c>
      <c r="AB579">
        <v>44</v>
      </c>
      <c r="AC579">
        <v>5.2311000000000201</v>
      </c>
      <c r="AD579">
        <v>-1.0541259186700001</v>
      </c>
      <c r="AE579">
        <v>3.3367999999999798</v>
      </c>
      <c r="AF579">
        <v>-3.2446933999040501</v>
      </c>
      <c r="AG579">
        <v>-1.0541259186700001</v>
      </c>
      <c r="AH579">
        <v>5.0833930916129297</v>
      </c>
      <c r="AI579">
        <v>99.9148100208118</v>
      </c>
      <c r="AJ579">
        <v>122.54979851965</v>
      </c>
      <c r="AK579">
        <v>6.1220994793984502</v>
      </c>
      <c r="AL579">
        <v>88.336449092837697</v>
      </c>
      <c r="AM579">
        <v>92.252395702672601</v>
      </c>
      <c r="AN579">
        <v>0.99999995027113397</v>
      </c>
    </row>
    <row r="580" spans="1:40" x14ac:dyDescent="0.3">
      <c r="A580" t="str">
        <f>"20200111153840829"</f>
        <v>20200111153840829</v>
      </c>
      <c r="B580" t="str">
        <f>"1578728320821440"</f>
        <v>1578728320821440</v>
      </c>
      <c r="C580" t="s">
        <v>40</v>
      </c>
      <c r="D580">
        <v>4.8490460000000004</v>
      </c>
      <c r="E580">
        <v>0.30280669999999998</v>
      </c>
      <c r="F580" t="s">
        <v>42</v>
      </c>
      <c r="G580">
        <v>-275.75459999999998</v>
      </c>
      <c r="H580" s="1">
        <v>-2.1156320000000002E-6</v>
      </c>
      <c r="I580">
        <v>370.78910000000002</v>
      </c>
      <c r="J580">
        <v>-281.02179999999998</v>
      </c>
      <c r="K580">
        <v>1.0543089999999999</v>
      </c>
      <c r="L580">
        <v>367.45339999999999</v>
      </c>
      <c r="M580">
        <v>0.99988429999999995</v>
      </c>
      <c r="N580">
        <v>0</v>
      </c>
      <c r="O580">
        <v>-2.9536370000000001E-4</v>
      </c>
      <c r="P580">
        <v>0.99915359999999998</v>
      </c>
      <c r="Q580">
        <v>1.398074E-2</v>
      </c>
      <c r="R580">
        <v>3.8686390000000001E-2</v>
      </c>
      <c r="S580">
        <v>2.9432070000000001</v>
      </c>
      <c r="T580">
        <v>-0.54515839999999904</v>
      </c>
      <c r="U580">
        <v>1.7250669999999999</v>
      </c>
      <c r="V580">
        <v>-3.8980519999999998E-2</v>
      </c>
      <c r="W580">
        <v>2.9179549999999999E-2</v>
      </c>
      <c r="X580">
        <v>0.99881379999999997</v>
      </c>
      <c r="Y580">
        <v>-0.49957499999999999</v>
      </c>
      <c r="Z580">
        <v>4.2618009999999998E-2</v>
      </c>
      <c r="AA580">
        <v>0.86522169999999898</v>
      </c>
      <c r="AB580">
        <v>44</v>
      </c>
      <c r="AC580">
        <v>5.2671999999999999</v>
      </c>
      <c r="AD580">
        <v>-1.054311115632</v>
      </c>
      <c r="AE580">
        <v>3.3357000000000299</v>
      </c>
      <c r="AF580">
        <v>-3.2444737067460201</v>
      </c>
      <c r="AG580">
        <v>-1.054311115632</v>
      </c>
      <c r="AH580">
        <v>5.1198036197689802</v>
      </c>
      <c r="AI580">
        <v>99.867432191938093</v>
      </c>
      <c r="AJ580">
        <v>122.362867538519</v>
      </c>
      <c r="AK580">
        <v>6.1522817447928198</v>
      </c>
      <c r="AL580">
        <v>88.327897540380405</v>
      </c>
      <c r="AM580">
        <v>92.234937496032103</v>
      </c>
      <c r="AN580">
        <v>0.99999996707405503</v>
      </c>
    </row>
    <row r="581" spans="1:40" x14ac:dyDescent="0.3">
      <c r="A581" t="str">
        <f>"20200111153840851"</f>
        <v>20200111153840851</v>
      </c>
      <c r="B581" t="str">
        <f>"1578728320840960"</f>
        <v>1578728320840960</v>
      </c>
      <c r="C581" t="s">
        <v>40</v>
      </c>
      <c r="D581">
        <v>4.7353310000000004</v>
      </c>
      <c r="E581">
        <v>0.40311380000000002</v>
      </c>
      <c r="F581" t="s">
        <v>42</v>
      </c>
      <c r="G581">
        <v>-275.25279999999998</v>
      </c>
      <c r="H581" s="1">
        <v>-2.3266899999999998E-6</v>
      </c>
      <c r="I581">
        <v>370.77319999999997</v>
      </c>
      <c r="J581">
        <v>-280.5917</v>
      </c>
      <c r="K581">
        <v>1.0548789999999999</v>
      </c>
      <c r="L581">
        <v>367.45330000000001</v>
      </c>
      <c r="M581">
        <v>0.99986489999999995</v>
      </c>
      <c r="N581">
        <v>0</v>
      </c>
      <c r="O581">
        <v>-2.955206E-4</v>
      </c>
      <c r="P581">
        <v>0.99917789999999995</v>
      </c>
      <c r="Q581">
        <v>1.252985E-2</v>
      </c>
      <c r="R581">
        <v>3.855629E-2</v>
      </c>
      <c r="S581">
        <v>2.944458</v>
      </c>
      <c r="T581">
        <v>-0.53810880000000005</v>
      </c>
      <c r="U581">
        <v>1.6944269999999999</v>
      </c>
      <c r="V581">
        <v>-3.8850750000000003E-2</v>
      </c>
      <c r="W581">
        <v>2.8949809999999999E-2</v>
      </c>
      <c r="X581">
        <v>0.99882559999999998</v>
      </c>
      <c r="Y581">
        <v>-0.49288019999999999</v>
      </c>
      <c r="Z581">
        <v>4.1594779999999998E-2</v>
      </c>
      <c r="AA581">
        <v>0.86910239999999905</v>
      </c>
      <c r="AB581">
        <v>44</v>
      </c>
      <c r="AC581">
        <v>5.3389000000000202</v>
      </c>
      <c r="AD581">
        <v>-1.0548813266899999</v>
      </c>
      <c r="AE581">
        <v>3.3198999999999601</v>
      </c>
      <c r="AF581">
        <v>-3.23052789661998</v>
      </c>
      <c r="AG581">
        <v>-1.0548813266899999</v>
      </c>
      <c r="AH581">
        <v>5.1917536883821001</v>
      </c>
      <c r="AI581">
        <v>99.787937195589095</v>
      </c>
      <c r="AJ581">
        <v>121.891614256547</v>
      </c>
      <c r="AK581">
        <v>6.2051101090204899</v>
      </c>
      <c r="AL581">
        <v>88.341066333927202</v>
      </c>
      <c r="AM581">
        <v>92.227478386800797</v>
      </c>
      <c r="AN581">
        <v>1.0000000257449699</v>
      </c>
    </row>
    <row r="582" spans="1:40" x14ac:dyDescent="0.3">
      <c r="A582" t="str">
        <f>"20200111153840874"</f>
        <v>20200111153840874</v>
      </c>
      <c r="B582" t="str">
        <f>"1578728320871216"</f>
        <v>1578728320871216</v>
      </c>
      <c r="C582" t="s">
        <v>40</v>
      </c>
      <c r="D582">
        <v>4.8546389999999997</v>
      </c>
      <c r="E582">
        <v>0.49074430000000002</v>
      </c>
      <c r="F582" t="s">
        <v>42</v>
      </c>
      <c r="G582">
        <v>-268.03680000000003</v>
      </c>
      <c r="H582" s="1">
        <v>-1.2506139999999999E-6</v>
      </c>
      <c r="I582">
        <v>371.2176</v>
      </c>
      <c r="J582">
        <v>-280.15989999999999</v>
      </c>
      <c r="K582">
        <v>1.0555380000000001</v>
      </c>
      <c r="L582">
        <v>367.45310000000001</v>
      </c>
      <c r="M582">
        <v>0.99986540000000002</v>
      </c>
      <c r="N582">
        <v>0</v>
      </c>
      <c r="O582">
        <v>-2.9592129999999998E-4</v>
      </c>
      <c r="P582">
        <v>0.99918269999999998</v>
      </c>
      <c r="Q582">
        <v>1.229709E-2</v>
      </c>
      <c r="R582">
        <v>3.8505369999999997E-2</v>
      </c>
      <c r="S582">
        <v>2.971222</v>
      </c>
      <c r="T582">
        <v>-0.24964539999999999</v>
      </c>
      <c r="U582">
        <v>0.89086909999999897</v>
      </c>
      <c r="V582">
        <v>-3.8800080000000001E-2</v>
      </c>
      <c r="W582">
        <v>2.86929E-2</v>
      </c>
      <c r="X582">
        <v>0.99883500000000003</v>
      </c>
      <c r="Y582">
        <v>-0.2865567</v>
      </c>
      <c r="Z582">
        <v>1.178424E-2</v>
      </c>
      <c r="AA582">
        <v>0.95799080000000003</v>
      </c>
      <c r="AB582">
        <v>44</v>
      </c>
      <c r="AC582">
        <v>12.1230999999999</v>
      </c>
      <c r="AD582">
        <v>-1.05553925061399</v>
      </c>
      <c r="AE582">
        <v>3.7644999999999902</v>
      </c>
      <c r="AF582">
        <v>-3.7422133455172002</v>
      </c>
      <c r="AG582">
        <v>-1.05553925061399</v>
      </c>
      <c r="AH582">
        <v>12.038746876933899</v>
      </c>
      <c r="AI582">
        <v>94.786021995525999</v>
      </c>
      <c r="AJ582">
        <v>107.26772198136101</v>
      </c>
      <c r="AK582">
        <v>12.651077037147401</v>
      </c>
      <c r="AL582">
        <v>88.355792338122896</v>
      </c>
      <c r="AM582">
        <v>92.224555266896203</v>
      </c>
      <c r="AN582">
        <v>1.0000000429717</v>
      </c>
    </row>
    <row r="583" spans="1:40" x14ac:dyDescent="0.3">
      <c r="A583" t="str">
        <f>"20200111153840908"</f>
        <v>20200111153840908</v>
      </c>
      <c r="B583" t="str">
        <f>"1578728320901472"</f>
        <v>1578728320901472</v>
      </c>
      <c r="C583" t="s">
        <v>40</v>
      </c>
      <c r="D583">
        <v>4.982469</v>
      </c>
      <c r="E583">
        <v>0.50824579999999997</v>
      </c>
      <c r="F583" t="s">
        <v>42</v>
      </c>
      <c r="G583">
        <v>-265.16879999999998</v>
      </c>
      <c r="H583" s="1">
        <v>-2.2683270000000001E-6</v>
      </c>
      <c r="I583">
        <v>368.41300000000001</v>
      </c>
      <c r="J583">
        <v>-279.48050000000001</v>
      </c>
      <c r="K583">
        <v>1.0567580000000001</v>
      </c>
      <c r="L583">
        <v>367.4529</v>
      </c>
      <c r="M583">
        <v>0.99991059999999998</v>
      </c>
      <c r="N583">
        <v>0</v>
      </c>
      <c r="O583">
        <v>-2.9518559999999999E-4</v>
      </c>
      <c r="P583">
        <v>0.99915140000000002</v>
      </c>
      <c r="Q583">
        <v>1.482289E-2</v>
      </c>
      <c r="R583">
        <v>3.8431630000000001E-2</v>
      </c>
      <c r="S583">
        <v>2.9976500000000001</v>
      </c>
      <c r="T583">
        <v>-0.21106749999999999</v>
      </c>
      <c r="U583">
        <v>0.1919556</v>
      </c>
      <c r="V583">
        <v>-3.8725389999999998E-2</v>
      </c>
      <c r="W583">
        <v>2.8181459999999998E-2</v>
      </c>
      <c r="X583">
        <v>0.99885239999999997</v>
      </c>
      <c r="Y583">
        <v>-6.4040429999999995E-2</v>
      </c>
      <c r="Z583">
        <v>2.2702320000000001E-3</v>
      </c>
      <c r="AA583">
        <v>0.99794470000000002</v>
      </c>
      <c r="AB583">
        <v>43</v>
      </c>
      <c r="AC583">
        <v>14.3117</v>
      </c>
      <c r="AD583">
        <v>-1.0567602683270001</v>
      </c>
      <c r="AE583">
        <v>0.96010000000001094</v>
      </c>
      <c r="AF583">
        <v>-0.95911907818365405</v>
      </c>
      <c r="AG583">
        <v>-1.0567602683270001</v>
      </c>
      <c r="AH583">
        <v>14.2341564017332</v>
      </c>
      <c r="AI583">
        <v>94.2363446097375</v>
      </c>
      <c r="AJ583">
        <v>93.854849676887795</v>
      </c>
      <c r="AK583">
        <v>14.305518520482</v>
      </c>
      <c r="AL583">
        <v>88.385107450607606</v>
      </c>
      <c r="AM583">
        <v>92.220238658147096</v>
      </c>
      <c r="AN583">
        <v>0.999999983752071</v>
      </c>
    </row>
    <row r="584" spans="1:40" x14ac:dyDescent="0.3">
      <c r="A584" t="str">
        <f>"20200111153840929"</f>
        <v>20200111153840929</v>
      </c>
      <c r="B584" t="str">
        <f>"1578728320920995"</f>
        <v>1578728320920995</v>
      </c>
      <c r="C584" t="s">
        <v>40</v>
      </c>
      <c r="D584">
        <v>4.9740909999999996</v>
      </c>
      <c r="E584">
        <v>0.511378</v>
      </c>
      <c r="F584" t="s">
        <v>42</v>
      </c>
      <c r="G584">
        <v>-261.94209999999998</v>
      </c>
      <c r="H584" s="1">
        <v>-3.7690560000000001E-6</v>
      </c>
      <c r="I584">
        <v>367.75639999999999</v>
      </c>
      <c r="J584">
        <v>-279.06569999999999</v>
      </c>
      <c r="K584">
        <v>1.0579209999999999</v>
      </c>
      <c r="L584">
        <v>367.45280000000002</v>
      </c>
      <c r="M584">
        <v>0.99993460000000001</v>
      </c>
      <c r="N584">
        <v>0</v>
      </c>
      <c r="O584">
        <v>-2.9410809999999999E-4</v>
      </c>
      <c r="P584">
        <v>0.99911839999999996</v>
      </c>
      <c r="Q584">
        <v>1.6012499999999999E-2</v>
      </c>
      <c r="R584">
        <v>3.8809929999999999E-2</v>
      </c>
      <c r="S584">
        <v>3.0032040000000002</v>
      </c>
      <c r="T584">
        <v>-0.18095530000000001</v>
      </c>
      <c r="U584">
        <v>5.1971440000000001E-2</v>
      </c>
      <c r="V584">
        <v>-3.9102449999999997E-2</v>
      </c>
      <c r="W584">
        <v>2.7457430000000001E-2</v>
      </c>
      <c r="X584">
        <v>0.99885789999999997</v>
      </c>
      <c r="Y584">
        <v>-1.7564440000000001E-2</v>
      </c>
      <c r="Z584">
        <v>5.4635079999999997E-4</v>
      </c>
      <c r="AA584">
        <v>0.9998456</v>
      </c>
      <c r="AB584">
        <v>44</v>
      </c>
      <c r="AC584">
        <v>17.1236</v>
      </c>
      <c r="AD584">
        <v>-1.0579247690560001</v>
      </c>
      <c r="AE584">
        <v>0.30359999999996001</v>
      </c>
      <c r="AF584">
        <v>-0.30746329430254299</v>
      </c>
      <c r="AG584">
        <v>-1.0579247690560001</v>
      </c>
      <c r="AH584">
        <v>17.058418849388101</v>
      </c>
      <c r="AI584">
        <v>93.5482353819975</v>
      </c>
      <c r="AJ584">
        <v>91.032595223168798</v>
      </c>
      <c r="AK584">
        <v>17.093957766868499</v>
      </c>
      <c r="AL584">
        <v>88.426607415899099</v>
      </c>
      <c r="AM584">
        <v>92.241822316247095</v>
      </c>
      <c r="AN584">
        <v>1.0000000082253</v>
      </c>
    </row>
    <row r="585" spans="1:40" x14ac:dyDescent="0.3">
      <c r="A585" t="str">
        <f>"20200111153840952"</f>
        <v>20200111153840952</v>
      </c>
      <c r="B585" t="str">
        <f>"1578728320941488"</f>
        <v>1578728320941488</v>
      </c>
      <c r="C585" t="s">
        <v>40</v>
      </c>
      <c r="D585">
        <v>4.9952050000000003</v>
      </c>
      <c r="E585">
        <v>0.51148689999999997</v>
      </c>
      <c r="F585" t="s">
        <v>42</v>
      </c>
      <c r="G585">
        <v>-261.05810000000002</v>
      </c>
      <c r="H585" s="1">
        <v>-4.1721859999999997E-6</v>
      </c>
      <c r="I585">
        <v>367.6216</v>
      </c>
      <c r="J585">
        <v>-278.62939999999998</v>
      </c>
      <c r="K585">
        <v>1.0594170000000001</v>
      </c>
      <c r="L585">
        <v>367.45269999999999</v>
      </c>
      <c r="M585">
        <v>0.99995339999999999</v>
      </c>
      <c r="N585">
        <v>0</v>
      </c>
      <c r="O585">
        <v>-2.9288049999999998E-4</v>
      </c>
      <c r="P585">
        <v>0.99909570000000003</v>
      </c>
      <c r="Q585">
        <v>1.6714690000000001E-2</v>
      </c>
      <c r="R585">
        <v>3.9096730000000003E-2</v>
      </c>
      <c r="S585">
        <v>3.0043950000000001</v>
      </c>
      <c r="T585">
        <v>-0.1765043</v>
      </c>
      <c r="U585">
        <v>2.816772E-2</v>
      </c>
      <c r="V585">
        <v>-3.9388439999999997E-2</v>
      </c>
      <c r="W585">
        <v>2.6354430000000002E-2</v>
      </c>
      <c r="X585">
        <v>0.9988764</v>
      </c>
      <c r="Y585">
        <v>-9.6508340000000005E-3</v>
      </c>
      <c r="Z585">
        <v>3.004285E-4</v>
      </c>
      <c r="AA585">
        <v>0.99995339999999999</v>
      </c>
      <c r="AB585">
        <v>44</v>
      </c>
      <c r="AC585">
        <v>17.571299999999901</v>
      </c>
      <c r="AD585">
        <v>-1.0594211721860001</v>
      </c>
      <c r="AE585">
        <v>0.16890000000000699</v>
      </c>
      <c r="AF585">
        <v>-0.17341617750510199</v>
      </c>
      <c r="AG585">
        <v>-1.0594211721860001</v>
      </c>
      <c r="AH585">
        <v>17.507611810219299</v>
      </c>
      <c r="AI585">
        <v>93.462692072574598</v>
      </c>
      <c r="AJ585">
        <v>90.567506879137895</v>
      </c>
      <c r="AK585">
        <v>17.540493655767701</v>
      </c>
      <c r="AL585">
        <v>88.489827589663307</v>
      </c>
      <c r="AM585">
        <v>92.258160006096702</v>
      </c>
      <c r="AN585">
        <v>1.0000000338316</v>
      </c>
    </row>
    <row r="586" spans="1:40" x14ac:dyDescent="0.3">
      <c r="A586" t="str">
        <f>"20200111153840974"</f>
        <v>20200111153840974</v>
      </c>
      <c r="B586" t="str">
        <f>"1578728320970769"</f>
        <v>1578728320970769</v>
      </c>
      <c r="C586" t="s">
        <v>40</v>
      </c>
      <c r="D586">
        <v>4.9771850000000004</v>
      </c>
      <c r="E586">
        <v>0.51082799999999995</v>
      </c>
      <c r="F586" t="s">
        <v>42</v>
      </c>
      <c r="G586">
        <v>-259.71449999999999</v>
      </c>
      <c r="H586" s="1">
        <v>-6.1165519999999896E-7</v>
      </c>
      <c r="I586">
        <v>367.63040000000001</v>
      </c>
      <c r="J586">
        <v>-278.19319999999999</v>
      </c>
      <c r="K586">
        <v>1.061231</v>
      </c>
      <c r="L586">
        <v>367.45249999999999</v>
      </c>
      <c r="M586">
        <v>0.99996320000000005</v>
      </c>
      <c r="N586">
        <v>0</v>
      </c>
      <c r="O586">
        <v>-2.9184829999999998E-4</v>
      </c>
      <c r="P586">
        <v>0.99908280000000005</v>
      </c>
      <c r="Q586">
        <v>1.7115390000000001E-2</v>
      </c>
      <c r="R586">
        <v>3.9253839999999998E-2</v>
      </c>
      <c r="S586">
        <v>3.0044559999999998</v>
      </c>
      <c r="T586">
        <v>-0.1682776</v>
      </c>
      <c r="U586">
        <v>2.8228759999999999E-2</v>
      </c>
      <c r="V586">
        <v>-3.9544379999999997E-2</v>
      </c>
      <c r="W586">
        <v>2.5698519999999999E-2</v>
      </c>
      <c r="X586">
        <v>0.99888730000000003</v>
      </c>
      <c r="Y586">
        <v>-9.6714499999999998E-3</v>
      </c>
      <c r="Z586">
        <v>2.8696139999999999E-4</v>
      </c>
      <c r="AA586">
        <v>0.99995319999999999</v>
      </c>
      <c r="AB586">
        <v>44</v>
      </c>
      <c r="AC586">
        <v>18.4787</v>
      </c>
      <c r="AD586">
        <v>-1.0612316116552001</v>
      </c>
      <c r="AE586">
        <v>0.17790000000002201</v>
      </c>
      <c r="AF586">
        <v>-0.182690672561164</v>
      </c>
      <c r="AG586">
        <v>-1.0612316116552001</v>
      </c>
      <c r="AH586">
        <v>18.417906904978999</v>
      </c>
      <c r="AI586">
        <v>93.297549238064505</v>
      </c>
      <c r="AJ586">
        <v>90.568308943652994</v>
      </c>
      <c r="AK586">
        <v>18.449359966565002</v>
      </c>
      <c r="AL586">
        <v>88.527421156043701</v>
      </c>
      <c r="AM586">
        <v>92.267066105334195</v>
      </c>
      <c r="AN586">
        <v>1.00000000501053</v>
      </c>
    </row>
    <row r="587" spans="1:40" x14ac:dyDescent="0.3">
      <c r="A587" t="str">
        <f>"20200111153840998"</f>
        <v>20200111153840998</v>
      </c>
      <c r="B587" t="str">
        <f>"1578728320991267"</f>
        <v>1578728320991267</v>
      </c>
      <c r="C587" t="s">
        <v>40</v>
      </c>
      <c r="D587">
        <v>4.9899100000000001</v>
      </c>
      <c r="E587">
        <v>0.51007630000000004</v>
      </c>
      <c r="F587" t="s">
        <v>42</v>
      </c>
      <c r="G587">
        <v>-259.33789999999999</v>
      </c>
      <c r="H587" s="1">
        <v>-7.3087509999999995E-7</v>
      </c>
      <c r="I587">
        <v>367.66399999999999</v>
      </c>
      <c r="J587">
        <v>-277.75130000000001</v>
      </c>
      <c r="K587">
        <v>1.0637490000000001</v>
      </c>
      <c r="L587">
        <v>367.45240000000001</v>
      </c>
      <c r="M587">
        <v>0.9999633</v>
      </c>
      <c r="N587">
        <v>0</v>
      </c>
      <c r="O587">
        <v>-2.912425E-4</v>
      </c>
      <c r="P587">
        <v>0.99908940000000002</v>
      </c>
      <c r="Q587">
        <v>1.6960220000000002E-2</v>
      </c>
      <c r="R587">
        <v>3.9151360000000003E-2</v>
      </c>
      <c r="S587">
        <v>3.0043329999999999</v>
      </c>
      <c r="T587">
        <v>-0.1690912</v>
      </c>
      <c r="U587">
        <v>3.3691409999999998E-2</v>
      </c>
      <c r="V587">
        <v>-3.9441219999999999E-2</v>
      </c>
      <c r="W587">
        <v>2.5513569999999999E-2</v>
      </c>
      <c r="X587">
        <v>0.99889609999999995</v>
      </c>
      <c r="Y587">
        <v>-1.148616E-2</v>
      </c>
      <c r="Z587">
        <v>3.3934779999999999E-4</v>
      </c>
      <c r="AA587">
        <v>0.99993399999999999</v>
      </c>
      <c r="AB587">
        <v>44</v>
      </c>
      <c r="AC587">
        <v>18.413399999999999</v>
      </c>
      <c r="AD587">
        <v>-1.0637497308751001</v>
      </c>
      <c r="AE587">
        <v>0.211599999999975</v>
      </c>
      <c r="AF587">
        <v>-0.21624135917801801</v>
      </c>
      <c r="AG587">
        <v>-1.0637497308751001</v>
      </c>
      <c r="AH587">
        <v>18.352097009238101</v>
      </c>
      <c r="AI587">
        <v>93.317115953597195</v>
      </c>
      <c r="AJ587">
        <v>90.675080558568695</v>
      </c>
      <c r="AK587">
        <v>18.384172226451799</v>
      </c>
      <c r="AL587">
        <v>88.538021457392404</v>
      </c>
      <c r="AM587">
        <v>92.261138224241506</v>
      </c>
      <c r="AN587">
        <v>0.99999998534222101</v>
      </c>
    </row>
    <row r="588" spans="1:40" x14ac:dyDescent="0.3">
      <c r="A588" t="str">
        <f>"20200111153841020"</f>
        <v>20200111153841020</v>
      </c>
      <c r="B588" t="str">
        <f>"1578728321010784"</f>
        <v>1578728321010784</v>
      </c>
      <c r="C588" t="s">
        <v>40</v>
      </c>
      <c r="D588">
        <v>5.0398569999999996</v>
      </c>
      <c r="E588">
        <v>0.50956000000000001</v>
      </c>
      <c r="F588" t="s">
        <v>42</v>
      </c>
      <c r="G588">
        <v>-258.89580000000001</v>
      </c>
      <c r="H588" s="1">
        <v>-8.7146730000000001E-7</v>
      </c>
      <c r="I588">
        <v>367.70100000000002</v>
      </c>
      <c r="J588">
        <v>-277.31549999999999</v>
      </c>
      <c r="K588">
        <v>1.0666530000000001</v>
      </c>
      <c r="L588">
        <v>367.45229999999998</v>
      </c>
      <c r="M588">
        <v>0.99996200000000002</v>
      </c>
      <c r="N588">
        <v>0</v>
      </c>
      <c r="O588">
        <v>-2.9160340000000001E-4</v>
      </c>
      <c r="P588">
        <v>0.99910719999999997</v>
      </c>
      <c r="Q588">
        <v>1.649378E-2</v>
      </c>
      <c r="R588">
        <v>3.8894369999999998E-2</v>
      </c>
      <c r="S588">
        <v>3.0040589999999998</v>
      </c>
      <c r="T588">
        <v>-0.16947509999999999</v>
      </c>
      <c r="U588">
        <v>3.9611819999999999E-2</v>
      </c>
      <c r="V588">
        <v>-3.918526E-2</v>
      </c>
      <c r="W588">
        <v>2.5213739999999998E-2</v>
      </c>
      <c r="X588">
        <v>0.99891379999999996</v>
      </c>
      <c r="Y588">
        <v>-1.345469E-2</v>
      </c>
      <c r="Z588">
        <v>3.9564560000000001E-4</v>
      </c>
      <c r="AA588">
        <v>0.99990939999999995</v>
      </c>
      <c r="AB588">
        <v>43</v>
      </c>
      <c r="AC588">
        <v>18.419699999999899</v>
      </c>
      <c r="AD588">
        <v>-1.0666538714673</v>
      </c>
      <c r="AE588">
        <v>0.24869999999998499</v>
      </c>
      <c r="AF588">
        <v>-0.25322244580164899</v>
      </c>
      <c r="AG588">
        <v>-1.0666538714673</v>
      </c>
      <c r="AH588">
        <v>18.358076426634899</v>
      </c>
      <c r="AI588">
        <v>93.324985480675096</v>
      </c>
      <c r="AJ588">
        <v>90.790260213046594</v>
      </c>
      <c r="AK588">
        <v>18.390781445461801</v>
      </c>
      <c r="AL588">
        <v>88.555205998798499</v>
      </c>
      <c r="AM588">
        <v>92.246439530330804</v>
      </c>
      <c r="AN588">
        <v>0.99999999855824695</v>
      </c>
    </row>
    <row r="589" spans="1:40" x14ac:dyDescent="0.3">
      <c r="A589" t="str">
        <f>"20200111153841042"</f>
        <v>20200111153841042</v>
      </c>
      <c r="B589" t="str">
        <f>"1578728321031328"</f>
        <v>1578728321031328</v>
      </c>
      <c r="C589" t="s">
        <v>40</v>
      </c>
      <c r="D589">
        <v>5.0070079999999999</v>
      </c>
      <c r="E589">
        <v>0.50896490000000005</v>
      </c>
      <c r="F589" t="s">
        <v>42</v>
      </c>
      <c r="G589">
        <v>-258.62329999999997</v>
      </c>
      <c r="H589" s="1">
        <v>-9.595904E-7</v>
      </c>
      <c r="I589">
        <v>367.71839999999997</v>
      </c>
      <c r="J589">
        <v>-276.89299999999997</v>
      </c>
      <c r="K589">
        <v>1.0696289999999999</v>
      </c>
      <c r="L589">
        <v>367.45209999999997</v>
      </c>
      <c r="M589">
        <v>0.99996289999999999</v>
      </c>
      <c r="N589">
        <v>0</v>
      </c>
      <c r="O589">
        <v>-2.9194710000000001E-4</v>
      </c>
      <c r="P589">
        <v>0.99911989999999995</v>
      </c>
      <c r="Q589">
        <v>1.6195709999999999E-2</v>
      </c>
      <c r="R589">
        <v>3.869852E-2</v>
      </c>
      <c r="S589">
        <v>3.003876</v>
      </c>
      <c r="T589">
        <v>-0.17141229999999999</v>
      </c>
      <c r="U589">
        <v>4.2755130000000002E-2</v>
      </c>
      <c r="V589">
        <v>-3.8989410000000002E-2</v>
      </c>
      <c r="W589">
        <v>2.4803780000000001E-2</v>
      </c>
      <c r="X589">
        <v>0.99893169999999998</v>
      </c>
      <c r="Y589">
        <v>-1.449975E-2</v>
      </c>
      <c r="Z589">
        <v>4.2999359999999998E-4</v>
      </c>
      <c r="AA589">
        <v>0.99989479999999997</v>
      </c>
      <c r="AB589">
        <v>43</v>
      </c>
      <c r="AC589">
        <v>18.2697</v>
      </c>
      <c r="AD589">
        <v>-1.0696299595904</v>
      </c>
      <c r="AE589">
        <v>0.26630000000000098</v>
      </c>
      <c r="AF589">
        <v>-0.27070626631508599</v>
      </c>
      <c r="AG589">
        <v>-1.0696299595904</v>
      </c>
      <c r="AH589">
        <v>18.207225609623499</v>
      </c>
      <c r="AI589">
        <v>93.361751851915798</v>
      </c>
      <c r="AJ589">
        <v>90.851814775645195</v>
      </c>
      <c r="AK589">
        <v>18.2406264841098</v>
      </c>
      <c r="AL589">
        <v>88.578702287098693</v>
      </c>
      <c r="AM589">
        <v>92.235183111312395</v>
      </c>
      <c r="AN589">
        <v>0.99999997142966202</v>
      </c>
    </row>
    <row r="590" spans="1:40" x14ac:dyDescent="0.3">
      <c r="A590" t="str">
        <f>"20200111153841064"</f>
        <v>20200111153841064</v>
      </c>
      <c r="B590" t="str">
        <f>"1578728321060607"</f>
        <v>1578728321060607</v>
      </c>
      <c r="C590" t="s">
        <v>40</v>
      </c>
      <c r="D590">
        <v>5.0482589999999998</v>
      </c>
      <c r="E590">
        <v>0.50847829999999905</v>
      </c>
      <c r="F590" t="s">
        <v>42</v>
      </c>
      <c r="G590">
        <v>-258.25259999999997</v>
      </c>
      <c r="H590" s="1">
        <v>-1.0791529999999999E-6</v>
      </c>
      <c r="I590">
        <v>367.74299999999999</v>
      </c>
      <c r="J590">
        <v>-276.46589999999998</v>
      </c>
      <c r="K590">
        <v>1.07273</v>
      </c>
      <c r="L590">
        <v>367.452</v>
      </c>
      <c r="M590">
        <v>0.99996470000000004</v>
      </c>
      <c r="N590">
        <v>0</v>
      </c>
      <c r="O590">
        <v>-2.9221919999999999E-4</v>
      </c>
      <c r="P590">
        <v>0.99914530000000001</v>
      </c>
      <c r="Q590">
        <v>1.6180679999999999E-2</v>
      </c>
      <c r="R590">
        <v>3.8039099999999999E-2</v>
      </c>
      <c r="S590">
        <v>3.0036320000000001</v>
      </c>
      <c r="T590">
        <v>-0.17235429999999999</v>
      </c>
      <c r="U590">
        <v>4.6875E-2</v>
      </c>
      <c r="V590">
        <v>-3.8330379999999997E-2</v>
      </c>
      <c r="W590">
        <v>2.4573540000000001E-2</v>
      </c>
      <c r="X590">
        <v>0.99896289999999999</v>
      </c>
      <c r="Y590">
        <v>-1.586982E-2</v>
      </c>
      <c r="Z590">
        <v>4.7167310000000002E-4</v>
      </c>
      <c r="AA590">
        <v>0.99987389999999998</v>
      </c>
      <c r="AB590">
        <v>43</v>
      </c>
      <c r="AC590">
        <v>18.2133</v>
      </c>
      <c r="AD590">
        <v>-1.072731079153</v>
      </c>
      <c r="AE590">
        <v>0.29100000000005299</v>
      </c>
      <c r="AF590">
        <v>-0.29529832239972698</v>
      </c>
      <c r="AG590">
        <v>-1.072731079153</v>
      </c>
      <c r="AH590">
        <v>18.150266955408799</v>
      </c>
      <c r="AI590">
        <v>93.381958084990899</v>
      </c>
      <c r="AJ590">
        <v>90.932099510831407</v>
      </c>
      <c r="AK590">
        <v>18.184337865866802</v>
      </c>
      <c r="AL590">
        <v>88.591898096783297</v>
      </c>
      <c r="AM590">
        <v>92.197371060987095</v>
      </c>
      <c r="AN590">
        <v>0.99999997623774195</v>
      </c>
    </row>
    <row r="591" spans="1:40" x14ac:dyDescent="0.3">
      <c r="A591" t="str">
        <f>"20200111153841086"</f>
        <v>20200111153841086</v>
      </c>
      <c r="B591" t="str">
        <f>"1578728321081103"</f>
        <v>1578728321081103</v>
      </c>
      <c r="C591" t="s">
        <v>40</v>
      </c>
      <c r="D591">
        <v>5.011641</v>
      </c>
      <c r="E591">
        <v>0.50822409999999996</v>
      </c>
      <c r="F591" t="s">
        <v>42</v>
      </c>
      <c r="G591">
        <v>-257.79020000000003</v>
      </c>
      <c r="H591" s="1">
        <v>-1.260475E-6</v>
      </c>
      <c r="I591">
        <v>367.755</v>
      </c>
      <c r="J591">
        <v>-276.0215</v>
      </c>
      <c r="K591">
        <v>1.0759890000000001</v>
      </c>
      <c r="L591">
        <v>367.45179999999999</v>
      </c>
      <c r="M591">
        <v>0.99996600000000002</v>
      </c>
      <c r="N591">
        <v>0</v>
      </c>
      <c r="O591">
        <v>-2.9226399999999998E-4</v>
      </c>
      <c r="P591">
        <v>0.9991698</v>
      </c>
      <c r="Q591">
        <v>1.622964E-2</v>
      </c>
      <c r="R591">
        <v>3.7367169999999998E-2</v>
      </c>
      <c r="S591">
        <v>3.0035099999999999</v>
      </c>
      <c r="T591">
        <v>-0.17252049999999999</v>
      </c>
      <c r="U591">
        <v>4.873657E-2</v>
      </c>
      <c r="V591">
        <v>-3.7658360000000002E-2</v>
      </c>
      <c r="W591">
        <v>2.4462950000000001E-2</v>
      </c>
      <c r="X591">
        <v>0.99899119999999997</v>
      </c>
      <c r="Y591">
        <v>-1.6488989999999999E-2</v>
      </c>
      <c r="Z591">
        <v>4.8991300000000002E-4</v>
      </c>
      <c r="AA591">
        <v>0.99986390000000003</v>
      </c>
      <c r="AB591">
        <v>43</v>
      </c>
      <c r="AC591">
        <v>18.231299999999901</v>
      </c>
      <c r="AD591">
        <v>-1.07599026047499</v>
      </c>
      <c r="AE591">
        <v>0.30320000000000302</v>
      </c>
      <c r="AF591">
        <v>-0.30745787213447801</v>
      </c>
      <c r="AG591">
        <v>-1.07599026047499</v>
      </c>
      <c r="AH591">
        <v>18.167945079393899</v>
      </c>
      <c r="AI591">
        <v>93.388879509757103</v>
      </c>
      <c r="AJ591">
        <v>90.969529408566501</v>
      </c>
      <c r="AK591">
        <v>18.202376597347001</v>
      </c>
      <c r="AL591">
        <v>88.598236379876298</v>
      </c>
      <c r="AM591">
        <v>92.158821754532298</v>
      </c>
      <c r="AN591">
        <v>1.0000000028390099</v>
      </c>
    </row>
    <row r="592" spans="1:40" x14ac:dyDescent="0.3">
      <c r="A592" t="str">
        <f>"20200111153841109"</f>
        <v>20200111153841109</v>
      </c>
      <c r="B592" t="str">
        <f>"1578728321100623"</f>
        <v>1578728321100623</v>
      </c>
      <c r="C592" t="s">
        <v>40</v>
      </c>
      <c r="D592">
        <v>4.9675580000000004</v>
      </c>
      <c r="E592">
        <v>0.50801039999999997</v>
      </c>
      <c r="F592" t="s">
        <v>42</v>
      </c>
      <c r="G592">
        <v>-257.21390000000002</v>
      </c>
      <c r="H592" s="1">
        <v>-1.5075589999999999E-6</v>
      </c>
      <c r="I592">
        <v>367.7559</v>
      </c>
      <c r="J592">
        <v>-275.59059999999999</v>
      </c>
      <c r="K592">
        <v>1.0790959999999901</v>
      </c>
      <c r="L592">
        <v>367.45170000000002</v>
      </c>
      <c r="M592">
        <v>0.99996609999999997</v>
      </c>
      <c r="N592">
        <v>0</v>
      </c>
      <c r="O592">
        <v>-2.9197549999999999E-4</v>
      </c>
      <c r="P592">
        <v>0.99920030000000004</v>
      </c>
      <c r="Q592">
        <v>1.5984390000000001E-2</v>
      </c>
      <c r="R592">
        <v>3.6648310000000003E-2</v>
      </c>
      <c r="S592">
        <v>3.0035099999999999</v>
      </c>
      <c r="T592">
        <v>-0.1718317</v>
      </c>
      <c r="U592">
        <v>4.8553470000000001E-2</v>
      </c>
      <c r="V592">
        <v>-3.6939270000000003E-2</v>
      </c>
      <c r="W592">
        <v>2.4206479999999999E-2</v>
      </c>
      <c r="X592">
        <v>0.99902429999999998</v>
      </c>
      <c r="Y592">
        <v>-1.6428080000000001E-2</v>
      </c>
      <c r="Z592">
        <v>4.8620309999999997E-4</v>
      </c>
      <c r="AA592">
        <v>0.99986489999999995</v>
      </c>
      <c r="AB592">
        <v>43</v>
      </c>
      <c r="AC592">
        <v>18.3766999999999</v>
      </c>
      <c r="AD592">
        <v>-1.0790975075589999</v>
      </c>
      <c r="AE592">
        <v>0.30419999999997999</v>
      </c>
      <c r="AF592">
        <v>-0.30850224383852998</v>
      </c>
      <c r="AG592">
        <v>-1.0790975075589999</v>
      </c>
      <c r="AH592">
        <v>18.313480041660998</v>
      </c>
      <c r="AI592">
        <v>93.371701377992906</v>
      </c>
      <c r="AJ592">
        <v>90.965092641765594</v>
      </c>
      <c r="AK592">
        <v>18.347838464014998</v>
      </c>
      <c r="AL592">
        <v>88.612935388003507</v>
      </c>
      <c r="AM592">
        <v>92.117566642924402</v>
      </c>
      <c r="AN592">
        <v>1.0000000076663</v>
      </c>
    </row>
    <row r="593" spans="1:40" x14ac:dyDescent="0.3">
      <c r="A593" t="str">
        <f>"20200111153841130"</f>
        <v>20200111153841130</v>
      </c>
      <c r="B593" t="str">
        <f>"1578728321121119"</f>
        <v>1578728321121119</v>
      </c>
      <c r="C593" t="s">
        <v>40</v>
      </c>
      <c r="D593">
        <v>4.9901660000000003</v>
      </c>
      <c r="E593">
        <v>0.50786299999999995</v>
      </c>
      <c r="F593" t="s">
        <v>42</v>
      </c>
      <c r="G593">
        <v>-256.77589999999998</v>
      </c>
      <c r="H593" s="1">
        <v>-1.6958219999999999E-6</v>
      </c>
      <c r="I593">
        <v>367.75380000000001</v>
      </c>
      <c r="J593">
        <v>-275.15870000000001</v>
      </c>
      <c r="K593">
        <v>1.0820959999999999</v>
      </c>
      <c r="L593">
        <v>367.45159999999998</v>
      </c>
      <c r="M593">
        <v>0.99996510000000005</v>
      </c>
      <c r="N593">
        <v>0</v>
      </c>
      <c r="O593">
        <v>-2.9172040000000001E-4</v>
      </c>
      <c r="P593">
        <v>0.99922500000000003</v>
      </c>
      <c r="Q593">
        <v>1.5873209999999999E-2</v>
      </c>
      <c r="R593">
        <v>3.6026080000000002E-2</v>
      </c>
      <c r="S593">
        <v>3.003387</v>
      </c>
      <c r="T593">
        <v>-0.17225599999999999</v>
      </c>
      <c r="U593">
        <v>4.821777E-2</v>
      </c>
      <c r="V593">
        <v>-3.631711E-2</v>
      </c>
      <c r="W593">
        <v>2.423461E-2</v>
      </c>
      <c r="X593">
        <v>0.9990464</v>
      </c>
      <c r="Y593">
        <v>-1.6316799999999999E-2</v>
      </c>
      <c r="Z593">
        <v>4.8421910000000001E-4</v>
      </c>
      <c r="AA593">
        <v>0.99986679999999994</v>
      </c>
      <c r="AB593">
        <v>43</v>
      </c>
      <c r="AC593">
        <v>18.3828</v>
      </c>
      <c r="AD593">
        <v>-1.0820976958220001</v>
      </c>
      <c r="AE593">
        <v>0.302200000000027</v>
      </c>
      <c r="AF593">
        <v>-0.30650105701587899</v>
      </c>
      <c r="AG593">
        <v>-1.0820976958220001</v>
      </c>
      <c r="AH593">
        <v>18.319251069201702</v>
      </c>
      <c r="AI593">
        <v>93.379997754560307</v>
      </c>
      <c r="AJ593">
        <v>90.958531468260304</v>
      </c>
      <c r="AK593">
        <v>18.353741799908299</v>
      </c>
      <c r="AL593">
        <v>88.611323145072106</v>
      </c>
      <c r="AM593">
        <v>92.081886573843803</v>
      </c>
      <c r="AN593">
        <v>0.99999997907678195</v>
      </c>
    </row>
    <row r="594" spans="1:40" x14ac:dyDescent="0.3">
      <c r="A594" t="str">
        <f>"20200111153841153"</f>
        <v>20200111153841153</v>
      </c>
      <c r="B594" t="str">
        <f>"1578728321140639"</f>
        <v>1578728321140639</v>
      </c>
      <c r="C594" t="s">
        <v>40</v>
      </c>
      <c r="D594">
        <v>4.9468500000000004</v>
      </c>
      <c r="E594">
        <v>0.50777289999999997</v>
      </c>
      <c r="F594" t="s">
        <v>42</v>
      </c>
      <c r="G594">
        <v>-256.2201</v>
      </c>
      <c r="H594" s="1">
        <v>-1.9347560000000001E-6</v>
      </c>
      <c r="I594">
        <v>367.75119999999998</v>
      </c>
      <c r="J594">
        <v>-274.7373</v>
      </c>
      <c r="K594">
        <v>1.0848420000000001</v>
      </c>
      <c r="L594">
        <v>367.45139999999998</v>
      </c>
      <c r="M594">
        <v>0.99996280000000004</v>
      </c>
      <c r="N594">
        <v>0</v>
      </c>
      <c r="O594">
        <v>-2.9136750000000001E-4</v>
      </c>
      <c r="P594">
        <v>0.99926539999999997</v>
      </c>
      <c r="Q594">
        <v>1.5189889999999999E-2</v>
      </c>
      <c r="R594">
        <v>3.5182970000000001E-2</v>
      </c>
      <c r="S594">
        <v>3.0033569999999998</v>
      </c>
      <c r="T594">
        <v>-0.17160210000000001</v>
      </c>
      <c r="U594">
        <v>4.7515870000000002E-2</v>
      </c>
      <c r="V594">
        <v>-3.5473310000000001E-2</v>
      </c>
      <c r="W594">
        <v>2.380415E-2</v>
      </c>
      <c r="X594">
        <v>0.99908710000000001</v>
      </c>
      <c r="Y594">
        <v>-1.608358E-2</v>
      </c>
      <c r="Z594">
        <v>4.7571279999999999E-4</v>
      </c>
      <c r="AA594">
        <v>0.9998705</v>
      </c>
      <c r="AB594">
        <v>43</v>
      </c>
      <c r="AC594">
        <v>18.517199999999999</v>
      </c>
      <c r="AD594">
        <v>-1.0848439347559999</v>
      </c>
      <c r="AE594">
        <v>0.29980000000000401</v>
      </c>
      <c r="AF594">
        <v>-0.304151834491448</v>
      </c>
      <c r="AG594">
        <v>-1.0848439347559999</v>
      </c>
      <c r="AH594">
        <v>18.453789710844699</v>
      </c>
      <c r="AI594">
        <v>93.363922161789404</v>
      </c>
      <c r="AJ594">
        <v>90.944252589709194</v>
      </c>
      <c r="AK594">
        <v>18.488151594826299</v>
      </c>
      <c r="AL594">
        <v>88.635993851419201</v>
      </c>
      <c r="AM594">
        <v>92.033473869608201</v>
      </c>
      <c r="AN594">
        <v>1.00000001333299</v>
      </c>
    </row>
    <row r="595" spans="1:40" x14ac:dyDescent="0.3">
      <c r="A595" t="str">
        <f>"20200111153841176"</f>
        <v>20200111153841176</v>
      </c>
      <c r="B595" t="str">
        <f>"1578728321170895"</f>
        <v>1578728321170895</v>
      </c>
      <c r="C595" t="s">
        <v>40</v>
      </c>
      <c r="D595">
        <v>4.9630260000000002</v>
      </c>
      <c r="E595">
        <v>0.50757339999999995</v>
      </c>
      <c r="F595" t="s">
        <v>42</v>
      </c>
      <c r="G595">
        <v>-255.8066</v>
      </c>
      <c r="H595" s="1">
        <v>-2.1141790000000001E-6</v>
      </c>
      <c r="I595">
        <v>367.7396</v>
      </c>
      <c r="J595">
        <v>-274.29500000000002</v>
      </c>
      <c r="K595">
        <v>1.087502</v>
      </c>
      <c r="L595">
        <v>367.4513</v>
      </c>
      <c r="M595">
        <v>0.99995979999999995</v>
      </c>
      <c r="N595">
        <v>0</v>
      </c>
      <c r="O595">
        <v>-2.9063750000000001E-4</v>
      </c>
      <c r="P595">
        <v>0.99930629999999998</v>
      </c>
      <c r="Q595">
        <v>1.4271819999999999E-2</v>
      </c>
      <c r="R595">
        <v>3.440211E-2</v>
      </c>
      <c r="S595">
        <v>3.003174</v>
      </c>
      <c r="T595">
        <v>-0.172099</v>
      </c>
      <c r="U595">
        <v>4.5715329999999998E-2</v>
      </c>
      <c r="V595">
        <v>-3.4691510000000002E-2</v>
      </c>
      <c r="W595">
        <v>2.323449E-2</v>
      </c>
      <c r="X595">
        <v>0.99912789999999996</v>
      </c>
      <c r="Y595">
        <v>-1.548532E-2</v>
      </c>
      <c r="Z595">
        <v>4.5995049999999999E-4</v>
      </c>
      <c r="AA595">
        <v>0.99987999999999999</v>
      </c>
      <c r="AB595">
        <v>43</v>
      </c>
      <c r="AC595">
        <v>18.488399999999999</v>
      </c>
      <c r="AD595">
        <v>-1.0875041141790001</v>
      </c>
      <c r="AE595">
        <v>0.28829999999999201</v>
      </c>
      <c r="AF595">
        <v>-0.29266129421846798</v>
      </c>
      <c r="AG595">
        <v>-1.0875041141790001</v>
      </c>
      <c r="AH595">
        <v>18.424583761268899</v>
      </c>
      <c r="AI595">
        <v>93.377517544965897</v>
      </c>
      <c r="AJ595">
        <v>90.910025819174095</v>
      </c>
      <c r="AK595">
        <v>18.458970789496998</v>
      </c>
      <c r="AL595">
        <v>88.668641913860597</v>
      </c>
      <c r="AM595">
        <v>91.9886131717914</v>
      </c>
      <c r="AN595">
        <v>0.99999995147502296</v>
      </c>
    </row>
    <row r="596" spans="1:40" x14ac:dyDescent="0.3">
      <c r="A596" t="str">
        <f>"20200111153841198"</f>
        <v>20200111153841198</v>
      </c>
      <c r="B596" t="str">
        <f>"1578728321191391"</f>
        <v>1578728321191391</v>
      </c>
      <c r="C596" t="s">
        <v>40</v>
      </c>
      <c r="D596">
        <v>4.967759</v>
      </c>
      <c r="E596">
        <v>0.50746590000000003</v>
      </c>
      <c r="F596" t="s">
        <v>42</v>
      </c>
      <c r="G596">
        <v>-255.46879999999999</v>
      </c>
      <c r="H596" s="1">
        <v>-2.2601589999999999E-6</v>
      </c>
      <c r="I596">
        <v>367.7337</v>
      </c>
      <c r="J596">
        <v>-273.85059999999999</v>
      </c>
      <c r="K596">
        <v>1.0899000000000001</v>
      </c>
      <c r="L596">
        <v>367.45119999999997</v>
      </c>
      <c r="M596">
        <v>0.99995619999999996</v>
      </c>
      <c r="N596">
        <v>0</v>
      </c>
      <c r="O596">
        <v>-2.9031279999999998E-4</v>
      </c>
      <c r="P596">
        <v>0.99933139999999998</v>
      </c>
      <c r="Q596">
        <v>1.4236749999999999E-2</v>
      </c>
      <c r="R596">
        <v>3.3677489999999997E-2</v>
      </c>
      <c r="S596">
        <v>3.0029599999999999</v>
      </c>
      <c r="T596">
        <v>-0.1734667</v>
      </c>
      <c r="U596">
        <v>4.5043949999999999E-2</v>
      </c>
      <c r="V596">
        <v>-3.396706E-2</v>
      </c>
      <c r="W596">
        <v>2.3595830000000002E-2</v>
      </c>
      <c r="X596">
        <v>0.99914440000000004</v>
      </c>
      <c r="Y596">
        <v>-1.526253E-2</v>
      </c>
      <c r="Z596">
        <v>4.57186E-4</v>
      </c>
      <c r="AA596">
        <v>0.99988339999999998</v>
      </c>
      <c r="AB596">
        <v>43</v>
      </c>
      <c r="AC596">
        <v>18.381799999999998</v>
      </c>
      <c r="AD596">
        <v>-1.089902260159</v>
      </c>
      <c r="AE596">
        <v>0.28250000000002701</v>
      </c>
      <c r="AF596">
        <v>-0.28682855805739599</v>
      </c>
      <c r="AG596">
        <v>-1.089902260159</v>
      </c>
      <c r="AH596">
        <v>18.317336050540401</v>
      </c>
      <c r="AI596">
        <v>93.404732695241293</v>
      </c>
      <c r="AJ596">
        <v>90.897113137125203</v>
      </c>
      <c r="AK596">
        <v>18.351974213878002</v>
      </c>
      <c r="AL596">
        <v>88.6479330817169</v>
      </c>
      <c r="AM596">
        <v>91.9470858727192</v>
      </c>
      <c r="AN596">
        <v>1.00000002820489</v>
      </c>
    </row>
    <row r="597" spans="1:40" x14ac:dyDescent="0.3">
      <c r="A597" t="str">
        <f>"20200111153841219"</f>
        <v>20200111153841219</v>
      </c>
      <c r="B597" t="str">
        <f>"1578728321210914"</f>
        <v>1578728321210914</v>
      </c>
      <c r="C597" t="s">
        <v>40</v>
      </c>
      <c r="D597">
        <v>4.9287859999999997</v>
      </c>
      <c r="E597">
        <v>0.50733799999999996</v>
      </c>
      <c r="F597" t="s">
        <v>42</v>
      </c>
      <c r="G597">
        <v>-254.87299999999999</v>
      </c>
      <c r="H597" s="1">
        <v>-2.5169419999999999E-6</v>
      </c>
      <c r="I597">
        <v>367.72680000000003</v>
      </c>
      <c r="J597">
        <v>-273.43759999999997</v>
      </c>
      <c r="K597">
        <v>1.0919019999999999</v>
      </c>
      <c r="L597">
        <v>367.4511</v>
      </c>
      <c r="M597">
        <v>0.99995250000000002</v>
      </c>
      <c r="N597">
        <v>0</v>
      </c>
      <c r="O597">
        <v>-2.9012260000000001E-4</v>
      </c>
      <c r="P597">
        <v>0.99934670000000003</v>
      </c>
      <c r="Q597">
        <v>1.442587E-2</v>
      </c>
      <c r="R597">
        <v>3.3136800000000001E-2</v>
      </c>
      <c r="S597">
        <v>3.0030519999999998</v>
      </c>
      <c r="T597">
        <v>-0.17246810000000001</v>
      </c>
      <c r="U597">
        <v>4.3609620000000002E-2</v>
      </c>
      <c r="V597">
        <v>-3.342585E-2</v>
      </c>
      <c r="W597">
        <v>2.4167870000000001E-2</v>
      </c>
      <c r="X597">
        <v>0.99914899999999995</v>
      </c>
      <c r="Y597">
        <v>-1.478551E-2</v>
      </c>
      <c r="Z597">
        <v>4.4084940000000002E-4</v>
      </c>
      <c r="AA597">
        <v>0.99989059999999996</v>
      </c>
      <c r="AB597">
        <v>43</v>
      </c>
      <c r="AC597">
        <v>18.564599999999899</v>
      </c>
      <c r="AD597">
        <v>-1.0919045169419901</v>
      </c>
      <c r="AE597">
        <v>0.27570000000002798</v>
      </c>
      <c r="AF597">
        <v>-0.28011743536074302</v>
      </c>
      <c r="AG597">
        <v>-1.0919045169419901</v>
      </c>
      <c r="AH597">
        <v>18.500532986500801</v>
      </c>
      <c r="AI597">
        <v>93.377301889636499</v>
      </c>
      <c r="AJ597">
        <v>90.867451793673794</v>
      </c>
      <c r="AK597">
        <v>18.534843998165101</v>
      </c>
      <c r="AL597">
        <v>88.615148282372701</v>
      </c>
      <c r="AM597">
        <v>91.916076715339599</v>
      </c>
      <c r="AN597">
        <v>1.00000004879477</v>
      </c>
    </row>
    <row r="598" spans="1:40" x14ac:dyDescent="0.3">
      <c r="A598" t="str">
        <f>"20200111153841242"</f>
        <v>20200111153841242</v>
      </c>
      <c r="B598" t="str">
        <f>"1578728321231408"</f>
        <v>1578728321231408</v>
      </c>
      <c r="C598" t="s">
        <v>40</v>
      </c>
      <c r="D598">
        <v>4.954307</v>
      </c>
      <c r="E598">
        <v>0.50723999999999902</v>
      </c>
      <c r="F598" t="s">
        <v>42</v>
      </c>
      <c r="G598">
        <v>-254.2253</v>
      </c>
      <c r="H598" s="1">
        <v>-2.7957000000000002E-6</v>
      </c>
      <c r="I598">
        <v>367.72190000000001</v>
      </c>
      <c r="J598">
        <v>-273.00569999999999</v>
      </c>
      <c r="K598">
        <v>1.0937520000000001</v>
      </c>
      <c r="L598">
        <v>367.45100000000002</v>
      </c>
      <c r="M598">
        <v>0.99994839999999996</v>
      </c>
      <c r="N598">
        <v>0</v>
      </c>
      <c r="O598">
        <v>-2.8997639999999998E-4</v>
      </c>
      <c r="P598">
        <v>0.9993628</v>
      </c>
      <c r="Q598">
        <v>1.493295E-2</v>
      </c>
      <c r="R598">
        <v>3.2417889999999998E-2</v>
      </c>
      <c r="S598">
        <v>3.0030209999999999</v>
      </c>
      <c r="T598">
        <v>-0.17067209999999999</v>
      </c>
      <c r="U598">
        <v>4.2327879999999998E-2</v>
      </c>
      <c r="V598">
        <v>-3.2706649999999997E-2</v>
      </c>
      <c r="W598">
        <v>2.507597E-2</v>
      </c>
      <c r="X598">
        <v>0.99915039999999999</v>
      </c>
      <c r="Y598">
        <v>-1.4360019999999999E-2</v>
      </c>
      <c r="Z598">
        <v>4.241828E-4</v>
      </c>
      <c r="AA598">
        <v>0.99989680000000003</v>
      </c>
      <c r="AB598">
        <v>43</v>
      </c>
      <c r="AC598">
        <v>18.780399999999901</v>
      </c>
      <c r="AD598">
        <v>-1.0937547957</v>
      </c>
      <c r="AE598">
        <v>0.27090000000004</v>
      </c>
      <c r="AF598">
        <v>-0.27541219337148998</v>
      </c>
      <c r="AG598">
        <v>-1.0937547957</v>
      </c>
      <c r="AH598">
        <v>18.716850041802701</v>
      </c>
      <c r="AI598">
        <v>93.344023442239504</v>
      </c>
      <c r="AJ598">
        <v>90.843027406853395</v>
      </c>
      <c r="AK598">
        <v>18.750803367234798</v>
      </c>
      <c r="AL598">
        <v>88.563102173728197</v>
      </c>
      <c r="AM598">
        <v>91.874876990884601</v>
      </c>
      <c r="AN598">
        <v>1.00000002552291</v>
      </c>
    </row>
    <row r="599" spans="1:40" x14ac:dyDescent="0.3">
      <c r="A599" t="str">
        <f>"20200111153841265"</f>
        <v>20200111153841265</v>
      </c>
      <c r="B599" t="str">
        <f>"1578728321260688"</f>
        <v>1578728321260688</v>
      </c>
      <c r="C599" t="s">
        <v>40</v>
      </c>
      <c r="D599">
        <v>4.8940769999999896</v>
      </c>
      <c r="E599">
        <v>0.50708359999999997</v>
      </c>
      <c r="F599" t="s">
        <v>42</v>
      </c>
      <c r="G599">
        <v>-253.47309999999999</v>
      </c>
      <c r="H599" s="1">
        <v>-3.1190359999999998E-6</v>
      </c>
      <c r="I599">
        <v>367.71809999999999</v>
      </c>
      <c r="J599">
        <v>-272.56349999999998</v>
      </c>
      <c r="K599">
        <v>1.0954159999999999</v>
      </c>
      <c r="L599">
        <v>367.45080000000002</v>
      </c>
      <c r="M599">
        <v>0.99994439999999996</v>
      </c>
      <c r="N599">
        <v>0</v>
      </c>
      <c r="O599">
        <v>-2.9001999999999999E-4</v>
      </c>
      <c r="P599">
        <v>0.99938260000000001</v>
      </c>
      <c r="Q599">
        <v>1.495494E-2</v>
      </c>
      <c r="R599">
        <v>3.1796310000000001E-2</v>
      </c>
      <c r="S599">
        <v>3.003082</v>
      </c>
      <c r="T599">
        <v>-0.16816159999999999</v>
      </c>
      <c r="U599">
        <v>4.1076660000000001E-2</v>
      </c>
      <c r="V599">
        <v>-3.2085509999999998E-2</v>
      </c>
      <c r="W599">
        <v>2.5496410000000001E-2</v>
      </c>
      <c r="X599">
        <v>0.99915989999999999</v>
      </c>
      <c r="Y599">
        <v>-1.39446E-2</v>
      </c>
      <c r="Z599">
        <v>4.0632690000000002E-4</v>
      </c>
      <c r="AA599">
        <v>0.99990270000000003</v>
      </c>
      <c r="AB599">
        <v>43</v>
      </c>
      <c r="AC599">
        <v>19.090399999999899</v>
      </c>
      <c r="AD599">
        <v>-1.0954191190360001</v>
      </c>
      <c r="AE599">
        <v>0.267299999999977</v>
      </c>
      <c r="AF599">
        <v>-0.27194169178682098</v>
      </c>
      <c r="AG599">
        <v>-1.0954191190360001</v>
      </c>
      <c r="AH599">
        <v>19.027684607403099</v>
      </c>
      <c r="AI599">
        <v>93.294531391409393</v>
      </c>
      <c r="AJ599">
        <v>90.8188095823228</v>
      </c>
      <c r="AK599">
        <v>19.061129999265201</v>
      </c>
      <c r="AL599">
        <v>88.539005032809399</v>
      </c>
      <c r="AM599">
        <v>91.839277960271502</v>
      </c>
      <c r="AN599">
        <v>1.0000000263214199</v>
      </c>
    </row>
    <row r="600" spans="1:40" x14ac:dyDescent="0.3">
      <c r="A600" t="str">
        <f>"20200111153841288"</f>
        <v>20200111153841288</v>
      </c>
      <c r="B600" t="str">
        <f>"1578728321281186"</f>
        <v>1578728321281186</v>
      </c>
      <c r="C600" t="s">
        <v>40</v>
      </c>
      <c r="D600">
        <v>4.9007670000000001</v>
      </c>
      <c r="E600">
        <v>0.50697340000000002</v>
      </c>
      <c r="F600" t="s">
        <v>42</v>
      </c>
      <c r="G600">
        <v>-252.92869999999999</v>
      </c>
      <c r="H600" s="1">
        <v>-3.3530290000000001E-6</v>
      </c>
      <c r="I600">
        <v>367.7158</v>
      </c>
      <c r="J600">
        <v>-272.11399999999998</v>
      </c>
      <c r="K600">
        <v>1.096881</v>
      </c>
      <c r="L600">
        <v>367.45069999999998</v>
      </c>
      <c r="M600">
        <v>0.9999403</v>
      </c>
      <c r="N600">
        <v>0</v>
      </c>
      <c r="O600">
        <v>-2.8983749999999999E-4</v>
      </c>
      <c r="P600">
        <v>0.99941809999999998</v>
      </c>
      <c r="Q600">
        <v>1.4182709999999999E-2</v>
      </c>
      <c r="R600">
        <v>3.1025110000000002E-2</v>
      </c>
      <c r="S600">
        <v>3.003082</v>
      </c>
      <c r="T600">
        <v>-0.16753979999999999</v>
      </c>
      <c r="U600">
        <v>4.0527340000000002E-2</v>
      </c>
      <c r="V600">
        <v>-3.1313979999999998E-2</v>
      </c>
      <c r="W600">
        <v>2.511124E-2</v>
      </c>
      <c r="X600">
        <v>0.99919409999999997</v>
      </c>
      <c r="Y600">
        <v>-1.3762E-2</v>
      </c>
      <c r="Z600">
        <v>3.9972800000000002E-4</v>
      </c>
      <c r="AA600">
        <v>0.99990520000000005</v>
      </c>
      <c r="AB600">
        <v>43</v>
      </c>
      <c r="AC600">
        <v>19.185300000000002</v>
      </c>
      <c r="AD600">
        <v>-1.096884353029</v>
      </c>
      <c r="AE600">
        <v>0.26510000000001799</v>
      </c>
      <c r="AF600">
        <v>-0.26977926172837302</v>
      </c>
      <c r="AG600">
        <v>-1.096884353029</v>
      </c>
      <c r="AH600">
        <v>19.122726472802501</v>
      </c>
      <c r="AI600">
        <v>93.282576934863101</v>
      </c>
      <c r="AJ600">
        <v>90.808262763212298</v>
      </c>
      <c r="AK600">
        <v>19.1560591951372</v>
      </c>
      <c r="AL600">
        <v>88.561080670580694</v>
      </c>
      <c r="AM600">
        <v>91.795018468670193</v>
      </c>
      <c r="AN600">
        <v>0.99999999459629396</v>
      </c>
    </row>
    <row r="601" spans="1:40" x14ac:dyDescent="0.3">
      <c r="A601" t="str">
        <f>"20200111153841309"</f>
        <v>20200111153841309</v>
      </c>
      <c r="B601" t="str">
        <f>"1578728321300706"</f>
        <v>1578728321300706</v>
      </c>
      <c r="C601" t="s">
        <v>40</v>
      </c>
      <c r="D601">
        <v>4.9164810000000001</v>
      </c>
      <c r="E601">
        <v>0.50683559999999905</v>
      </c>
      <c r="F601" t="s">
        <v>42</v>
      </c>
      <c r="G601">
        <v>-252.68530000000001</v>
      </c>
      <c r="H601" s="1">
        <v>-3.4598019999999999E-6</v>
      </c>
      <c r="I601">
        <v>367.70240000000001</v>
      </c>
      <c r="J601">
        <v>-271.70319999999998</v>
      </c>
      <c r="K601">
        <v>1.0980399999999999</v>
      </c>
      <c r="L601">
        <v>367.45060000000001</v>
      </c>
      <c r="M601">
        <v>0.99993659999999995</v>
      </c>
      <c r="N601">
        <v>0</v>
      </c>
      <c r="O601">
        <v>-2.8954099999999998E-4</v>
      </c>
      <c r="P601">
        <v>0.99942580000000003</v>
      </c>
      <c r="Q601">
        <v>1.396618E-2</v>
      </c>
      <c r="R601">
        <v>3.0876959999999998E-2</v>
      </c>
      <c r="S601">
        <v>3.0029300000000001</v>
      </c>
      <c r="T601">
        <v>-0.1695352</v>
      </c>
      <c r="U601">
        <v>3.8909909999999999E-2</v>
      </c>
      <c r="V601">
        <v>-3.1165229999999999E-2</v>
      </c>
      <c r="W601">
        <v>2.5226599999999998E-2</v>
      </c>
      <c r="X601">
        <v>0.99919590000000003</v>
      </c>
      <c r="Y601">
        <v>-1.322425E-2</v>
      </c>
      <c r="Z601">
        <v>3.8931920000000002E-4</v>
      </c>
      <c r="AA601">
        <v>0.99991249999999998</v>
      </c>
      <c r="AB601">
        <v>43</v>
      </c>
      <c r="AC601">
        <v>19.017899999999901</v>
      </c>
      <c r="AD601">
        <v>-1.0980434598019999</v>
      </c>
      <c r="AE601">
        <v>0.25180000000000202</v>
      </c>
      <c r="AF601">
        <v>-0.25645204055617299</v>
      </c>
      <c r="AG601">
        <v>-1.0980434598019999</v>
      </c>
      <c r="AH601">
        <v>18.954650079216901</v>
      </c>
      <c r="AI601">
        <v>93.315138090823993</v>
      </c>
      <c r="AJ601">
        <v>90.7751513760454</v>
      </c>
      <c r="AK601">
        <v>18.988160171914402</v>
      </c>
      <c r="AL601">
        <v>88.554469014634506</v>
      </c>
      <c r="AM601">
        <v>91.786493960723007</v>
      </c>
      <c r="AN601">
        <v>1.00000004974266</v>
      </c>
    </row>
    <row r="602" spans="1:40" x14ac:dyDescent="0.3">
      <c r="A602" t="str">
        <f>"20200111153841331"</f>
        <v>20200111153841331</v>
      </c>
      <c r="B602" t="str">
        <f>"1578728321321199"</f>
        <v>1578728321321199</v>
      </c>
      <c r="C602" t="s">
        <v>40</v>
      </c>
      <c r="D602">
        <v>4.9031909999999996</v>
      </c>
      <c r="E602">
        <v>0.50671729999999904</v>
      </c>
      <c r="F602" t="s">
        <v>42</v>
      </c>
      <c r="G602">
        <v>-252.31319999999999</v>
      </c>
      <c r="H602" s="1">
        <v>-3.6190739999999999E-6</v>
      </c>
      <c r="I602">
        <v>367.70429999999999</v>
      </c>
      <c r="J602">
        <v>-271.27539999999999</v>
      </c>
      <c r="K602">
        <v>1.0990770000000001</v>
      </c>
      <c r="L602">
        <v>367.4504</v>
      </c>
      <c r="M602">
        <v>0.99993279999999995</v>
      </c>
      <c r="N602">
        <v>0</v>
      </c>
      <c r="O602">
        <v>-2.890058E-4</v>
      </c>
      <c r="P602">
        <v>0.99942839999999999</v>
      </c>
      <c r="Q602">
        <v>1.4690109999999999E-2</v>
      </c>
      <c r="R602">
        <v>3.045109E-2</v>
      </c>
      <c r="S602">
        <v>3.002869</v>
      </c>
      <c r="T602">
        <v>-0.1700506</v>
      </c>
      <c r="U602">
        <v>3.9306639999999997E-2</v>
      </c>
      <c r="V602">
        <v>-3.0739410000000002E-2</v>
      </c>
      <c r="W602">
        <v>2.6272920000000002E-2</v>
      </c>
      <c r="X602">
        <v>0.99918209999999996</v>
      </c>
      <c r="Y602">
        <v>-1.335572E-2</v>
      </c>
      <c r="Z602">
        <v>3.9419770000000002E-4</v>
      </c>
      <c r="AA602">
        <v>0.99991070000000004</v>
      </c>
      <c r="AB602">
        <v>43</v>
      </c>
      <c r="AC602">
        <v>18.962199999999999</v>
      </c>
      <c r="AD602">
        <v>-1.0990806190739999</v>
      </c>
      <c r="AE602">
        <v>0.25389999999998702</v>
      </c>
      <c r="AF602">
        <v>-0.258512213125698</v>
      </c>
      <c r="AG602">
        <v>-1.0990806190739999</v>
      </c>
      <c r="AH602">
        <v>18.898646179165599</v>
      </c>
      <c r="AI602">
        <v>93.328066890263202</v>
      </c>
      <c r="AJ602">
        <v>90.783692912013706</v>
      </c>
      <c r="AK602">
        <v>18.932343599693301</v>
      </c>
      <c r="AL602">
        <v>88.494499370323496</v>
      </c>
      <c r="AM602">
        <v>91.762124367956403</v>
      </c>
      <c r="AN602">
        <v>1.0000000233064399</v>
      </c>
    </row>
    <row r="603" spans="1:40" x14ac:dyDescent="0.3">
      <c r="A603" t="str">
        <f>"20200111153841354"</f>
        <v>20200111153841354</v>
      </c>
      <c r="B603" t="str">
        <f>"1578728321351456"</f>
        <v>1578728321351456</v>
      </c>
      <c r="C603" t="s">
        <v>40</v>
      </c>
      <c r="D603">
        <v>4.8962240000000001</v>
      </c>
      <c r="E603">
        <v>0.5064727</v>
      </c>
      <c r="F603" t="s">
        <v>42</v>
      </c>
      <c r="G603">
        <v>-251.5908</v>
      </c>
      <c r="H603" s="1">
        <v>-3.9284980000000001E-6</v>
      </c>
      <c r="I603">
        <v>367.70729999999998</v>
      </c>
      <c r="J603">
        <v>-270.84179999999998</v>
      </c>
      <c r="K603">
        <v>1.0999760000000001</v>
      </c>
      <c r="L603">
        <v>367.45030000000003</v>
      </c>
      <c r="M603">
        <v>0.99992930000000002</v>
      </c>
      <c r="N603">
        <v>0</v>
      </c>
      <c r="O603">
        <v>-2.8875759999999999E-4</v>
      </c>
      <c r="P603">
        <v>0.99942200000000003</v>
      </c>
      <c r="Q603">
        <v>1.527336E-2</v>
      </c>
      <c r="R603">
        <v>3.0375940000000001E-2</v>
      </c>
      <c r="S603">
        <v>3.0030209999999999</v>
      </c>
      <c r="T603">
        <v>-0.1676716</v>
      </c>
      <c r="U603">
        <v>3.9184570000000002E-2</v>
      </c>
      <c r="V603">
        <v>-3.06634E-2</v>
      </c>
      <c r="W603">
        <v>2.7157609999999999E-2</v>
      </c>
      <c r="X603">
        <v>0.99916079999999996</v>
      </c>
      <c r="Y603">
        <v>-1.331484E-2</v>
      </c>
      <c r="Z603">
        <v>3.8751790000000002E-4</v>
      </c>
      <c r="AA603">
        <v>0.9999112</v>
      </c>
      <c r="AB603">
        <v>43</v>
      </c>
      <c r="AC603">
        <v>19.250999999999902</v>
      </c>
      <c r="AD603">
        <v>-1.0999799284980001</v>
      </c>
      <c r="AE603">
        <v>0.25699999999994799</v>
      </c>
      <c r="AF603">
        <v>-0.26170497998556902</v>
      </c>
      <c r="AG603">
        <v>-1.0999799284980001</v>
      </c>
      <c r="AH603">
        <v>19.188289301278299</v>
      </c>
      <c r="AI603">
        <v>93.2806188875917</v>
      </c>
      <c r="AJ603">
        <v>90.781396452387497</v>
      </c>
      <c r="AK603">
        <v>19.221573599713398</v>
      </c>
      <c r="AL603">
        <v>88.443792297679906</v>
      </c>
      <c r="AM603">
        <v>91.757807310456997</v>
      </c>
      <c r="AN603">
        <v>1.00000004206855</v>
      </c>
    </row>
    <row r="604" spans="1:40" x14ac:dyDescent="0.3">
      <c r="A604" t="str">
        <f>"20200111153841377"</f>
        <v>20200111153841377</v>
      </c>
      <c r="B604" t="str">
        <f>"1578728321370975"</f>
        <v>1578728321370975</v>
      </c>
      <c r="C604" t="s">
        <v>40</v>
      </c>
      <c r="D604">
        <v>4.8871729999999998</v>
      </c>
      <c r="E604">
        <v>0.50631029999999999</v>
      </c>
      <c r="F604" t="s">
        <v>42</v>
      </c>
      <c r="G604">
        <v>-250.9442</v>
      </c>
      <c r="H604" s="1">
        <v>-4.2040349999999998E-6</v>
      </c>
      <c r="I604">
        <v>367.7176</v>
      </c>
      <c r="J604">
        <v>-270.39800000000002</v>
      </c>
      <c r="K604">
        <v>1.100741</v>
      </c>
      <c r="L604">
        <v>367.4502</v>
      </c>
      <c r="M604">
        <v>0.99992590000000003</v>
      </c>
      <c r="N604">
        <v>0</v>
      </c>
      <c r="O604">
        <v>-2.8878209999999999E-4</v>
      </c>
      <c r="P604">
        <v>0.99940790000000002</v>
      </c>
      <c r="Q604">
        <v>1.558408E-2</v>
      </c>
      <c r="R604">
        <v>3.0677960000000001E-2</v>
      </c>
      <c r="S604">
        <v>3.0030519999999998</v>
      </c>
      <c r="T604">
        <v>-0.1660142</v>
      </c>
      <c r="U604">
        <v>4.0344240000000003E-2</v>
      </c>
      <c r="V604">
        <v>-3.0965909999999999E-2</v>
      </c>
      <c r="W604">
        <v>2.7748660000000001E-2</v>
      </c>
      <c r="X604">
        <v>0.9991352</v>
      </c>
      <c r="Y604">
        <v>-1.370062E-2</v>
      </c>
      <c r="Z604">
        <v>3.9434449999999998E-4</v>
      </c>
      <c r="AA604">
        <v>0.99990610000000002</v>
      </c>
      <c r="AB604">
        <v>43</v>
      </c>
      <c r="AC604">
        <v>19.453799999999902</v>
      </c>
      <c r="AD604">
        <v>-1.1007452040350001</v>
      </c>
      <c r="AE604">
        <v>0.26740000000000902</v>
      </c>
      <c r="AF604">
        <v>-0.27214717707220498</v>
      </c>
      <c r="AG604">
        <v>-1.1007452040350001</v>
      </c>
      <c r="AH604">
        <v>19.391649722051799</v>
      </c>
      <c r="AI604">
        <v>93.248524906456197</v>
      </c>
      <c r="AJ604">
        <v>90.804050262456002</v>
      </c>
      <c r="AK604">
        <v>19.424772406207101</v>
      </c>
      <c r="AL604">
        <v>88.409914811293405</v>
      </c>
      <c r="AM604">
        <v>91.775183384215694</v>
      </c>
      <c r="AN604">
        <v>1.00000001179648</v>
      </c>
    </row>
    <row r="605" spans="1:40" x14ac:dyDescent="0.3">
      <c r="A605" t="str">
        <f>"20200111153841399"</f>
        <v>20200111153841399</v>
      </c>
      <c r="B605" t="str">
        <f>"1578728321391471"</f>
        <v>1578728321391471</v>
      </c>
      <c r="C605" t="s">
        <v>40</v>
      </c>
      <c r="D605">
        <v>4.9113720000000001</v>
      </c>
      <c r="E605">
        <v>0.50610200000000005</v>
      </c>
      <c r="F605" t="s">
        <v>42</v>
      </c>
      <c r="G605">
        <v>-250.37700000000001</v>
      </c>
      <c r="H605" s="1">
        <v>-4.4449389999999996E-6</v>
      </c>
      <c r="I605">
        <v>367.73129999999998</v>
      </c>
      <c r="J605">
        <v>-269.9742</v>
      </c>
      <c r="K605">
        <v>1.101345</v>
      </c>
      <c r="L605">
        <v>367.45010000000002</v>
      </c>
      <c r="M605">
        <v>0.99992289999999995</v>
      </c>
      <c r="N605">
        <v>0</v>
      </c>
      <c r="O605">
        <v>-2.886152E-4</v>
      </c>
      <c r="P605">
        <v>0.99942299999999995</v>
      </c>
      <c r="Q605">
        <v>1.510357E-2</v>
      </c>
      <c r="R605">
        <v>3.0429290000000001E-2</v>
      </c>
      <c r="S605">
        <v>3.0031129999999999</v>
      </c>
      <c r="T605">
        <v>-0.1651088</v>
      </c>
      <c r="U605">
        <v>4.2175289999999997E-2</v>
      </c>
      <c r="V605">
        <v>-3.0716940000000002E-2</v>
      </c>
      <c r="W605">
        <v>2.7511770000000001E-2</v>
      </c>
      <c r="X605">
        <v>0.99914939999999997</v>
      </c>
      <c r="Y605">
        <v>-1.430904E-2</v>
      </c>
      <c r="Z605">
        <v>4.0889019999999998E-4</v>
      </c>
      <c r="AA605">
        <v>0.99989749999999999</v>
      </c>
      <c r="AB605">
        <v>43</v>
      </c>
      <c r="AC605">
        <v>19.597199999999901</v>
      </c>
      <c r="AD605">
        <v>-1.101349444939</v>
      </c>
      <c r="AE605">
        <v>0.28119999999995499</v>
      </c>
      <c r="AF605">
        <v>-0.285953514499313</v>
      </c>
      <c r="AG605">
        <v>-1.101349444939</v>
      </c>
      <c r="AH605">
        <v>19.535430712490001</v>
      </c>
      <c r="AI605">
        <v>93.226404926577899</v>
      </c>
      <c r="AJ605">
        <v>90.838617779090299</v>
      </c>
      <c r="AK605">
        <v>19.568540904595299</v>
      </c>
      <c r="AL605">
        <v>88.4234927353628</v>
      </c>
      <c r="AM605">
        <v>91.760894687505797</v>
      </c>
      <c r="AN605">
        <v>0.99999997570592702</v>
      </c>
    </row>
    <row r="606" spans="1:40" x14ac:dyDescent="0.3">
      <c r="A606" t="str">
        <f>"20200111153841420"</f>
        <v>20200111153841420</v>
      </c>
      <c r="B606" t="str">
        <f>"1578728321410991"</f>
        <v>1578728321410991</v>
      </c>
      <c r="C606" t="s">
        <v>40</v>
      </c>
      <c r="D606">
        <v>5.8782719999999999</v>
      </c>
      <c r="E606">
        <v>0.49185689999999999</v>
      </c>
      <c r="F606" t="s">
        <v>42</v>
      </c>
      <c r="G606">
        <v>-250.20339999999999</v>
      </c>
      <c r="H606" s="1">
        <v>-4.5188949999999997E-6</v>
      </c>
      <c r="I606">
        <v>367.73419999999999</v>
      </c>
      <c r="J606">
        <v>-269.55009999999999</v>
      </c>
      <c r="K606">
        <v>1.101866</v>
      </c>
      <c r="L606">
        <v>367.45</v>
      </c>
      <c r="M606">
        <v>0.99992009999999998</v>
      </c>
      <c r="N606">
        <v>0</v>
      </c>
      <c r="O606">
        <v>-2.8833580000000003E-4</v>
      </c>
      <c r="P606">
        <v>0.99941190000000002</v>
      </c>
      <c r="Q606">
        <v>1.5844999999999901E-2</v>
      </c>
      <c r="R606">
        <v>3.041787E-2</v>
      </c>
      <c r="S606">
        <v>3.0029910000000002</v>
      </c>
      <c r="T606">
        <v>-0.16728319999999999</v>
      </c>
      <c r="U606">
        <v>4.315186E-2</v>
      </c>
      <c r="V606">
        <v>-3.0705159999999999E-2</v>
      </c>
      <c r="W606">
        <v>2.8474119999999999E-2</v>
      </c>
      <c r="X606">
        <v>0.99912279999999998</v>
      </c>
      <c r="Y606">
        <v>-1.463334E-2</v>
      </c>
      <c r="Z606">
        <v>4.2329219999999999E-4</v>
      </c>
      <c r="AA606">
        <v>0.99989280000000003</v>
      </c>
      <c r="AB606">
        <v>43</v>
      </c>
      <c r="AC606">
        <v>19.346699999999998</v>
      </c>
      <c r="AD606">
        <v>-1.101870518895</v>
      </c>
      <c r="AE606">
        <v>0.28419999999999801</v>
      </c>
      <c r="AF606">
        <v>-0.28884205074833702</v>
      </c>
      <c r="AG606">
        <v>-1.101870518895</v>
      </c>
      <c r="AH606">
        <v>19.284078017619901</v>
      </c>
      <c r="AI606">
        <v>93.269894511280498</v>
      </c>
      <c r="AJ606">
        <v>90.858127258777301</v>
      </c>
      <c r="AK606">
        <v>19.317691719259301</v>
      </c>
      <c r="AL606">
        <v>88.368332522678998</v>
      </c>
      <c r="AM606">
        <v>91.760266639710593</v>
      </c>
      <c r="AN606">
        <v>0.99999997592011902</v>
      </c>
    </row>
    <row r="607" spans="1:40" x14ac:dyDescent="0.3">
      <c r="A607" t="str">
        <f>"20200111153841443"</f>
        <v>20200111153841443</v>
      </c>
      <c r="B607" t="str">
        <f>"1578728321431186"</f>
        <v>1578728321431186</v>
      </c>
      <c r="C607" t="s">
        <v>40</v>
      </c>
      <c r="D607">
        <v>6.5656889999999999</v>
      </c>
      <c r="E607">
        <v>0.4907938</v>
      </c>
      <c r="F607" t="s">
        <v>42</v>
      </c>
      <c r="G607">
        <v>-249.0866</v>
      </c>
      <c r="H607" s="1">
        <v>-6.2626999999999996E-7</v>
      </c>
      <c r="I607">
        <v>368.5215</v>
      </c>
      <c r="J607">
        <v>-269.11860000000001</v>
      </c>
      <c r="K607">
        <v>1.1023240000000001</v>
      </c>
      <c r="L607">
        <v>367.44979999999998</v>
      </c>
      <c r="M607">
        <v>0.99991759999999996</v>
      </c>
      <c r="N607">
        <v>0</v>
      </c>
      <c r="O607">
        <v>-2.882057E-4</v>
      </c>
      <c r="P607">
        <v>0.9994208</v>
      </c>
      <c r="Q607">
        <v>1.6557079999999998E-2</v>
      </c>
      <c r="R607">
        <v>2.973597E-2</v>
      </c>
      <c r="S607">
        <v>2.9995729999999998</v>
      </c>
      <c r="T607">
        <v>-0.16151389999999999</v>
      </c>
      <c r="U607">
        <v>0.15707399999999999</v>
      </c>
      <c r="V607">
        <v>-3.0023080000000001E-2</v>
      </c>
      <c r="W607">
        <v>2.9389740000000001E-2</v>
      </c>
      <c r="X607">
        <v>0.99911700000000003</v>
      </c>
      <c r="Y607">
        <v>-5.2505379999999997E-2</v>
      </c>
      <c r="Z607">
        <v>1.427102E-3</v>
      </c>
      <c r="AA607">
        <v>0.99861960000000005</v>
      </c>
      <c r="AB607">
        <v>43</v>
      </c>
      <c r="AC607">
        <v>20.032</v>
      </c>
      <c r="AD607">
        <v>-1.1023246262699999</v>
      </c>
      <c r="AE607">
        <v>1.0717000000000201</v>
      </c>
      <c r="AF607">
        <v>-1.0742301735956199</v>
      </c>
      <c r="AG607">
        <v>-1.1023246262699999</v>
      </c>
      <c r="AH607">
        <v>19.971387486230402</v>
      </c>
      <c r="AI607">
        <v>93.154695047003898</v>
      </c>
      <c r="AJ607">
        <v>93.078884747460293</v>
      </c>
      <c r="AK607">
        <v>20.030611777294801</v>
      </c>
      <c r="AL607">
        <v>88.315849362392498</v>
      </c>
      <c r="AM607">
        <v>91.721198103195306</v>
      </c>
      <c r="AN607">
        <v>0.99999996091947596</v>
      </c>
    </row>
    <row r="608" spans="1:40" x14ac:dyDescent="0.3">
      <c r="A608" t="str">
        <f>"20200111153841467"</f>
        <v>20200111153841467</v>
      </c>
      <c r="B608" t="str">
        <f>"1578728321461442"</f>
        <v>1578728321461442</v>
      </c>
      <c r="C608" t="s">
        <v>40</v>
      </c>
      <c r="D608">
        <v>4.9091800000000001</v>
      </c>
      <c r="E608">
        <v>0.49224050000000003</v>
      </c>
      <c r="F608" t="s">
        <v>42</v>
      </c>
      <c r="G608">
        <v>-245.2816</v>
      </c>
      <c r="H608" s="1">
        <v>-2.3647290000000002E-6</v>
      </c>
      <c r="I608">
        <v>368.74919999999997</v>
      </c>
      <c r="J608">
        <v>-268.67250000000001</v>
      </c>
      <c r="K608">
        <v>1.1027180000000001</v>
      </c>
      <c r="L608">
        <v>367.44970000000001</v>
      </c>
      <c r="M608">
        <v>0.9999152</v>
      </c>
      <c r="N608">
        <v>0</v>
      </c>
      <c r="O608">
        <v>-2.8812059999999999E-4</v>
      </c>
      <c r="P608">
        <v>0.99943599999999999</v>
      </c>
      <c r="Q608">
        <v>1.7048750000000001E-2</v>
      </c>
      <c r="R608">
        <v>2.893548E-2</v>
      </c>
      <c r="S608">
        <v>2.9991759999999998</v>
      </c>
      <c r="T608">
        <v>-0.13869519999999999</v>
      </c>
      <c r="U608">
        <v>0.16348270000000001</v>
      </c>
      <c r="V608">
        <v>-2.922257E-2</v>
      </c>
      <c r="W608">
        <v>3.0069889999999998E-2</v>
      </c>
      <c r="X608">
        <v>0.99912049999999997</v>
      </c>
      <c r="Y608">
        <v>-5.4657560000000001E-2</v>
      </c>
      <c r="Z608">
        <v>1.2755010000000001E-3</v>
      </c>
      <c r="AA608">
        <v>0.99850430000000001</v>
      </c>
      <c r="AB608">
        <v>43</v>
      </c>
      <c r="AC608">
        <v>23.390899999999998</v>
      </c>
      <c r="AD608">
        <v>-1.102720364729</v>
      </c>
      <c r="AE608">
        <v>1.2994999999999599</v>
      </c>
      <c r="AF608">
        <v>-1.3033521624931099</v>
      </c>
      <c r="AG608">
        <v>-1.102720364729</v>
      </c>
      <c r="AH608">
        <v>23.338814249540501</v>
      </c>
      <c r="AI608">
        <v>92.700916945547306</v>
      </c>
      <c r="AJ608">
        <v>93.196353180190002</v>
      </c>
      <c r="AK608">
        <v>23.401174535412</v>
      </c>
      <c r="AL608">
        <v>88.276862409705501</v>
      </c>
      <c r="AM608">
        <v>91.675326179547497</v>
      </c>
      <c r="AN608">
        <v>0.99999996520113199</v>
      </c>
    </row>
    <row r="609" spans="1:40" x14ac:dyDescent="0.3">
      <c r="A609" t="str">
        <f>"20200111153841488"</f>
        <v>20200111153841488</v>
      </c>
      <c r="B609" t="str">
        <f>"1578728321480965"</f>
        <v>1578728321480965</v>
      </c>
      <c r="C609" t="s">
        <v>40</v>
      </c>
      <c r="D609">
        <v>4.9003079999999999</v>
      </c>
      <c r="E609">
        <v>0.4924636</v>
      </c>
      <c r="F609" t="s">
        <v>42</v>
      </c>
      <c r="G609">
        <v>-243.4342</v>
      </c>
      <c r="H609" s="1">
        <v>-3.2454899999999998E-6</v>
      </c>
      <c r="I609">
        <v>368.70710000000003</v>
      </c>
      <c r="J609">
        <v>-268.2516</v>
      </c>
      <c r="K609">
        <v>1.1030260000000001</v>
      </c>
      <c r="L609">
        <v>367.44959999999998</v>
      </c>
      <c r="M609">
        <v>0.99991300000000005</v>
      </c>
      <c r="N609">
        <v>0</v>
      </c>
      <c r="O609">
        <v>-2.8786110000000002E-4</v>
      </c>
      <c r="P609">
        <v>0.99946299999999999</v>
      </c>
      <c r="Q609">
        <v>1.756023E-2</v>
      </c>
      <c r="R609">
        <v>2.7667259999999999E-2</v>
      </c>
      <c r="S609">
        <v>2.999603</v>
      </c>
      <c r="T609">
        <v>-0.13105929999999999</v>
      </c>
      <c r="U609">
        <v>0.14944460000000001</v>
      </c>
      <c r="V609">
        <v>-2.7953760000000001E-2</v>
      </c>
      <c r="W609">
        <v>3.0741919999999999E-2</v>
      </c>
      <c r="X609">
        <v>0.99913640000000004</v>
      </c>
      <c r="Y609">
        <v>-4.9999410000000001E-2</v>
      </c>
      <c r="Z609">
        <v>1.1036609999999999E-3</v>
      </c>
      <c r="AA609">
        <v>0.99874870000000004</v>
      </c>
      <c r="AB609">
        <v>43</v>
      </c>
      <c r="AC609">
        <v>24.8173999999999</v>
      </c>
      <c r="AD609">
        <v>-1.1030292454899999</v>
      </c>
      <c r="AE609">
        <v>1.25750000000005</v>
      </c>
      <c r="AF609">
        <v>-1.2621576151463301</v>
      </c>
      <c r="AG609">
        <v>-1.1030292454899999</v>
      </c>
      <c r="AH609">
        <v>24.768234357268501</v>
      </c>
      <c r="AI609">
        <v>92.5466269802927</v>
      </c>
      <c r="AJ609">
        <v>92.917196435837198</v>
      </c>
      <c r="AK609">
        <v>24.824889698414701</v>
      </c>
      <c r="AL609">
        <v>88.238340196115203</v>
      </c>
      <c r="AM609">
        <v>91.602598769844604</v>
      </c>
      <c r="AN609">
        <v>1.0000000120741901</v>
      </c>
    </row>
    <row r="610" spans="1:40" x14ac:dyDescent="0.3">
      <c r="A610" t="str">
        <f>"20200111153841510"</f>
        <v>20200111153841510</v>
      </c>
      <c r="B610" t="str">
        <f>"1578728321500482"</f>
        <v>1578728321500482</v>
      </c>
      <c r="C610" t="s">
        <v>40</v>
      </c>
      <c r="D610">
        <v>4.8947430000000001</v>
      </c>
      <c r="E610">
        <v>0.49292710000000001</v>
      </c>
      <c r="F610" t="s">
        <v>42</v>
      </c>
      <c r="G610">
        <v>-243.55410000000001</v>
      </c>
      <c r="H610" s="1">
        <v>-3.2021330000000001E-6</v>
      </c>
      <c r="I610">
        <v>368.63189999999997</v>
      </c>
      <c r="J610">
        <v>-267.83969999999999</v>
      </c>
      <c r="K610">
        <v>1.103281</v>
      </c>
      <c r="L610">
        <v>367.44940000000003</v>
      </c>
      <c r="M610">
        <v>0.9999112</v>
      </c>
      <c r="N610">
        <v>0</v>
      </c>
      <c r="O610">
        <v>-2.8736469999999999E-4</v>
      </c>
      <c r="P610">
        <v>0.99948300000000001</v>
      </c>
      <c r="Q610">
        <v>1.792885E-2</v>
      </c>
      <c r="R610">
        <v>2.6688699999999999E-2</v>
      </c>
      <c r="S610">
        <v>3</v>
      </c>
      <c r="T610">
        <v>-0.13398499999999999</v>
      </c>
      <c r="U610">
        <v>0.14361570000000001</v>
      </c>
      <c r="V610">
        <v>-2.6974729999999999E-2</v>
      </c>
      <c r="W610">
        <v>3.1250939999999998E-2</v>
      </c>
      <c r="X610">
        <v>0.99914749999999997</v>
      </c>
      <c r="Y610">
        <v>-4.8056130000000002E-2</v>
      </c>
      <c r="Z610">
        <v>1.084808E-3</v>
      </c>
      <c r="AA610">
        <v>0.99884399999999995</v>
      </c>
      <c r="AB610">
        <v>43</v>
      </c>
      <c r="AC610">
        <v>24.285599999999899</v>
      </c>
      <c r="AD610">
        <v>-1.103284202133</v>
      </c>
      <c r="AE610">
        <v>1.1824999999999399</v>
      </c>
      <c r="AF610">
        <v>-1.1870353321281799</v>
      </c>
      <c r="AG610">
        <v>-1.103284202133</v>
      </c>
      <c r="AH610">
        <v>24.235359432352698</v>
      </c>
      <c r="AI610">
        <v>92.603401977472103</v>
      </c>
      <c r="AJ610">
        <v>92.804076672303495</v>
      </c>
      <c r="AK610">
        <v>24.289481997888</v>
      </c>
      <c r="AL610">
        <v>88.209161442047801</v>
      </c>
      <c r="AM610">
        <v>91.546481218812403</v>
      </c>
      <c r="AN610">
        <v>0.99999999203285295</v>
      </c>
    </row>
    <row r="611" spans="1:40" x14ac:dyDescent="0.3">
      <c r="A611" t="str">
        <f>"20200111153841532"</f>
        <v>20200111153841532</v>
      </c>
      <c r="B611" t="str">
        <f>"1578728321520981"</f>
        <v>1578728321520981</v>
      </c>
      <c r="C611" t="s">
        <v>40</v>
      </c>
      <c r="D611">
        <v>4.8753650000000004</v>
      </c>
      <c r="E611">
        <v>0.4929384</v>
      </c>
      <c r="F611" t="s">
        <v>42</v>
      </c>
      <c r="G611">
        <v>-243.32409999999999</v>
      </c>
      <c r="H611" s="1">
        <v>-3.3227879999999999E-6</v>
      </c>
      <c r="I611">
        <v>368.56450000000001</v>
      </c>
      <c r="J611">
        <v>-267.40280000000001</v>
      </c>
      <c r="K611">
        <v>1.1035079999999999</v>
      </c>
      <c r="L611">
        <v>367.44929999999999</v>
      </c>
      <c r="M611">
        <v>0.99990950000000001</v>
      </c>
      <c r="N611">
        <v>0</v>
      </c>
      <c r="O611">
        <v>-2.8730599999999998E-4</v>
      </c>
      <c r="P611">
        <v>0.99949659999999996</v>
      </c>
      <c r="Q611">
        <v>1.7938030000000001E-2</v>
      </c>
      <c r="R611">
        <v>2.6175529999999999E-2</v>
      </c>
      <c r="S611">
        <v>3.0003660000000001</v>
      </c>
      <c r="T611">
        <v>-0.135026799999999</v>
      </c>
      <c r="U611">
        <v>0.1364746</v>
      </c>
      <c r="V611">
        <v>-2.6461499999999999E-2</v>
      </c>
      <c r="W611">
        <v>3.1392969999999999E-2</v>
      </c>
      <c r="X611">
        <v>0.99915679999999996</v>
      </c>
      <c r="Y611">
        <v>-4.5679610000000002E-2</v>
      </c>
      <c r="Z611">
        <v>1.039737E-3</v>
      </c>
      <c r="AA611">
        <v>0.99895560000000005</v>
      </c>
      <c r="AB611">
        <v>43</v>
      </c>
      <c r="AC611">
        <v>24.078700000000001</v>
      </c>
      <c r="AD611">
        <v>-1.103511322788</v>
      </c>
      <c r="AE611">
        <v>1.11520000000001</v>
      </c>
      <c r="AF611">
        <v>-1.1197716789968599</v>
      </c>
      <c r="AG611">
        <v>-1.103511322788</v>
      </c>
      <c r="AH611">
        <v>24.028019827363</v>
      </c>
      <c r="AI611">
        <v>92.626672657765198</v>
      </c>
      <c r="AJ611">
        <v>92.668210094876599</v>
      </c>
      <c r="AK611">
        <v>24.079397057998602</v>
      </c>
      <c r="AL611">
        <v>88.201019778466105</v>
      </c>
      <c r="AM611">
        <v>91.517057132912896</v>
      </c>
      <c r="AN611">
        <v>1.0000000202669499</v>
      </c>
    </row>
    <row r="612" spans="1:40" x14ac:dyDescent="0.3">
      <c r="A612" t="str">
        <f>"20200111153841556"</f>
        <v>20200111153841556</v>
      </c>
      <c r="B612" t="str">
        <f>"1578728321551334"</f>
        <v>1578728321551334</v>
      </c>
      <c r="C612" t="s">
        <v>40</v>
      </c>
      <c r="D612">
        <v>4.922282</v>
      </c>
      <c r="E612">
        <v>0.49298930000000002</v>
      </c>
      <c r="F612" t="s">
        <v>42</v>
      </c>
      <c r="G612">
        <v>-243.18219999999999</v>
      </c>
      <c r="H612" s="1">
        <v>-3.394775E-6</v>
      </c>
      <c r="I612">
        <v>368.5369</v>
      </c>
      <c r="J612">
        <v>-266.97859999999997</v>
      </c>
      <c r="K612">
        <v>1.1036919999999999</v>
      </c>
      <c r="L612">
        <v>367.44920000000002</v>
      </c>
      <c r="M612">
        <v>0.99990789999999996</v>
      </c>
      <c r="N612">
        <v>0</v>
      </c>
      <c r="O612">
        <v>-2.8677200000000003E-4</v>
      </c>
      <c r="P612">
        <v>0.99948970000000004</v>
      </c>
      <c r="Q612">
        <v>1.8779790000000001E-2</v>
      </c>
      <c r="R612">
        <v>2.5840269999999999E-2</v>
      </c>
      <c r="S612">
        <v>3.0004270000000002</v>
      </c>
      <c r="T612">
        <v>-0.13670209999999999</v>
      </c>
      <c r="U612">
        <v>0.1347351</v>
      </c>
      <c r="V612">
        <v>-2.6125289999999999E-2</v>
      </c>
      <c r="W612">
        <v>3.2349019999999999E-2</v>
      </c>
      <c r="X612">
        <v>0.99913510000000005</v>
      </c>
      <c r="Y612">
        <v>-4.509962E-2</v>
      </c>
      <c r="Z612">
        <v>1.039393E-3</v>
      </c>
      <c r="AA612">
        <v>0.99898200000000004</v>
      </c>
      <c r="AB612">
        <v>43</v>
      </c>
      <c r="AC612">
        <v>23.796399999999899</v>
      </c>
      <c r="AD612">
        <v>-1.1036953947749999</v>
      </c>
      <c r="AE612">
        <v>1.0876999999999799</v>
      </c>
      <c r="AF612">
        <v>-1.0921801515199201</v>
      </c>
      <c r="AG612">
        <v>-1.1036953947749999</v>
      </c>
      <c r="AH612">
        <v>23.745113650110699</v>
      </c>
      <c r="AI612">
        <v>92.658440117955905</v>
      </c>
      <c r="AJ612">
        <v>92.633520303317795</v>
      </c>
      <c r="AK612">
        <v>23.795827854153199</v>
      </c>
      <c r="AL612">
        <v>88.146214210653994</v>
      </c>
      <c r="AM612">
        <v>91.497823319947599</v>
      </c>
      <c r="AN612">
        <v>0.99999996896227605</v>
      </c>
    </row>
    <row r="613" spans="1:40" x14ac:dyDescent="0.3">
      <c r="A613" t="str">
        <f>"20200111153841578"</f>
        <v>20200111153841578</v>
      </c>
      <c r="B613" t="str">
        <f>"1578728321570854"</f>
        <v>1578728321570854</v>
      </c>
      <c r="C613" t="s">
        <v>40</v>
      </c>
      <c r="D613">
        <v>4.8763069999999997</v>
      </c>
      <c r="E613">
        <v>0.49277569999999998</v>
      </c>
      <c r="F613" t="s">
        <v>42</v>
      </c>
      <c r="G613">
        <v>-242.69730000000001</v>
      </c>
      <c r="H613" s="1">
        <v>-3.6258250000000001E-6</v>
      </c>
      <c r="I613">
        <v>368.52659999999997</v>
      </c>
      <c r="J613">
        <v>-266.52620000000002</v>
      </c>
      <c r="K613">
        <v>1.10385</v>
      </c>
      <c r="L613">
        <v>367.44900000000001</v>
      </c>
      <c r="M613">
        <v>0.99990650000000003</v>
      </c>
      <c r="N613">
        <v>0</v>
      </c>
      <c r="O613">
        <v>-2.8655109999999999E-4</v>
      </c>
      <c r="P613">
        <v>0.99947790000000003</v>
      </c>
      <c r="Q613">
        <v>1.9479389999999999E-2</v>
      </c>
      <c r="R613">
        <v>2.5782139999999999E-2</v>
      </c>
      <c r="S613">
        <v>3.0006710000000001</v>
      </c>
      <c r="T613">
        <v>-0.13639389999999901</v>
      </c>
      <c r="U613">
        <v>0.13314819999999999</v>
      </c>
      <c r="V613">
        <v>-2.6067429999999999E-2</v>
      </c>
      <c r="W613">
        <v>3.3155860000000002E-2</v>
      </c>
      <c r="X613">
        <v>0.99911019999999995</v>
      </c>
      <c r="Y613">
        <v>-4.4569259999999999E-2</v>
      </c>
      <c r="Z613">
        <v>1.0249289999999999E-3</v>
      </c>
      <c r="AA613">
        <v>0.99900580000000005</v>
      </c>
      <c r="AB613">
        <v>43</v>
      </c>
      <c r="AC613">
        <v>23.828900000000001</v>
      </c>
      <c r="AD613">
        <v>-1.103853625825</v>
      </c>
      <c r="AE613">
        <v>1.0775999999999599</v>
      </c>
      <c r="AF613">
        <v>-1.08211139839325</v>
      </c>
      <c r="AG613">
        <v>-1.103853625825</v>
      </c>
      <c r="AH613">
        <v>23.777669194534798</v>
      </c>
      <c r="AI613">
        <v>92.655244433064198</v>
      </c>
      <c r="AJ613">
        <v>92.605708122626297</v>
      </c>
      <c r="AK613">
        <v>23.827862057484499</v>
      </c>
      <c r="AL613">
        <v>88.099960938079093</v>
      </c>
      <c r="AM613">
        <v>91.494544807889895</v>
      </c>
      <c r="AN613">
        <v>1.00000000685159</v>
      </c>
    </row>
    <row r="614" spans="1:40" x14ac:dyDescent="0.3">
      <c r="A614" t="str">
        <f>"20200111153841600"</f>
        <v>20200111153841600</v>
      </c>
      <c r="B614" t="str">
        <f>"1578728321591354"</f>
        <v>1578728321591354</v>
      </c>
      <c r="C614" t="s">
        <v>40</v>
      </c>
      <c r="D614">
        <v>4.8519410000000001</v>
      </c>
      <c r="E614">
        <v>0.4927455</v>
      </c>
      <c r="F614" t="s">
        <v>42</v>
      </c>
      <c r="G614">
        <v>-241.93440000000001</v>
      </c>
      <c r="H614" s="1">
        <v>-3.9820129999999999E-6</v>
      </c>
      <c r="I614">
        <v>368.55169999999998</v>
      </c>
      <c r="J614">
        <v>-266.1182</v>
      </c>
      <c r="K614">
        <v>1.103969</v>
      </c>
      <c r="L614">
        <v>367.44889999999998</v>
      </c>
      <c r="M614">
        <v>0.9999053</v>
      </c>
      <c r="N614">
        <v>0</v>
      </c>
      <c r="O614">
        <v>-2.8630730000000002E-4</v>
      </c>
      <c r="P614">
        <v>0.99945059999999997</v>
      </c>
      <c r="Q614">
        <v>2.0722830000000001E-2</v>
      </c>
      <c r="R614">
        <v>2.587472E-2</v>
      </c>
      <c r="S614">
        <v>3.0007320000000002</v>
      </c>
      <c r="T614">
        <v>-0.13469400000000001</v>
      </c>
      <c r="U614">
        <v>0.134552</v>
      </c>
      <c r="V614">
        <v>-2.615963E-2</v>
      </c>
      <c r="W614">
        <v>3.4484529999999999E-2</v>
      </c>
      <c r="X614">
        <v>0.99906280000000003</v>
      </c>
      <c r="Y614">
        <v>-4.5035220000000001E-2</v>
      </c>
      <c r="Z614">
        <v>1.0225739999999901E-3</v>
      </c>
      <c r="AA614">
        <v>0.99898489999999995</v>
      </c>
      <c r="AB614">
        <v>43</v>
      </c>
      <c r="AC614">
        <v>24.183799999999898</v>
      </c>
      <c r="AD614">
        <v>-1.103972982013</v>
      </c>
      <c r="AE614">
        <v>1.1028</v>
      </c>
      <c r="AF614">
        <v>-1.1074216896523399</v>
      </c>
      <c r="AG614">
        <v>-1.103972982013</v>
      </c>
      <c r="AH614">
        <v>24.133297269403901</v>
      </c>
      <c r="AI614">
        <v>92.616408969168901</v>
      </c>
      <c r="AJ614">
        <v>92.627328907901003</v>
      </c>
      <c r="AK614">
        <v>24.1839032465221</v>
      </c>
      <c r="AL614">
        <v>88.0237901488684</v>
      </c>
      <c r="AM614">
        <v>91.499899700016002</v>
      </c>
      <c r="AN614">
        <v>0.99999999369744796</v>
      </c>
    </row>
    <row r="615" spans="1:40" x14ac:dyDescent="0.3">
      <c r="A615" t="str">
        <f>"20200111153841622"</f>
        <v>20200111153841622</v>
      </c>
      <c r="B615" t="str">
        <f>"1578728321610873"</f>
        <v>1578728321610873</v>
      </c>
      <c r="C615" t="s">
        <v>40</v>
      </c>
      <c r="D615">
        <v>4.9137209999999998</v>
      </c>
      <c r="E615">
        <v>0.49259629999999999</v>
      </c>
      <c r="F615" t="s">
        <v>42</v>
      </c>
      <c r="G615">
        <v>-241.1061</v>
      </c>
      <c r="H615" s="1">
        <v>-4.3696730000000002E-6</v>
      </c>
      <c r="I615">
        <v>368.57350000000002</v>
      </c>
      <c r="J615">
        <v>-265.69560000000001</v>
      </c>
      <c r="K615">
        <v>1.104068</v>
      </c>
      <c r="L615">
        <v>367.44880000000001</v>
      </c>
      <c r="M615">
        <v>0.99990420000000002</v>
      </c>
      <c r="N615">
        <v>0</v>
      </c>
      <c r="O615">
        <v>-2.8625690000000001E-4</v>
      </c>
      <c r="P615">
        <v>0.99942209999999998</v>
      </c>
      <c r="Q615">
        <v>2.1522079999999999E-2</v>
      </c>
      <c r="R615">
        <v>2.6320630000000001E-2</v>
      </c>
      <c r="S615">
        <v>3.0008849999999998</v>
      </c>
      <c r="T615">
        <v>-0.13245179999999901</v>
      </c>
      <c r="U615">
        <v>0.13491819999999999</v>
      </c>
      <c r="V615">
        <v>-2.6605670000000001E-2</v>
      </c>
      <c r="W615">
        <v>3.5362329999999997E-2</v>
      </c>
      <c r="X615">
        <v>0.99902029999999997</v>
      </c>
      <c r="Y615">
        <v>-4.5155939999999999E-2</v>
      </c>
      <c r="Z615">
        <v>1.008173E-3</v>
      </c>
      <c r="AA615">
        <v>0.99897939999999996</v>
      </c>
      <c r="AB615">
        <v>43</v>
      </c>
      <c r="AC615">
        <v>24.589500000000001</v>
      </c>
      <c r="AD615">
        <v>-1.1040723696729999</v>
      </c>
      <c r="AE615">
        <v>1.12470000000001</v>
      </c>
      <c r="AF615">
        <v>-1.12946726274859</v>
      </c>
      <c r="AG615">
        <v>-1.1040723696729999</v>
      </c>
      <c r="AH615">
        <v>24.539807452871301</v>
      </c>
      <c r="AI615">
        <v>92.573341065646503</v>
      </c>
      <c r="AJ615">
        <v>92.635231314612696</v>
      </c>
      <c r="AK615">
        <v>24.5905840093133</v>
      </c>
      <c r="AL615">
        <v>87.973465140503393</v>
      </c>
      <c r="AM615">
        <v>91.525526921956597</v>
      </c>
      <c r="AN615">
        <v>0.99999995793563301</v>
      </c>
    </row>
    <row r="616" spans="1:40" x14ac:dyDescent="0.3">
      <c r="A616" t="str">
        <f>"20200111153841645"</f>
        <v>20200111153841645</v>
      </c>
      <c r="B616" t="str">
        <f>"1578728321641126"</f>
        <v>1578728321641126</v>
      </c>
      <c r="C616" t="s">
        <v>40</v>
      </c>
      <c r="D616">
        <v>4.7747390000000003</v>
      </c>
      <c r="E616">
        <v>0.41281289999999998</v>
      </c>
      <c r="F616" t="s">
        <v>42</v>
      </c>
      <c r="G616">
        <v>-240.58260000000001</v>
      </c>
      <c r="H616" s="1">
        <v>-4.6128659999999998E-6</v>
      </c>
      <c r="I616">
        <v>368.59769999999997</v>
      </c>
      <c r="J616">
        <v>-265.2715</v>
      </c>
      <c r="K616">
        <v>1.10415</v>
      </c>
      <c r="L616">
        <v>367.44869999999997</v>
      </c>
      <c r="M616">
        <v>0.99990310000000004</v>
      </c>
      <c r="N616">
        <v>0</v>
      </c>
      <c r="O616">
        <v>-2.860273E-4</v>
      </c>
      <c r="P616">
        <v>0.9993995</v>
      </c>
      <c r="Q616">
        <v>2.181549E-2</v>
      </c>
      <c r="R616">
        <v>2.692288E-2</v>
      </c>
      <c r="S616">
        <v>3.0009769999999998</v>
      </c>
      <c r="T616">
        <v>-0.13193529999999901</v>
      </c>
      <c r="U616">
        <v>0.13729859999999999</v>
      </c>
      <c r="V616">
        <v>-2.7207439999999999E-2</v>
      </c>
      <c r="W616">
        <v>3.5724499999999999E-2</v>
      </c>
      <c r="X616">
        <v>0.99899130000000003</v>
      </c>
      <c r="Y616">
        <v>-4.5944690000000003E-2</v>
      </c>
      <c r="Z616">
        <v>1.021508E-3</v>
      </c>
      <c r="AA616">
        <v>0.99894340000000004</v>
      </c>
      <c r="AB616">
        <v>43</v>
      </c>
      <c r="AC616">
        <v>24.688899999999901</v>
      </c>
      <c r="AD616">
        <v>-1.104154612866</v>
      </c>
      <c r="AE616">
        <v>1.149</v>
      </c>
      <c r="AF616">
        <v>-1.1537596646878201</v>
      </c>
      <c r="AG616">
        <v>-1.104154612866</v>
      </c>
      <c r="AH616">
        <v>24.639395045922999</v>
      </c>
      <c r="AI616">
        <v>92.563049834902699</v>
      </c>
      <c r="AJ616">
        <v>92.680963031073205</v>
      </c>
      <c r="AK616">
        <v>24.6910936777217</v>
      </c>
      <c r="AL616">
        <v>87.952701397791898</v>
      </c>
      <c r="AM616">
        <v>91.560059861179894</v>
      </c>
      <c r="AN616">
        <v>1.00000005108364</v>
      </c>
    </row>
    <row r="617" spans="1:40" x14ac:dyDescent="0.3">
      <c r="A617" t="str">
        <f>"20200111153841659"</f>
        <v>20200111153841659</v>
      </c>
      <c r="B617" t="str">
        <f>"1578728321650887"</f>
        <v>1578728321650887</v>
      </c>
      <c r="C617" t="s">
        <v>40</v>
      </c>
      <c r="D617">
        <v>4.7659339999999997</v>
      </c>
      <c r="E617">
        <v>0.41435450000000001</v>
      </c>
      <c r="F617" t="s">
        <v>42</v>
      </c>
      <c r="G617">
        <v>-246.2193</v>
      </c>
      <c r="H617" s="1">
        <v>-2.5074030000000002E-6</v>
      </c>
      <c r="I617">
        <v>372.3965</v>
      </c>
      <c r="J617">
        <v>-264.97449999999998</v>
      </c>
      <c r="K617">
        <v>1.1041970000000001</v>
      </c>
      <c r="L617">
        <v>367.4486</v>
      </c>
      <c r="M617">
        <v>0.99990250000000003</v>
      </c>
      <c r="N617">
        <v>0</v>
      </c>
      <c r="O617">
        <v>-2.8597710000000001E-4</v>
      </c>
      <c r="P617">
        <v>0.99937339999999997</v>
      </c>
      <c r="Q617">
        <v>2.2457029999999999E-2</v>
      </c>
      <c r="R617">
        <v>2.7363180000000001E-2</v>
      </c>
      <c r="S617">
        <v>2.9847109999999999</v>
      </c>
      <c r="T617">
        <v>-0.17297580000000001</v>
      </c>
      <c r="U617">
        <v>0.77511600000000003</v>
      </c>
      <c r="V617">
        <v>-2.764786E-2</v>
      </c>
      <c r="W617">
        <v>3.6409740000000003E-2</v>
      </c>
      <c r="X617">
        <v>0.99895440000000002</v>
      </c>
      <c r="Y617">
        <v>-0.2512392</v>
      </c>
      <c r="Z617">
        <v>7.171953E-3</v>
      </c>
      <c r="AA617">
        <v>0.96789849999999999</v>
      </c>
      <c r="AB617">
        <v>43</v>
      </c>
      <c r="AC617">
        <v>18.755199999999899</v>
      </c>
      <c r="AD617">
        <v>-1.10419950740299</v>
      </c>
      <c r="AE617">
        <v>4.9478999999999997</v>
      </c>
      <c r="AF617">
        <v>-4.9372639748973004</v>
      </c>
      <c r="AG617">
        <v>-1.10419950740299</v>
      </c>
      <c r="AH617">
        <v>18.693206126768398</v>
      </c>
      <c r="AI617">
        <v>93.268675014132697</v>
      </c>
      <c r="AJ617">
        <v>104.79514612525099</v>
      </c>
      <c r="AK617">
        <v>19.365737460985599</v>
      </c>
      <c r="AL617">
        <v>87.913414336326895</v>
      </c>
      <c r="AM617">
        <v>91.585359050059296</v>
      </c>
      <c r="AN617">
        <v>0.99999998330440298</v>
      </c>
    </row>
    <row r="618" spans="1:40" x14ac:dyDescent="0.3">
      <c r="A618" t="str">
        <f>"20200111153841680"</f>
        <v>20200111153841680</v>
      </c>
      <c r="B618" t="str">
        <f>"1578728321671382"</f>
        <v>1578728321671382</v>
      </c>
      <c r="C618" t="s">
        <v>40</v>
      </c>
      <c r="D618">
        <v>4.7105259999999998</v>
      </c>
      <c r="E618">
        <v>0.41703089999999998</v>
      </c>
      <c r="F618" t="s">
        <v>42</v>
      </c>
      <c r="G618">
        <v>-244.9513</v>
      </c>
      <c r="H618" s="1">
        <v>-3.1541480000000001E-6</v>
      </c>
      <c r="I618">
        <v>372.5745</v>
      </c>
      <c r="J618">
        <v>-264.608</v>
      </c>
      <c r="K618">
        <v>1.104244</v>
      </c>
      <c r="L618">
        <v>367.44850000000002</v>
      </c>
      <c r="M618">
        <v>0.99990179999999995</v>
      </c>
      <c r="N618">
        <v>0</v>
      </c>
      <c r="O618">
        <v>-2.8584379999999998E-4</v>
      </c>
      <c r="P618">
        <v>0.99933070000000002</v>
      </c>
      <c r="Q618">
        <v>2.3218519999999999E-2</v>
      </c>
      <c r="R618">
        <v>2.8272220000000001E-2</v>
      </c>
      <c r="S618">
        <v>2.9846499999999998</v>
      </c>
      <c r="T618">
        <v>-0.16459179999999901</v>
      </c>
      <c r="U618">
        <v>0.76406859999999999</v>
      </c>
      <c r="V618">
        <v>-2.85568E-2</v>
      </c>
      <c r="W618">
        <v>3.7219809999999999E-2</v>
      </c>
      <c r="X618">
        <v>0.99889899999999998</v>
      </c>
      <c r="Y618">
        <v>-0.2479249</v>
      </c>
      <c r="Z618">
        <v>6.7382040000000002E-3</v>
      </c>
      <c r="AA618">
        <v>0.96875579999999994</v>
      </c>
      <c r="AB618">
        <v>43</v>
      </c>
      <c r="AC618">
        <v>19.656700000000001</v>
      </c>
      <c r="AD618">
        <v>-1.1042471541479999</v>
      </c>
      <c r="AE618">
        <v>5.1259999999999701</v>
      </c>
      <c r="AF618">
        <v>-5.11650049403098</v>
      </c>
      <c r="AG618">
        <v>-1.1042471541479999</v>
      </c>
      <c r="AH618">
        <v>19.597326265765702</v>
      </c>
      <c r="AI618">
        <v>93.120638593052007</v>
      </c>
      <c r="AJ618">
        <v>104.632245822934</v>
      </c>
      <c r="AK618">
        <v>20.284307625594099</v>
      </c>
      <c r="AL618">
        <v>87.866969311413499</v>
      </c>
      <c r="AM618">
        <v>91.637541522700005</v>
      </c>
      <c r="AN618">
        <v>1.0000000086418299</v>
      </c>
    </row>
    <row r="619" spans="1:40" x14ac:dyDescent="0.3">
      <c r="A619" t="str">
        <f>"20200111153841700"</f>
        <v>20200111153841700</v>
      </c>
      <c r="B619" t="str">
        <f>"1578728321690902"</f>
        <v>1578728321690902</v>
      </c>
      <c r="C619" t="s">
        <v>40</v>
      </c>
      <c r="D619">
        <v>4.6938430000000002</v>
      </c>
      <c r="E619">
        <v>0.41845529999999997</v>
      </c>
      <c r="F619" t="s">
        <v>42</v>
      </c>
      <c r="G619">
        <v>-243.27979999999999</v>
      </c>
      <c r="H619" s="1">
        <v>-3.9977410000000004E-6</v>
      </c>
      <c r="I619">
        <v>372.77550000000002</v>
      </c>
      <c r="J619">
        <v>-264.20190000000002</v>
      </c>
      <c r="K619">
        <v>1.1043000000000001</v>
      </c>
      <c r="L619">
        <v>367.44830000000002</v>
      </c>
      <c r="M619">
        <v>0.99990129999999999</v>
      </c>
      <c r="N619">
        <v>0</v>
      </c>
      <c r="O619">
        <v>-2.8582359999999998E-4</v>
      </c>
      <c r="P619">
        <v>0.99926570000000003</v>
      </c>
      <c r="Q619">
        <v>2.4258769999999999E-2</v>
      </c>
      <c r="R619">
        <v>2.9663180000000001E-2</v>
      </c>
      <c r="S619">
        <v>2.9844970000000002</v>
      </c>
      <c r="T619">
        <v>-0.15451989999999999</v>
      </c>
      <c r="U619">
        <v>0.74542240000000004</v>
      </c>
      <c r="V619">
        <v>-2.9947330000000001E-2</v>
      </c>
      <c r="W619">
        <v>3.8306710000000001E-2</v>
      </c>
      <c r="X619">
        <v>0.99881719999999896</v>
      </c>
      <c r="Y619">
        <v>-0.24229229999999999</v>
      </c>
      <c r="Z619">
        <v>6.1879780000000002E-3</v>
      </c>
      <c r="AA619">
        <v>0.97018360000000003</v>
      </c>
      <c r="AB619">
        <v>43</v>
      </c>
      <c r="AC619">
        <v>20.9221</v>
      </c>
      <c r="AD619">
        <v>-1.1043039977410001</v>
      </c>
      <c r="AE619">
        <v>5.3272000000000004</v>
      </c>
      <c r="AF619">
        <v>-5.31926366964551</v>
      </c>
      <c r="AG619">
        <v>-1.1043039977410001</v>
      </c>
      <c r="AH619">
        <v>20.865984902187002</v>
      </c>
      <c r="AI619">
        <v>92.935756116495099</v>
      </c>
      <c r="AJ619">
        <v>104.301523319344</v>
      </c>
      <c r="AK619">
        <v>21.561618196344501</v>
      </c>
      <c r="AL619">
        <v>87.804650105779899</v>
      </c>
      <c r="AM619">
        <v>91.7173730362843</v>
      </c>
      <c r="AN619">
        <v>1.0000000228104899</v>
      </c>
    </row>
    <row r="620" spans="1:40" x14ac:dyDescent="0.3">
      <c r="A620" t="str">
        <f>"20200111153841723"</f>
        <v>20200111153841723</v>
      </c>
      <c r="B620" t="str">
        <f>"1578728321711398"</f>
        <v>1578728321711398</v>
      </c>
      <c r="C620" t="s">
        <v>40</v>
      </c>
      <c r="D620">
        <v>4.8367879999999897</v>
      </c>
      <c r="E620">
        <v>0.42030119999999999</v>
      </c>
      <c r="F620" t="s">
        <v>42</v>
      </c>
      <c r="G620">
        <v>-242.69980000000001</v>
      </c>
      <c r="H620" s="1">
        <v>-4.233676E-6</v>
      </c>
      <c r="I620">
        <v>372.76850000000002</v>
      </c>
      <c r="J620">
        <v>-263.7792</v>
      </c>
      <c r="K620">
        <v>1.1043510000000001</v>
      </c>
      <c r="L620">
        <v>367.44819999999999</v>
      </c>
      <c r="M620">
        <v>0.99990049999999997</v>
      </c>
      <c r="N620">
        <v>0</v>
      </c>
      <c r="O620">
        <v>-2.8541720000000001E-4</v>
      </c>
      <c r="P620">
        <v>0.99919440000000004</v>
      </c>
      <c r="Q620">
        <v>2.555514E-2</v>
      </c>
      <c r="R620">
        <v>3.0945509999999999E-2</v>
      </c>
      <c r="S620">
        <v>2.9840089999999999</v>
      </c>
      <c r="T620">
        <v>-0.15325229999999901</v>
      </c>
      <c r="U620">
        <v>0.73831179999999996</v>
      </c>
      <c r="V620">
        <v>-3.1229699999999999E-2</v>
      </c>
      <c r="W620">
        <v>3.9645600000000003E-2</v>
      </c>
      <c r="X620">
        <v>0.99872570000000005</v>
      </c>
      <c r="Y620">
        <v>-0.24015880000000001</v>
      </c>
      <c r="Z620">
        <v>6.0860269999999999E-3</v>
      </c>
      <c r="AA620">
        <v>0.97071459999999998</v>
      </c>
      <c r="AB620">
        <v>43</v>
      </c>
      <c r="AC620">
        <v>21.0794</v>
      </c>
      <c r="AD620">
        <v>-1.1043552336759901</v>
      </c>
      <c r="AE620">
        <v>5.3203000000000298</v>
      </c>
      <c r="AF620">
        <v>-5.3126083421433901</v>
      </c>
      <c r="AG620">
        <v>-1.1043552336759901</v>
      </c>
      <c r="AH620">
        <v>21.0236318639435</v>
      </c>
      <c r="AI620">
        <v>92.915461107971893</v>
      </c>
      <c r="AJ620">
        <v>104.181586912976</v>
      </c>
      <c r="AK620">
        <v>21.712588621115199</v>
      </c>
      <c r="AL620">
        <v>87.727879072598</v>
      </c>
      <c r="AM620">
        <v>91.791029463126407</v>
      </c>
      <c r="AN620">
        <v>1.0000000458009599</v>
      </c>
    </row>
    <row r="621" spans="1:40" x14ac:dyDescent="0.3">
      <c r="A621" t="str">
        <f>"20200111153841745"</f>
        <v>20200111153841745</v>
      </c>
      <c r="B621" t="str">
        <f>"1578728321740678"</f>
        <v>1578728321740678</v>
      </c>
      <c r="C621" t="s">
        <v>40</v>
      </c>
      <c r="D621">
        <v>4.7897780000000001</v>
      </c>
      <c r="E621">
        <v>0.42142580000000002</v>
      </c>
      <c r="F621" t="s">
        <v>42</v>
      </c>
      <c r="G621">
        <v>-243.1953</v>
      </c>
      <c r="H621" s="1">
        <v>-3.9555620000000001E-6</v>
      </c>
      <c r="I621">
        <v>372.46690000000001</v>
      </c>
      <c r="J621">
        <v>-263.358</v>
      </c>
      <c r="K621">
        <v>1.1043879999999999</v>
      </c>
      <c r="L621">
        <v>367.44810000000001</v>
      </c>
      <c r="M621">
        <v>0.99989989999999995</v>
      </c>
      <c r="N621">
        <v>0</v>
      </c>
      <c r="O621">
        <v>-2.854485E-4</v>
      </c>
      <c r="P621">
        <v>0.99914519999999996</v>
      </c>
      <c r="Q621">
        <v>2.6878969999999999E-2</v>
      </c>
      <c r="R621">
        <v>3.1407089999999999E-2</v>
      </c>
      <c r="S621">
        <v>2.983978</v>
      </c>
      <c r="T621">
        <v>-0.1600946</v>
      </c>
      <c r="U621">
        <v>0.72753909999999999</v>
      </c>
      <c r="V621">
        <v>-3.1690370000000002E-2</v>
      </c>
      <c r="W621">
        <v>4.1006330000000001E-2</v>
      </c>
      <c r="X621">
        <v>0.99865619999999999</v>
      </c>
      <c r="Y621">
        <v>-0.2368316</v>
      </c>
      <c r="Z621">
        <v>6.2722389999999998E-3</v>
      </c>
      <c r="AA621">
        <v>0.97153049999999996</v>
      </c>
      <c r="AB621">
        <v>43</v>
      </c>
      <c r="AC621">
        <v>20.162700000000001</v>
      </c>
      <c r="AD621">
        <v>-1.1043919555620001</v>
      </c>
      <c r="AE621">
        <v>5.0187999999999899</v>
      </c>
      <c r="AF621">
        <v>-5.0104006522027502</v>
      </c>
      <c r="AG621">
        <v>-1.1043919555620001</v>
      </c>
      <c r="AH621">
        <v>20.104468294339998</v>
      </c>
      <c r="AI621">
        <v>93.051109457270897</v>
      </c>
      <c r="AJ621">
        <v>103.994080169461</v>
      </c>
      <c r="AK621">
        <v>20.748817838258301</v>
      </c>
      <c r="AL621">
        <v>87.649851412219803</v>
      </c>
      <c r="AM621">
        <v>91.817557785778106</v>
      </c>
      <c r="AN621">
        <v>1.00000000222462</v>
      </c>
    </row>
    <row r="622" spans="1:40" x14ac:dyDescent="0.3">
      <c r="A622" t="str">
        <f>"20200111153841768"</f>
        <v>20200111153841768</v>
      </c>
      <c r="B622" t="str">
        <f>"1578728321761177"</f>
        <v>1578728321761177</v>
      </c>
      <c r="C622" t="s">
        <v>40</v>
      </c>
      <c r="D622">
        <v>4.7661759999999997</v>
      </c>
      <c r="E622">
        <v>0.42176570000000002</v>
      </c>
      <c r="F622" t="s">
        <v>42</v>
      </c>
      <c r="G622">
        <v>-242.10149999999999</v>
      </c>
      <c r="H622" s="1">
        <v>-4.4287730000000002E-6</v>
      </c>
      <c r="I622">
        <v>372.57310000000001</v>
      </c>
      <c r="J622">
        <v>-262.92320000000001</v>
      </c>
      <c r="K622">
        <v>1.1044290000000001</v>
      </c>
      <c r="L622">
        <v>367.4479</v>
      </c>
      <c r="M622">
        <v>0.9998996</v>
      </c>
      <c r="N622">
        <v>0</v>
      </c>
      <c r="O622">
        <v>-2.8533459999999998E-4</v>
      </c>
      <c r="P622">
        <v>0.99908989999999998</v>
      </c>
      <c r="Q622">
        <v>2.836106E-2</v>
      </c>
      <c r="R622">
        <v>3.186489E-2</v>
      </c>
      <c r="S622">
        <v>2.9841310000000001</v>
      </c>
      <c r="T622">
        <v>-0.1550417</v>
      </c>
      <c r="U622">
        <v>0.71948239999999997</v>
      </c>
      <c r="V622">
        <v>-3.214881E-2</v>
      </c>
      <c r="W622">
        <v>4.2522310000000001E-2</v>
      </c>
      <c r="X622">
        <v>0.99857810000000002</v>
      </c>
      <c r="Y622">
        <v>-0.23436480000000001</v>
      </c>
      <c r="Z622">
        <v>6.0129919999999896E-3</v>
      </c>
      <c r="AA622">
        <v>0.9721301</v>
      </c>
      <c r="AB622">
        <v>43</v>
      </c>
      <c r="AC622">
        <v>20.8217</v>
      </c>
      <c r="AD622">
        <v>-1.104433428773</v>
      </c>
      <c r="AE622">
        <v>5.1252000000000004</v>
      </c>
      <c r="AF622">
        <v>-5.1175658059293303</v>
      </c>
      <c r="AG622">
        <v>-1.104433428773</v>
      </c>
      <c r="AH622">
        <v>20.765151404990799</v>
      </c>
      <c r="AI622">
        <v>92.956225076290295</v>
      </c>
      <c r="AJ622">
        <v>103.844633855758</v>
      </c>
      <c r="AK622">
        <v>21.414965931534901</v>
      </c>
      <c r="AL622">
        <v>87.562916186954297</v>
      </c>
      <c r="AM622">
        <v>91.843977073157404</v>
      </c>
      <c r="AN622">
        <v>0.99999995731587998</v>
      </c>
    </row>
    <row r="623" spans="1:40" x14ac:dyDescent="0.3">
      <c r="A623" t="str">
        <f>"20200111153841790"</f>
        <v>20200111153841790</v>
      </c>
      <c r="B623" t="str">
        <f>"1578728321780694"</f>
        <v>1578728321780694</v>
      </c>
      <c r="C623" t="s">
        <v>40</v>
      </c>
      <c r="D623">
        <v>4.7953530000000004</v>
      </c>
      <c r="E623">
        <v>0.42206510000000003</v>
      </c>
      <c r="F623" t="s">
        <v>42</v>
      </c>
      <c r="G623">
        <v>-241.29570000000001</v>
      </c>
      <c r="H623" s="1">
        <v>-4.7522559999999999E-6</v>
      </c>
      <c r="I623">
        <v>372.65230000000003</v>
      </c>
      <c r="J623">
        <v>-262.5016</v>
      </c>
      <c r="K623">
        <v>1.104463</v>
      </c>
      <c r="L623">
        <v>367.44779999999997</v>
      </c>
      <c r="M623">
        <v>0.99989910000000004</v>
      </c>
      <c r="N623">
        <v>0</v>
      </c>
      <c r="O623">
        <v>-2.850633E-4</v>
      </c>
      <c r="P623">
        <v>0.99906249999999996</v>
      </c>
      <c r="Q623">
        <v>2.9459349999999999E-2</v>
      </c>
      <c r="R623">
        <v>3.1724530000000001E-2</v>
      </c>
      <c r="S623">
        <v>2.9841920000000002</v>
      </c>
      <c r="T623">
        <v>-0.15239179999999999</v>
      </c>
      <c r="U623">
        <v>0.71810909999999994</v>
      </c>
      <c r="V623">
        <v>-3.200774E-2</v>
      </c>
      <c r="W623">
        <v>4.36485E-2</v>
      </c>
      <c r="X623">
        <v>0.99853409999999998</v>
      </c>
      <c r="Y623">
        <v>-0.23394780000000001</v>
      </c>
      <c r="Z623">
        <v>5.9000420000000003E-3</v>
      </c>
      <c r="AA623">
        <v>0.97223130000000002</v>
      </c>
      <c r="AB623">
        <v>42</v>
      </c>
      <c r="AC623">
        <v>21.2058999999999</v>
      </c>
      <c r="AD623">
        <v>-1.104467752256</v>
      </c>
      <c r="AE623">
        <v>5.2045000000000501</v>
      </c>
      <c r="AF623">
        <v>-5.1972480990666696</v>
      </c>
      <c r="AG623">
        <v>-1.104467752256</v>
      </c>
      <c r="AH623">
        <v>21.150301663393201</v>
      </c>
      <c r="AI623">
        <v>92.903059155385904</v>
      </c>
      <c r="AJ623">
        <v>103.805711835159</v>
      </c>
      <c r="AK623">
        <v>21.807487183799001</v>
      </c>
      <c r="AL623">
        <v>87.498330423584505</v>
      </c>
      <c r="AM623">
        <v>91.835972035023104</v>
      </c>
      <c r="AN623">
        <v>1.0000000179174799</v>
      </c>
    </row>
    <row r="624" spans="1:40" x14ac:dyDescent="0.3">
      <c r="A624" t="str">
        <f>"20200111153841811"</f>
        <v>20200111153841811</v>
      </c>
      <c r="B624" t="str">
        <f>"1578728321801190"</f>
        <v>1578728321801190</v>
      </c>
      <c r="C624" t="s">
        <v>40</v>
      </c>
      <c r="D624">
        <v>4.8056279999999996</v>
      </c>
      <c r="E624">
        <v>0.42213859999999997</v>
      </c>
      <c r="F624" t="s">
        <v>42</v>
      </c>
      <c r="G624">
        <v>-240.70179999999999</v>
      </c>
      <c r="H624" s="1">
        <v>-4.9841509999999998E-6</v>
      </c>
      <c r="I624">
        <v>372.6739</v>
      </c>
      <c r="J624">
        <v>-262.08769999999998</v>
      </c>
      <c r="K624">
        <v>1.1044860000000001</v>
      </c>
      <c r="L624">
        <v>367.4477</v>
      </c>
      <c r="M624">
        <v>0.99989879999999998</v>
      </c>
      <c r="N624">
        <v>0</v>
      </c>
      <c r="O624">
        <v>-2.8535339999999999E-4</v>
      </c>
      <c r="P624">
        <v>0.99905719999999998</v>
      </c>
      <c r="Q624">
        <v>3.0321230000000001E-2</v>
      </c>
      <c r="R624">
        <v>3.1070279999999999E-2</v>
      </c>
      <c r="S624">
        <v>2.9845579999999998</v>
      </c>
      <c r="T624">
        <v>-0.15120980000000001</v>
      </c>
      <c r="U624">
        <v>0.71548459999999903</v>
      </c>
      <c r="V624">
        <v>-3.1353720000000002E-2</v>
      </c>
      <c r="W624">
        <v>4.4534560000000001E-2</v>
      </c>
      <c r="X624">
        <v>0.99851570000000001</v>
      </c>
      <c r="Y624">
        <v>-0.23311799999999999</v>
      </c>
      <c r="Z624">
        <v>5.8335289999999996E-3</v>
      </c>
      <c r="AA624">
        <v>0.97243089999999999</v>
      </c>
      <c r="AB624">
        <v>42</v>
      </c>
      <c r="AC624">
        <v>21.3858999999999</v>
      </c>
      <c r="AD624">
        <v>-1.104490984151</v>
      </c>
      <c r="AE624">
        <v>5.2262000000000004</v>
      </c>
      <c r="AF624">
        <v>-5.2191664501451998</v>
      </c>
      <c r="AG624">
        <v>-1.104490984151</v>
      </c>
      <c r="AH624">
        <v>21.330718850872799</v>
      </c>
      <c r="AI624">
        <v>92.879305311839701</v>
      </c>
      <c r="AJ624">
        <v>103.74891721765501</v>
      </c>
      <c r="AK624">
        <v>21.987704870299101</v>
      </c>
      <c r="AL624">
        <v>87.447513441028207</v>
      </c>
      <c r="AM624">
        <v>91.798515296388203</v>
      </c>
      <c r="AN624">
        <v>0.99999999296936104</v>
      </c>
    </row>
    <row r="625" spans="1:40" x14ac:dyDescent="0.3">
      <c r="A625" t="str">
        <f>"20200111153841837"</f>
        <v>20200111153841837</v>
      </c>
      <c r="B625" t="str">
        <f>"1578728321831446"</f>
        <v>1578728321831446</v>
      </c>
      <c r="C625" t="s">
        <v>40</v>
      </c>
      <c r="D625">
        <v>4.8516859999999999</v>
      </c>
      <c r="E625">
        <v>0.42221520000000001</v>
      </c>
      <c r="F625" t="s">
        <v>42</v>
      </c>
      <c r="G625">
        <v>-239.96109999999999</v>
      </c>
      <c r="H625" s="1">
        <v>-5.279185E-6</v>
      </c>
      <c r="I625">
        <v>372.73360000000002</v>
      </c>
      <c r="J625">
        <v>-261.6542</v>
      </c>
      <c r="K625">
        <v>1.1044940000000001</v>
      </c>
      <c r="L625">
        <v>367.44749999999999</v>
      </c>
      <c r="M625">
        <v>0.99989839999999997</v>
      </c>
      <c r="N625">
        <v>0</v>
      </c>
      <c r="O625">
        <v>-2.8504049999999998E-4</v>
      </c>
      <c r="P625">
        <v>0.99908719999999995</v>
      </c>
      <c r="Q625">
        <v>3.041584E-2</v>
      </c>
      <c r="R625">
        <v>3.000386E-2</v>
      </c>
      <c r="S625">
        <v>2.9851679999999998</v>
      </c>
      <c r="T625">
        <v>-0.14901039999999999</v>
      </c>
      <c r="U625">
        <v>0.71313479999999996</v>
      </c>
      <c r="V625">
        <v>-3.028749E-2</v>
      </c>
      <c r="W625">
        <v>4.4652219999999999E-2</v>
      </c>
      <c r="X625">
        <v>0.99854339999999997</v>
      </c>
      <c r="Y625">
        <v>-0.2323576</v>
      </c>
      <c r="Z625">
        <v>5.7294379999999999E-3</v>
      </c>
      <c r="AA625">
        <v>0.97261350000000002</v>
      </c>
      <c r="AB625">
        <v>42</v>
      </c>
      <c r="AC625">
        <v>21.693100000000001</v>
      </c>
      <c r="AD625">
        <v>-1.1044992791849999</v>
      </c>
      <c r="AE625">
        <v>5.2861000000000304</v>
      </c>
      <c r="AF625">
        <v>-5.2793651412284897</v>
      </c>
      <c r="AG625">
        <v>-1.1044992791849999</v>
      </c>
      <c r="AH625">
        <v>21.638642137551098</v>
      </c>
      <c r="AI625">
        <v>92.838878133296006</v>
      </c>
      <c r="AJ625">
        <v>103.71107843710401</v>
      </c>
      <c r="AK625">
        <v>22.300727533180201</v>
      </c>
      <c r="AL625">
        <v>87.4407654200309</v>
      </c>
      <c r="AM625">
        <v>91.737344079487997</v>
      </c>
      <c r="AN625">
        <v>1.00000003724249</v>
      </c>
    </row>
    <row r="626" spans="1:40" x14ac:dyDescent="0.3">
      <c r="A626" t="str">
        <f>"20200111153841857"</f>
        <v>20200111153841857</v>
      </c>
      <c r="B626" t="str">
        <f>"1578728321850969"</f>
        <v>1578728321850969</v>
      </c>
      <c r="C626" t="s">
        <v>40</v>
      </c>
      <c r="D626">
        <v>4.8677440000000001</v>
      </c>
      <c r="E626">
        <v>0.42216949999999998</v>
      </c>
      <c r="F626" t="s">
        <v>42</v>
      </c>
      <c r="G626">
        <v>-239.65520000000001</v>
      </c>
      <c r="H626" s="1">
        <v>-9.4493529999999999E-7</v>
      </c>
      <c r="I626">
        <v>372.67829999999998</v>
      </c>
      <c r="J626">
        <v>-261.2201</v>
      </c>
      <c r="K626">
        <v>1.104501</v>
      </c>
      <c r="L626">
        <v>367.44740000000002</v>
      </c>
      <c r="M626">
        <v>0.99989810000000001</v>
      </c>
      <c r="N626">
        <v>0</v>
      </c>
      <c r="O626">
        <v>-2.8529059999999999E-4</v>
      </c>
      <c r="P626">
        <v>0.99910030000000005</v>
      </c>
      <c r="Q626">
        <v>3.080306E-2</v>
      </c>
      <c r="R626">
        <v>2.9154550000000001E-2</v>
      </c>
      <c r="S626">
        <v>2.9860229999999999</v>
      </c>
      <c r="T626">
        <v>-0.1499172</v>
      </c>
      <c r="U626">
        <v>0.7099915</v>
      </c>
      <c r="V626">
        <v>-2.9437979999999999E-2</v>
      </c>
      <c r="W626">
        <v>4.505808E-2</v>
      </c>
      <c r="X626">
        <v>0.99855050000000001</v>
      </c>
      <c r="Y626">
        <v>-0.231324</v>
      </c>
      <c r="Z626">
        <v>5.7377909999999999E-3</v>
      </c>
      <c r="AA626">
        <v>0.9728599</v>
      </c>
      <c r="AB626">
        <v>42</v>
      </c>
      <c r="AC626">
        <v>21.564899999999898</v>
      </c>
      <c r="AD626">
        <v>-1.1045019449353</v>
      </c>
      <c r="AE626">
        <v>5.2308999999999601</v>
      </c>
      <c r="AF626">
        <v>-5.2241100966373999</v>
      </c>
      <c r="AG626">
        <v>-1.1045019449353</v>
      </c>
      <c r="AH626">
        <v>21.510115958532602</v>
      </c>
      <c r="AI626">
        <v>92.856547748520597</v>
      </c>
      <c r="AJ626">
        <v>103.650984557035</v>
      </c>
      <c r="AK626">
        <v>22.162949699840802</v>
      </c>
      <c r="AL626">
        <v>87.417487735409196</v>
      </c>
      <c r="AM626">
        <v>91.688631301259505</v>
      </c>
      <c r="AN626">
        <v>0.99999996314500705</v>
      </c>
    </row>
    <row r="627" spans="1:40" x14ac:dyDescent="0.3">
      <c r="A627" t="str">
        <f>"20200111153841879"</f>
        <v>20200111153841879</v>
      </c>
      <c r="B627" t="str">
        <f>"1578728321871461"</f>
        <v>1578728321871461</v>
      </c>
      <c r="C627" t="s">
        <v>40</v>
      </c>
      <c r="D627">
        <v>4.8679050000000004</v>
      </c>
      <c r="E627">
        <v>0.42263420000000002</v>
      </c>
      <c r="F627" t="s">
        <v>42</v>
      </c>
      <c r="G627">
        <v>-239.2647</v>
      </c>
      <c r="H627" s="1">
        <v>-1.1053189999999999E-6</v>
      </c>
      <c r="I627">
        <v>372.65140000000002</v>
      </c>
      <c r="J627">
        <v>-260.81060000000002</v>
      </c>
      <c r="K627">
        <v>1.104511</v>
      </c>
      <c r="L627">
        <v>367.44729999999998</v>
      </c>
      <c r="M627">
        <v>0.99989799999999995</v>
      </c>
      <c r="N627">
        <v>0</v>
      </c>
      <c r="O627">
        <v>-2.8492719999999999E-4</v>
      </c>
      <c r="P627">
        <v>0.99911819999999896</v>
      </c>
      <c r="Q627">
        <v>3.1052900000000001E-2</v>
      </c>
      <c r="R627">
        <v>2.8264939999999999E-2</v>
      </c>
      <c r="S627">
        <v>2.9866640000000002</v>
      </c>
      <c r="T627">
        <v>-0.1502482</v>
      </c>
      <c r="U627">
        <v>0.70791630000000005</v>
      </c>
      <c r="V627">
        <v>-2.854771E-2</v>
      </c>
      <c r="W627">
        <v>4.5323879999999997E-2</v>
      </c>
      <c r="X627">
        <v>0.99856440000000002</v>
      </c>
      <c r="Y627">
        <v>-0.23063639999999999</v>
      </c>
      <c r="Z627">
        <v>5.7326290000000004E-3</v>
      </c>
      <c r="AA627">
        <v>0.97302310000000003</v>
      </c>
      <c r="AB627">
        <v>42</v>
      </c>
      <c r="AC627">
        <v>21.5459</v>
      </c>
      <c r="AD627">
        <v>-1.1045121053189999</v>
      </c>
      <c r="AE627">
        <v>5.2041000000000404</v>
      </c>
      <c r="AF627">
        <v>-5.1973341499718204</v>
      </c>
      <c r="AG627">
        <v>-1.1045121053189999</v>
      </c>
      <c r="AH627">
        <v>21.4910526725109</v>
      </c>
      <c r="AI627">
        <v>92.8597770355356</v>
      </c>
      <c r="AJ627">
        <v>103.59521786441999</v>
      </c>
      <c r="AK627">
        <v>22.138147488665201</v>
      </c>
      <c r="AL627">
        <v>87.402243150619995</v>
      </c>
      <c r="AM627">
        <v>91.637568791587597</v>
      </c>
      <c r="AN627">
        <v>1.00000004339592</v>
      </c>
    </row>
    <row r="628" spans="1:40" x14ac:dyDescent="0.3">
      <c r="A628" t="str">
        <f>"20200111153841901"</f>
        <v>20200111153841901</v>
      </c>
      <c r="B628" t="str">
        <f>"1578728321890982"</f>
        <v>1578728321890982</v>
      </c>
      <c r="C628" t="s">
        <v>40</v>
      </c>
      <c r="D628">
        <v>5.1321070000000004</v>
      </c>
      <c r="E628">
        <v>0.42283330000000002</v>
      </c>
      <c r="F628" t="s">
        <v>42</v>
      </c>
      <c r="G628">
        <v>-238.50299999999999</v>
      </c>
      <c r="H628" s="1">
        <v>-1.4416610000000001E-6</v>
      </c>
      <c r="I628">
        <v>372.68740000000003</v>
      </c>
      <c r="J628">
        <v>-260.39609999999999</v>
      </c>
      <c r="K628">
        <v>1.104511</v>
      </c>
      <c r="L628">
        <v>367.44720000000001</v>
      </c>
      <c r="M628">
        <v>0.99989779999999995</v>
      </c>
      <c r="N628">
        <v>0</v>
      </c>
      <c r="O628">
        <v>-2.8501829999999999E-4</v>
      </c>
      <c r="P628">
        <v>0.99912789999999996</v>
      </c>
      <c r="Q628">
        <v>3.1111960000000001E-2</v>
      </c>
      <c r="R628">
        <v>2.78505E-2</v>
      </c>
      <c r="S628">
        <v>2.9873959999999999</v>
      </c>
      <c r="T628">
        <v>-0.14791370000000001</v>
      </c>
      <c r="U628">
        <v>0.70175169999999998</v>
      </c>
      <c r="V628">
        <v>-2.813336E-2</v>
      </c>
      <c r="W628">
        <v>4.5395810000000002E-2</v>
      </c>
      <c r="X628">
        <v>0.99857280000000004</v>
      </c>
      <c r="Y628">
        <v>-0.22869129999999999</v>
      </c>
      <c r="Z628">
        <v>5.5961609999999997E-3</v>
      </c>
      <c r="AA628">
        <v>0.97348290000000004</v>
      </c>
      <c r="AB628">
        <v>42</v>
      </c>
      <c r="AC628">
        <v>21.8931</v>
      </c>
      <c r="AD628">
        <v>-1.1045124416609999</v>
      </c>
      <c r="AE628">
        <v>5.2402000000000104</v>
      </c>
      <c r="AF628">
        <v>-5.2338408688663396</v>
      </c>
      <c r="AG628">
        <v>-1.1045124416609999</v>
      </c>
      <c r="AH628">
        <v>21.8390320328851</v>
      </c>
      <c r="AI628">
        <v>92.815679867991705</v>
      </c>
      <c r="AJ628">
        <v>103.47706031801501</v>
      </c>
      <c r="AK628">
        <v>22.484580452118301</v>
      </c>
      <c r="AL628">
        <v>87.398117378985305</v>
      </c>
      <c r="AM628">
        <v>91.613799721574907</v>
      </c>
      <c r="AN628">
        <v>0.99999995120514096</v>
      </c>
    </row>
    <row r="629" spans="1:40" x14ac:dyDescent="0.3">
      <c r="A629" t="str">
        <f>"20200111153841934"</f>
        <v>20200111153841934</v>
      </c>
      <c r="B629" t="str">
        <f>"1578728321930998"</f>
        <v>1578728321930998</v>
      </c>
      <c r="C629" t="s">
        <v>40</v>
      </c>
      <c r="D629">
        <v>4.9488300000000001</v>
      </c>
      <c r="E629">
        <v>0.42272799999999999</v>
      </c>
      <c r="F629" t="s">
        <v>42</v>
      </c>
      <c r="G629">
        <v>-237.7381</v>
      </c>
      <c r="H629" s="1">
        <v>-1.785834E-6</v>
      </c>
      <c r="I629">
        <v>372.74759999999998</v>
      </c>
      <c r="J629">
        <v>-259.76740000000001</v>
      </c>
      <c r="K629">
        <v>1.10453</v>
      </c>
      <c r="L629">
        <v>367.447</v>
      </c>
      <c r="M629">
        <v>0.99989760000000005</v>
      </c>
      <c r="N629">
        <v>0</v>
      </c>
      <c r="O629">
        <v>-2.8501280000000002E-4</v>
      </c>
      <c r="P629">
        <v>0.99910489999999996</v>
      </c>
      <c r="Q629">
        <v>3.2275610000000003E-2</v>
      </c>
      <c r="R629">
        <v>2.7343070000000001E-2</v>
      </c>
      <c r="S629">
        <v>2.9876710000000002</v>
      </c>
      <c r="T629">
        <v>-0.14563960000000001</v>
      </c>
      <c r="U629">
        <v>0.69891359999999902</v>
      </c>
      <c r="V629">
        <v>-2.762618E-2</v>
      </c>
      <c r="W629">
        <v>4.6574730000000002E-2</v>
      </c>
      <c r="X629">
        <v>0.99853270000000005</v>
      </c>
      <c r="Y629">
        <v>-0.2278037</v>
      </c>
      <c r="Z629">
        <v>5.4889860000000004E-3</v>
      </c>
      <c r="AA629">
        <v>0.97369159999999999</v>
      </c>
      <c r="AB629">
        <v>42</v>
      </c>
      <c r="AC629">
        <v>22.029299999999999</v>
      </c>
      <c r="AD629">
        <v>-1.104531785834</v>
      </c>
      <c r="AE629">
        <v>5.3006000000000304</v>
      </c>
      <c r="AF629">
        <v>-5.2942979071043901</v>
      </c>
      <c r="AG629">
        <v>-1.104531785834</v>
      </c>
      <c r="AH629">
        <v>21.9755663753918</v>
      </c>
      <c r="AI629">
        <v>92.797461931271698</v>
      </c>
      <c r="AJ629">
        <v>103.545427252514</v>
      </c>
      <c r="AK629">
        <v>22.6312858298935</v>
      </c>
      <c r="AL629">
        <v>87.330498781384193</v>
      </c>
      <c r="AM629">
        <v>91.584785190890798</v>
      </c>
      <c r="AN629">
        <v>0.99999998213262697</v>
      </c>
    </row>
    <row r="630" spans="1:40" x14ac:dyDescent="0.3">
      <c r="A630" t="str">
        <f>"20200111153841958"</f>
        <v>20200111153841958</v>
      </c>
      <c r="B630" t="str">
        <f>"1578728321951493"</f>
        <v>1578728321951493</v>
      </c>
      <c r="C630" t="s">
        <v>40</v>
      </c>
      <c r="D630">
        <v>4.9189089999999904</v>
      </c>
      <c r="E630">
        <v>0.42243579999999997</v>
      </c>
      <c r="F630" t="s">
        <v>42</v>
      </c>
      <c r="G630">
        <v>-236.83600000000001</v>
      </c>
      <c r="H630" s="1">
        <v>-2.1885899999999998E-6</v>
      </c>
      <c r="I630">
        <v>372.80689999999998</v>
      </c>
      <c r="J630">
        <v>-259.32569999999998</v>
      </c>
      <c r="K630">
        <v>1.1045560000000001</v>
      </c>
      <c r="L630">
        <v>367.4468</v>
      </c>
      <c r="M630">
        <v>0.99989749999999999</v>
      </c>
      <c r="N630">
        <v>0</v>
      </c>
      <c r="O630">
        <v>-2.8483780000000003E-4</v>
      </c>
      <c r="P630">
        <v>0.99905619999999995</v>
      </c>
      <c r="Q630">
        <v>3.3594350000000002E-2</v>
      </c>
      <c r="R630">
        <v>2.7540680000000001E-2</v>
      </c>
      <c r="S630">
        <v>2.9882200000000001</v>
      </c>
      <c r="T630">
        <v>-0.14393230000000001</v>
      </c>
      <c r="U630">
        <v>0.69845579999999996</v>
      </c>
      <c r="V630">
        <v>-2.782393E-2</v>
      </c>
      <c r="W630">
        <v>4.7901720000000002E-2</v>
      </c>
      <c r="X630">
        <v>0.99846449999999998</v>
      </c>
      <c r="Y630">
        <v>-0.22762869999999999</v>
      </c>
      <c r="Z630">
        <v>5.419671E-3</v>
      </c>
      <c r="AA630">
        <v>0.97373290000000001</v>
      </c>
      <c r="AB630">
        <v>42</v>
      </c>
      <c r="AC630">
        <v>22.489699999999999</v>
      </c>
      <c r="AD630">
        <v>-1.10455818858999</v>
      </c>
      <c r="AE630">
        <v>5.3600999999999797</v>
      </c>
      <c r="AF630">
        <v>-5.3542850686607499</v>
      </c>
      <c r="AG630">
        <v>-1.10455818858999</v>
      </c>
      <c r="AH630">
        <v>22.436959262349198</v>
      </c>
      <c r="AI630">
        <v>92.741504140135504</v>
      </c>
      <c r="AJ630">
        <v>103.421860917736</v>
      </c>
      <c r="AK630">
        <v>23.093409413267299</v>
      </c>
      <c r="AL630">
        <v>87.254383067548105</v>
      </c>
      <c r="AM630">
        <v>91.596232306133103</v>
      </c>
      <c r="AN630">
        <v>1.0000000518099199</v>
      </c>
    </row>
    <row r="631" spans="1:40" x14ac:dyDescent="0.3">
      <c r="A631" t="str">
        <f>"20200111153841979"</f>
        <v>20200111153841979</v>
      </c>
      <c r="B631" t="str">
        <f>"1578728321971013"</f>
        <v>1578728321971013</v>
      </c>
      <c r="C631" t="s">
        <v>40</v>
      </c>
      <c r="D631">
        <v>4.9573539999999996</v>
      </c>
      <c r="E631">
        <v>0.4219695</v>
      </c>
      <c r="F631" t="s">
        <v>42</v>
      </c>
      <c r="G631">
        <v>-235.9846</v>
      </c>
      <c r="H631" s="1">
        <v>-2.5855929999999999E-6</v>
      </c>
      <c r="I631">
        <v>372.92630000000003</v>
      </c>
      <c r="J631">
        <v>-258.92</v>
      </c>
      <c r="K631">
        <v>1.1045769999999999</v>
      </c>
      <c r="L631">
        <v>367.44670000000002</v>
      </c>
      <c r="M631">
        <v>0.99989740000000005</v>
      </c>
      <c r="N631">
        <v>0</v>
      </c>
      <c r="O631">
        <v>-2.8476780000000001E-4</v>
      </c>
      <c r="P631">
        <v>0.99898469999999995</v>
      </c>
      <c r="Q631">
        <v>3.5345080000000001E-2</v>
      </c>
      <c r="R631">
        <v>2.7938640000000001E-2</v>
      </c>
      <c r="S631">
        <v>2.988251</v>
      </c>
      <c r="T631">
        <v>-0.1414106</v>
      </c>
      <c r="U631">
        <v>0.70150760000000001</v>
      </c>
      <c r="V631">
        <v>-2.822144E-2</v>
      </c>
      <c r="W631">
        <v>4.96582E-2</v>
      </c>
      <c r="X631">
        <v>0.99836749999999996</v>
      </c>
      <c r="Y631">
        <v>-0.22857669999999999</v>
      </c>
      <c r="Z631">
        <v>5.3462719999999896E-3</v>
      </c>
      <c r="AA631">
        <v>0.97351120000000002</v>
      </c>
      <c r="AB631">
        <v>42</v>
      </c>
      <c r="AC631">
        <v>22.935400000000001</v>
      </c>
      <c r="AD631">
        <v>-1.1045795855930001</v>
      </c>
      <c r="AE631">
        <v>5.4795999999999996</v>
      </c>
      <c r="AF631">
        <v>-5.4741204717103198</v>
      </c>
      <c r="AG631">
        <v>-1.1045795855930001</v>
      </c>
      <c r="AH631">
        <v>22.883627557294101</v>
      </c>
      <c r="AI631">
        <v>92.687772554678702</v>
      </c>
      <c r="AJ631">
        <v>103.45323009897101</v>
      </c>
      <c r="AK631">
        <v>23.555179922485401</v>
      </c>
      <c r="AL631">
        <v>87.153624146307806</v>
      </c>
      <c r="AM631">
        <v>91.619182241872394</v>
      </c>
      <c r="AN631">
        <v>1.00000002577958</v>
      </c>
    </row>
    <row r="632" spans="1:40" x14ac:dyDescent="0.3">
      <c r="A632" t="str">
        <f>"20200111153842002"</f>
        <v>20200111153842002</v>
      </c>
      <c r="B632" t="str">
        <f>"1578728321991510"</f>
        <v>1578728321991510</v>
      </c>
      <c r="C632" t="s">
        <v>40</v>
      </c>
      <c r="D632">
        <v>4.9745660000000003</v>
      </c>
      <c r="E632">
        <v>0.4216471</v>
      </c>
      <c r="F632" t="s">
        <v>42</v>
      </c>
      <c r="G632">
        <v>-234.92500000000001</v>
      </c>
      <c r="H632" s="1">
        <v>-3.0912280000000001E-6</v>
      </c>
      <c r="I632">
        <v>373.11829999999998</v>
      </c>
      <c r="J632">
        <v>-258.5043</v>
      </c>
      <c r="K632">
        <v>1.1045799999999999</v>
      </c>
      <c r="L632">
        <v>367.44659999999999</v>
      </c>
      <c r="M632">
        <v>0.99989720000000004</v>
      </c>
      <c r="N632">
        <v>0</v>
      </c>
      <c r="O632">
        <v>-2.8457189999999999E-4</v>
      </c>
      <c r="P632">
        <v>0.99896280000000004</v>
      </c>
      <c r="Q632">
        <v>3.6534659999999997E-2</v>
      </c>
      <c r="R632">
        <v>2.718201E-2</v>
      </c>
      <c r="S632">
        <v>2.988159</v>
      </c>
      <c r="T632">
        <v>-0.13755599999999901</v>
      </c>
      <c r="U632">
        <v>0.7062988</v>
      </c>
      <c r="V632">
        <v>-2.746475E-2</v>
      </c>
      <c r="W632">
        <v>5.085307E-2</v>
      </c>
      <c r="X632">
        <v>0.9983284</v>
      </c>
      <c r="Y632">
        <v>-0.23007340000000001</v>
      </c>
      <c r="Z632">
        <v>5.2338609999999898E-3</v>
      </c>
      <c r="AA632">
        <v>0.9731592</v>
      </c>
      <c r="AB632">
        <v>42</v>
      </c>
      <c r="AC632">
        <v>23.5792999999999</v>
      </c>
      <c r="AD632">
        <v>-1.1045830912279999</v>
      </c>
      <c r="AE632">
        <v>5.67169999999998</v>
      </c>
      <c r="AF632">
        <v>-5.6666551501618398</v>
      </c>
      <c r="AG632">
        <v>-1.1045830912279999</v>
      </c>
      <c r="AH632">
        <v>23.528874886884001</v>
      </c>
      <c r="AI632">
        <v>92.613214778784894</v>
      </c>
      <c r="AJ632">
        <v>103.541141894243</v>
      </c>
      <c r="AK632">
        <v>24.226824757671501</v>
      </c>
      <c r="AL632">
        <v>87.085076357644496</v>
      </c>
      <c r="AM632">
        <v>91.575851642420403</v>
      </c>
      <c r="AN632">
        <v>0.999999970733773</v>
      </c>
    </row>
    <row r="633" spans="1:40" x14ac:dyDescent="0.3">
      <c r="A633" t="str">
        <f>"20200111153842023"</f>
        <v>20200111153842023</v>
      </c>
      <c r="B633" t="str">
        <f>"1578728322011030"</f>
        <v>1578728322011030</v>
      </c>
      <c r="C633" t="s">
        <v>40</v>
      </c>
      <c r="D633">
        <v>5.2181759999999997</v>
      </c>
      <c r="E633">
        <v>0.4215776</v>
      </c>
      <c r="F633" t="s">
        <v>42</v>
      </c>
      <c r="G633">
        <v>-234.0078</v>
      </c>
      <c r="H633" s="1">
        <v>-3.516825E-6</v>
      </c>
      <c r="I633">
        <v>373.2389</v>
      </c>
      <c r="J633">
        <v>-258.08789999999999</v>
      </c>
      <c r="K633">
        <v>1.1045689999999999</v>
      </c>
      <c r="L633">
        <v>367.44639999999998</v>
      </c>
      <c r="M633">
        <v>0.99989720000000004</v>
      </c>
      <c r="N633">
        <v>0</v>
      </c>
      <c r="O633">
        <v>-2.8448850000000001E-4</v>
      </c>
      <c r="P633">
        <v>0.99901189999999995</v>
      </c>
      <c r="Q633">
        <v>3.6111490000000003E-2</v>
      </c>
      <c r="R633">
        <v>2.591241E-2</v>
      </c>
      <c r="S633">
        <v>2.9888460000000001</v>
      </c>
      <c r="T633">
        <v>-0.134770899999999</v>
      </c>
      <c r="U633">
        <v>0.70672609999999902</v>
      </c>
      <c r="V633">
        <v>-2.6194729999999999E-2</v>
      </c>
      <c r="W633">
        <v>5.0435420000000002E-2</v>
      </c>
      <c r="X633">
        <v>0.99838380000000004</v>
      </c>
      <c r="Y633">
        <v>-0.23016429999999999</v>
      </c>
      <c r="Z633">
        <v>5.1287839999999999E-3</v>
      </c>
      <c r="AA633">
        <v>0.97313830000000001</v>
      </c>
      <c r="AB633">
        <v>42</v>
      </c>
      <c r="AC633">
        <v>24.080099999999899</v>
      </c>
      <c r="AD633">
        <v>-1.104572516825</v>
      </c>
      <c r="AE633">
        <v>5.7925000000000102</v>
      </c>
      <c r="AF633">
        <v>-5.7878387872019896</v>
      </c>
      <c r="AG633">
        <v>-1.104572516825</v>
      </c>
      <c r="AH633">
        <v>24.030653229138501</v>
      </c>
      <c r="AI633">
        <v>92.558689555391197</v>
      </c>
      <c r="AJ633">
        <v>103.541899482876</v>
      </c>
      <c r="AK633">
        <v>24.7425029633356</v>
      </c>
      <c r="AL633">
        <v>87.109036928071006</v>
      </c>
      <c r="AM633">
        <v>91.502932267713504</v>
      </c>
      <c r="AN633">
        <v>1.00000005378639</v>
      </c>
    </row>
    <row r="634" spans="1:40" x14ac:dyDescent="0.3">
      <c r="A634" t="str">
        <f>"20200111153842047"</f>
        <v>20200111153842047</v>
      </c>
      <c r="B634" t="str">
        <f>"1578728322041288"</f>
        <v>1578728322041288</v>
      </c>
      <c r="C634" t="s">
        <v>40</v>
      </c>
      <c r="D634">
        <v>5.4746670000000002</v>
      </c>
      <c r="E634">
        <v>0.48247050000000002</v>
      </c>
      <c r="F634" t="s">
        <v>42</v>
      </c>
      <c r="G634">
        <v>-234.24459999999999</v>
      </c>
      <c r="H634" s="1">
        <v>-3.36741E-6</v>
      </c>
      <c r="I634">
        <v>373.05919999999998</v>
      </c>
      <c r="J634">
        <v>-257.65179999999998</v>
      </c>
      <c r="K634">
        <v>1.104549</v>
      </c>
      <c r="L634">
        <v>367.44630000000001</v>
      </c>
      <c r="M634">
        <v>0.99989709999999998</v>
      </c>
      <c r="N634">
        <v>0</v>
      </c>
      <c r="O634">
        <v>-2.83806E-4</v>
      </c>
      <c r="P634">
        <v>0.99907699999999999</v>
      </c>
      <c r="Q634">
        <v>3.5595139999999997E-2</v>
      </c>
      <c r="R634">
        <v>2.404649E-2</v>
      </c>
      <c r="S634">
        <v>2.989716</v>
      </c>
      <c r="T634">
        <v>-0.13850229999999999</v>
      </c>
      <c r="U634">
        <v>0.70379639999999999</v>
      </c>
      <c r="V634">
        <v>-2.4328180000000001E-2</v>
      </c>
      <c r="W634">
        <v>4.9924419999999997E-2</v>
      </c>
      <c r="X634">
        <v>0.99845669999999997</v>
      </c>
      <c r="Y634">
        <v>-0.22918540000000001</v>
      </c>
      <c r="Z634">
        <v>5.2473440000000001E-3</v>
      </c>
      <c r="AA634">
        <v>0.97336860000000003</v>
      </c>
      <c r="AB634">
        <v>42</v>
      </c>
      <c r="AC634">
        <v>23.4071999999999</v>
      </c>
      <c r="AD634">
        <v>-1.10455236741</v>
      </c>
      <c r="AE634">
        <v>5.6128999999999598</v>
      </c>
      <c r="AF634">
        <v>-5.6077354506827399</v>
      </c>
      <c r="AG634">
        <v>-1.10455236741</v>
      </c>
      <c r="AH634">
        <v>23.3564247037969</v>
      </c>
      <c r="AI634">
        <v>92.632853943268699</v>
      </c>
      <c r="AJ634">
        <v>103.500821051369</v>
      </c>
      <c r="AK634">
        <v>24.045567320429999</v>
      </c>
      <c r="AL634">
        <v>87.138351976034102</v>
      </c>
      <c r="AM634">
        <v>91.395780394111995</v>
      </c>
      <c r="AN634">
        <v>1.00000004491466</v>
      </c>
    </row>
    <row r="635" spans="1:40" x14ac:dyDescent="0.3">
      <c r="A635" t="str">
        <f>"20200111153842069"</f>
        <v>20200111153842069</v>
      </c>
      <c r="B635" t="str">
        <f>"1578728322060809"</f>
        <v>1578728322060809</v>
      </c>
      <c r="C635" t="s">
        <v>40</v>
      </c>
      <c r="D635">
        <v>5.4617849999999999</v>
      </c>
      <c r="E635">
        <v>0.5659556</v>
      </c>
      <c r="F635" t="s">
        <v>42</v>
      </c>
      <c r="G635">
        <v>-236.44210000000001</v>
      </c>
      <c r="H635" s="1">
        <v>-1.6270499999999999E-6</v>
      </c>
      <c r="I635">
        <v>368.94889999999998</v>
      </c>
      <c r="J635">
        <v>-257.22649999999999</v>
      </c>
      <c r="K635">
        <v>1.1045320000000001</v>
      </c>
      <c r="L635">
        <v>367.44619999999998</v>
      </c>
      <c r="M635">
        <v>0.99989720000000004</v>
      </c>
      <c r="N635">
        <v>0</v>
      </c>
      <c r="O635">
        <v>-2.83472E-4</v>
      </c>
      <c r="P635">
        <v>0.99915799999999999</v>
      </c>
      <c r="Q635">
        <v>3.4433619999999998E-2</v>
      </c>
      <c r="R635">
        <v>2.2313090000000001E-2</v>
      </c>
      <c r="S635">
        <v>3.0032199999999998</v>
      </c>
      <c r="T635">
        <v>-0.15640000000000001</v>
      </c>
      <c r="U635">
        <v>0.2127686</v>
      </c>
      <c r="V635">
        <v>-2.259452E-2</v>
      </c>
      <c r="W635">
        <v>4.876664E-2</v>
      </c>
      <c r="X635">
        <v>0.99855459999999996</v>
      </c>
      <c r="Y635">
        <v>-7.0856559999999999E-2</v>
      </c>
      <c r="Z635">
        <v>1.856197E-3</v>
      </c>
      <c r="AA635">
        <v>0.99748479999999995</v>
      </c>
      <c r="AB635">
        <v>42</v>
      </c>
      <c r="AC635">
        <v>20.784399999999899</v>
      </c>
      <c r="AD635">
        <v>-1.1045336270499999</v>
      </c>
      <c r="AE635">
        <v>1.5026999999999999</v>
      </c>
      <c r="AF635">
        <v>-1.50436592539717</v>
      </c>
      <c r="AG635">
        <v>-1.1045336270499999</v>
      </c>
      <c r="AH635">
        <v>20.7257455557552</v>
      </c>
      <c r="AI635">
        <v>93.042579121087499</v>
      </c>
      <c r="AJ635">
        <v>94.151499604503897</v>
      </c>
      <c r="AK635">
        <v>20.809604518411401</v>
      </c>
      <c r="AL635">
        <v>87.204768651274605</v>
      </c>
      <c r="AM635">
        <v>91.296223328855604</v>
      </c>
      <c r="AN635">
        <v>0.99999999334603995</v>
      </c>
    </row>
    <row r="636" spans="1:40" x14ac:dyDescent="0.3">
      <c r="A636" t="str">
        <f>"20200111153842091"</f>
        <v>20200111153842091</v>
      </c>
      <c r="B636" t="str">
        <f>"1578728322081302"</f>
        <v>1578728322081302</v>
      </c>
      <c r="C636" t="s">
        <v>40</v>
      </c>
      <c r="D636">
        <v>5.6147119999999999</v>
      </c>
      <c r="E636">
        <v>0.57208990000000004</v>
      </c>
      <c r="F636" t="s">
        <v>42</v>
      </c>
      <c r="G636">
        <v>-224.92930000000001</v>
      </c>
      <c r="H636" s="1">
        <v>-3.595703E-6</v>
      </c>
      <c r="I636">
        <v>362.53550000000001</v>
      </c>
      <c r="J636">
        <v>-256.82319999999999</v>
      </c>
      <c r="K636">
        <v>1.104522</v>
      </c>
      <c r="L636">
        <v>367.4461</v>
      </c>
      <c r="M636">
        <v>0.99989700000000004</v>
      </c>
      <c r="N636">
        <v>0</v>
      </c>
      <c r="O636">
        <v>-2.8324840000000002E-4</v>
      </c>
      <c r="P636">
        <v>0.99923280000000003</v>
      </c>
      <c r="Q636">
        <v>3.2994259999999997E-2</v>
      </c>
      <c r="R636">
        <v>2.1098280000000001E-2</v>
      </c>
      <c r="S636">
        <v>3.016327</v>
      </c>
      <c r="T636">
        <v>-0.10315530000000001</v>
      </c>
      <c r="U636">
        <v>-0.45861819999999998</v>
      </c>
      <c r="V636">
        <v>-2.137942E-2</v>
      </c>
      <c r="W636">
        <v>4.733064E-2</v>
      </c>
      <c r="X636">
        <v>0.99865040000000005</v>
      </c>
      <c r="Y636">
        <v>0.1499521</v>
      </c>
      <c r="Z636">
        <v>-2.5390909999999998E-3</v>
      </c>
      <c r="AA636">
        <v>0.98868999999999996</v>
      </c>
      <c r="AB636">
        <v>42</v>
      </c>
      <c r="AC636">
        <v>31.893899999999899</v>
      </c>
      <c r="AD636">
        <v>-1.104525595703</v>
      </c>
      <c r="AE636">
        <v>-4.9105999999999801</v>
      </c>
      <c r="AF636">
        <v>4.8958292633690297</v>
      </c>
      <c r="AG636">
        <v>-1.104525595703</v>
      </c>
      <c r="AH636">
        <v>31.857966553399802</v>
      </c>
      <c r="AI636">
        <v>91.962645239239805</v>
      </c>
      <c r="AJ636">
        <v>81.263318803384294</v>
      </c>
      <c r="AK636">
        <v>32.250878342847699</v>
      </c>
      <c r="AL636">
        <v>87.287140407536697</v>
      </c>
      <c r="AM636">
        <v>91.226418622372293</v>
      </c>
      <c r="AN636">
        <v>0.99999994525125102</v>
      </c>
    </row>
    <row r="637" spans="1:40" x14ac:dyDescent="0.3">
      <c r="A637" t="str">
        <f>"20200111153842114"</f>
        <v>20200111153842114</v>
      </c>
      <c r="B637" t="str">
        <f>"1578728322110583"</f>
        <v>1578728322110583</v>
      </c>
      <c r="C637" t="s">
        <v>40</v>
      </c>
      <c r="D637">
        <v>5.4538589999999996</v>
      </c>
      <c r="E637">
        <v>0.57180730000000002</v>
      </c>
      <c r="F637" t="s">
        <v>42</v>
      </c>
      <c r="G637">
        <v>-239.86</v>
      </c>
      <c r="H637" s="1">
        <v>-1.375071E-6</v>
      </c>
      <c r="I637">
        <v>364.57510000000002</v>
      </c>
      <c r="J637">
        <v>-256.39350000000002</v>
      </c>
      <c r="K637">
        <v>1.104514</v>
      </c>
      <c r="L637">
        <v>367.44600000000003</v>
      </c>
      <c r="M637">
        <v>0.99989700000000004</v>
      </c>
      <c r="N637">
        <v>0</v>
      </c>
      <c r="O637">
        <v>-2.8302049999999999E-4</v>
      </c>
      <c r="P637">
        <v>0.99923930000000005</v>
      </c>
      <c r="Q637">
        <v>3.2572190000000001E-2</v>
      </c>
      <c r="R637">
        <v>2.1446980000000001E-2</v>
      </c>
      <c r="S637">
        <v>3.0195919999999998</v>
      </c>
      <c r="T637">
        <v>-0.19661400000000001</v>
      </c>
      <c r="U637">
        <v>-0.51104740000000004</v>
      </c>
      <c r="V637">
        <v>-2.1727949999999999E-2</v>
      </c>
      <c r="W637">
        <v>4.6910529999999999E-2</v>
      </c>
      <c r="X637">
        <v>0.99866279999999996</v>
      </c>
      <c r="Y637">
        <v>0.16625009999999901</v>
      </c>
      <c r="Z637">
        <v>-5.3504420000000004E-3</v>
      </c>
      <c r="AA637">
        <v>0.98606910000000003</v>
      </c>
      <c r="AB637">
        <v>42</v>
      </c>
      <c r="AC637">
        <v>16.5335</v>
      </c>
      <c r="AD637">
        <v>-1.1045153750709999</v>
      </c>
      <c r="AE637">
        <v>-2.8708999999999398</v>
      </c>
      <c r="AF637">
        <v>2.8538564812846401</v>
      </c>
      <c r="AG637">
        <v>-1.1045153750709999</v>
      </c>
      <c r="AH637">
        <v>16.462990255168901</v>
      </c>
      <c r="AI637">
        <v>93.782030980563107</v>
      </c>
      <c r="AJ637">
        <v>80.165518691148904</v>
      </c>
      <c r="AK637">
        <v>16.744984298927399</v>
      </c>
      <c r="AL637">
        <v>87.311237974094098</v>
      </c>
      <c r="AM637">
        <v>91.246390125658706</v>
      </c>
      <c r="AN637">
        <v>1.00000004486996</v>
      </c>
    </row>
    <row r="638" spans="1:40" x14ac:dyDescent="0.3">
      <c r="A638" t="str">
        <f>"20200111153842136"</f>
        <v>20200111153842136</v>
      </c>
      <c r="B638" t="str">
        <f>"1578728322131078"</f>
        <v>1578728322131078</v>
      </c>
      <c r="C638" t="s">
        <v>40</v>
      </c>
      <c r="D638">
        <v>5.4414829999999998</v>
      </c>
      <c r="E638">
        <v>0.57176119999999997</v>
      </c>
      <c r="F638" t="s">
        <v>42</v>
      </c>
      <c r="G638">
        <v>-241.44499999999999</v>
      </c>
      <c r="H638" s="1">
        <v>-4.8548329999999999E-6</v>
      </c>
      <c r="I638">
        <v>364.93520000000001</v>
      </c>
      <c r="J638">
        <v>-255.97300000000001</v>
      </c>
      <c r="K638">
        <v>1.1045119999999999</v>
      </c>
      <c r="L638">
        <v>367.44589999999999</v>
      </c>
      <c r="M638">
        <v>0.99989689999999998</v>
      </c>
      <c r="N638">
        <v>0</v>
      </c>
      <c r="O638">
        <v>-2.8302699999999999E-4</v>
      </c>
      <c r="P638">
        <v>0.99919159999999996</v>
      </c>
      <c r="Q638">
        <v>3.3118099999999998E-2</v>
      </c>
      <c r="R638">
        <v>2.2790390000000001E-2</v>
      </c>
      <c r="S638">
        <v>3.0204469999999999</v>
      </c>
      <c r="T638">
        <v>-0.2231764</v>
      </c>
      <c r="U638">
        <v>-0.5073242</v>
      </c>
      <c r="V638">
        <v>-2.3071649999999999E-2</v>
      </c>
      <c r="W638">
        <v>4.7456859999999997E-2</v>
      </c>
      <c r="X638">
        <v>0.99860680000000002</v>
      </c>
      <c r="Y638">
        <v>0.1649274</v>
      </c>
      <c r="Z638">
        <v>-6.0219339999999996E-3</v>
      </c>
      <c r="AA638">
        <v>0.98628740000000004</v>
      </c>
      <c r="AB638">
        <v>42</v>
      </c>
      <c r="AC638">
        <v>14.527999999999899</v>
      </c>
      <c r="AD638">
        <v>-1.104516854833</v>
      </c>
      <c r="AE638">
        <v>-2.5106999999999799</v>
      </c>
      <c r="AF638">
        <v>2.4925980836709001</v>
      </c>
      <c r="AG638">
        <v>-1.104516854833</v>
      </c>
      <c r="AH638">
        <v>14.447623559547001</v>
      </c>
      <c r="AI638">
        <v>94.308338309166103</v>
      </c>
      <c r="AJ638">
        <v>80.211321271208405</v>
      </c>
      <c r="AK638">
        <v>14.7026130061193</v>
      </c>
      <c r="AL638">
        <v>87.279900541183395</v>
      </c>
      <c r="AM638">
        <v>91.323516964589302</v>
      </c>
      <c r="AN638">
        <v>0.99999999780051096</v>
      </c>
    </row>
    <row r="639" spans="1:40" x14ac:dyDescent="0.3">
      <c r="A639" t="str">
        <f>"20200111153842159"</f>
        <v>20200111153842159</v>
      </c>
      <c r="B639" t="str">
        <f>"1578728322150614"</f>
        <v>1578728322150614</v>
      </c>
      <c r="C639" t="s">
        <v>40</v>
      </c>
      <c r="D639">
        <v>5.2829899999999999</v>
      </c>
      <c r="E639">
        <v>0.57313950000000002</v>
      </c>
      <c r="F639" t="s">
        <v>42</v>
      </c>
      <c r="G639">
        <v>-240.41970000000001</v>
      </c>
      <c r="H639" s="1">
        <v>-5.3531959999999997E-6</v>
      </c>
      <c r="I639">
        <v>364.858</v>
      </c>
      <c r="J639">
        <v>-255.55789999999999</v>
      </c>
      <c r="K639">
        <v>1.1045180000000001</v>
      </c>
      <c r="L639">
        <v>367.44580000000002</v>
      </c>
      <c r="M639">
        <v>0.99989689999999998</v>
      </c>
      <c r="N639">
        <v>0</v>
      </c>
      <c r="O639">
        <v>-2.8303079999999998E-4</v>
      </c>
      <c r="P639">
        <v>0.99912069999999997</v>
      </c>
      <c r="Q639">
        <v>3.4211720000000001E-2</v>
      </c>
      <c r="R639">
        <v>2.4232900000000002E-2</v>
      </c>
      <c r="S639">
        <v>3.0210110000000001</v>
      </c>
      <c r="T639">
        <v>-0.2145379</v>
      </c>
      <c r="U639">
        <v>-0.50265499999999996</v>
      </c>
      <c r="V639">
        <v>-2.4514089999999999E-2</v>
      </c>
      <c r="W639">
        <v>4.854994E-2</v>
      </c>
      <c r="X639">
        <v>0.99851990000000002</v>
      </c>
      <c r="Y639">
        <v>0.16345090000000001</v>
      </c>
      <c r="Z639">
        <v>-5.7370880000000004E-3</v>
      </c>
      <c r="AA639">
        <v>0.98653480000000005</v>
      </c>
      <c r="AB639">
        <v>42</v>
      </c>
      <c r="AC639">
        <v>15.1381999999999</v>
      </c>
      <c r="AD639">
        <v>-1.1045233531959999</v>
      </c>
      <c r="AE639">
        <v>-2.5878000000000099</v>
      </c>
      <c r="AF639">
        <v>2.5702206660701599</v>
      </c>
      <c r="AG639">
        <v>-1.1045233531959999</v>
      </c>
      <c r="AH639">
        <v>15.0610302093295</v>
      </c>
      <c r="AI639">
        <v>94.134799347686297</v>
      </c>
      <c r="AJ639">
        <v>80.315555894201097</v>
      </c>
      <c r="AK639">
        <v>15.318636919660401</v>
      </c>
      <c r="AL639">
        <v>87.217199428681894</v>
      </c>
      <c r="AM639">
        <v>91.406353355343199</v>
      </c>
      <c r="AN639">
        <v>1.00000001398927</v>
      </c>
    </row>
    <row r="640" spans="1:40" x14ac:dyDescent="0.3">
      <c r="A640" t="str">
        <f>"20200111153842180"</f>
        <v>20200111153842180</v>
      </c>
      <c r="B640" t="str">
        <f>"1578728322171097"</f>
        <v>1578728322171097</v>
      </c>
      <c r="C640" t="s">
        <v>40</v>
      </c>
      <c r="D640">
        <v>5.2839419999999997</v>
      </c>
      <c r="E640">
        <v>0.57373059999999998</v>
      </c>
      <c r="F640" t="s">
        <v>42</v>
      </c>
      <c r="G640">
        <v>-238.8535</v>
      </c>
      <c r="H640" s="1">
        <v>-1.7028039999999999E-6</v>
      </c>
      <c r="I640">
        <v>364.63069999999999</v>
      </c>
      <c r="J640">
        <v>-255.1438</v>
      </c>
      <c r="K640">
        <v>1.1045309999999999</v>
      </c>
      <c r="L640">
        <v>367.44560000000001</v>
      </c>
      <c r="M640">
        <v>0.99989700000000004</v>
      </c>
      <c r="N640">
        <v>0</v>
      </c>
      <c r="O640">
        <v>-2.8303200000000001E-4</v>
      </c>
      <c r="P640">
        <v>0.99907760000000001</v>
      </c>
      <c r="Q640">
        <v>3.4990470000000003E-2</v>
      </c>
      <c r="R640">
        <v>2.489864E-2</v>
      </c>
      <c r="S640">
        <v>3.0218660000000002</v>
      </c>
      <c r="T640">
        <v>-0.19980870000000001</v>
      </c>
      <c r="U640">
        <v>-0.5092468</v>
      </c>
      <c r="V640">
        <v>-2.5179710000000001E-2</v>
      </c>
      <c r="W640">
        <v>4.9327679999999999E-2</v>
      </c>
      <c r="X640">
        <v>0.99846520000000005</v>
      </c>
      <c r="Y640">
        <v>0.16554749999999999</v>
      </c>
      <c r="Z640">
        <v>-5.4103959999999996E-3</v>
      </c>
      <c r="AA640">
        <v>0.98618700000000004</v>
      </c>
      <c r="AB640">
        <v>42</v>
      </c>
      <c r="AC640">
        <v>16.290299999999998</v>
      </c>
      <c r="AD640">
        <v>-1.104532702804</v>
      </c>
      <c r="AE640">
        <v>-2.8149000000000202</v>
      </c>
      <c r="AF640">
        <v>2.7977994385076301</v>
      </c>
      <c r="AG640">
        <v>-1.104532702804</v>
      </c>
      <c r="AH640">
        <v>16.2186963332848</v>
      </c>
      <c r="AI640">
        <v>93.839431978213597</v>
      </c>
      <c r="AJ640">
        <v>80.212541368588006</v>
      </c>
      <c r="AK640">
        <v>16.495265531084399</v>
      </c>
      <c r="AL640">
        <v>87.172584701456699</v>
      </c>
      <c r="AM640">
        <v>91.444602569683894</v>
      </c>
      <c r="AN640">
        <v>0.99999999671045303</v>
      </c>
    </row>
    <row r="641" spans="1:40" x14ac:dyDescent="0.3">
      <c r="A641" t="str">
        <f>"20200111153842203"</f>
        <v>20200111153842203</v>
      </c>
      <c r="B641" t="str">
        <f>"1578728322190613"</f>
        <v>1578728322190613</v>
      </c>
      <c r="C641" t="s">
        <v>40</v>
      </c>
      <c r="D641">
        <v>5.27461</v>
      </c>
      <c r="E641">
        <v>0.57439379999999995</v>
      </c>
      <c r="F641" t="s">
        <v>42</v>
      </c>
      <c r="G641">
        <v>-237.3982</v>
      </c>
      <c r="H641" s="1">
        <v>-2.2486240000000002E-6</v>
      </c>
      <c r="I641">
        <v>364.44060000000002</v>
      </c>
      <c r="J641">
        <v>-254.72839999999999</v>
      </c>
      <c r="K641">
        <v>1.104535</v>
      </c>
      <c r="L641">
        <v>367.44560000000001</v>
      </c>
      <c r="M641">
        <v>0.99989689999999998</v>
      </c>
      <c r="N641">
        <v>0</v>
      </c>
      <c r="O641">
        <v>-2.8291230000000001E-4</v>
      </c>
      <c r="P641">
        <v>0.999054</v>
      </c>
      <c r="Q641">
        <v>3.6351479999999999E-2</v>
      </c>
      <c r="R641">
        <v>2.386945E-2</v>
      </c>
      <c r="S641">
        <v>3.0221100000000001</v>
      </c>
      <c r="T641">
        <v>-0.18810279999999999</v>
      </c>
      <c r="U641">
        <v>-0.51174929999999996</v>
      </c>
      <c r="V641">
        <v>-2.415014E-2</v>
      </c>
      <c r="W641">
        <v>5.0688780000000003E-2</v>
      </c>
      <c r="X641">
        <v>0.99842240000000004</v>
      </c>
      <c r="Y641">
        <v>0.16636689999999901</v>
      </c>
      <c r="Z641">
        <v>-5.1185919999999999E-3</v>
      </c>
      <c r="AA641">
        <v>0.98605069999999995</v>
      </c>
      <c r="AB641">
        <v>42</v>
      </c>
      <c r="AC641">
        <v>17.330199999999898</v>
      </c>
      <c r="AD641">
        <v>-1.1045372486239999</v>
      </c>
      <c r="AE641">
        <v>-3.0049999999999901</v>
      </c>
      <c r="AF641">
        <v>2.9883118632541898</v>
      </c>
      <c r="AG641">
        <v>-1.1045372486239999</v>
      </c>
      <c r="AH641">
        <v>17.262971995488702</v>
      </c>
      <c r="AI641">
        <v>93.607461411999694</v>
      </c>
      <c r="AJ641">
        <v>80.179121045687694</v>
      </c>
      <c r="AK641">
        <v>17.554492656943701</v>
      </c>
      <c r="AL641">
        <v>87.0945015339111</v>
      </c>
      <c r="AM641">
        <v>91.385617285404095</v>
      </c>
      <c r="AN641">
        <v>0.99999993525083197</v>
      </c>
    </row>
    <row r="642" spans="1:40" x14ac:dyDescent="0.3">
      <c r="A642" t="str">
        <f>"20200111153842225"</f>
        <v>20200111153842225</v>
      </c>
      <c r="B642" t="str">
        <f>"1578728322220870"</f>
        <v>1578728322220870</v>
      </c>
      <c r="C642" t="s">
        <v>40</v>
      </c>
      <c r="D642">
        <v>5.3781629999999998</v>
      </c>
      <c r="E642">
        <v>0.57430819999999905</v>
      </c>
      <c r="F642" t="s">
        <v>42</v>
      </c>
      <c r="G642">
        <v>-235.8871</v>
      </c>
      <c r="H642" s="1">
        <v>-2.8266199999999999E-6</v>
      </c>
      <c r="I642">
        <v>364.20089999999999</v>
      </c>
      <c r="J642">
        <v>-254.30760000000001</v>
      </c>
      <c r="K642">
        <v>1.1045419999999999</v>
      </c>
      <c r="L642">
        <v>367.44540000000001</v>
      </c>
      <c r="M642">
        <v>0.99989709999999998</v>
      </c>
      <c r="N642">
        <v>0</v>
      </c>
      <c r="O642">
        <v>-2.8302870000000002E-4</v>
      </c>
      <c r="P642">
        <v>0.99905909999999998</v>
      </c>
      <c r="Q642">
        <v>3.7194860000000003E-2</v>
      </c>
      <c r="R642">
        <v>2.2312419999999999E-2</v>
      </c>
      <c r="S642">
        <v>3.0217130000000001</v>
      </c>
      <c r="T642">
        <v>-0.17714150000000001</v>
      </c>
      <c r="U642">
        <v>-0.52035520000000002</v>
      </c>
      <c r="V642">
        <v>-2.259328E-2</v>
      </c>
      <c r="W642">
        <v>5.1531199999999999E-2</v>
      </c>
      <c r="X642">
        <v>0.99841579999999996</v>
      </c>
      <c r="Y642">
        <v>0.16914689999999999</v>
      </c>
      <c r="Z642">
        <v>-4.9011300000000001E-3</v>
      </c>
      <c r="AA642">
        <v>0.98557870000000003</v>
      </c>
      <c r="AB642">
        <v>42</v>
      </c>
      <c r="AC642">
        <v>18.420500000000001</v>
      </c>
      <c r="AD642">
        <v>-1.10454482662</v>
      </c>
      <c r="AE642">
        <v>-3.2445000000000102</v>
      </c>
      <c r="AF642">
        <v>3.2280285458584701</v>
      </c>
      <c r="AG642">
        <v>-1.10454482662</v>
      </c>
      <c r="AH642">
        <v>18.357399011329601</v>
      </c>
      <c r="AI642">
        <v>93.391365151374302</v>
      </c>
      <c r="AJ642">
        <v>80.026870586165401</v>
      </c>
      <c r="AK642">
        <v>18.671751016657598</v>
      </c>
      <c r="AL642">
        <v>87.046171489156805</v>
      </c>
      <c r="AM642">
        <v>91.296332345560401</v>
      </c>
      <c r="AN642">
        <v>1.00000001528211</v>
      </c>
    </row>
    <row r="643" spans="1:40" x14ac:dyDescent="0.3">
      <c r="A643" t="str">
        <f>"20200111153842248"</f>
        <v>20200111153842248</v>
      </c>
      <c r="B643" t="str">
        <f>"1578728322241369"</f>
        <v>1578728322241369</v>
      </c>
      <c r="C643" t="s">
        <v>40</v>
      </c>
      <c r="D643">
        <v>5.4696509999999998</v>
      </c>
      <c r="E643">
        <v>0.57263920000000001</v>
      </c>
      <c r="F643" t="s">
        <v>42</v>
      </c>
      <c r="G643">
        <v>-234.55199999999999</v>
      </c>
      <c r="H643" s="1">
        <v>-3.330374E-6</v>
      </c>
      <c r="I643">
        <v>364.01519999999999</v>
      </c>
      <c r="J643">
        <v>-253.8827</v>
      </c>
      <c r="K643">
        <v>1.1045499999999999</v>
      </c>
      <c r="L643">
        <v>367.44529999999997</v>
      </c>
      <c r="M643">
        <v>0.99989689999999998</v>
      </c>
      <c r="N643">
        <v>0</v>
      </c>
      <c r="O643">
        <v>-2.8266609999999997E-4</v>
      </c>
      <c r="P643">
        <v>0.99910770000000004</v>
      </c>
      <c r="Q643">
        <v>3.7271690000000003E-2</v>
      </c>
      <c r="R643">
        <v>1.9863249999999999E-2</v>
      </c>
      <c r="S643">
        <v>3.0208439999999999</v>
      </c>
      <c r="T643">
        <v>-0.16889609999999999</v>
      </c>
      <c r="U643">
        <v>-0.52450559999999902</v>
      </c>
      <c r="V643">
        <v>-2.01437E-2</v>
      </c>
      <c r="W643">
        <v>5.160787E-2</v>
      </c>
      <c r="X643">
        <v>0.99846420000000002</v>
      </c>
      <c r="Y643">
        <v>0.17053279999999901</v>
      </c>
      <c r="Z643">
        <v>-4.7125780000000003E-3</v>
      </c>
      <c r="AA643">
        <v>0.98534069999999996</v>
      </c>
      <c r="AB643">
        <v>42</v>
      </c>
      <c r="AC643">
        <v>19.330699999999901</v>
      </c>
      <c r="AD643">
        <v>-1.1045533303739901</v>
      </c>
      <c r="AE643">
        <v>-3.4300999999999799</v>
      </c>
      <c r="AF643">
        <v>3.4138293727082898</v>
      </c>
      <c r="AG643">
        <v>-1.1045533303739901</v>
      </c>
      <c r="AH643">
        <v>19.270671447859399</v>
      </c>
      <c r="AI643">
        <v>93.230294106855894</v>
      </c>
      <c r="AJ643">
        <v>79.954186558781799</v>
      </c>
      <c r="AK643">
        <v>19.601863357776701</v>
      </c>
      <c r="AL643">
        <v>87.041772574981294</v>
      </c>
      <c r="AM643">
        <v>91.155767473264206</v>
      </c>
      <c r="AN643">
        <v>0.99999994978863205</v>
      </c>
    </row>
    <row r="644" spans="1:40" x14ac:dyDescent="0.3">
      <c r="A644" t="str">
        <f>"20200111153842271"</f>
        <v>20200111153842271</v>
      </c>
      <c r="B644" t="str">
        <f>"1578728322260885"</f>
        <v>1578728322260885</v>
      </c>
      <c r="C644" t="s">
        <v>40</v>
      </c>
      <c r="D644">
        <v>5.4359469999999996</v>
      </c>
      <c r="E644">
        <v>0.57126690000000002</v>
      </c>
      <c r="F644" t="s">
        <v>42</v>
      </c>
      <c r="G644">
        <v>-235.44380000000001</v>
      </c>
      <c r="H644" s="1">
        <v>-2.9564039999999999E-6</v>
      </c>
      <c r="I644">
        <v>364.28019999999998</v>
      </c>
      <c r="J644">
        <v>-253.46770000000001</v>
      </c>
      <c r="K644">
        <v>1.1045400000000001</v>
      </c>
      <c r="L644">
        <v>367.4452</v>
      </c>
      <c r="M644">
        <v>0.99989700000000004</v>
      </c>
      <c r="N644">
        <v>0</v>
      </c>
      <c r="O644">
        <v>-2.8265940000000002E-4</v>
      </c>
      <c r="P644">
        <v>0.99914320000000001</v>
      </c>
      <c r="Q644">
        <v>3.740545E-2</v>
      </c>
      <c r="R644">
        <v>1.771588E-2</v>
      </c>
      <c r="S644">
        <v>3.019714</v>
      </c>
      <c r="T644">
        <v>-0.18089</v>
      </c>
      <c r="U644">
        <v>-0.5183411</v>
      </c>
      <c r="V644">
        <v>-1.7996769999999999E-2</v>
      </c>
      <c r="W644">
        <v>5.1741200000000001E-2</v>
      </c>
      <c r="X644">
        <v>0.99849840000000001</v>
      </c>
      <c r="Y644">
        <v>0.16860639999999999</v>
      </c>
      <c r="Z644">
        <v>-4.9921640000000003E-3</v>
      </c>
      <c r="AA644">
        <v>0.98567079999999996</v>
      </c>
      <c r="AB644">
        <v>42</v>
      </c>
      <c r="AC644">
        <v>18.023900000000001</v>
      </c>
      <c r="AD644">
        <v>-1.1045429564039999</v>
      </c>
      <c r="AE644">
        <v>-3.16500000000002</v>
      </c>
      <c r="AF644">
        <v>3.1484344708976102</v>
      </c>
      <c r="AG644">
        <v>-1.1045429564039999</v>
      </c>
      <c r="AH644">
        <v>17.959365132547699</v>
      </c>
      <c r="AI644">
        <v>93.466655839361906</v>
      </c>
      <c r="AJ644">
        <v>80.056589066819598</v>
      </c>
      <c r="AK644">
        <v>18.2666759626443</v>
      </c>
      <c r="AL644">
        <v>87.034123391557003</v>
      </c>
      <c r="AM644">
        <v>91.032577848398702</v>
      </c>
      <c r="AN644">
        <v>1.00000004515521</v>
      </c>
    </row>
    <row r="645" spans="1:40" x14ac:dyDescent="0.3">
      <c r="A645" t="str">
        <f>"20200111153842293"</f>
        <v>20200111153842293</v>
      </c>
      <c r="B645" t="str">
        <f>"1578728322281383"</f>
        <v>1578728322281383</v>
      </c>
      <c r="C645" t="s">
        <v>40</v>
      </c>
      <c r="D645">
        <v>5.4278639999999996</v>
      </c>
      <c r="E645">
        <v>0.57039640000000003</v>
      </c>
      <c r="F645" t="s">
        <v>42</v>
      </c>
      <c r="G645">
        <v>-236.0711</v>
      </c>
      <c r="H645" s="1">
        <v>-2.6881639999999998E-6</v>
      </c>
      <c r="I645">
        <v>364.48599999999999</v>
      </c>
      <c r="J645">
        <v>-253.06059999999999</v>
      </c>
      <c r="K645">
        <v>1.10453</v>
      </c>
      <c r="L645">
        <v>367.44510000000002</v>
      </c>
      <c r="M645">
        <v>0.99989700000000004</v>
      </c>
      <c r="N645">
        <v>0</v>
      </c>
      <c r="O645">
        <v>-2.8253220000000001E-4</v>
      </c>
      <c r="P645">
        <v>0.99918969999999896</v>
      </c>
      <c r="Q645">
        <v>3.710339E-2</v>
      </c>
      <c r="R645">
        <v>1.560627E-2</v>
      </c>
      <c r="S645">
        <v>3.0188600000000001</v>
      </c>
      <c r="T645">
        <v>-0.19167290000000001</v>
      </c>
      <c r="U645">
        <v>-0.51351930000000001</v>
      </c>
      <c r="V645">
        <v>-1.5886339999999999E-2</v>
      </c>
      <c r="W645">
        <v>5.1438820000000003E-2</v>
      </c>
      <c r="X645">
        <v>0.99854980000000004</v>
      </c>
      <c r="Y645">
        <v>0.16708979999999901</v>
      </c>
      <c r="Z645">
        <v>-5.2436139999999997E-3</v>
      </c>
      <c r="AA645">
        <v>0.98592769999999996</v>
      </c>
      <c r="AB645">
        <v>42</v>
      </c>
      <c r="AC645">
        <v>16.9894999999999</v>
      </c>
      <c r="AD645">
        <v>-1.1045326881640001</v>
      </c>
      <c r="AE645">
        <v>-2.95910000000003</v>
      </c>
      <c r="AF645">
        <v>2.9422296851529999</v>
      </c>
      <c r="AG645">
        <v>-1.1045326881640001</v>
      </c>
      <c r="AH645">
        <v>16.920922400622199</v>
      </c>
      <c r="AI645">
        <v>93.679691648558006</v>
      </c>
      <c r="AJ645">
        <v>80.135965995084504</v>
      </c>
      <c r="AK645">
        <v>17.210297001135601</v>
      </c>
      <c r="AL645">
        <v>87.051471503002404</v>
      </c>
      <c r="AM645">
        <v>90.911465257392095</v>
      </c>
      <c r="AN645">
        <v>1.00000001554081</v>
      </c>
    </row>
    <row r="646" spans="1:40" x14ac:dyDescent="0.3">
      <c r="A646" t="str">
        <f>"20200111153842315"</f>
        <v>20200111153842315</v>
      </c>
      <c r="B646" t="str">
        <f>"1578728322310662"</f>
        <v>1578728322310662</v>
      </c>
      <c r="C646" t="s">
        <v>40</v>
      </c>
      <c r="D646">
        <v>5.3722989999999999</v>
      </c>
      <c r="E646">
        <v>0.57079409999999997</v>
      </c>
      <c r="F646" t="s">
        <v>42</v>
      </c>
      <c r="G646">
        <v>-236.46979999999999</v>
      </c>
      <c r="H646" s="1">
        <v>-2.5152129999999998E-6</v>
      </c>
      <c r="I646">
        <v>364.62599999999998</v>
      </c>
      <c r="J646">
        <v>-252.64060000000001</v>
      </c>
      <c r="K646">
        <v>1.104519</v>
      </c>
      <c r="L646">
        <v>367.44499999999999</v>
      </c>
      <c r="M646">
        <v>0.99989709999999998</v>
      </c>
      <c r="N646">
        <v>0</v>
      </c>
      <c r="O646">
        <v>-2.825228E-4</v>
      </c>
      <c r="P646">
        <v>0.99925589999999997</v>
      </c>
      <c r="Q646">
        <v>3.5951009999999999E-2</v>
      </c>
      <c r="R646">
        <v>1.398454E-2</v>
      </c>
      <c r="S646">
        <v>3.0178989999999999</v>
      </c>
      <c r="T646">
        <v>-0.2009155</v>
      </c>
      <c r="U646">
        <v>-0.51278690000000005</v>
      </c>
      <c r="V646">
        <v>-1.426493E-2</v>
      </c>
      <c r="W646">
        <v>5.0285879999999998E-2</v>
      </c>
      <c r="X646">
        <v>0.99863299999999999</v>
      </c>
      <c r="Y646">
        <v>0.16687729999999901</v>
      </c>
      <c r="Z646">
        <v>-5.490745E-3</v>
      </c>
      <c r="AA646">
        <v>0.98596240000000002</v>
      </c>
      <c r="AB646">
        <v>42</v>
      </c>
      <c r="AC646">
        <v>16.1708</v>
      </c>
      <c r="AD646">
        <v>-1.1045215152129999</v>
      </c>
      <c r="AE646">
        <v>-2.8190000000000102</v>
      </c>
      <c r="AF646">
        <v>2.8017451558916799</v>
      </c>
      <c r="AG646">
        <v>-1.1045215152129999</v>
      </c>
      <c r="AH646">
        <v>16.098704726431901</v>
      </c>
      <c r="AI646">
        <v>93.866930638405805</v>
      </c>
      <c r="AJ646">
        <v>80.127386289851302</v>
      </c>
      <c r="AK646">
        <v>16.377974159369401</v>
      </c>
      <c r="AL646">
        <v>87.117615707537098</v>
      </c>
      <c r="AM646">
        <v>90.8183834307723</v>
      </c>
      <c r="AN646">
        <v>1.0000000133221301</v>
      </c>
    </row>
    <row r="647" spans="1:40" x14ac:dyDescent="0.3">
      <c r="A647" t="str">
        <f>"20200111153842337"</f>
        <v>20200111153842337</v>
      </c>
      <c r="B647" t="str">
        <f>"1578728322331160"</f>
        <v>1578728322331160</v>
      </c>
      <c r="C647" t="s">
        <v>40</v>
      </c>
      <c r="D647">
        <v>5.3231289999999998</v>
      </c>
      <c r="E647">
        <v>0.57100550000000005</v>
      </c>
      <c r="F647" t="s">
        <v>42</v>
      </c>
      <c r="G647">
        <v>-235.96369999999999</v>
      </c>
      <c r="H647" s="1">
        <v>-2.7030490000000001E-6</v>
      </c>
      <c r="I647">
        <v>364.56740000000002</v>
      </c>
      <c r="J647">
        <v>-252.2165</v>
      </c>
      <c r="K647">
        <v>1.104498</v>
      </c>
      <c r="L647">
        <v>367.44490000000002</v>
      </c>
      <c r="M647">
        <v>0.99989720000000004</v>
      </c>
      <c r="N647">
        <v>0</v>
      </c>
      <c r="O647">
        <v>-2.8251209999999999E-4</v>
      </c>
      <c r="P647">
        <v>0.99932699999999997</v>
      </c>
      <c r="Q647">
        <v>3.4264830000000003E-2</v>
      </c>
      <c r="R647">
        <v>1.3110190000000001E-2</v>
      </c>
      <c r="S647">
        <v>3.0167079999999999</v>
      </c>
      <c r="T647">
        <v>-0.19979659999999999</v>
      </c>
      <c r="U647">
        <v>-0.52050779999999996</v>
      </c>
      <c r="V647">
        <v>-1.339081E-2</v>
      </c>
      <c r="W647">
        <v>4.8599469999999999E-2</v>
      </c>
      <c r="X647">
        <v>0.99872859999999997</v>
      </c>
      <c r="Y647">
        <v>0.16939109999999999</v>
      </c>
      <c r="Z647">
        <v>-5.5437309999999997E-3</v>
      </c>
      <c r="AA647">
        <v>0.98553329999999995</v>
      </c>
      <c r="AB647">
        <v>42</v>
      </c>
      <c r="AC647">
        <v>16.252800000000001</v>
      </c>
      <c r="AD647">
        <v>-1.1045007030489999</v>
      </c>
      <c r="AE647">
        <v>-2.8774999999999902</v>
      </c>
      <c r="AF647">
        <v>2.8601006423354001</v>
      </c>
      <c r="AG647">
        <v>-1.1045007030489999</v>
      </c>
      <c r="AH647">
        <v>16.181155257063399</v>
      </c>
      <c r="AI647">
        <v>93.845439264174502</v>
      </c>
      <c r="AJ647">
        <v>79.976215652302002</v>
      </c>
      <c r="AK647">
        <v>16.469058350146</v>
      </c>
      <c r="AL647">
        <v>87.214358229851001</v>
      </c>
      <c r="AM647">
        <v>90.768167574923098</v>
      </c>
      <c r="AN647">
        <v>1.00000001936734</v>
      </c>
    </row>
    <row r="648" spans="1:40" x14ac:dyDescent="0.3">
      <c r="A648" t="str">
        <f>"20200111153842359"</f>
        <v>20200111153842359</v>
      </c>
      <c r="B648" t="str">
        <f>"1578728322350680"</f>
        <v>1578728322350680</v>
      </c>
      <c r="C648" t="s">
        <v>40</v>
      </c>
      <c r="D648">
        <v>5.3241209999999999</v>
      </c>
      <c r="E648">
        <v>0.57123389999999996</v>
      </c>
      <c r="F648" t="s">
        <v>42</v>
      </c>
      <c r="G648">
        <v>-235.75530000000001</v>
      </c>
      <c r="H648" s="1">
        <v>-2.7705150000000002E-6</v>
      </c>
      <c r="I648">
        <v>364.5804</v>
      </c>
      <c r="J648">
        <v>-251.81379999999999</v>
      </c>
      <c r="K648">
        <v>1.104482</v>
      </c>
      <c r="L648">
        <v>367.44479999999999</v>
      </c>
      <c r="M648">
        <v>0.99989720000000004</v>
      </c>
      <c r="N648">
        <v>0</v>
      </c>
      <c r="O648">
        <v>-2.822624E-4</v>
      </c>
      <c r="P648">
        <v>0.99940039999999997</v>
      </c>
      <c r="Q648">
        <v>3.2521090000000002E-2</v>
      </c>
      <c r="R648">
        <v>1.188503E-2</v>
      </c>
      <c r="S648">
        <v>3.015854</v>
      </c>
      <c r="T648">
        <v>-0.20235400000000001</v>
      </c>
      <c r="U648">
        <v>-0.52478029999999998</v>
      </c>
      <c r="V648">
        <v>-1.2165520000000001E-2</v>
      </c>
      <c r="W648">
        <v>4.6855760000000003E-2</v>
      </c>
      <c r="X648">
        <v>0.99882760000000004</v>
      </c>
      <c r="Y648">
        <v>0.17078099999999999</v>
      </c>
      <c r="Z648">
        <v>-5.6616740000000002E-3</v>
      </c>
      <c r="AA648">
        <v>0.98529270000000002</v>
      </c>
      <c r="AB648">
        <v>42</v>
      </c>
      <c r="AC648">
        <v>16.058499999999899</v>
      </c>
      <c r="AD648">
        <v>-1.1044847705149901</v>
      </c>
      <c r="AE648">
        <v>-2.8643999999999799</v>
      </c>
      <c r="AF648">
        <v>2.84681503759372</v>
      </c>
      <c r="AG648">
        <v>-1.1044847705149901</v>
      </c>
      <c r="AH648">
        <v>15.986017541673</v>
      </c>
      <c r="AI648">
        <v>93.891295042192695</v>
      </c>
      <c r="AJ648">
        <v>79.902530369562996</v>
      </c>
      <c r="AK648">
        <v>16.275042221427402</v>
      </c>
      <c r="AL648">
        <v>87.314379446949502</v>
      </c>
      <c r="AM648">
        <v>90.6978166071369</v>
      </c>
      <c r="AN648">
        <v>1.0000000183219</v>
      </c>
    </row>
    <row r="649" spans="1:40" x14ac:dyDescent="0.3">
      <c r="A649" t="str">
        <f>"20200111153842381"</f>
        <v>20200111153842381</v>
      </c>
      <c r="B649" t="str">
        <f>"1578728322371174"</f>
        <v>1578728322371174</v>
      </c>
      <c r="C649" t="s">
        <v>40</v>
      </c>
      <c r="D649">
        <v>5.3196949999999896</v>
      </c>
      <c r="E649">
        <v>0.57145970000000001</v>
      </c>
      <c r="F649" t="s">
        <v>42</v>
      </c>
      <c r="G649">
        <v>-235.64330000000001</v>
      </c>
      <c r="H649" s="1">
        <v>-2.8027650000000002E-6</v>
      </c>
      <c r="I649">
        <v>364.60239999999999</v>
      </c>
      <c r="J649">
        <v>-251.4075</v>
      </c>
      <c r="K649">
        <v>1.10446</v>
      </c>
      <c r="L649">
        <v>367.44459999999998</v>
      </c>
      <c r="M649">
        <v>0.99989720000000004</v>
      </c>
      <c r="N649">
        <v>0</v>
      </c>
      <c r="O649">
        <v>-2.824886E-4</v>
      </c>
      <c r="P649">
        <v>0.99943850000000001</v>
      </c>
      <c r="Q649">
        <v>3.1774690000000001E-2</v>
      </c>
      <c r="R649">
        <v>1.064121E-2</v>
      </c>
      <c r="S649">
        <v>3.0148009999999998</v>
      </c>
      <c r="T649">
        <v>-0.2059175</v>
      </c>
      <c r="U649">
        <v>-0.52990719999999902</v>
      </c>
      <c r="V649">
        <v>-1.092138E-2</v>
      </c>
      <c r="W649">
        <v>4.6107929999999998E-2</v>
      </c>
      <c r="X649">
        <v>0.99887680000000001</v>
      </c>
      <c r="Y649">
        <v>0.1724474</v>
      </c>
      <c r="Z649">
        <v>-5.8186929999999998E-3</v>
      </c>
      <c r="AA649">
        <v>0.98500160000000003</v>
      </c>
      <c r="AB649">
        <v>42</v>
      </c>
      <c r="AC649">
        <v>15.764199999999899</v>
      </c>
      <c r="AD649">
        <v>-1.1044628027650001</v>
      </c>
      <c r="AE649">
        <v>-2.8421999999999898</v>
      </c>
      <c r="AF649">
        <v>2.8243192078021102</v>
      </c>
      <c r="AG649">
        <v>-1.1044628027650001</v>
      </c>
      <c r="AH649">
        <v>15.690409022407</v>
      </c>
      <c r="AI649">
        <v>93.962980199474003</v>
      </c>
      <c r="AJ649">
        <v>79.795865046587593</v>
      </c>
      <c r="AK649">
        <v>15.9807869756367</v>
      </c>
      <c r="AL649">
        <v>87.357273368886595</v>
      </c>
      <c r="AM649">
        <v>90.626427650743594</v>
      </c>
      <c r="AN649">
        <v>1.00000003966411</v>
      </c>
    </row>
    <row r="650" spans="1:40" x14ac:dyDescent="0.3">
      <c r="A650" t="str">
        <f>"20200111153842404"</f>
        <v>20200111153842404</v>
      </c>
      <c r="B650" t="str">
        <f>"1578728322401430"</f>
        <v>1578728322401430</v>
      </c>
      <c r="C650" t="s">
        <v>40</v>
      </c>
      <c r="D650">
        <v>5.1986359999999996</v>
      </c>
      <c r="E650">
        <v>0.57218409999999997</v>
      </c>
      <c r="F650" t="s">
        <v>42</v>
      </c>
      <c r="G650">
        <v>-235.29349999999999</v>
      </c>
      <c r="H650" s="1">
        <v>-2.9277930000000002E-6</v>
      </c>
      <c r="I650">
        <v>364.58</v>
      </c>
      <c r="J650">
        <v>-250.99440000000001</v>
      </c>
      <c r="K650">
        <v>1.1044499999999999</v>
      </c>
      <c r="L650">
        <v>367.44450000000001</v>
      </c>
      <c r="M650">
        <v>0.99989720000000004</v>
      </c>
      <c r="N650">
        <v>0</v>
      </c>
      <c r="O650">
        <v>-2.8223769999999998E-4</v>
      </c>
      <c r="P650">
        <v>0.99944849999999996</v>
      </c>
      <c r="Q650">
        <v>3.161009E-2</v>
      </c>
      <c r="R650">
        <v>1.0174509999999999E-2</v>
      </c>
      <c r="S650">
        <v>3.0139309999999999</v>
      </c>
      <c r="T650">
        <v>-0.2065756</v>
      </c>
      <c r="U650">
        <v>-0.53579709999999903</v>
      </c>
      <c r="V650">
        <v>-1.045516E-2</v>
      </c>
      <c r="W650">
        <v>4.5942169999999997E-2</v>
      </c>
      <c r="X650">
        <v>0.99888940000000004</v>
      </c>
      <c r="Y650">
        <v>0.17435539999999999</v>
      </c>
      <c r="Z650">
        <v>-5.9027430000000002E-3</v>
      </c>
      <c r="AA650">
        <v>0.98466509999999996</v>
      </c>
      <c r="AB650">
        <v>42</v>
      </c>
      <c r="AC650">
        <v>15.700900000000001</v>
      </c>
      <c r="AD650">
        <v>-1.104452927793</v>
      </c>
      <c r="AE650">
        <v>-2.86450000000002</v>
      </c>
      <c r="AF650">
        <v>2.8464370737165101</v>
      </c>
      <c r="AG650">
        <v>-1.104452927793</v>
      </c>
      <c r="AH650">
        <v>15.626874210361001</v>
      </c>
      <c r="AI650">
        <v>93.977512660742903</v>
      </c>
      <c r="AJ650">
        <v>79.676744330746104</v>
      </c>
      <c r="AK650">
        <v>15.922349634108199</v>
      </c>
      <c r="AL650">
        <v>87.366780722858095</v>
      </c>
      <c r="AM650">
        <v>90.599680673395895</v>
      </c>
      <c r="AN650">
        <v>1.00000001339364</v>
      </c>
    </row>
    <row r="651" spans="1:40" x14ac:dyDescent="0.3">
      <c r="A651" t="str">
        <f>"20200111153842427"</f>
        <v>20200111153842427</v>
      </c>
      <c r="B651" t="str">
        <f>"1578728322420953"</f>
        <v>1578728322420953</v>
      </c>
      <c r="C651" t="s">
        <v>40</v>
      </c>
      <c r="D651">
        <v>5.2206679999999999</v>
      </c>
      <c r="E651">
        <v>0.57268549999999996</v>
      </c>
      <c r="F651" t="s">
        <v>42</v>
      </c>
      <c r="G651">
        <v>-234.53800000000001</v>
      </c>
      <c r="H651" s="1">
        <v>-3.2364480000000001E-6</v>
      </c>
      <c r="I651">
        <v>364.48099999999999</v>
      </c>
      <c r="J651">
        <v>-250.5633</v>
      </c>
      <c r="K651">
        <v>1.104463</v>
      </c>
      <c r="L651">
        <v>367.44439999999997</v>
      </c>
      <c r="M651">
        <v>0.99989680000000003</v>
      </c>
      <c r="N651">
        <v>0</v>
      </c>
      <c r="O651">
        <v>-2.8195660000000002E-4</v>
      </c>
      <c r="P651">
        <v>0.99943979999999999</v>
      </c>
      <c r="Q651">
        <v>3.1866390000000001E-2</v>
      </c>
      <c r="R651">
        <v>1.0240010000000001E-2</v>
      </c>
      <c r="S651">
        <v>3.0135649999999998</v>
      </c>
      <c r="T651">
        <v>-0.20225109999999999</v>
      </c>
      <c r="U651">
        <v>-0.54269409999999996</v>
      </c>
      <c r="V651">
        <v>-1.052028E-2</v>
      </c>
      <c r="W651">
        <v>4.622511E-2</v>
      </c>
      <c r="X651">
        <v>0.99887570000000003</v>
      </c>
      <c r="Y651">
        <v>0.17657120000000001</v>
      </c>
      <c r="Z651">
        <v>-5.8526849999999998E-3</v>
      </c>
      <c r="AA651">
        <v>0.98427050000000005</v>
      </c>
      <c r="AB651">
        <v>41</v>
      </c>
      <c r="AC651">
        <v>16.025300000000001</v>
      </c>
      <c r="AD651">
        <v>-1.104466236448</v>
      </c>
      <c r="AE651">
        <v>-2.9633999999999698</v>
      </c>
      <c r="AF651">
        <v>2.9453531726739302</v>
      </c>
      <c r="AG651">
        <v>-1.104466236448</v>
      </c>
      <c r="AH651">
        <v>15.952864591092199</v>
      </c>
      <c r="AI651">
        <v>93.894825849771095</v>
      </c>
      <c r="AJ651">
        <v>79.539365218674902</v>
      </c>
      <c r="AK651">
        <v>16.260038119295999</v>
      </c>
      <c r="AL651">
        <v>87.350552312311393</v>
      </c>
      <c r="AM651">
        <v>90.603423786692602</v>
      </c>
      <c r="AN651">
        <v>1.0000000505681299</v>
      </c>
    </row>
    <row r="652" spans="1:40" x14ac:dyDescent="0.3">
      <c r="A652" t="str">
        <f>"20200111153842449"</f>
        <v>20200111153842449</v>
      </c>
      <c r="B652" t="str">
        <f>"1578728322441446"</f>
        <v>1578728322441446</v>
      </c>
      <c r="C652" t="s">
        <v>40</v>
      </c>
      <c r="D652">
        <v>4.9975199999999997</v>
      </c>
      <c r="E652">
        <v>0.57251649999999998</v>
      </c>
      <c r="F652" t="s">
        <v>42</v>
      </c>
      <c r="G652">
        <v>-233.75139999999999</v>
      </c>
      <c r="H652" s="1">
        <v>-3.5894190000000002E-6</v>
      </c>
      <c r="I652">
        <v>364.39350000000002</v>
      </c>
      <c r="J652">
        <v>-250.1541</v>
      </c>
      <c r="K652">
        <v>1.104509</v>
      </c>
      <c r="L652">
        <v>367.4443</v>
      </c>
      <c r="M652">
        <v>0.99989470000000003</v>
      </c>
      <c r="N652">
        <v>0</v>
      </c>
      <c r="O652">
        <v>-2.8176310000000001E-4</v>
      </c>
      <c r="P652">
        <v>0.99944060000000001</v>
      </c>
      <c r="Q652">
        <v>3.1949480000000002E-2</v>
      </c>
      <c r="R652">
        <v>9.8896330000000001E-3</v>
      </c>
      <c r="S652">
        <v>3.0135800000000001</v>
      </c>
      <c r="T652">
        <v>-0.19797719999999999</v>
      </c>
      <c r="U652">
        <v>-0.546875</v>
      </c>
      <c r="V652">
        <v>-1.0169610000000001E-2</v>
      </c>
      <c r="W652">
        <v>4.6446130000000002E-2</v>
      </c>
      <c r="X652">
        <v>0.99886900000000001</v>
      </c>
      <c r="Y652">
        <v>0.17790610000000001</v>
      </c>
      <c r="Z652">
        <v>-5.7720030000000004E-3</v>
      </c>
      <c r="AA652">
        <v>0.98403050000000003</v>
      </c>
      <c r="AB652">
        <v>41</v>
      </c>
      <c r="AC652">
        <v>16.402699999999999</v>
      </c>
      <c r="AD652">
        <v>-1.104512589419</v>
      </c>
      <c r="AE652">
        <v>-3.0507999999999802</v>
      </c>
      <c r="AF652">
        <v>3.0328855172001599</v>
      </c>
      <c r="AG652">
        <v>-1.104512589419</v>
      </c>
      <c r="AH652">
        <v>16.3319810186814</v>
      </c>
      <c r="AI652">
        <v>93.804113441939194</v>
      </c>
      <c r="AJ652">
        <v>79.479882647973</v>
      </c>
      <c r="AK652">
        <v>16.6478811449144</v>
      </c>
      <c r="AL652">
        <v>87.337874973114296</v>
      </c>
      <c r="AM652">
        <v>90.583315330708501</v>
      </c>
      <c r="AN652">
        <v>0.99999997156026399</v>
      </c>
    </row>
    <row r="653" spans="1:40" x14ac:dyDescent="0.3">
      <c r="A653" t="str">
        <f>"20200111153842470"</f>
        <v>20200111153842470</v>
      </c>
      <c r="B653" t="str">
        <f>"1578728322460965"</f>
        <v>1578728322460965</v>
      </c>
      <c r="C653" t="s">
        <v>40</v>
      </c>
      <c r="D653">
        <v>5.034027</v>
      </c>
      <c r="E653">
        <v>0.54264709999999905</v>
      </c>
      <c r="F653" t="s">
        <v>42</v>
      </c>
      <c r="G653">
        <v>-233.29470000000001</v>
      </c>
      <c r="H653" s="1">
        <v>-3.786213E-6</v>
      </c>
      <c r="I653">
        <v>364.38839999999999</v>
      </c>
      <c r="J653">
        <v>-249.7593</v>
      </c>
      <c r="K653">
        <v>1.104579</v>
      </c>
      <c r="L653">
        <v>367.44420000000002</v>
      </c>
      <c r="M653">
        <v>0.99989099999999997</v>
      </c>
      <c r="N653">
        <v>0</v>
      </c>
      <c r="O653">
        <v>-2.8199399999999998E-4</v>
      </c>
      <c r="P653">
        <v>0.99943289999999996</v>
      </c>
      <c r="Q653">
        <v>3.2281219999999999E-2</v>
      </c>
      <c r="R653">
        <v>9.6007780000000008E-3</v>
      </c>
      <c r="S653">
        <v>3.0134120000000002</v>
      </c>
      <c r="T653">
        <v>-0.1974176</v>
      </c>
      <c r="U653">
        <v>-0.54620360000000001</v>
      </c>
      <c r="V653">
        <v>-9.8811790000000004E-3</v>
      </c>
      <c r="W653">
        <v>4.703628E-2</v>
      </c>
      <c r="X653">
        <v>0.99884430000000002</v>
      </c>
      <c r="Y653">
        <v>0.17770569999999999</v>
      </c>
      <c r="Z653">
        <v>-5.749629E-3</v>
      </c>
      <c r="AA653">
        <v>0.98406689999999997</v>
      </c>
      <c r="AB653">
        <v>41</v>
      </c>
      <c r="AC653">
        <v>16.464599999999901</v>
      </c>
      <c r="AD653">
        <v>-1.104582786213</v>
      </c>
      <c r="AE653">
        <v>-3.0558000000000298</v>
      </c>
      <c r="AF653">
        <v>3.03793847583459</v>
      </c>
      <c r="AG653">
        <v>-1.104582786213</v>
      </c>
      <c r="AH653">
        <v>16.394130789957501</v>
      </c>
      <c r="AI653">
        <v>93.790242614349907</v>
      </c>
      <c r="AJ653">
        <v>79.501804533593798</v>
      </c>
      <c r="AK653">
        <v>16.7097785045998</v>
      </c>
      <c r="AL653">
        <v>87.304024926780599</v>
      </c>
      <c r="AM653">
        <v>90.566786420944595</v>
      </c>
      <c r="AN653">
        <v>0.99999999248857896</v>
      </c>
    </row>
    <row r="654" spans="1:40" x14ac:dyDescent="0.3">
      <c r="A654" t="str">
        <f>"20200111153842493"</f>
        <v>20200111153842493</v>
      </c>
      <c r="B654" t="str">
        <f>"1578728322481462"</f>
        <v>1578728322481462</v>
      </c>
      <c r="C654" t="s">
        <v>40</v>
      </c>
      <c r="D654">
        <v>4.9881419999999999</v>
      </c>
      <c r="E654">
        <v>0.54606219999999905</v>
      </c>
      <c r="F654" t="s">
        <v>42</v>
      </c>
      <c r="G654">
        <v>-224.4444</v>
      </c>
      <c r="H654" s="1">
        <v>-3.2122949999999998E-6</v>
      </c>
      <c r="I654">
        <v>364.84350000000001</v>
      </c>
      <c r="J654">
        <v>-249.3475</v>
      </c>
      <c r="K654">
        <v>1.1046590000000001</v>
      </c>
      <c r="L654">
        <v>367.44409999999999</v>
      </c>
      <c r="M654">
        <v>0.99988600000000005</v>
      </c>
      <c r="N654">
        <v>0</v>
      </c>
      <c r="O654">
        <v>-2.8211419999999999E-4</v>
      </c>
      <c r="P654">
        <v>0.99941460000000004</v>
      </c>
      <c r="Q654">
        <v>3.2768779999999997E-2</v>
      </c>
      <c r="R654">
        <v>9.8397169999999996E-3</v>
      </c>
      <c r="S654">
        <v>3.0089109999999999</v>
      </c>
      <c r="T654">
        <v>-0.13128909999999999</v>
      </c>
      <c r="U654">
        <v>-0.30911250000000001</v>
      </c>
      <c r="V654">
        <v>-1.011988E-2</v>
      </c>
      <c r="W654">
        <v>4.7857900000000002E-2</v>
      </c>
      <c r="X654">
        <v>0.99880290000000005</v>
      </c>
      <c r="Y654">
        <v>0.1018182</v>
      </c>
      <c r="Z654">
        <v>-2.202191E-3</v>
      </c>
      <c r="AA654">
        <v>0.99480060000000003</v>
      </c>
      <c r="AB654">
        <v>41</v>
      </c>
      <c r="AC654">
        <v>24.903099999999899</v>
      </c>
      <c r="AD654">
        <v>-1.1046622122950001</v>
      </c>
      <c r="AE654">
        <v>-2.60059999999998</v>
      </c>
      <c r="AF654">
        <v>2.5885351417736802</v>
      </c>
      <c r="AG654">
        <v>-1.1046622122950001</v>
      </c>
      <c r="AH654">
        <v>24.855453038382599</v>
      </c>
      <c r="AI654">
        <v>92.531076895306299</v>
      </c>
      <c r="AJ654">
        <v>84.054447161096604</v>
      </c>
      <c r="AK654">
        <v>25.014282690629301</v>
      </c>
      <c r="AL654">
        <v>87.256896541476095</v>
      </c>
      <c r="AM654">
        <v>90.580501491538996</v>
      </c>
      <c r="AN654">
        <v>1.0000000118060099</v>
      </c>
    </row>
    <row r="655" spans="1:40" x14ac:dyDescent="0.3">
      <c r="A655" t="str">
        <f>"20200111153842516"</f>
        <v>20200111153842516</v>
      </c>
      <c r="B655" t="str">
        <f>"1578728322500982"</f>
        <v>1578728322500982</v>
      </c>
      <c r="C655" t="s">
        <v>40</v>
      </c>
      <c r="D655">
        <v>4.9749470000000002</v>
      </c>
      <c r="E655">
        <v>0.54809649999999999</v>
      </c>
      <c r="F655" t="s">
        <v>42</v>
      </c>
      <c r="G655">
        <v>-223.7809</v>
      </c>
      <c r="H655" s="1">
        <v>-3.541481E-6</v>
      </c>
      <c r="I655">
        <v>364.59230000000002</v>
      </c>
      <c r="J655">
        <v>-248.9297</v>
      </c>
      <c r="K655">
        <v>1.1047199999999999</v>
      </c>
      <c r="L655">
        <v>367.44400000000002</v>
      </c>
      <c r="M655">
        <v>0.99988069999999896</v>
      </c>
      <c r="N655">
        <v>0</v>
      </c>
      <c r="O655">
        <v>-2.822805E-4</v>
      </c>
      <c r="P655">
        <v>0.9993824</v>
      </c>
      <c r="Q655">
        <v>3.3704640000000001E-2</v>
      </c>
      <c r="R655">
        <v>9.9456230000000007E-3</v>
      </c>
      <c r="S655">
        <v>3.0093540000000001</v>
      </c>
      <c r="T655">
        <v>-0.1300251</v>
      </c>
      <c r="U655">
        <v>-0.33566279999999998</v>
      </c>
      <c r="V655">
        <v>-1.0225919999999999E-2</v>
      </c>
      <c r="W655">
        <v>4.9141459999999998E-2</v>
      </c>
      <c r="X655">
        <v>0.9987395</v>
      </c>
      <c r="Y655">
        <v>0.11047029999999999</v>
      </c>
      <c r="Z655">
        <v>-2.3659150000000001E-3</v>
      </c>
      <c r="AA655">
        <v>0.9938766</v>
      </c>
      <c r="AB655">
        <v>41</v>
      </c>
      <c r="AC655">
        <v>25.148799999999898</v>
      </c>
      <c r="AD655">
        <v>-1.1047235414809999</v>
      </c>
      <c r="AE655">
        <v>-2.8516999999999899</v>
      </c>
      <c r="AF655">
        <v>2.8391910019562601</v>
      </c>
      <c r="AG655">
        <v>-1.1047235414809999</v>
      </c>
      <c r="AH655">
        <v>25.101781969352999</v>
      </c>
      <c r="AI655">
        <v>92.504002025242499</v>
      </c>
      <c r="AJ655">
        <v>83.546863267570203</v>
      </c>
      <c r="AK655">
        <v>25.285981841439899</v>
      </c>
      <c r="AL655">
        <v>87.183267344548696</v>
      </c>
      <c r="AM655">
        <v>90.586621020656693</v>
      </c>
      <c r="AN655">
        <v>1.00000002069551</v>
      </c>
    </row>
    <row r="656" spans="1:40" x14ac:dyDescent="0.3">
      <c r="A656" t="str">
        <f>"20200111153842539"</f>
        <v>20200111153842539</v>
      </c>
      <c r="B656" t="str">
        <f>"1578728322531240"</f>
        <v>1578728322531240</v>
      </c>
      <c r="C656" t="s">
        <v>40</v>
      </c>
      <c r="D656">
        <v>4.9902220000000002</v>
      </c>
      <c r="E656">
        <v>0.54985119999999998</v>
      </c>
      <c r="F656" t="s">
        <v>42</v>
      </c>
      <c r="G656">
        <v>-224.59110000000001</v>
      </c>
      <c r="H656" s="1">
        <v>-3.1926149999999999E-6</v>
      </c>
      <c r="I656">
        <v>364.59949999999998</v>
      </c>
      <c r="J656">
        <v>-248.5025</v>
      </c>
      <c r="K656">
        <v>1.10477</v>
      </c>
      <c r="L656">
        <v>367.44389999999999</v>
      </c>
      <c r="M656">
        <v>0.99987519999999996</v>
      </c>
      <c r="N656">
        <v>0</v>
      </c>
      <c r="O656">
        <v>-2.8212620000000002E-4</v>
      </c>
      <c r="P656">
        <v>0.99937589999999998</v>
      </c>
      <c r="Q656">
        <v>3.3917419999999997E-2</v>
      </c>
      <c r="R656">
        <v>9.8833619999999997E-3</v>
      </c>
      <c r="S656">
        <v>3.009979</v>
      </c>
      <c r="T656">
        <v>-0.1366222</v>
      </c>
      <c r="U656">
        <v>-0.35177609999999998</v>
      </c>
      <c r="V656">
        <v>-1.0163729999999999E-2</v>
      </c>
      <c r="W656">
        <v>4.9699149999999997E-2</v>
      </c>
      <c r="X656">
        <v>0.9987125</v>
      </c>
      <c r="Y656">
        <v>0.1156824</v>
      </c>
      <c r="Z656">
        <v>-2.602404E-3</v>
      </c>
      <c r="AA656">
        <v>0.99328289999999997</v>
      </c>
      <c r="AB656">
        <v>41</v>
      </c>
      <c r="AC656">
        <v>23.911399999999901</v>
      </c>
      <c r="AD656">
        <v>-1.104773192615</v>
      </c>
      <c r="AE656">
        <v>-2.8443999999999998</v>
      </c>
      <c r="AF656">
        <v>2.83169255036653</v>
      </c>
      <c r="AG656">
        <v>-1.104773192615</v>
      </c>
      <c r="AH656">
        <v>23.861974283694401</v>
      </c>
      <c r="AI656">
        <v>92.632370549156093</v>
      </c>
      <c r="AJ656">
        <v>83.232378795806696</v>
      </c>
      <c r="AK656">
        <v>24.054787947986799</v>
      </c>
      <c r="AL656">
        <v>87.151274859574102</v>
      </c>
      <c r="AM656">
        <v>90.583069432379304</v>
      </c>
      <c r="AN656">
        <v>0.99999998228724196</v>
      </c>
    </row>
    <row r="657" spans="1:40" x14ac:dyDescent="0.3">
      <c r="A657" t="str">
        <f>"20200111153842560"</f>
        <v>20200111153842560</v>
      </c>
      <c r="B657" t="str">
        <f>"1578728322550761"</f>
        <v>1578728322550761</v>
      </c>
      <c r="C657" t="s">
        <v>40</v>
      </c>
      <c r="D657">
        <v>5.0216949999999896</v>
      </c>
      <c r="E657">
        <v>0.55072209999999999</v>
      </c>
      <c r="F657" t="s">
        <v>42</v>
      </c>
      <c r="G657">
        <v>-225.09299999999999</v>
      </c>
      <c r="H657" s="1">
        <v>-2.9903570000000001E-6</v>
      </c>
      <c r="I657">
        <v>364.60120000000001</v>
      </c>
      <c r="J657">
        <v>-248.1199</v>
      </c>
      <c r="K657">
        <v>1.104805</v>
      </c>
      <c r="L657">
        <v>367.44380000000001</v>
      </c>
      <c r="M657">
        <v>0.9998705</v>
      </c>
      <c r="N657">
        <v>0</v>
      </c>
      <c r="O657">
        <v>-2.8234480000000002E-4</v>
      </c>
      <c r="P657">
        <v>0.99938550000000004</v>
      </c>
      <c r="Q657">
        <v>3.3593379999999999E-2</v>
      </c>
      <c r="R657">
        <v>1.000294E-2</v>
      </c>
      <c r="S657">
        <v>3.0103</v>
      </c>
      <c r="T657">
        <v>-0.14206559999999999</v>
      </c>
      <c r="U657">
        <v>-0.36553960000000002</v>
      </c>
      <c r="V657">
        <v>-1.0283280000000001E-2</v>
      </c>
      <c r="W657">
        <v>4.9671060000000003E-2</v>
      </c>
      <c r="X657">
        <v>0.99871270000000001</v>
      </c>
      <c r="Y657">
        <v>0.1201324</v>
      </c>
      <c r="Z657">
        <v>-2.809518E-3</v>
      </c>
      <c r="AA657">
        <v>0.99275389999999997</v>
      </c>
      <c r="AB657">
        <v>41</v>
      </c>
      <c r="AC657">
        <v>23.026900000000001</v>
      </c>
      <c r="AD657">
        <v>-1.1048079903569901</v>
      </c>
      <c r="AE657">
        <v>-2.8426</v>
      </c>
      <c r="AF657">
        <v>2.8296814086603201</v>
      </c>
      <c r="AG657">
        <v>-1.1048079903569901</v>
      </c>
      <c r="AH657">
        <v>22.975606150037098</v>
      </c>
      <c r="AI657">
        <v>92.732398233848002</v>
      </c>
      <c r="AJ657">
        <v>82.978795235291201</v>
      </c>
      <c r="AK657">
        <v>23.175551245476299</v>
      </c>
      <c r="AL657">
        <v>87.152886363235893</v>
      </c>
      <c r="AM657">
        <v>90.589927136424805</v>
      </c>
      <c r="AN657">
        <v>1.0000000085951799</v>
      </c>
    </row>
    <row r="658" spans="1:40" x14ac:dyDescent="0.3">
      <c r="A658" t="str">
        <f>"20200111153842582"</f>
        <v>20200111153842582</v>
      </c>
      <c r="B658" t="str">
        <f>"1578728322571255"</f>
        <v>1578728322571255</v>
      </c>
      <c r="C658" t="s">
        <v>40</v>
      </c>
      <c r="D658">
        <v>4.9742949999999997</v>
      </c>
      <c r="E658">
        <v>0.55120559999999996</v>
      </c>
      <c r="F658" t="s">
        <v>42</v>
      </c>
      <c r="G658">
        <v>-225.0181</v>
      </c>
      <c r="H658" s="1">
        <v>-3.0191800000000001E-6</v>
      </c>
      <c r="I658">
        <v>364.58870000000002</v>
      </c>
      <c r="J658">
        <v>-247.7056</v>
      </c>
      <c r="K658">
        <v>1.104841</v>
      </c>
      <c r="L658">
        <v>367.44369999999998</v>
      </c>
      <c r="M658">
        <v>0.99986569999999997</v>
      </c>
      <c r="N658">
        <v>0</v>
      </c>
      <c r="O658">
        <v>-2.825161E-4</v>
      </c>
      <c r="P658">
        <v>0.99940189999999995</v>
      </c>
      <c r="Q658">
        <v>3.3098549999999997E-2</v>
      </c>
      <c r="R658">
        <v>1.0028550000000001E-2</v>
      </c>
      <c r="S658">
        <v>3.0104220000000002</v>
      </c>
      <c r="T658">
        <v>-0.14396789999999901</v>
      </c>
      <c r="U658">
        <v>-0.37203979999999998</v>
      </c>
      <c r="V658">
        <v>-1.03091E-2</v>
      </c>
      <c r="W658">
        <v>4.9475320000000003E-2</v>
      </c>
      <c r="X658">
        <v>0.99872209999999995</v>
      </c>
      <c r="Y658">
        <v>0.1222332</v>
      </c>
      <c r="Z658">
        <v>-2.896615E-3</v>
      </c>
      <c r="AA658">
        <v>0.99249719999999997</v>
      </c>
      <c r="AB658">
        <v>41</v>
      </c>
      <c r="AC658">
        <v>22.6875</v>
      </c>
      <c r="AD658">
        <v>-1.10484401918</v>
      </c>
      <c r="AE658">
        <v>-2.85499999999996</v>
      </c>
      <c r="AF658">
        <v>2.8419547257540398</v>
      </c>
      <c r="AG658">
        <v>-1.10484401918</v>
      </c>
      <c r="AH658">
        <v>22.635461928037198</v>
      </c>
      <c r="AI658">
        <v>92.772673412981405</v>
      </c>
      <c r="AJ658">
        <v>82.843777267182105</v>
      </c>
      <c r="AK658">
        <v>22.8399107630825</v>
      </c>
      <c r="AL658">
        <v>87.164115104062105</v>
      </c>
      <c r="AM658">
        <v>90.591402696931397</v>
      </c>
      <c r="AN658">
        <v>0.99999995893016003</v>
      </c>
    </row>
    <row r="659" spans="1:40" x14ac:dyDescent="0.3">
      <c r="A659" t="str">
        <f>"20200111153842606"</f>
        <v>20200111153842606</v>
      </c>
      <c r="B659" t="str">
        <f>"1578728322601511"</f>
        <v>1578728322601511</v>
      </c>
      <c r="C659" t="s">
        <v>40</v>
      </c>
      <c r="D659">
        <v>4.9013799999999996</v>
      </c>
      <c r="E659">
        <v>0.55161179999999999</v>
      </c>
      <c r="F659" t="s">
        <v>42</v>
      </c>
      <c r="G659">
        <v>-225.0265</v>
      </c>
      <c r="H659" s="1">
        <v>-3.0102910000000002E-6</v>
      </c>
      <c r="I659">
        <v>364.6114</v>
      </c>
      <c r="J659">
        <v>-247.2987</v>
      </c>
      <c r="K659">
        <v>1.1048610000000001</v>
      </c>
      <c r="L659">
        <v>367.4436</v>
      </c>
      <c r="M659">
        <v>0.99986129999999995</v>
      </c>
      <c r="N659">
        <v>0</v>
      </c>
      <c r="O659">
        <v>-2.8271619999999998E-4</v>
      </c>
      <c r="P659">
        <v>0.99942699999999995</v>
      </c>
      <c r="Q659">
        <v>3.2374600000000003E-2</v>
      </c>
      <c r="R659">
        <v>9.8742940000000005E-3</v>
      </c>
      <c r="S659">
        <v>3.0104060000000001</v>
      </c>
      <c r="T659">
        <v>-0.1466556</v>
      </c>
      <c r="U659">
        <v>-0.375946</v>
      </c>
      <c r="V659">
        <v>-1.0155030000000001E-2</v>
      </c>
      <c r="W659">
        <v>4.9020500000000002E-2</v>
      </c>
      <c r="X659">
        <v>0.99874620000000003</v>
      </c>
      <c r="Y659">
        <v>0.1234951</v>
      </c>
      <c r="Z659">
        <v>-2.9810000000000001E-3</v>
      </c>
      <c r="AA659">
        <v>0.99234069999999996</v>
      </c>
      <c r="AB659">
        <v>41</v>
      </c>
      <c r="AC659">
        <v>22.272200000000002</v>
      </c>
      <c r="AD659">
        <v>-1.1048640102909999</v>
      </c>
      <c r="AE659">
        <v>-2.8321999999999998</v>
      </c>
      <c r="AF659">
        <v>2.81907527610743</v>
      </c>
      <c r="AG659">
        <v>-1.1048640102909999</v>
      </c>
      <c r="AH659">
        <v>22.219191153874402</v>
      </c>
      <c r="AI659">
        <v>92.824123116043395</v>
      </c>
      <c r="AJ659">
        <v>82.769192273513795</v>
      </c>
      <c r="AK659">
        <v>22.4245482769667</v>
      </c>
      <c r="AL659">
        <v>87.190206295535006</v>
      </c>
      <c r="AM659">
        <v>90.582550712215706</v>
      </c>
      <c r="AN659">
        <v>1.0000000530344899</v>
      </c>
    </row>
    <row r="660" spans="1:40" x14ac:dyDescent="0.3">
      <c r="A660" t="str">
        <f>"20200111153842628"</f>
        <v>20200111153842628</v>
      </c>
      <c r="B660" t="str">
        <f>"1578728322621029"</f>
        <v>1578728322621029</v>
      </c>
      <c r="C660" t="s">
        <v>40</v>
      </c>
      <c r="D660">
        <v>5.0747939999999998</v>
      </c>
      <c r="E660">
        <v>0.55217260000000001</v>
      </c>
      <c r="F660" t="s">
        <v>42</v>
      </c>
      <c r="G660">
        <v>-225.4597</v>
      </c>
      <c r="H660" s="1">
        <v>-2.8420219999999998E-6</v>
      </c>
      <c r="I660">
        <v>364.68970000000002</v>
      </c>
      <c r="J660">
        <v>-246.88579999999999</v>
      </c>
      <c r="K660">
        <v>1.1048789999999999</v>
      </c>
      <c r="L660">
        <v>367.44349999999997</v>
      </c>
      <c r="M660">
        <v>0.99985690000000005</v>
      </c>
      <c r="N660">
        <v>0</v>
      </c>
      <c r="O660">
        <v>-2.8286279999999999E-4</v>
      </c>
      <c r="P660">
        <v>0.99945019999999996</v>
      </c>
      <c r="Q660">
        <v>3.1787500000000003E-2</v>
      </c>
      <c r="R660">
        <v>9.439612E-3</v>
      </c>
      <c r="S660">
        <v>3.0104060000000001</v>
      </c>
      <c r="T660">
        <v>-0.15230009999999999</v>
      </c>
      <c r="U660">
        <v>-0.37960820000000001</v>
      </c>
      <c r="V660">
        <v>-9.7203749999999998E-3</v>
      </c>
      <c r="W660">
        <v>4.8691390000000001E-2</v>
      </c>
      <c r="X660">
        <v>0.9987665</v>
      </c>
      <c r="Y660">
        <v>0.12467060000000001</v>
      </c>
      <c r="Z660">
        <v>-3.1249509999999999E-3</v>
      </c>
      <c r="AA660">
        <v>0.99219329999999994</v>
      </c>
      <c r="AB660">
        <v>41</v>
      </c>
      <c r="AC660">
        <v>21.426099999999899</v>
      </c>
      <c r="AD660">
        <v>-1.1048818420219999</v>
      </c>
      <c r="AE660">
        <v>-2.7537999999999498</v>
      </c>
      <c r="AF660">
        <v>2.74056917477593</v>
      </c>
      <c r="AG660">
        <v>-1.1048818420219999</v>
      </c>
      <c r="AH660">
        <v>21.370972733032499</v>
      </c>
      <c r="AI660">
        <v>92.935566987941002</v>
      </c>
      <c r="AJ660">
        <v>82.692391805797598</v>
      </c>
      <c r="AK660">
        <v>21.574289300984599</v>
      </c>
      <c r="AL660">
        <v>87.209085107933404</v>
      </c>
      <c r="AM660">
        <v>90.5576066874372</v>
      </c>
      <c r="AN660">
        <v>0.99999992933625803</v>
      </c>
    </row>
    <row r="661" spans="1:40" x14ac:dyDescent="0.3">
      <c r="A661" t="str">
        <f>"20200111153842650"</f>
        <v>20200111153842650</v>
      </c>
      <c r="B661" t="str">
        <f>"1578728322641526"</f>
        <v>1578728322641526</v>
      </c>
      <c r="C661" t="s">
        <v>40</v>
      </c>
      <c r="D661">
        <v>4.9917749999999996</v>
      </c>
      <c r="E661">
        <v>0.5536605</v>
      </c>
      <c r="F661" t="s">
        <v>41</v>
      </c>
      <c r="G661">
        <v>-246.0437</v>
      </c>
      <c r="H661">
        <v>1.0446200000000001</v>
      </c>
      <c r="I661">
        <v>367.33589999999998</v>
      </c>
      <c r="J661">
        <v>-246.49469999999999</v>
      </c>
      <c r="K661">
        <v>1.104895</v>
      </c>
      <c r="L661">
        <v>367.4434</v>
      </c>
      <c r="M661">
        <v>0.99985270000000004</v>
      </c>
      <c r="N661">
        <v>0</v>
      </c>
      <c r="O661">
        <v>-2.8316380000000001E-4</v>
      </c>
      <c r="P661">
        <v>0.99947319999999995</v>
      </c>
      <c r="Q661">
        <v>3.1170639999999999E-2</v>
      </c>
      <c r="R661">
        <v>9.0473150000000002E-3</v>
      </c>
      <c r="S661">
        <v>3.0121310000000001</v>
      </c>
      <c r="T661">
        <v>-0.21569940000000001</v>
      </c>
      <c r="U661">
        <v>-0.38418580000000002</v>
      </c>
      <c r="V661">
        <v>-9.3285899999999995E-3</v>
      </c>
      <c r="W661">
        <v>4.8319889999999997E-2</v>
      </c>
      <c r="X661">
        <v>0.99878840000000002</v>
      </c>
      <c r="Y661">
        <v>0.1259237</v>
      </c>
      <c r="Z661">
        <v>-4.464679E-3</v>
      </c>
      <c r="AA661">
        <v>0.99202990000000002</v>
      </c>
      <c r="AB661">
        <v>40</v>
      </c>
      <c r="AC661">
        <v>0.45099999999999302</v>
      </c>
      <c r="AD661">
        <v>-6.0275000000000002E-2</v>
      </c>
      <c r="AE661">
        <v>-0.107500000000015</v>
      </c>
      <c r="AF661">
        <v>0.10558769159074501</v>
      </c>
      <c r="AG661">
        <v>-6.0275000000000002E-2</v>
      </c>
      <c r="AH661">
        <v>0.44353408537514299</v>
      </c>
      <c r="AI661">
        <v>97.530979585783896</v>
      </c>
      <c r="AJ661">
        <v>76.609416947056701</v>
      </c>
      <c r="AK661">
        <v>0.45989598946938698</v>
      </c>
      <c r="AL661">
        <v>87.230395913709003</v>
      </c>
      <c r="AM661">
        <v>90.5351216481709</v>
      </c>
      <c r="AN661">
        <v>1.00000005116777</v>
      </c>
    </row>
    <row r="662" spans="1:40" x14ac:dyDescent="0.3">
      <c r="A662" t="str">
        <f>"20200111153842671"</f>
        <v>20200111153842671</v>
      </c>
      <c r="B662" t="str">
        <f>"1578728322661047"</f>
        <v>1578728322661047</v>
      </c>
      <c r="C662" t="s">
        <v>40</v>
      </c>
      <c r="D662">
        <v>4.9406210000000002</v>
      </c>
      <c r="E662">
        <v>0.55398590000000003</v>
      </c>
      <c r="F662" t="s">
        <v>42</v>
      </c>
      <c r="G662">
        <v>-229.8571</v>
      </c>
      <c r="H662" s="1">
        <v>-1.1967379999999999E-6</v>
      </c>
      <c r="I662">
        <v>365.2491</v>
      </c>
      <c r="J662">
        <v>-246.10470000000001</v>
      </c>
      <c r="K662">
        <v>1.1049180000000001</v>
      </c>
      <c r="L662">
        <v>367.44330000000002</v>
      </c>
      <c r="M662">
        <v>0.99984859999999998</v>
      </c>
      <c r="N662">
        <v>0</v>
      </c>
      <c r="O662">
        <v>-2.8337209999999998E-4</v>
      </c>
      <c r="P662">
        <v>0.99948300000000001</v>
      </c>
      <c r="Q662">
        <v>3.0935600000000001E-2</v>
      </c>
      <c r="R662">
        <v>8.7797469999999992E-3</v>
      </c>
      <c r="S662">
        <v>3.0114290000000001</v>
      </c>
      <c r="T662">
        <v>-0.19998659999999999</v>
      </c>
      <c r="U662">
        <v>-0.3971558</v>
      </c>
      <c r="V662">
        <v>-9.0609290000000006E-3</v>
      </c>
      <c r="W662">
        <v>4.8328940000000001E-2</v>
      </c>
      <c r="X662">
        <v>0.99879039999999997</v>
      </c>
      <c r="Y662">
        <v>0.13018840000000001</v>
      </c>
      <c r="Z662">
        <v>-4.2808250000000003E-3</v>
      </c>
      <c r="AA662">
        <v>0.99148009999999998</v>
      </c>
      <c r="AB662">
        <v>40</v>
      </c>
      <c r="AC662">
        <v>16.247599999999998</v>
      </c>
      <c r="AD662">
        <v>-1.1049191967380001</v>
      </c>
      <c r="AE662">
        <v>-2.1942000000000199</v>
      </c>
      <c r="AF662">
        <v>2.17969523653518</v>
      </c>
      <c r="AG662">
        <v>-1.1049191967380001</v>
      </c>
      <c r="AH662">
        <v>16.174757796370699</v>
      </c>
      <c r="AI662">
        <v>93.872979296574897</v>
      </c>
      <c r="AJ662">
        <v>82.325110139071001</v>
      </c>
      <c r="AK662">
        <v>16.358322271148399</v>
      </c>
      <c r="AL662">
        <v>87.229876707890597</v>
      </c>
      <c r="AM662">
        <v>90.519767459594604</v>
      </c>
      <c r="AN662">
        <v>1.00000002500401</v>
      </c>
    </row>
    <row r="663" spans="1:40" x14ac:dyDescent="0.3">
      <c r="A663" t="str">
        <f>"20200111153842696"</f>
        <v>20200111153842696</v>
      </c>
      <c r="B663" t="str">
        <f>"1578728322691302"</f>
        <v>1578728322691302</v>
      </c>
      <c r="C663" t="s">
        <v>40</v>
      </c>
      <c r="D663">
        <v>5.0353659999999998</v>
      </c>
      <c r="E663">
        <v>0.55464789999999997</v>
      </c>
      <c r="F663" t="s">
        <v>42</v>
      </c>
      <c r="G663">
        <v>-230.2672</v>
      </c>
      <c r="H663" s="1">
        <v>-4.9168439999999996E-6</v>
      </c>
      <c r="I663">
        <v>365.33640000000003</v>
      </c>
      <c r="J663">
        <v>-245.69030000000001</v>
      </c>
      <c r="K663">
        <v>1.1049439999999999</v>
      </c>
      <c r="L663">
        <v>367.44310000000002</v>
      </c>
      <c r="M663">
        <v>0.99984399999999996</v>
      </c>
      <c r="N663">
        <v>0</v>
      </c>
      <c r="O663">
        <v>-2.8325639999999999E-4</v>
      </c>
      <c r="P663">
        <v>0.99949690000000002</v>
      </c>
      <c r="Q663">
        <v>3.06138E-2</v>
      </c>
      <c r="R663">
        <v>8.3015299999999997E-3</v>
      </c>
      <c r="S663">
        <v>3.011612</v>
      </c>
      <c r="T663">
        <v>-0.2101083</v>
      </c>
      <c r="U663">
        <v>-0.40063480000000001</v>
      </c>
      <c r="V663">
        <v>-8.5827879999999992E-3</v>
      </c>
      <c r="W663">
        <v>4.8265589999999997E-2</v>
      </c>
      <c r="X663">
        <v>0.99879770000000001</v>
      </c>
      <c r="Y663">
        <v>0.13127459999999999</v>
      </c>
      <c r="Z663">
        <v>-4.5340559999999999E-3</v>
      </c>
      <c r="AA663">
        <v>0.99133570000000004</v>
      </c>
      <c r="AB663">
        <v>40</v>
      </c>
      <c r="AC663">
        <v>15.4231</v>
      </c>
      <c r="AD663">
        <v>-1.1049489168440001</v>
      </c>
      <c r="AE663">
        <v>-2.10669999999998</v>
      </c>
      <c r="AF663">
        <v>2.0917907766552299</v>
      </c>
      <c r="AG663">
        <v>-1.1049489168440001</v>
      </c>
      <c r="AH663">
        <v>15.3463714800391</v>
      </c>
      <c r="AI663">
        <v>94.080623969342497</v>
      </c>
      <c r="AJ663">
        <v>82.238119052189404</v>
      </c>
      <c r="AK663">
        <v>15.527640463557001</v>
      </c>
      <c r="AL663">
        <v>87.233510673505094</v>
      </c>
      <c r="AM663">
        <v>90.4923373625316</v>
      </c>
      <c r="AN663">
        <v>1.0000000384765899</v>
      </c>
    </row>
    <row r="664" spans="1:40" x14ac:dyDescent="0.3">
      <c r="A664" t="str">
        <f>"20200111153842717"</f>
        <v>20200111153842717</v>
      </c>
      <c r="B664" t="str">
        <f>"1578728322710822"</f>
        <v>1578728322710822</v>
      </c>
      <c r="C664" t="s">
        <v>40</v>
      </c>
      <c r="D664">
        <v>5.0077819999999997</v>
      </c>
      <c r="E664">
        <v>0.55495030000000001</v>
      </c>
      <c r="F664" t="s">
        <v>41</v>
      </c>
      <c r="G664">
        <v>-244.61789999999999</v>
      </c>
      <c r="H664">
        <v>1.029517</v>
      </c>
      <c r="I664">
        <v>367.298</v>
      </c>
      <c r="J664">
        <v>-245.28639999999999</v>
      </c>
      <c r="K664">
        <v>1.1049690000000001</v>
      </c>
      <c r="L664">
        <v>367.44299999999998</v>
      </c>
      <c r="M664">
        <v>0.99983949999999999</v>
      </c>
      <c r="N664">
        <v>0</v>
      </c>
      <c r="O664">
        <v>-2.832326E-4</v>
      </c>
      <c r="P664">
        <v>0.99950989999999995</v>
      </c>
      <c r="Q664">
        <v>3.0422649999999999E-2</v>
      </c>
      <c r="R664">
        <v>7.3995140000000003E-3</v>
      </c>
      <c r="S664">
        <v>3.0113829999999999</v>
      </c>
      <c r="T664">
        <v>-0.21188209999999999</v>
      </c>
      <c r="U664">
        <v>-0.40716550000000001</v>
      </c>
      <c r="V664">
        <v>-7.6811939999999997E-3</v>
      </c>
      <c r="W664">
        <v>4.8325609999999998E-2</v>
      </c>
      <c r="X664">
        <v>0.99880210000000003</v>
      </c>
      <c r="Y664">
        <v>0.1333857</v>
      </c>
      <c r="Z664">
        <v>-4.6457779999999997E-3</v>
      </c>
      <c r="AA664">
        <v>0.99105330000000003</v>
      </c>
      <c r="AB664">
        <v>40</v>
      </c>
      <c r="AC664">
        <v>0.66849999999999399</v>
      </c>
      <c r="AD664">
        <v>-7.5452000000000005E-2</v>
      </c>
      <c r="AE664">
        <v>-0.14500000000003799</v>
      </c>
      <c r="AF664">
        <v>0.14306993519837999</v>
      </c>
      <c r="AG664">
        <v>-7.5452000000000005E-2</v>
      </c>
      <c r="AH664">
        <v>0.66050489000469104</v>
      </c>
      <c r="AI664">
        <v>96.370391829614604</v>
      </c>
      <c r="AJ664">
        <v>77.778146659001806</v>
      </c>
      <c r="AK664">
        <v>0.68002111759987105</v>
      </c>
      <c r="AL664">
        <v>87.230067657110993</v>
      </c>
      <c r="AM664">
        <v>90.440619139613702</v>
      </c>
      <c r="AN664">
        <v>1.0000000001437701</v>
      </c>
    </row>
    <row r="665" spans="1:40" x14ac:dyDescent="0.3">
      <c r="A665" t="str">
        <f>"20200111153842740"</f>
        <v>20200111153842740</v>
      </c>
      <c r="B665" t="str">
        <f>"1578728322731318"</f>
        <v>1578728322731318</v>
      </c>
      <c r="C665" t="s">
        <v>40</v>
      </c>
      <c r="D665">
        <v>5.0224209999999996</v>
      </c>
      <c r="E665">
        <v>0.55523279999999997</v>
      </c>
      <c r="F665" t="s">
        <v>41</v>
      </c>
      <c r="G665">
        <v>-244.2595</v>
      </c>
      <c r="H665">
        <v>1.033873</v>
      </c>
      <c r="I665">
        <v>367.3023</v>
      </c>
      <c r="J665">
        <v>-244.8956</v>
      </c>
      <c r="K665">
        <v>1.1049910000000001</v>
      </c>
      <c r="L665">
        <v>367.44290000000001</v>
      </c>
      <c r="M665">
        <v>0.99983509999999998</v>
      </c>
      <c r="N665">
        <v>0</v>
      </c>
      <c r="O665">
        <v>-2.8315149999999999E-4</v>
      </c>
      <c r="P665">
        <v>0.99951979999999996</v>
      </c>
      <c r="Q665">
        <v>3.0305459999999999E-2</v>
      </c>
      <c r="R665">
        <v>6.4888749999999999E-3</v>
      </c>
      <c r="S665">
        <v>3.0108950000000001</v>
      </c>
      <c r="T665">
        <v>-0.2086681</v>
      </c>
      <c r="U665">
        <v>-0.41204829999999998</v>
      </c>
      <c r="V665">
        <v>-6.7705300000000003E-3</v>
      </c>
      <c r="W665">
        <v>4.8449930000000002E-2</v>
      </c>
      <c r="X665">
        <v>0.99880270000000004</v>
      </c>
      <c r="Y665">
        <v>0.1349909</v>
      </c>
      <c r="Z665">
        <v>-4.631016E-3</v>
      </c>
      <c r="AA665">
        <v>0.99083600000000005</v>
      </c>
      <c r="AB665">
        <v>40</v>
      </c>
      <c r="AC665">
        <v>0.636099999999999</v>
      </c>
      <c r="AD665">
        <v>-7.1118000000000001E-2</v>
      </c>
      <c r="AE665">
        <v>-0.140600000000006</v>
      </c>
      <c r="AF665">
        <v>0.13876607997032001</v>
      </c>
      <c r="AG665">
        <v>-7.1118000000000001E-2</v>
      </c>
      <c r="AH665">
        <v>0.62864775896700997</v>
      </c>
      <c r="AI665">
        <v>96.303860967195305</v>
      </c>
      <c r="AJ665">
        <v>77.552287590647893</v>
      </c>
      <c r="AK665">
        <v>0.64769730563633898</v>
      </c>
      <c r="AL665">
        <v>87.222936388231503</v>
      </c>
      <c r="AM665">
        <v>90.388381862144399</v>
      </c>
      <c r="AN665">
        <v>1.0000000346603799</v>
      </c>
    </row>
    <row r="666" spans="1:40" x14ac:dyDescent="0.3">
      <c r="A666" t="str">
        <f>"20200111153842761"</f>
        <v>20200111153842761</v>
      </c>
      <c r="B666" t="str">
        <f>"1578728322750838"</f>
        <v>1578728322750838</v>
      </c>
      <c r="C666" t="s">
        <v>40</v>
      </c>
      <c r="D666">
        <v>5.0592829999999998</v>
      </c>
      <c r="E666">
        <v>0.55535780000000001</v>
      </c>
      <c r="F666" t="s">
        <v>41</v>
      </c>
      <c r="G666">
        <v>-243.90299999999999</v>
      </c>
      <c r="H666">
        <v>1.036791</v>
      </c>
      <c r="I666">
        <v>367.30520000000001</v>
      </c>
      <c r="J666">
        <v>-244.51329999999999</v>
      </c>
      <c r="K666">
        <v>1.105011</v>
      </c>
      <c r="L666">
        <v>367.44279999999998</v>
      </c>
      <c r="M666">
        <v>0.99983100000000003</v>
      </c>
      <c r="N666">
        <v>0</v>
      </c>
      <c r="O666">
        <v>-2.8353990000000001E-4</v>
      </c>
      <c r="P666">
        <v>0.99954019999999999</v>
      </c>
      <c r="Q666">
        <v>2.9790469999999999E-2</v>
      </c>
      <c r="R666">
        <v>5.6588619999999997E-3</v>
      </c>
      <c r="S666">
        <v>3.0104220000000002</v>
      </c>
      <c r="T666">
        <v>-0.20712050000000001</v>
      </c>
      <c r="U666">
        <v>-0.41656490000000002</v>
      </c>
      <c r="V666">
        <v>-5.9404790000000002E-3</v>
      </c>
      <c r="W666">
        <v>4.8159390000000003E-2</v>
      </c>
      <c r="X666">
        <v>0.99882199999999999</v>
      </c>
      <c r="Y666">
        <v>0.13647139999999999</v>
      </c>
      <c r="Z666">
        <v>-4.6476030000000002E-3</v>
      </c>
      <c r="AA666">
        <v>0.99063310000000004</v>
      </c>
      <c r="AB666">
        <v>40</v>
      </c>
      <c r="AC666">
        <v>0.61029999999999496</v>
      </c>
      <c r="AD666">
        <v>-6.8219999999999906E-2</v>
      </c>
      <c r="AE666">
        <v>-0.137599999999963</v>
      </c>
      <c r="AF666">
        <v>0.135812037903249</v>
      </c>
      <c r="AG666">
        <v>-6.8219999999999906E-2</v>
      </c>
      <c r="AH666">
        <v>0.60316699608100799</v>
      </c>
      <c r="AI666">
        <v>96.296573603574799</v>
      </c>
      <c r="AJ666">
        <v>77.3106238730375</v>
      </c>
      <c r="AK666">
        <v>0.62202033986102101</v>
      </c>
      <c r="AL666">
        <v>87.239602468295999</v>
      </c>
      <c r="AM666">
        <v>90.3407617792586</v>
      </c>
      <c r="AN666">
        <v>1.00000000190996</v>
      </c>
    </row>
    <row r="667" spans="1:40" x14ac:dyDescent="0.3">
      <c r="A667" t="str">
        <f>"20200111153842784"</f>
        <v>20200111153842784</v>
      </c>
      <c r="B667" t="str">
        <f>"1578728322771334"</f>
        <v>1578728322771334</v>
      </c>
      <c r="C667" t="s">
        <v>40</v>
      </c>
      <c r="D667">
        <v>5.0227170000000001</v>
      </c>
      <c r="E667">
        <v>0.55542899999999995</v>
      </c>
      <c r="F667" t="s">
        <v>41</v>
      </c>
      <c r="G667">
        <v>-243.54390000000001</v>
      </c>
      <c r="H667">
        <v>1.038578</v>
      </c>
      <c r="I667">
        <v>367.3073</v>
      </c>
      <c r="J667">
        <v>-244.11789999999999</v>
      </c>
      <c r="K667">
        <v>1.1050279999999999</v>
      </c>
      <c r="L667">
        <v>367.4427</v>
      </c>
      <c r="M667">
        <v>0.99982709999999997</v>
      </c>
      <c r="N667">
        <v>0</v>
      </c>
      <c r="O667">
        <v>-2.8385180000000001E-4</v>
      </c>
      <c r="P667">
        <v>0.99955930000000004</v>
      </c>
      <c r="Q667">
        <v>2.928389E-2</v>
      </c>
      <c r="R667">
        <v>4.8802189999999999E-3</v>
      </c>
      <c r="S667">
        <v>3.0099330000000002</v>
      </c>
      <c r="T667">
        <v>-0.20641480000000001</v>
      </c>
      <c r="U667">
        <v>-0.42025760000000001</v>
      </c>
      <c r="V667">
        <v>-5.1623160000000001E-3</v>
      </c>
      <c r="W667">
        <v>4.7867430000000002E-2</v>
      </c>
      <c r="X667">
        <v>0.99884030000000001</v>
      </c>
      <c r="Y667">
        <v>0.13768440000000001</v>
      </c>
      <c r="Z667">
        <v>-4.673478E-3</v>
      </c>
      <c r="AA667">
        <v>0.99046509999999999</v>
      </c>
      <c r="AB667">
        <v>40</v>
      </c>
      <c r="AC667">
        <v>0.57399999999998297</v>
      </c>
      <c r="AD667">
        <v>-6.6450000000000106E-2</v>
      </c>
      <c r="AE667">
        <v>-0.13540000000000399</v>
      </c>
      <c r="AF667">
        <v>0.13354166062550299</v>
      </c>
      <c r="AG667">
        <v>-6.6450000000000106E-2</v>
      </c>
      <c r="AH667">
        <v>0.56684208748843701</v>
      </c>
      <c r="AI667">
        <v>96.509561132496103</v>
      </c>
      <c r="AJ667">
        <v>76.7434815145416</v>
      </c>
      <c r="AK667">
        <v>0.58613900208983305</v>
      </c>
      <c r="AL667">
        <v>87.256349696263698</v>
      </c>
      <c r="AM667">
        <v>90.296119695807405</v>
      </c>
      <c r="AN667">
        <v>0.99999994263268699</v>
      </c>
    </row>
    <row r="668" spans="1:40" x14ac:dyDescent="0.3">
      <c r="A668" t="str">
        <f>"20200111153842806"</f>
        <v>20200111153842806</v>
      </c>
      <c r="B668" t="str">
        <f>"1578728322801590"</f>
        <v>1578728322801590</v>
      </c>
      <c r="C668" t="s">
        <v>40</v>
      </c>
      <c r="D668">
        <v>5.2081480000000004</v>
      </c>
      <c r="E668">
        <v>0.5555388</v>
      </c>
      <c r="F668" t="s">
        <v>42</v>
      </c>
      <c r="G668">
        <v>-227.98150000000001</v>
      </c>
      <c r="H668" s="1">
        <v>-1.8546209999999999E-6</v>
      </c>
      <c r="I668">
        <v>365.17540000000002</v>
      </c>
      <c r="J668">
        <v>-243.7184</v>
      </c>
      <c r="K668">
        <v>1.105043</v>
      </c>
      <c r="L668">
        <v>367.44260000000003</v>
      </c>
      <c r="M668">
        <v>0.99982329999999997</v>
      </c>
      <c r="N668">
        <v>0</v>
      </c>
      <c r="O668">
        <v>-2.840149E-4</v>
      </c>
      <c r="P668">
        <v>0.99955830000000001</v>
      </c>
      <c r="Q668">
        <v>2.9479780000000001E-2</v>
      </c>
      <c r="R668">
        <v>3.7416770000000001E-3</v>
      </c>
      <c r="S668">
        <v>3.0094150000000002</v>
      </c>
      <c r="T668">
        <v>-0.2060854</v>
      </c>
      <c r="U668">
        <v>-0.42285159999999999</v>
      </c>
      <c r="V668">
        <v>-4.0234420000000003E-3</v>
      </c>
      <c r="W668">
        <v>4.8258460000000003E-2</v>
      </c>
      <c r="X668">
        <v>0.99882680000000001</v>
      </c>
      <c r="Y668">
        <v>0.1385439</v>
      </c>
      <c r="Z668">
        <v>-4.6957939999999997E-3</v>
      </c>
      <c r="AA668">
        <v>0.99034520000000004</v>
      </c>
      <c r="AB668">
        <v>39</v>
      </c>
      <c r="AC668">
        <v>15.736899999999901</v>
      </c>
      <c r="AD668">
        <v>-1.1050448546209899</v>
      </c>
      <c r="AE668">
        <v>-2.2671999999999999</v>
      </c>
      <c r="AF668">
        <v>2.2518518474381799</v>
      </c>
      <c r="AG668">
        <v>-1.1050448546209899</v>
      </c>
      <c r="AH668">
        <v>15.6618873504124</v>
      </c>
      <c r="AI668">
        <v>93.994943754184007</v>
      </c>
      <c r="AJ668">
        <v>81.818137361723799</v>
      </c>
      <c r="AK668">
        <v>15.8614840494369</v>
      </c>
      <c r="AL668">
        <v>87.233919622617094</v>
      </c>
      <c r="AM668">
        <v>90.2307957684733</v>
      </c>
      <c r="AN668">
        <v>1.0000000217226599</v>
      </c>
    </row>
    <row r="669" spans="1:40" x14ac:dyDescent="0.3">
      <c r="A669" t="str">
        <f>"20200111153842828"</f>
        <v>20200111153842828</v>
      </c>
      <c r="B669" t="str">
        <f>"1578728322821109"</f>
        <v>1578728322821109</v>
      </c>
      <c r="C669" t="s">
        <v>40</v>
      </c>
      <c r="D669">
        <v>5.121543</v>
      </c>
      <c r="E669">
        <v>0.55570039999999998</v>
      </c>
      <c r="F669" t="s">
        <v>42</v>
      </c>
      <c r="G669">
        <v>-227.63849999999999</v>
      </c>
      <c r="H669" s="1">
        <v>-1.9753110000000001E-6</v>
      </c>
      <c r="I669">
        <v>365.16050000000001</v>
      </c>
      <c r="J669">
        <v>-243.32429999999999</v>
      </c>
      <c r="K669">
        <v>1.1050629999999999</v>
      </c>
      <c r="L669">
        <v>367.4425</v>
      </c>
      <c r="M669">
        <v>0.99982020000000005</v>
      </c>
      <c r="N669">
        <v>0</v>
      </c>
      <c r="O669">
        <v>-2.8434100000000002E-4</v>
      </c>
      <c r="P669">
        <v>0.99955329999999998</v>
      </c>
      <c r="Q669">
        <v>2.9765159999999999E-2</v>
      </c>
      <c r="R669">
        <v>2.6916459999999998E-3</v>
      </c>
      <c r="S669">
        <v>3.0090180000000002</v>
      </c>
      <c r="T669">
        <v>-0.20678379999999999</v>
      </c>
      <c r="U669">
        <v>-0.42703249999999998</v>
      </c>
      <c r="V669">
        <v>-2.9741329999999999E-3</v>
      </c>
      <c r="W669">
        <v>4.8716629999999997E-2</v>
      </c>
      <c r="X669">
        <v>0.99880820000000003</v>
      </c>
      <c r="Y669">
        <v>0.13990520000000001</v>
      </c>
      <c r="Z669">
        <v>-4.7582989999999997E-3</v>
      </c>
      <c r="AA669">
        <v>0.99015350000000002</v>
      </c>
      <c r="AB669">
        <v>39</v>
      </c>
      <c r="AC669">
        <v>15.6858</v>
      </c>
      <c r="AD669">
        <v>-1.105064975311</v>
      </c>
      <c r="AE669">
        <v>-2.28199999999998</v>
      </c>
      <c r="AF669">
        <v>2.2665229249124801</v>
      </c>
      <c r="AG669">
        <v>-1.105064975311</v>
      </c>
      <c r="AH669">
        <v>15.6105756924793</v>
      </c>
      <c r="AI669">
        <v>94.007306540046699</v>
      </c>
      <c r="AJ669">
        <v>81.738866773405604</v>
      </c>
      <c r="AK669">
        <v>15.812917764266</v>
      </c>
      <c r="AL669">
        <v>87.207637407902197</v>
      </c>
      <c r="AM669">
        <v>90.170608095703898</v>
      </c>
      <c r="AN669">
        <v>0.99999998794644895</v>
      </c>
    </row>
    <row r="670" spans="1:40" x14ac:dyDescent="0.3">
      <c r="A670" t="str">
        <f>"20200111153842850"</f>
        <v>20200111153842850</v>
      </c>
      <c r="B670" t="str">
        <f>"1578728322841606"</f>
        <v>1578728322841606</v>
      </c>
      <c r="C670" t="s">
        <v>40</v>
      </c>
      <c r="D670">
        <v>5.2098550000000001</v>
      </c>
      <c r="E670">
        <v>0.55558609999999997</v>
      </c>
      <c r="F670" t="s">
        <v>42</v>
      </c>
      <c r="G670">
        <v>-227.1249</v>
      </c>
      <c r="H670" s="1">
        <v>-2.160511E-6</v>
      </c>
      <c r="I670">
        <v>365.12130000000002</v>
      </c>
      <c r="J670">
        <v>-242.9436</v>
      </c>
      <c r="K670">
        <v>1.1050789999999999</v>
      </c>
      <c r="L670">
        <v>367.44240000000002</v>
      </c>
      <c r="M670">
        <v>0.99981739999999997</v>
      </c>
      <c r="N670">
        <v>0</v>
      </c>
      <c r="O670">
        <v>-2.8456850000000002E-4</v>
      </c>
      <c r="P670">
        <v>0.9995328</v>
      </c>
      <c r="Q670">
        <v>3.0529319999999999E-2</v>
      </c>
      <c r="R670">
        <v>1.537474E-3</v>
      </c>
      <c r="S670">
        <v>3.008591</v>
      </c>
      <c r="T670">
        <v>-0.20523449999999999</v>
      </c>
      <c r="U670">
        <v>-0.43109130000000001</v>
      </c>
      <c r="V670">
        <v>-1.8200499999999999E-3</v>
      </c>
      <c r="W670">
        <v>4.9629140000000002E-2</v>
      </c>
      <c r="X670">
        <v>0.99876609999999999</v>
      </c>
      <c r="Y670">
        <v>0.14123540000000001</v>
      </c>
      <c r="Z670">
        <v>-4.7680200000000004E-3</v>
      </c>
      <c r="AA670">
        <v>0.98996450000000003</v>
      </c>
      <c r="AB670">
        <v>39</v>
      </c>
      <c r="AC670">
        <v>15.8187</v>
      </c>
      <c r="AD670">
        <v>-1.105081160511</v>
      </c>
      <c r="AE670">
        <v>-2.3210999999999999</v>
      </c>
      <c r="AF670">
        <v>2.30558278775634</v>
      </c>
      <c r="AG670">
        <v>-1.105081160511</v>
      </c>
      <c r="AH670">
        <v>15.744143229898899</v>
      </c>
      <c r="AI670">
        <v>93.9727710298272</v>
      </c>
      <c r="AJ670">
        <v>81.668785147749901</v>
      </c>
      <c r="AK670">
        <v>15.9503906662529</v>
      </c>
      <c r="AL670">
        <v>87.155291267049506</v>
      </c>
      <c r="AM670">
        <v>90.104409899446594</v>
      </c>
      <c r="AN670">
        <v>1.00000004331417</v>
      </c>
    </row>
    <row r="671" spans="1:40" x14ac:dyDescent="0.3">
      <c r="A671" t="str">
        <f>"20200111153842873"</f>
        <v>20200111153842873</v>
      </c>
      <c r="B671" t="str">
        <f>"1578728322861126"</f>
        <v>1578728322861126</v>
      </c>
      <c r="C671" t="s">
        <v>40</v>
      </c>
      <c r="D671">
        <v>5.1716499999999996</v>
      </c>
      <c r="E671">
        <v>0.55546989999999996</v>
      </c>
      <c r="F671" t="s">
        <v>42</v>
      </c>
      <c r="G671">
        <v>-226.6748</v>
      </c>
      <c r="H671" s="1">
        <v>-2.3201099999999999E-6</v>
      </c>
      <c r="I671">
        <v>365.09710000000001</v>
      </c>
      <c r="J671">
        <v>-242.55510000000001</v>
      </c>
      <c r="K671">
        <v>1.1050949999999999</v>
      </c>
      <c r="L671">
        <v>367.44229999999999</v>
      </c>
      <c r="M671">
        <v>0.99981469999999995</v>
      </c>
      <c r="N671">
        <v>0</v>
      </c>
      <c r="O671">
        <v>-2.846662E-4</v>
      </c>
      <c r="P671">
        <v>0.99949940000000004</v>
      </c>
      <c r="Q671">
        <v>3.1636409999999997E-2</v>
      </c>
      <c r="R671" s="1">
        <v>-4.2274539999999999E-5</v>
      </c>
      <c r="S671">
        <v>3.0083160000000002</v>
      </c>
      <c r="T671">
        <v>-0.2043431</v>
      </c>
      <c r="U671">
        <v>-0.43365480000000001</v>
      </c>
      <c r="V671">
        <v>-2.3984009999999999E-4</v>
      </c>
      <c r="W671">
        <v>5.0868789999999997E-2</v>
      </c>
      <c r="X671">
        <v>0.99870530000000002</v>
      </c>
      <c r="Y671">
        <v>0.14207529999999999</v>
      </c>
      <c r="Z671">
        <v>-4.7758409999999899E-3</v>
      </c>
      <c r="AA671">
        <v>0.98984430000000001</v>
      </c>
      <c r="AB671">
        <v>39</v>
      </c>
      <c r="AC671">
        <v>15.8803</v>
      </c>
      <c r="AD671">
        <v>-1.1050973201100001</v>
      </c>
      <c r="AE671">
        <v>-2.34519999999997</v>
      </c>
      <c r="AF671">
        <v>2.3296376416289402</v>
      </c>
      <c r="AG671">
        <v>-1.1050973201100001</v>
      </c>
      <c r="AH671">
        <v>15.8060575031589</v>
      </c>
      <c r="AI671">
        <v>93.956778516462805</v>
      </c>
      <c r="AJ671">
        <v>81.615602350547405</v>
      </c>
      <c r="AK671">
        <v>16.014990022518798</v>
      </c>
      <c r="AL671">
        <v>87.084174538815802</v>
      </c>
      <c r="AM671">
        <v>90.013759639829502</v>
      </c>
      <c r="AN671">
        <v>0.99999998378371302</v>
      </c>
    </row>
    <row r="672" spans="1:40" x14ac:dyDescent="0.3">
      <c r="A672" t="str">
        <f>"20200111153842896"</f>
        <v>20200111153842896</v>
      </c>
      <c r="B672" t="str">
        <f>"1578728322891382"</f>
        <v>1578728322891382</v>
      </c>
      <c r="C672" t="s">
        <v>40</v>
      </c>
      <c r="D672">
        <v>5.2219699999999998</v>
      </c>
      <c r="E672">
        <v>0.55539680000000002</v>
      </c>
      <c r="F672" t="s">
        <v>42</v>
      </c>
      <c r="G672">
        <v>-226.11070000000001</v>
      </c>
      <c r="H672" s="1">
        <v>-2.5240860000000001E-6</v>
      </c>
      <c r="I672">
        <v>365.05200000000002</v>
      </c>
      <c r="J672">
        <v>-242.16720000000001</v>
      </c>
      <c r="K672">
        <v>1.1051029999999999</v>
      </c>
      <c r="L672">
        <v>367.44220000000001</v>
      </c>
      <c r="M672">
        <v>0.99981279999999995</v>
      </c>
      <c r="N672">
        <v>0</v>
      </c>
      <c r="O672">
        <v>-2.8512520000000002E-4</v>
      </c>
      <c r="P672">
        <v>0.99947600000000003</v>
      </c>
      <c r="Q672">
        <v>3.2342129999999997E-2</v>
      </c>
      <c r="R672">
        <v>-1.432095E-3</v>
      </c>
      <c r="S672">
        <v>3.007889</v>
      </c>
      <c r="T672">
        <v>-0.20213439999999999</v>
      </c>
      <c r="U672">
        <v>-0.43719479999999999</v>
      </c>
      <c r="V672">
        <v>1.149055E-3</v>
      </c>
      <c r="W672">
        <v>5.1671210000000002E-2</v>
      </c>
      <c r="X672">
        <v>0.99866350000000004</v>
      </c>
      <c r="Y672">
        <v>0.14324000000000001</v>
      </c>
      <c r="Z672">
        <v>-4.7634569999999996E-3</v>
      </c>
      <c r="AA672">
        <v>0.98967649999999996</v>
      </c>
      <c r="AB672">
        <v>39</v>
      </c>
      <c r="AC672">
        <v>16.0565</v>
      </c>
      <c r="AD672">
        <v>-1.1051055240859999</v>
      </c>
      <c r="AE672">
        <v>-2.3902000000000498</v>
      </c>
      <c r="AF672">
        <v>2.3746161790317299</v>
      </c>
      <c r="AG672">
        <v>-1.1051055240859999</v>
      </c>
      <c r="AH672">
        <v>15.983109981519</v>
      </c>
      <c r="AI672">
        <v>93.912445969631904</v>
      </c>
      <c r="AJ672">
        <v>81.549361797387405</v>
      </c>
      <c r="AK672">
        <v>16.196291702066102</v>
      </c>
      <c r="AL672">
        <v>87.038138790890898</v>
      </c>
      <c r="AM672">
        <v>89.934075919590697</v>
      </c>
      <c r="AN672">
        <v>1.0000000102512501</v>
      </c>
    </row>
    <row r="673" spans="1:40" x14ac:dyDescent="0.3">
      <c r="A673" t="str">
        <f>"20200111153842917"</f>
        <v>20200111153842917</v>
      </c>
      <c r="B673" t="str">
        <f>"1578728322910905"</f>
        <v>1578728322910905</v>
      </c>
      <c r="C673" t="s">
        <v>40</v>
      </c>
      <c r="D673">
        <v>5.1611050000000001</v>
      </c>
      <c r="E673">
        <v>0.55545880000000003</v>
      </c>
      <c r="F673" t="s">
        <v>42</v>
      </c>
      <c r="G673">
        <v>-225.6542</v>
      </c>
      <c r="H673" s="1">
        <v>-2.6868599999999998E-6</v>
      </c>
      <c r="I673">
        <v>365.024</v>
      </c>
      <c r="J673">
        <v>-241.77629999999999</v>
      </c>
      <c r="K673">
        <v>1.1051070000000001</v>
      </c>
      <c r="L673">
        <v>367.44200000000001</v>
      </c>
      <c r="M673">
        <v>0.99981189999999998</v>
      </c>
      <c r="N673">
        <v>0</v>
      </c>
      <c r="O673">
        <v>-2.8490859999999999E-4</v>
      </c>
      <c r="P673">
        <v>0.99951610000000002</v>
      </c>
      <c r="Q673">
        <v>3.1063540000000001E-2</v>
      </c>
      <c r="R673">
        <v>-1.6803860000000001E-3</v>
      </c>
      <c r="S673">
        <v>3.0074770000000002</v>
      </c>
      <c r="T673">
        <v>-0.20126949999999999</v>
      </c>
      <c r="U673">
        <v>-0.44039919999999999</v>
      </c>
      <c r="V673">
        <v>1.3975089999999999E-3</v>
      </c>
      <c r="W673">
        <v>5.0444000000000003E-2</v>
      </c>
      <c r="X673">
        <v>0.99872590000000006</v>
      </c>
      <c r="Y673">
        <v>0.14429220000000001</v>
      </c>
      <c r="Z673">
        <v>-4.7783979999999997E-3</v>
      </c>
      <c r="AA673">
        <v>0.98952359999999995</v>
      </c>
      <c r="AB673">
        <v>39</v>
      </c>
      <c r="AC673">
        <v>16.1220999999999</v>
      </c>
      <c r="AD673">
        <v>-1.1051096868600001</v>
      </c>
      <c r="AE673">
        <v>-2.4179999999999402</v>
      </c>
      <c r="AF673">
        <v>2.4023663006930498</v>
      </c>
      <c r="AG673">
        <v>-1.1051096868600001</v>
      </c>
      <c r="AH673">
        <v>16.0490394465374</v>
      </c>
      <c r="AI673">
        <v>93.895803952899897</v>
      </c>
      <c r="AJ673">
        <v>81.486656358165504</v>
      </c>
      <c r="AK673">
        <v>16.2654326231801</v>
      </c>
      <c r="AL673">
        <v>87.108544509760705</v>
      </c>
      <c r="AM673">
        <v>89.919826535717903</v>
      </c>
      <c r="AN673">
        <v>0.99999998674910695</v>
      </c>
    </row>
    <row r="674" spans="1:40" x14ac:dyDescent="0.3">
      <c r="A674" t="str">
        <f>"20200111153842940"</f>
        <v>20200111153842940</v>
      </c>
      <c r="B674" t="str">
        <f>"1578728322931397"</f>
        <v>1578728322931397</v>
      </c>
      <c r="C674" t="s">
        <v>40</v>
      </c>
      <c r="D674">
        <v>5.1441990000000004</v>
      </c>
      <c r="E674">
        <v>0.55545679999999997</v>
      </c>
      <c r="F674" t="s">
        <v>42</v>
      </c>
      <c r="G674">
        <v>-225.7</v>
      </c>
      <c r="H674" s="1">
        <v>-2.6555900000000002E-6</v>
      </c>
      <c r="I674">
        <v>365.08300000000003</v>
      </c>
      <c r="J674">
        <v>-241.39680000000001</v>
      </c>
      <c r="K674">
        <v>1.1051139999999999</v>
      </c>
      <c r="L674">
        <v>367.44200000000001</v>
      </c>
      <c r="M674">
        <v>0.99981160000000002</v>
      </c>
      <c r="N674">
        <v>0</v>
      </c>
      <c r="O674">
        <v>-2.8508629999999998E-4</v>
      </c>
      <c r="P674">
        <v>0.99955819999999995</v>
      </c>
      <c r="Q674">
        <v>2.96913E-2</v>
      </c>
      <c r="R674">
        <v>-1.424972E-3</v>
      </c>
      <c r="S674">
        <v>3.0071409999999998</v>
      </c>
      <c r="T674">
        <v>-0.20671500000000001</v>
      </c>
      <c r="U674">
        <v>-0.44125370000000003</v>
      </c>
      <c r="V674">
        <v>1.1417300000000001E-3</v>
      </c>
      <c r="W674">
        <v>4.9079539999999998E-2</v>
      </c>
      <c r="X674">
        <v>0.99879419999999997</v>
      </c>
      <c r="Y674">
        <v>0.1445652</v>
      </c>
      <c r="Z674">
        <v>-4.9171370000000002E-3</v>
      </c>
      <c r="AA674">
        <v>0.98948309999999995</v>
      </c>
      <c r="AB674">
        <v>39</v>
      </c>
      <c r="AC674">
        <v>15.6968</v>
      </c>
      <c r="AD674">
        <v>-1.1051166555899901</v>
      </c>
      <c r="AE674">
        <v>-2.35899999999992</v>
      </c>
      <c r="AF674">
        <v>2.3431662356112501</v>
      </c>
      <c r="AG674">
        <v>-1.1051166555899901</v>
      </c>
      <c r="AH674">
        <v>15.6217496792824</v>
      </c>
      <c r="AI674">
        <v>94.001868243389097</v>
      </c>
      <c r="AJ674">
        <v>81.469579516784904</v>
      </c>
      <c r="AK674">
        <v>15.835112057460501</v>
      </c>
      <c r="AL674">
        <v>87.186819268869201</v>
      </c>
      <c r="AM674">
        <v>89.934504743969796</v>
      </c>
      <c r="AN674">
        <v>0.99999997937382201</v>
      </c>
    </row>
    <row r="675" spans="1:40" x14ac:dyDescent="0.3">
      <c r="A675" t="str">
        <f>"20200111153842974"</f>
        <v>20200111153842974</v>
      </c>
      <c r="B675" t="str">
        <f>"1578728322960680"</f>
        <v>1578728322960680</v>
      </c>
      <c r="C675" t="s">
        <v>40</v>
      </c>
      <c r="D675">
        <v>5.078703</v>
      </c>
      <c r="E675">
        <v>0.55547209999999902</v>
      </c>
      <c r="F675" t="s">
        <v>42</v>
      </c>
      <c r="G675">
        <v>-225.74469999999999</v>
      </c>
      <c r="H675" s="1">
        <v>-2.6222009999999999E-6</v>
      </c>
      <c r="I675">
        <v>365.15129999999999</v>
      </c>
      <c r="J675">
        <v>-240.82660000000001</v>
      </c>
      <c r="K675">
        <v>1.1051280000000001</v>
      </c>
      <c r="L675">
        <v>367.44170000000003</v>
      </c>
      <c r="M675">
        <v>0.9998127</v>
      </c>
      <c r="N675">
        <v>0</v>
      </c>
      <c r="O675">
        <v>-2.8569320000000002E-4</v>
      </c>
      <c r="P675">
        <v>0.99953009999999998</v>
      </c>
      <c r="Q675">
        <v>3.0553739999999999E-2</v>
      </c>
      <c r="R675">
        <v>-2.47591E-3</v>
      </c>
      <c r="S675">
        <v>3.0070190000000001</v>
      </c>
      <c r="T675">
        <v>-0.21230979999999999</v>
      </c>
      <c r="U675">
        <v>-0.4400635</v>
      </c>
      <c r="V675">
        <v>2.1921499999999999E-3</v>
      </c>
      <c r="W675">
        <v>4.9893460000000001E-2</v>
      </c>
      <c r="X675">
        <v>0.99875210000000003</v>
      </c>
      <c r="Y675">
        <v>0.14416960000000001</v>
      </c>
      <c r="Z675">
        <v>-5.0363270000000002E-3</v>
      </c>
      <c r="AA675">
        <v>0.98954019999999998</v>
      </c>
      <c r="AB675">
        <v>38</v>
      </c>
      <c r="AC675">
        <v>15.081899999999999</v>
      </c>
      <c r="AD675">
        <v>-1.105130622201</v>
      </c>
      <c r="AE675">
        <v>-2.2904000000000302</v>
      </c>
      <c r="AF675">
        <v>2.27415501483507</v>
      </c>
      <c r="AG675">
        <v>-1.105130622201</v>
      </c>
      <c r="AH675">
        <v>15.003810411944199</v>
      </c>
      <c r="AI675">
        <v>94.165204984345394</v>
      </c>
      <c r="AJ675">
        <v>81.381177231159796</v>
      </c>
      <c r="AK675">
        <v>15.215367941696</v>
      </c>
      <c r="AL675">
        <v>87.140127823835897</v>
      </c>
      <c r="AM675">
        <v>89.874242325633702</v>
      </c>
      <c r="AN675">
        <v>0.99999996006340097</v>
      </c>
    </row>
    <row r="676" spans="1:40" x14ac:dyDescent="0.3">
      <c r="A676" t="str">
        <f>"20200111153842996"</f>
        <v>20200111153842996</v>
      </c>
      <c r="B676" t="str">
        <f>"1578728322990937"</f>
        <v>1578728322990937</v>
      </c>
      <c r="C676" t="s">
        <v>40</v>
      </c>
      <c r="D676">
        <v>5.0561680000000004</v>
      </c>
      <c r="E676">
        <v>0.55556909999999904</v>
      </c>
      <c r="F676" t="s">
        <v>42</v>
      </c>
      <c r="G676">
        <v>-225.13509999999999</v>
      </c>
      <c r="H676" s="1">
        <v>-2.8645779999999999E-6</v>
      </c>
      <c r="I676">
        <v>365.13339999999999</v>
      </c>
      <c r="J676">
        <v>-240.44290000000001</v>
      </c>
      <c r="K676">
        <v>1.105121</v>
      </c>
      <c r="L676">
        <v>367.44159999999999</v>
      </c>
      <c r="M676">
        <v>0.99981439999999999</v>
      </c>
      <c r="N676">
        <v>0</v>
      </c>
      <c r="O676">
        <v>-2.8566429999999997E-4</v>
      </c>
      <c r="P676">
        <v>0.9995134</v>
      </c>
      <c r="Q676">
        <v>3.071664E-2</v>
      </c>
      <c r="R676">
        <v>-5.4378500000000001E-3</v>
      </c>
      <c r="S676">
        <v>3.0068049999999999</v>
      </c>
      <c r="T676">
        <v>-0.2117637</v>
      </c>
      <c r="U676">
        <v>-0.44232179999999999</v>
      </c>
      <c r="V676">
        <v>5.1541809999999999E-3</v>
      </c>
      <c r="W676">
        <v>4.9966320000000002E-2</v>
      </c>
      <c r="X676">
        <v>0.9987376</v>
      </c>
      <c r="Y676">
        <v>0.14490720000000001</v>
      </c>
      <c r="Z676">
        <v>-5.049291E-3</v>
      </c>
      <c r="AA676">
        <v>0.98943239999999999</v>
      </c>
      <c r="AB676">
        <v>38</v>
      </c>
      <c r="AC676">
        <v>15.3078</v>
      </c>
      <c r="AD676">
        <v>-1.1051238645779999</v>
      </c>
      <c r="AE676">
        <v>-2.3081999999999998</v>
      </c>
      <c r="AF676">
        <v>2.2921453426377201</v>
      </c>
      <c r="AG676">
        <v>-1.1051238645779999</v>
      </c>
      <c r="AH676">
        <v>15.2308419198382</v>
      </c>
      <c r="AI676">
        <v>94.103958035225105</v>
      </c>
      <c r="AJ676">
        <v>81.441573435549003</v>
      </c>
      <c r="AK676">
        <v>15.441948536856801</v>
      </c>
      <c r="AL676">
        <v>87.135948143373398</v>
      </c>
      <c r="AM676">
        <v>89.704316532669694</v>
      </c>
      <c r="AN676">
        <v>0.99999999618494095</v>
      </c>
    </row>
    <row r="677" spans="1:40" x14ac:dyDescent="0.3">
      <c r="A677" t="str">
        <f>"20200111153843019"</f>
        <v>20200111153843019</v>
      </c>
      <c r="B677" t="str">
        <f>"1578728323011429"</f>
        <v>1578728323011429</v>
      </c>
      <c r="C677" t="s">
        <v>40</v>
      </c>
      <c r="D677">
        <v>5.0505409999999999</v>
      </c>
      <c r="E677">
        <v>0.55563149999999994</v>
      </c>
      <c r="F677" t="s">
        <v>42</v>
      </c>
      <c r="G677">
        <v>-224.6995</v>
      </c>
      <c r="H677" s="1">
        <v>-3.0619869999999999E-6</v>
      </c>
      <c r="I677">
        <v>365.07389999999998</v>
      </c>
      <c r="J677">
        <v>-240.04419999999999</v>
      </c>
      <c r="K677">
        <v>1.1051029999999999</v>
      </c>
      <c r="L677">
        <v>367.44150000000002</v>
      </c>
      <c r="M677">
        <v>0.99981730000000002</v>
      </c>
      <c r="N677">
        <v>0</v>
      </c>
      <c r="O677">
        <v>-2.8554159999999998E-4</v>
      </c>
      <c r="P677">
        <v>0.99950890000000003</v>
      </c>
      <c r="Q677">
        <v>2.98649E-2</v>
      </c>
      <c r="R677">
        <v>-9.5072409999999996E-3</v>
      </c>
      <c r="S677">
        <v>3.0054780000000001</v>
      </c>
      <c r="T677">
        <v>-0.21097089999999999</v>
      </c>
      <c r="U677">
        <v>-0.4519958</v>
      </c>
      <c r="V677">
        <v>9.2235909999999997E-3</v>
      </c>
      <c r="W677">
        <v>4.896524E-2</v>
      </c>
      <c r="X677">
        <v>0.99875789999999998</v>
      </c>
      <c r="Y677">
        <v>0.1480802</v>
      </c>
      <c r="Z677">
        <v>-5.1420650000000004E-3</v>
      </c>
      <c r="AA677">
        <v>0.98896200000000001</v>
      </c>
      <c r="AB677">
        <v>38</v>
      </c>
      <c r="AC677">
        <v>15.3446999999999</v>
      </c>
      <c r="AD677">
        <v>-1.1051060619869999</v>
      </c>
      <c r="AE677">
        <v>-2.3676000000000301</v>
      </c>
      <c r="AF677">
        <v>2.3513056204488199</v>
      </c>
      <c r="AG677">
        <v>-1.1051060619869999</v>
      </c>
      <c r="AH677">
        <v>15.2680263088012</v>
      </c>
      <c r="AI677">
        <v>94.091802072401805</v>
      </c>
      <c r="AJ677">
        <v>81.245118618710507</v>
      </c>
      <c r="AK677">
        <v>15.487495759329301</v>
      </c>
      <c r="AL677">
        <v>87.193376134999099</v>
      </c>
      <c r="AM677">
        <v>89.470884973044306</v>
      </c>
      <c r="AN677">
        <v>1.0000000060858001</v>
      </c>
    </row>
    <row r="678" spans="1:40" x14ac:dyDescent="0.3">
      <c r="A678" t="str">
        <f>"20200111153843040"</f>
        <v>20200111153843040</v>
      </c>
      <c r="B678" t="str">
        <f>"1578728323030951"</f>
        <v>1578728323030951</v>
      </c>
      <c r="C678" t="s">
        <v>40</v>
      </c>
      <c r="D678">
        <v>5.2013999999999996</v>
      </c>
      <c r="E678">
        <v>0.55565450000000005</v>
      </c>
      <c r="F678" t="s">
        <v>42</v>
      </c>
      <c r="G678">
        <v>-224.53319999999999</v>
      </c>
      <c r="H678" s="1">
        <v>-3.1389480000000002E-6</v>
      </c>
      <c r="I678">
        <v>365.0421</v>
      </c>
      <c r="J678">
        <v>-239.68979999999999</v>
      </c>
      <c r="K678">
        <v>1.1050719999999901</v>
      </c>
      <c r="L678">
        <v>367.44139999999999</v>
      </c>
      <c r="M678">
        <v>0.99982059999999995</v>
      </c>
      <c r="N678">
        <v>0</v>
      </c>
      <c r="O678">
        <v>-2.8516979999999999E-4</v>
      </c>
      <c r="P678">
        <v>0.99949840000000001</v>
      </c>
      <c r="Q678">
        <v>2.8367690000000001E-2</v>
      </c>
      <c r="R678">
        <v>-1.408597E-2</v>
      </c>
      <c r="S678">
        <v>3.0034480000000001</v>
      </c>
      <c r="T678">
        <v>-0.21398449999999999</v>
      </c>
      <c r="U678">
        <v>-0.4645996</v>
      </c>
      <c r="V678">
        <v>1.380254E-2</v>
      </c>
      <c r="W678">
        <v>4.7292050000000002E-2</v>
      </c>
      <c r="X678">
        <v>0.9987857</v>
      </c>
      <c r="Y678">
        <v>0.1522126</v>
      </c>
      <c r="Z678">
        <v>-5.3633559999999997E-3</v>
      </c>
      <c r="AA678">
        <v>0.98833320000000002</v>
      </c>
      <c r="AB678">
        <v>38</v>
      </c>
      <c r="AC678">
        <v>15.1565999999999</v>
      </c>
      <c r="AD678">
        <v>-1.10507513894799</v>
      </c>
      <c r="AE678">
        <v>-2.3992999999999798</v>
      </c>
      <c r="AF678">
        <v>2.3826206908263599</v>
      </c>
      <c r="AG678">
        <v>-1.10507513894799</v>
      </c>
      <c r="AH678">
        <v>15.079083833966401</v>
      </c>
      <c r="AI678">
        <v>94.140261616651102</v>
      </c>
      <c r="AJ678">
        <v>81.021024007251597</v>
      </c>
      <c r="AK678">
        <v>15.3061047197144</v>
      </c>
      <c r="AL678">
        <v>87.289353974084904</v>
      </c>
      <c r="AM678">
        <v>89.208261640166796</v>
      </c>
      <c r="AN678">
        <v>0.99999996131407098</v>
      </c>
    </row>
    <row r="679" spans="1:40" x14ac:dyDescent="0.3">
      <c r="A679" t="str">
        <f>"20200111153843063"</f>
        <v>20200111153843063</v>
      </c>
      <c r="B679" t="str">
        <f>"1578728323051018"</f>
        <v>1578728323051018</v>
      </c>
      <c r="C679" t="s">
        <v>40</v>
      </c>
      <c r="D679">
        <v>5.0843210000000001</v>
      </c>
      <c r="E679">
        <v>0.55594769999999905</v>
      </c>
      <c r="F679" t="s">
        <v>42</v>
      </c>
      <c r="G679">
        <v>-224.5598</v>
      </c>
      <c r="H679" s="1">
        <v>-3.129428E-6</v>
      </c>
      <c r="I679">
        <v>365.03160000000003</v>
      </c>
      <c r="J679">
        <v>-239.30420000000001</v>
      </c>
      <c r="K679">
        <v>1.1050329999999999</v>
      </c>
      <c r="L679">
        <v>367.44119999999998</v>
      </c>
      <c r="M679">
        <v>0.99982479999999996</v>
      </c>
      <c r="N679">
        <v>0</v>
      </c>
      <c r="O679">
        <v>-2.7807480000000001E-4</v>
      </c>
      <c r="P679">
        <v>0.99944029999999995</v>
      </c>
      <c r="Q679">
        <v>2.5954519999999998E-2</v>
      </c>
      <c r="R679">
        <v>-2.112006E-2</v>
      </c>
      <c r="S679">
        <v>3.0009769999999998</v>
      </c>
      <c r="T679">
        <v>-0.21918509999999999</v>
      </c>
      <c r="U679">
        <v>-0.47796630000000001</v>
      </c>
      <c r="V679">
        <v>2.0843210000000001E-2</v>
      </c>
      <c r="W679">
        <v>4.4665080000000003E-2</v>
      </c>
      <c r="X679">
        <v>0.99878449999999996</v>
      </c>
      <c r="Y679">
        <v>0.156607</v>
      </c>
      <c r="Z679">
        <v>-5.6557279999999996E-3</v>
      </c>
      <c r="AA679">
        <v>0.98764479999999999</v>
      </c>
      <c r="AB679">
        <v>38</v>
      </c>
      <c r="AC679">
        <v>14.744400000000001</v>
      </c>
      <c r="AD679">
        <v>-1.105036129428</v>
      </c>
      <c r="AE679">
        <v>-2.40959999999995</v>
      </c>
      <c r="AF679">
        <v>2.39241070848019</v>
      </c>
      <c r="AG679">
        <v>-1.105036129428</v>
      </c>
      <c r="AH679">
        <v>14.6648409791293</v>
      </c>
      <c r="AI679">
        <v>94.253234391791295</v>
      </c>
      <c r="AJ679">
        <v>80.734435040144007</v>
      </c>
      <c r="AK679">
        <v>14.899741433613601</v>
      </c>
      <c r="AL679">
        <v>87.440027619330394</v>
      </c>
      <c r="AM679">
        <v>88.804492211572693</v>
      </c>
      <c r="AN679">
        <v>0.99999994310737805</v>
      </c>
    </row>
    <row r="680" spans="1:40" x14ac:dyDescent="0.3">
      <c r="A680" t="str">
        <f>"20200111153843086"</f>
        <v>20200111153843086</v>
      </c>
      <c r="B680" t="str">
        <f>"1578728323081274"</f>
        <v>1578728323081274</v>
      </c>
      <c r="C680" t="s">
        <v>40</v>
      </c>
      <c r="D680">
        <v>5.0050850000000002</v>
      </c>
      <c r="E680">
        <v>0.58261890000000005</v>
      </c>
      <c r="F680" t="s">
        <v>42</v>
      </c>
      <c r="G680">
        <v>-224.87260000000001</v>
      </c>
      <c r="H680" s="1">
        <v>-2.995725E-6</v>
      </c>
      <c r="I680">
        <v>365.02870000000001</v>
      </c>
      <c r="J680">
        <v>-238.92250000000001</v>
      </c>
      <c r="K680">
        <v>1.104997</v>
      </c>
      <c r="L680">
        <v>367.44119999999998</v>
      </c>
      <c r="M680">
        <v>0.99982890000000002</v>
      </c>
      <c r="N680">
        <v>0</v>
      </c>
      <c r="O680">
        <v>-2.447587E-4</v>
      </c>
      <c r="P680">
        <v>0.99930819999999998</v>
      </c>
      <c r="Q680">
        <v>2.3487560000000001E-2</v>
      </c>
      <c r="R680">
        <v>-2.884111E-2</v>
      </c>
      <c r="S680">
        <v>2.997055</v>
      </c>
      <c r="T680">
        <v>-0.22948550000000001</v>
      </c>
      <c r="U680">
        <v>-0.50100710000000004</v>
      </c>
      <c r="V680">
        <v>2.859619E-2</v>
      </c>
      <c r="W680">
        <v>4.1967289999999997E-2</v>
      </c>
      <c r="X680">
        <v>0.99870970000000003</v>
      </c>
      <c r="Y680">
        <v>0.16417029999999999</v>
      </c>
      <c r="Z680">
        <v>-6.2144569999999996E-3</v>
      </c>
      <c r="AA680">
        <v>0.98641239999999997</v>
      </c>
      <c r="AB680">
        <v>38</v>
      </c>
      <c r="AC680">
        <v>14.049899999999999</v>
      </c>
      <c r="AD680">
        <v>-1.1049999957250001</v>
      </c>
      <c r="AE680">
        <v>-2.4124999999999601</v>
      </c>
      <c r="AF680">
        <v>2.3946723679747302</v>
      </c>
      <c r="AG680">
        <v>-1.1049999957250001</v>
      </c>
      <c r="AH680">
        <v>13.9665734782377</v>
      </c>
      <c r="AI680">
        <v>94.458876845358006</v>
      </c>
      <c r="AJ680">
        <v>80.270816886358702</v>
      </c>
      <c r="AK680">
        <v>14.2133970416472</v>
      </c>
      <c r="AL680">
        <v>87.594745081479104</v>
      </c>
      <c r="AM680">
        <v>88.359890311316803</v>
      </c>
      <c r="AN680">
        <v>1.0000000301932701</v>
      </c>
    </row>
    <row r="681" spans="1:40" x14ac:dyDescent="0.3">
      <c r="A681" t="str">
        <f>"20200111153843107"</f>
        <v>20200111153843107</v>
      </c>
      <c r="B681" t="str">
        <f>"1578728323100793"</f>
        <v>1578728323100793</v>
      </c>
      <c r="C681" t="s">
        <v>40</v>
      </c>
      <c r="D681">
        <v>4.9922700000000004</v>
      </c>
      <c r="E681">
        <v>0.58074239999999999</v>
      </c>
      <c r="F681" t="s">
        <v>42</v>
      </c>
      <c r="G681">
        <v>-215.37299999999999</v>
      </c>
      <c r="H681" s="1">
        <v>-3.69148E-6</v>
      </c>
      <c r="I681">
        <v>361.608</v>
      </c>
      <c r="J681">
        <v>-238.54140000000001</v>
      </c>
      <c r="K681">
        <v>1.1049819999999999</v>
      </c>
      <c r="L681">
        <v>367.44110000000001</v>
      </c>
      <c r="M681">
        <v>0.99983359999999999</v>
      </c>
      <c r="N681">
        <v>0</v>
      </c>
      <c r="O681">
        <v>-1.6286529999999999E-4</v>
      </c>
      <c r="P681">
        <v>0.99908799999999998</v>
      </c>
      <c r="Q681">
        <v>2.124098E-2</v>
      </c>
      <c r="R681">
        <v>-3.7036989999999999E-2</v>
      </c>
      <c r="S681">
        <v>2.9840239999999998</v>
      </c>
      <c r="T681">
        <v>-0.140017899999999</v>
      </c>
      <c r="U681">
        <v>-0.73913569999999995</v>
      </c>
      <c r="V681">
        <v>3.6871399999999999E-2</v>
      </c>
      <c r="W681">
        <v>3.9467870000000002E-2</v>
      </c>
      <c r="X681">
        <v>0.99854030000000005</v>
      </c>
      <c r="Y681">
        <v>0.24002499999999999</v>
      </c>
      <c r="Z681">
        <v>-5.5370200000000001E-3</v>
      </c>
      <c r="AA681">
        <v>0.97075089999999997</v>
      </c>
      <c r="AB681">
        <v>38</v>
      </c>
      <c r="AC681">
        <v>23.168399999999998</v>
      </c>
      <c r="AD681">
        <v>-1.10498569147999</v>
      </c>
      <c r="AE681">
        <v>-5.8331</v>
      </c>
      <c r="AF681">
        <v>5.8168831174833997</v>
      </c>
      <c r="AG681">
        <v>-1.10498569147999</v>
      </c>
      <c r="AH681">
        <v>23.119894276890999</v>
      </c>
      <c r="AI681">
        <v>92.653717427498293</v>
      </c>
      <c r="AJ681">
        <v>75.877700137204599</v>
      </c>
      <c r="AK681">
        <v>23.86601420337</v>
      </c>
      <c r="AL681">
        <v>87.738070059943993</v>
      </c>
      <c r="AM681">
        <v>87.885296928423998</v>
      </c>
      <c r="AN681">
        <v>0.99999997181219302</v>
      </c>
    </row>
    <row r="682" spans="1:40" x14ac:dyDescent="0.3">
      <c r="A682" t="str">
        <f>"20200111153843131"</f>
        <v>20200111153843131</v>
      </c>
      <c r="B682" t="str">
        <f>"1578728323121290"</f>
        <v>1578728323121290</v>
      </c>
      <c r="C682" t="s">
        <v>40</v>
      </c>
      <c r="D682">
        <v>4.9658030000000002</v>
      </c>
      <c r="E682">
        <v>0.57964589999999905</v>
      </c>
      <c r="F682" t="s">
        <v>42</v>
      </c>
      <c r="G682">
        <v>-214.64269999999999</v>
      </c>
      <c r="H682" s="1">
        <v>-3.9875320000000004E-6</v>
      </c>
      <c r="I682">
        <v>361.42939999999999</v>
      </c>
      <c r="J682">
        <v>-238.1609</v>
      </c>
      <c r="K682">
        <v>1.104976</v>
      </c>
      <c r="L682">
        <v>367.44119999999998</v>
      </c>
      <c r="M682">
        <v>0.99983840000000002</v>
      </c>
      <c r="N682">
        <v>0</v>
      </c>
      <c r="O682" s="1">
        <v>-9.2240440000000005E-6</v>
      </c>
      <c r="P682">
        <v>0.99879399999999996</v>
      </c>
      <c r="Q682">
        <v>1.881795E-2</v>
      </c>
      <c r="R682">
        <v>-4.5348869999999999E-2</v>
      </c>
      <c r="S682">
        <v>2.9779049999999998</v>
      </c>
      <c r="T682">
        <v>-0.1376867</v>
      </c>
      <c r="U682">
        <v>-0.74908450000000004</v>
      </c>
      <c r="V682">
        <v>4.5332219999999999E-2</v>
      </c>
      <c r="W682">
        <v>3.6789049999999997E-2</v>
      </c>
      <c r="X682">
        <v>0.99829429999999997</v>
      </c>
      <c r="Y682">
        <v>0.24369399999999999</v>
      </c>
      <c r="Z682">
        <v>-5.5440749999999999E-3</v>
      </c>
      <c r="AA682">
        <v>0.96983640000000004</v>
      </c>
      <c r="AB682">
        <v>38</v>
      </c>
      <c r="AC682">
        <v>23.5182</v>
      </c>
      <c r="AD682">
        <v>-1.1049799875320001</v>
      </c>
      <c r="AE682">
        <v>-6.0117999999999903</v>
      </c>
      <c r="AF682">
        <v>5.9991521774537899</v>
      </c>
      <c r="AG682">
        <v>-1.1049799875320001</v>
      </c>
      <c r="AH682">
        <v>23.4696240097737</v>
      </c>
      <c r="AI682">
        <v>92.6117175788103</v>
      </c>
      <c r="AJ682">
        <v>75.661449464073698</v>
      </c>
      <c r="AK682">
        <v>24.249413576027798</v>
      </c>
      <c r="AL682">
        <v>87.891666889783195</v>
      </c>
      <c r="AM682">
        <v>87.400003373402498</v>
      </c>
      <c r="AN682">
        <v>0.99999997689125997</v>
      </c>
    </row>
    <row r="683" spans="1:40" x14ac:dyDescent="0.3">
      <c r="A683" t="str">
        <f>"20200111153843153"</f>
        <v>20200111153843153</v>
      </c>
      <c r="B683" t="str">
        <f>"1578728323141461"</f>
        <v>1578728323141461</v>
      </c>
      <c r="C683" t="s">
        <v>40</v>
      </c>
      <c r="D683">
        <v>5.1204260000000001</v>
      </c>
      <c r="E683">
        <v>0.57703789999999999</v>
      </c>
      <c r="F683" t="s">
        <v>42</v>
      </c>
      <c r="G683">
        <v>-214.97790000000001</v>
      </c>
      <c r="H683" s="1">
        <v>-3.8618299999999996E-6</v>
      </c>
      <c r="I683">
        <v>361.47320000000002</v>
      </c>
      <c r="J683">
        <v>-237.79499999999999</v>
      </c>
      <c r="K683">
        <v>1.104994</v>
      </c>
      <c r="L683">
        <v>367.44139999999999</v>
      </c>
      <c r="M683">
        <v>0.99984200000000001</v>
      </c>
      <c r="N683">
        <v>0</v>
      </c>
      <c r="O683">
        <v>2.288957E-4</v>
      </c>
      <c r="P683">
        <v>0.99839630000000001</v>
      </c>
      <c r="Q683">
        <v>1.6178339999999999E-2</v>
      </c>
      <c r="R683">
        <v>-5.4252450000000001E-2</v>
      </c>
      <c r="S683">
        <v>2.971527</v>
      </c>
      <c r="T683">
        <v>-0.14163229999999999</v>
      </c>
      <c r="U683">
        <v>-0.76495360000000001</v>
      </c>
      <c r="V683">
        <v>5.4468370000000002E-2</v>
      </c>
      <c r="W683">
        <v>3.3942199999999999E-2</v>
      </c>
      <c r="X683">
        <v>0.99793849999999995</v>
      </c>
      <c r="Y683">
        <v>0.2492559</v>
      </c>
      <c r="Z683">
        <v>-5.8524519999999898E-3</v>
      </c>
      <c r="AA683">
        <v>0.96841999999999995</v>
      </c>
      <c r="AB683">
        <v>38</v>
      </c>
      <c r="AC683">
        <v>22.8170999999999</v>
      </c>
      <c r="AD683">
        <v>-1.10499786183</v>
      </c>
      <c r="AE683">
        <v>-5.9681999999999604</v>
      </c>
      <c r="AF683">
        <v>5.9603396593869302</v>
      </c>
      <c r="AG683">
        <v>-1.10499786183</v>
      </c>
      <c r="AH683">
        <v>22.765759194137701</v>
      </c>
      <c r="AI683">
        <v>92.688354836374401</v>
      </c>
      <c r="AJ683">
        <v>75.328602547962504</v>
      </c>
      <c r="AK683">
        <v>23.558999571615399</v>
      </c>
      <c r="AL683">
        <v>88.054881706884501</v>
      </c>
      <c r="AM683">
        <v>86.875845348039107</v>
      </c>
      <c r="AN683">
        <v>1.00000006302677</v>
      </c>
    </row>
    <row r="684" spans="1:40" x14ac:dyDescent="0.3">
      <c r="A684" t="str">
        <f>"20200111153843175"</f>
        <v>20200111153843175</v>
      </c>
      <c r="B684" t="str">
        <f>"1578728323170741"</f>
        <v>1578728323170741</v>
      </c>
      <c r="C684" t="s">
        <v>40</v>
      </c>
      <c r="D684">
        <v>4.8532869999999999</v>
      </c>
      <c r="E684">
        <v>0.57639589999999996</v>
      </c>
      <c r="F684" t="s">
        <v>42</v>
      </c>
      <c r="G684">
        <v>-217.5335</v>
      </c>
      <c r="H684" s="1">
        <v>-2.8045239999999998E-6</v>
      </c>
      <c r="I684">
        <v>362.17829999999998</v>
      </c>
      <c r="J684">
        <v>-237.41820000000001</v>
      </c>
      <c r="K684">
        <v>1.1050519999999999</v>
      </c>
      <c r="L684">
        <v>367.44170000000003</v>
      </c>
      <c r="M684">
        <v>0.99984479999999998</v>
      </c>
      <c r="N684">
        <v>0</v>
      </c>
      <c r="O684">
        <v>5.8509920000000002E-4</v>
      </c>
      <c r="P684">
        <v>0.99794070000000001</v>
      </c>
      <c r="Q684">
        <v>1.3199509999999999E-2</v>
      </c>
      <c r="R684">
        <v>-6.2771450000000006E-2</v>
      </c>
      <c r="S684">
        <v>2.9655610000000001</v>
      </c>
      <c r="T684">
        <v>-0.16173180000000001</v>
      </c>
      <c r="U684">
        <v>-0.77032469999999997</v>
      </c>
      <c r="V684">
        <v>6.3337329999999997E-2</v>
      </c>
      <c r="W684">
        <v>3.080484E-2</v>
      </c>
      <c r="X684">
        <v>0.99751659999999998</v>
      </c>
      <c r="Y684">
        <v>0.25162849999999998</v>
      </c>
      <c r="Z684">
        <v>-6.7760980000000004E-3</v>
      </c>
      <c r="AA684">
        <v>0.96780010000000005</v>
      </c>
      <c r="AB684">
        <v>38</v>
      </c>
      <c r="AC684">
        <v>19.884699999999999</v>
      </c>
      <c r="AD684">
        <v>-1.1050548045240001</v>
      </c>
      <c r="AE684">
        <v>-5.2634000000000398</v>
      </c>
      <c r="AF684">
        <v>5.2598546633591701</v>
      </c>
      <c r="AG684">
        <v>-1.1050548045240001</v>
      </c>
      <c r="AH684">
        <v>19.824400193735801</v>
      </c>
      <c r="AI684">
        <v>93.084000736489003</v>
      </c>
      <c r="AJ684">
        <v>75.140521741207607</v>
      </c>
      <c r="AK684">
        <v>20.540059888959799</v>
      </c>
      <c r="AL684">
        <v>88.234733348035803</v>
      </c>
      <c r="AM684">
        <v>86.366880915230396</v>
      </c>
      <c r="AN684">
        <v>0.999999961407256</v>
      </c>
    </row>
    <row r="685" spans="1:40" x14ac:dyDescent="0.3">
      <c r="A685" t="str">
        <f>"20200111153843198"</f>
        <v>20200111153843198</v>
      </c>
      <c r="B685" t="str">
        <f>"1578728323191241"</f>
        <v>1578728323191241</v>
      </c>
      <c r="C685" t="s">
        <v>40</v>
      </c>
      <c r="D685">
        <v>4.9315730000000002</v>
      </c>
      <c r="E685">
        <v>0.57501740000000001</v>
      </c>
      <c r="F685" t="s">
        <v>42</v>
      </c>
      <c r="G685">
        <v>-216.95439999999999</v>
      </c>
      <c r="H685" s="1">
        <v>-3.056419E-6</v>
      </c>
      <c r="I685">
        <v>361.97230000000002</v>
      </c>
      <c r="J685">
        <v>-237.03270000000001</v>
      </c>
      <c r="K685">
        <v>1.1051310000000001</v>
      </c>
      <c r="L685">
        <v>367.44240000000002</v>
      </c>
      <c r="M685">
        <v>0.99984740000000005</v>
      </c>
      <c r="N685">
        <v>0</v>
      </c>
      <c r="O685">
        <v>1.096114E-3</v>
      </c>
      <c r="P685">
        <v>0.99742949999999997</v>
      </c>
      <c r="Q685">
        <v>1.109454E-2</v>
      </c>
      <c r="R685">
        <v>-7.0788909999999997E-2</v>
      </c>
      <c r="S685">
        <v>2.958542</v>
      </c>
      <c r="T685">
        <v>-0.1597626</v>
      </c>
      <c r="U685">
        <v>-0.79074100000000003</v>
      </c>
      <c r="V685">
        <v>7.185822E-2</v>
      </c>
      <c r="W685">
        <v>2.853847E-2</v>
      </c>
      <c r="X685">
        <v>0.99700650000000002</v>
      </c>
      <c r="Y685">
        <v>0.25891560000000002</v>
      </c>
      <c r="Z685">
        <v>-6.9235939999999999E-3</v>
      </c>
      <c r="AA685">
        <v>0.96587509999999999</v>
      </c>
      <c r="AB685">
        <v>38</v>
      </c>
      <c r="AC685">
        <v>20.078299999999999</v>
      </c>
      <c r="AD685">
        <v>-1.10513405641899</v>
      </c>
      <c r="AE685">
        <v>-5.4701000000000004</v>
      </c>
      <c r="AF685">
        <v>5.4766628151781704</v>
      </c>
      <c r="AG685">
        <v>-1.10513405641899</v>
      </c>
      <c r="AH685">
        <v>20.0158422550392</v>
      </c>
      <c r="AI685">
        <v>93.048431954261602</v>
      </c>
      <c r="AJ685">
        <v>74.697475302199194</v>
      </c>
      <c r="AK685">
        <v>20.780979237091501</v>
      </c>
      <c r="AL685">
        <v>88.364644087054202</v>
      </c>
      <c r="AM685">
        <v>85.877593810856297</v>
      </c>
      <c r="AN685">
        <v>1.00000000454687</v>
      </c>
    </row>
    <row r="686" spans="1:40" x14ac:dyDescent="0.3">
      <c r="A686" t="str">
        <f>"20200111153843219"</f>
        <v>20200111153843219</v>
      </c>
      <c r="B686" t="str">
        <f>"1578728323210757"</f>
        <v>1578728323210757</v>
      </c>
      <c r="C686" t="s">
        <v>40</v>
      </c>
      <c r="D686">
        <v>4.894374</v>
      </c>
      <c r="E686">
        <v>0.57434649999999998</v>
      </c>
      <c r="F686" t="s">
        <v>42</v>
      </c>
      <c r="G686">
        <v>-216.94309999999999</v>
      </c>
      <c r="H686" s="1">
        <v>-3.0603990000000001E-6</v>
      </c>
      <c r="I686">
        <v>361.97179999999997</v>
      </c>
      <c r="J686">
        <v>-236.67179999999999</v>
      </c>
      <c r="K686">
        <v>1.1052059999999999</v>
      </c>
      <c r="L686">
        <v>367.4434</v>
      </c>
      <c r="M686">
        <v>0.99984989999999996</v>
      </c>
      <c r="N686">
        <v>0</v>
      </c>
      <c r="O686">
        <v>1.684262E-3</v>
      </c>
      <c r="P686">
        <v>0.99684680000000003</v>
      </c>
      <c r="Q686">
        <v>9.5556970000000001E-3</v>
      </c>
      <c r="R686">
        <v>-7.8774129999999998E-2</v>
      </c>
      <c r="S686">
        <v>2.9524840000000001</v>
      </c>
      <c r="T686">
        <v>-0.1624158</v>
      </c>
      <c r="U686">
        <v>-0.80398559999999997</v>
      </c>
      <c r="V686">
        <v>8.0424200000000001E-2</v>
      </c>
      <c r="W686">
        <v>2.6830139999999999E-2</v>
      </c>
      <c r="X686">
        <v>0.99639960000000005</v>
      </c>
      <c r="Y686">
        <v>0.263992</v>
      </c>
      <c r="Z686">
        <v>-7.2170919999999996E-3</v>
      </c>
      <c r="AA686">
        <v>0.96449790000000002</v>
      </c>
      <c r="AB686">
        <v>37</v>
      </c>
      <c r="AC686">
        <v>19.7287</v>
      </c>
      <c r="AD686">
        <v>-1.1052090603989999</v>
      </c>
      <c r="AE686">
        <v>-5.47160000000002</v>
      </c>
      <c r="AF686">
        <v>5.4888303087404902</v>
      </c>
      <c r="AG686">
        <v>-1.1052090603989999</v>
      </c>
      <c r="AH686">
        <v>19.662156934956201</v>
      </c>
      <c r="AI686">
        <v>93.098968132456307</v>
      </c>
      <c r="AJ686">
        <v>74.4025480007098</v>
      </c>
      <c r="AK686">
        <v>20.4438049433119</v>
      </c>
      <c r="AL686">
        <v>88.462561775594097</v>
      </c>
      <c r="AM686">
        <v>85.385386163207798</v>
      </c>
      <c r="AN686">
        <v>1.0000000356190999</v>
      </c>
    </row>
    <row r="687" spans="1:40" x14ac:dyDescent="0.3">
      <c r="A687" t="str">
        <f>"20200111153843241"</f>
        <v>20200111153843241</v>
      </c>
      <c r="B687" t="str">
        <f>"1578728323231253"</f>
        <v>1578728323231253</v>
      </c>
      <c r="C687" t="s">
        <v>40</v>
      </c>
      <c r="D687">
        <v>4.7895110000000001</v>
      </c>
      <c r="E687">
        <v>0.57326889999999997</v>
      </c>
      <c r="F687" t="s">
        <v>42</v>
      </c>
      <c r="G687">
        <v>-216.40369999999999</v>
      </c>
      <c r="H687" s="1">
        <v>-3.2940600000000001E-6</v>
      </c>
      <c r="I687">
        <v>361.7835</v>
      </c>
      <c r="J687">
        <v>-236.30770000000001</v>
      </c>
      <c r="K687">
        <v>1.105289</v>
      </c>
      <c r="L687">
        <v>367.44459999999998</v>
      </c>
      <c r="M687">
        <v>0.99985170000000001</v>
      </c>
      <c r="N687">
        <v>0</v>
      </c>
      <c r="O687">
        <v>2.388715E-3</v>
      </c>
      <c r="P687">
        <v>0.99628159999999999</v>
      </c>
      <c r="Q687">
        <v>9.3271010000000008E-3</v>
      </c>
      <c r="R687">
        <v>-8.5651069999999996E-2</v>
      </c>
      <c r="S687">
        <v>2.9460299999999999</v>
      </c>
      <c r="T687">
        <v>-0.16064419999999999</v>
      </c>
      <c r="U687">
        <v>-0.82266240000000002</v>
      </c>
      <c r="V687">
        <v>8.7996089999999999E-2</v>
      </c>
      <c r="W687">
        <v>2.6436890000000001E-2</v>
      </c>
      <c r="X687">
        <v>0.99576989999999999</v>
      </c>
      <c r="Y687">
        <v>0.27087860000000002</v>
      </c>
      <c r="Z687">
        <v>-7.3694249999999998E-3</v>
      </c>
      <c r="AA687">
        <v>0.96258529999999998</v>
      </c>
      <c r="AB687">
        <v>37</v>
      </c>
      <c r="AC687">
        <v>19.904</v>
      </c>
      <c r="AD687">
        <v>-1.1052922940600001</v>
      </c>
      <c r="AE687">
        <v>-5.66109999999997</v>
      </c>
      <c r="AF687">
        <v>5.6923957749517697</v>
      </c>
      <c r="AG687">
        <v>-1.1052922940600001</v>
      </c>
      <c r="AH687">
        <v>19.833834067325501</v>
      </c>
      <c r="AI687">
        <v>93.066126603199393</v>
      </c>
      <c r="AJ687">
        <v>73.986293027928099</v>
      </c>
      <c r="AK687">
        <v>20.6641238508725</v>
      </c>
      <c r="AL687">
        <v>88.485101217244093</v>
      </c>
      <c r="AM687">
        <v>84.949896051859596</v>
      </c>
      <c r="AN687">
        <v>0.99999995737708403</v>
      </c>
    </row>
    <row r="688" spans="1:40" x14ac:dyDescent="0.3">
      <c r="A688" t="str">
        <f>"20200111153843264"</f>
        <v>20200111153843264</v>
      </c>
      <c r="B688" t="str">
        <f>"1578728323261509"</f>
        <v>1578728323261509</v>
      </c>
      <c r="C688" t="s">
        <v>40</v>
      </c>
      <c r="D688">
        <v>4.8320829999999999</v>
      </c>
      <c r="E688">
        <v>0.57182650000000002</v>
      </c>
      <c r="F688" t="s">
        <v>42</v>
      </c>
      <c r="G688">
        <v>-215.74170000000001</v>
      </c>
      <c r="H688" s="1">
        <v>-3.5658490000000001E-6</v>
      </c>
      <c r="I688">
        <v>361.6087</v>
      </c>
      <c r="J688">
        <v>-235.92920000000001</v>
      </c>
      <c r="K688">
        <v>1.1053839999999999</v>
      </c>
      <c r="L688">
        <v>367.44630000000001</v>
      </c>
      <c r="M688">
        <v>0.99985219999999997</v>
      </c>
      <c r="N688">
        <v>0</v>
      </c>
      <c r="O688">
        <v>3.245309E-3</v>
      </c>
      <c r="P688">
        <v>0.99581070000000005</v>
      </c>
      <c r="Q688">
        <v>8.9966170000000002E-3</v>
      </c>
      <c r="R688">
        <v>-9.0994859999999997E-2</v>
      </c>
      <c r="S688">
        <v>2.9409329999999998</v>
      </c>
      <c r="T688">
        <v>-0.1580561</v>
      </c>
      <c r="U688">
        <v>-0.83453369999999905</v>
      </c>
      <c r="V688">
        <v>9.4185809999999995E-2</v>
      </c>
      <c r="W688">
        <v>2.5953540000000001E-2</v>
      </c>
      <c r="X688">
        <v>0.99521630000000005</v>
      </c>
      <c r="Y688">
        <v>0.27573530000000002</v>
      </c>
      <c r="Z688">
        <v>-7.4320740000000003E-3</v>
      </c>
      <c r="AA688">
        <v>0.96120490000000003</v>
      </c>
      <c r="AB688">
        <v>37</v>
      </c>
      <c r="AC688">
        <v>20.1875</v>
      </c>
      <c r="AD688">
        <v>-1.105387565849</v>
      </c>
      <c r="AE688">
        <v>-5.8376000000000001</v>
      </c>
      <c r="AF688">
        <v>5.8868052846819303</v>
      </c>
      <c r="AG688">
        <v>-1.105387565849</v>
      </c>
      <c r="AH688">
        <v>20.1127968034438</v>
      </c>
      <c r="AI688">
        <v>93.019354526915905</v>
      </c>
      <c r="AJ688">
        <v>73.685798459491394</v>
      </c>
      <c r="AK688">
        <v>20.985732138458001</v>
      </c>
      <c r="AL688">
        <v>88.512804731045804</v>
      </c>
      <c r="AM688">
        <v>84.593713528931502</v>
      </c>
      <c r="AN688">
        <v>1.0000000184147799</v>
      </c>
    </row>
    <row r="689" spans="1:40" x14ac:dyDescent="0.3">
      <c r="A689" t="str">
        <f>"20200111153843286"</f>
        <v>20200111153843286</v>
      </c>
      <c r="B689" t="str">
        <f>"1578728323281034"</f>
        <v>1578728323281034</v>
      </c>
      <c r="C689" t="s">
        <v>40</v>
      </c>
      <c r="D689">
        <v>4.7928670000000002</v>
      </c>
      <c r="E689">
        <v>0.57070810000000005</v>
      </c>
      <c r="F689" t="s">
        <v>42</v>
      </c>
      <c r="G689">
        <v>-214.94120000000001</v>
      </c>
      <c r="H689" s="1">
        <v>-3.8804530000000001E-6</v>
      </c>
      <c r="I689">
        <v>361.45010000000002</v>
      </c>
      <c r="J689">
        <v>-235.54920000000001</v>
      </c>
      <c r="K689">
        <v>1.1054839999999999</v>
      </c>
      <c r="L689">
        <v>367.44839999999999</v>
      </c>
      <c r="M689">
        <v>0.9998513</v>
      </c>
      <c r="N689">
        <v>0</v>
      </c>
      <c r="O689">
        <v>4.2200199999999997E-3</v>
      </c>
      <c r="P689">
        <v>0.99541380000000002</v>
      </c>
      <c r="Q689">
        <v>7.8930440000000001E-3</v>
      </c>
      <c r="R689">
        <v>-9.5337759999999994E-2</v>
      </c>
      <c r="S689">
        <v>2.9373170000000002</v>
      </c>
      <c r="T689">
        <v>-0.15470100000000001</v>
      </c>
      <c r="U689">
        <v>-0.83917240000000004</v>
      </c>
      <c r="V689">
        <v>9.949289E-2</v>
      </c>
      <c r="W689">
        <v>2.4713209999999999E-2</v>
      </c>
      <c r="X689">
        <v>0.99473129999999998</v>
      </c>
      <c r="Y689">
        <v>0.27839619999999998</v>
      </c>
      <c r="Z689">
        <v>-7.4005519999999899E-3</v>
      </c>
      <c r="AA689">
        <v>0.96043780000000001</v>
      </c>
      <c r="AB689">
        <v>37</v>
      </c>
      <c r="AC689">
        <v>20.608000000000001</v>
      </c>
      <c r="AD689">
        <v>-1.1054878804529999</v>
      </c>
      <c r="AE689">
        <v>-5.9982999999999702</v>
      </c>
      <c r="AF689">
        <v>6.0691242055294401</v>
      </c>
      <c r="AG689">
        <v>-1.1054878804529999</v>
      </c>
      <c r="AH689">
        <v>20.528041391639199</v>
      </c>
      <c r="AI689">
        <v>92.956289543689607</v>
      </c>
      <c r="AJ689">
        <v>73.529663598782506</v>
      </c>
      <c r="AK689">
        <v>21.434944727076498</v>
      </c>
      <c r="AL689">
        <v>88.5838931531285</v>
      </c>
      <c r="AM689">
        <v>84.288279972406698</v>
      </c>
      <c r="AN689">
        <v>0.99999996855437201</v>
      </c>
    </row>
    <row r="690" spans="1:40" x14ac:dyDescent="0.3">
      <c r="A690" t="str">
        <f>"20200111153843309"</f>
        <v>20200111153843309</v>
      </c>
      <c r="B690" t="str">
        <f>"1578728323301524"</f>
        <v>1578728323301524</v>
      </c>
      <c r="C690" t="s">
        <v>40</v>
      </c>
      <c r="D690">
        <v>4.8413269999999997</v>
      </c>
      <c r="E690">
        <v>0.56979190000000002</v>
      </c>
      <c r="F690" t="s">
        <v>42</v>
      </c>
      <c r="G690">
        <v>-214.6123</v>
      </c>
      <c r="H690" s="1">
        <v>-3.9972359999999998E-6</v>
      </c>
      <c r="I690">
        <v>361.43189999999998</v>
      </c>
      <c r="J690">
        <v>-235.18510000000001</v>
      </c>
      <c r="K690">
        <v>1.105572</v>
      </c>
      <c r="L690">
        <v>367.45089999999999</v>
      </c>
      <c r="M690">
        <v>0.99984879999999998</v>
      </c>
      <c r="N690">
        <v>0</v>
      </c>
      <c r="O690">
        <v>5.2394529999999998E-3</v>
      </c>
      <c r="P690">
        <v>0.99511579999999999</v>
      </c>
      <c r="Q690">
        <v>6.9412390000000001E-3</v>
      </c>
      <c r="R690">
        <v>-9.847061E-2</v>
      </c>
      <c r="S690">
        <v>2.9342649999999999</v>
      </c>
      <c r="T690">
        <v>-0.15493129999999999</v>
      </c>
      <c r="U690">
        <v>-0.84320069999999903</v>
      </c>
      <c r="V690">
        <v>0.1036354</v>
      </c>
      <c r="W690">
        <v>2.3643979999999998E-2</v>
      </c>
      <c r="X690">
        <v>0.9943343</v>
      </c>
      <c r="Y690">
        <v>0.2808505</v>
      </c>
      <c r="Z690">
        <v>-7.5337989999999999E-3</v>
      </c>
      <c r="AA690">
        <v>0.95972190000000002</v>
      </c>
      <c r="AB690">
        <v>37</v>
      </c>
      <c r="AC690">
        <v>20.572800000000001</v>
      </c>
      <c r="AD690">
        <v>-1.105575997236</v>
      </c>
      <c r="AE690">
        <v>-6.0190000000000001</v>
      </c>
      <c r="AF690">
        <v>6.1104670649077404</v>
      </c>
      <c r="AG690">
        <v>-1.105575997236</v>
      </c>
      <c r="AH690">
        <v>20.4864779029317</v>
      </c>
      <c r="AI690">
        <v>92.960400458150303</v>
      </c>
      <c r="AJ690">
        <v>73.391825464918696</v>
      </c>
      <c r="AK690">
        <v>21.406912035702302</v>
      </c>
      <c r="AL690">
        <v>88.645173504994602</v>
      </c>
      <c r="AM690">
        <v>84.0497788536386</v>
      </c>
      <c r="AN690">
        <v>1.0000000170399399</v>
      </c>
    </row>
    <row r="691" spans="1:40" x14ac:dyDescent="0.3">
      <c r="A691" t="str">
        <f>"20200111153843330"</f>
        <v>20200111153843330</v>
      </c>
      <c r="B691" t="str">
        <f>"1578728323321045"</f>
        <v>1578728323321045</v>
      </c>
      <c r="C691" t="s">
        <v>40</v>
      </c>
      <c r="D691">
        <v>4.8422289999999997</v>
      </c>
      <c r="E691">
        <v>0.56886009999999998</v>
      </c>
      <c r="F691" t="s">
        <v>42</v>
      </c>
      <c r="G691">
        <v>-214.2209</v>
      </c>
      <c r="H691" s="1">
        <v>-4.1371109999999998E-6</v>
      </c>
      <c r="I691">
        <v>361.4067</v>
      </c>
      <c r="J691">
        <v>-234.8185</v>
      </c>
      <c r="K691">
        <v>1.1056520000000001</v>
      </c>
      <c r="L691">
        <v>367.45389999999998</v>
      </c>
      <c r="M691">
        <v>0.99984470000000003</v>
      </c>
      <c r="N691">
        <v>0</v>
      </c>
      <c r="O691">
        <v>6.3282800000000004E-3</v>
      </c>
      <c r="P691">
        <v>0.99493529999999997</v>
      </c>
      <c r="Q691">
        <v>6.7821969999999898E-3</v>
      </c>
      <c r="R691">
        <v>-0.1002888</v>
      </c>
      <c r="S691">
        <v>2.9321440000000001</v>
      </c>
      <c r="T691">
        <v>-0.15463080000000001</v>
      </c>
      <c r="U691">
        <v>-0.84536739999999999</v>
      </c>
      <c r="V691">
        <v>0.1065315</v>
      </c>
      <c r="W691">
        <v>2.3377490000000001E-2</v>
      </c>
      <c r="X691">
        <v>0.99403450000000004</v>
      </c>
      <c r="Y691">
        <v>0.28273130000000002</v>
      </c>
      <c r="Z691">
        <v>-7.6285110000000001E-3</v>
      </c>
      <c r="AA691">
        <v>0.95916880000000004</v>
      </c>
      <c r="AB691">
        <v>37</v>
      </c>
      <c r="AC691">
        <v>20.5976</v>
      </c>
      <c r="AD691">
        <v>-1.1056561371110001</v>
      </c>
      <c r="AE691">
        <v>-6.0471999999999699</v>
      </c>
      <c r="AF691">
        <v>6.1610999115964198</v>
      </c>
      <c r="AG691">
        <v>-1.1056561371110001</v>
      </c>
      <c r="AH691">
        <v>20.504520112281501</v>
      </c>
      <c r="AI691">
        <v>92.956224370945804</v>
      </c>
      <c r="AJ691">
        <v>73.275779843788698</v>
      </c>
      <c r="AK691">
        <v>21.4386793587936</v>
      </c>
      <c r="AL691">
        <v>88.660446492576696</v>
      </c>
      <c r="AM691">
        <v>83.882912039132094</v>
      </c>
      <c r="AN691">
        <v>1.00000002736059</v>
      </c>
    </row>
    <row r="692" spans="1:40" x14ac:dyDescent="0.3">
      <c r="A692" t="str">
        <f>"20200111153843353"</f>
        <v>20200111153843353</v>
      </c>
      <c r="B692" t="str">
        <f>"1578728323341541"</f>
        <v>1578728323341541</v>
      </c>
      <c r="C692" t="s">
        <v>40</v>
      </c>
      <c r="D692">
        <v>4.8200919999999998</v>
      </c>
      <c r="E692">
        <v>0.56803239999999999</v>
      </c>
      <c r="F692" t="s">
        <v>42</v>
      </c>
      <c r="G692">
        <v>-213.63740000000001</v>
      </c>
      <c r="H692" s="1">
        <v>-4.348702E-6</v>
      </c>
      <c r="I692">
        <v>361.3578</v>
      </c>
      <c r="J692">
        <v>-234.45179999999999</v>
      </c>
      <c r="K692">
        <v>1.105718</v>
      </c>
      <c r="L692">
        <v>367.4572</v>
      </c>
      <c r="M692">
        <v>0.99983880000000003</v>
      </c>
      <c r="N692">
        <v>0</v>
      </c>
      <c r="O692">
        <v>7.4627510000000001E-3</v>
      </c>
      <c r="P692">
        <v>0.99478350000000004</v>
      </c>
      <c r="Q692">
        <v>7.76078599999999E-3</v>
      </c>
      <c r="R692">
        <v>-0.1017145</v>
      </c>
      <c r="S692">
        <v>2.9312740000000002</v>
      </c>
      <c r="T692">
        <v>-0.15301189999999901</v>
      </c>
      <c r="U692">
        <v>-0.84362789999999999</v>
      </c>
      <c r="V692">
        <v>0.10907849999999999</v>
      </c>
      <c r="W692">
        <v>2.4257009999999999E-2</v>
      </c>
      <c r="X692">
        <v>0.99373719999999999</v>
      </c>
      <c r="Y692">
        <v>0.28337489999999999</v>
      </c>
      <c r="Z692">
        <v>-7.6259980000000002E-3</v>
      </c>
      <c r="AA692">
        <v>0.95897889999999997</v>
      </c>
      <c r="AB692">
        <v>37</v>
      </c>
      <c r="AC692">
        <v>20.8143999999999</v>
      </c>
      <c r="AD692">
        <v>-1.105722348702</v>
      </c>
      <c r="AE692">
        <v>-6.0994000000000002</v>
      </c>
      <c r="AF692">
        <v>6.2383707329525997</v>
      </c>
      <c r="AG692">
        <v>-1.105722348702</v>
      </c>
      <c r="AH692">
        <v>20.714461468029398</v>
      </c>
      <c r="AI692">
        <v>92.925938324779395</v>
      </c>
      <c r="AJ692">
        <v>73.239791005526001</v>
      </c>
      <c r="AK692">
        <v>21.6616898053834</v>
      </c>
      <c r="AL692">
        <v>88.610039471616204</v>
      </c>
      <c r="AM692">
        <v>83.735952047220493</v>
      </c>
      <c r="AN692">
        <v>1.0000000721801099</v>
      </c>
    </row>
    <row r="693" spans="1:40" x14ac:dyDescent="0.3">
      <c r="A693" t="str">
        <f>"20200111153843376"</f>
        <v>20200111153843376</v>
      </c>
      <c r="B693" t="str">
        <f>"1578728323370820"</f>
        <v>1578728323370820</v>
      </c>
      <c r="C693" t="s">
        <v>40</v>
      </c>
      <c r="D693">
        <v>4.8600649999999996</v>
      </c>
      <c r="E693">
        <v>0.56696809999999997</v>
      </c>
      <c r="F693" t="s">
        <v>42</v>
      </c>
      <c r="G693">
        <v>-212.4495</v>
      </c>
      <c r="H693" s="1">
        <v>-4.8099560000000002E-6</v>
      </c>
      <c r="I693">
        <v>361.14350000000002</v>
      </c>
      <c r="J693">
        <v>-234.06819999999999</v>
      </c>
      <c r="K693">
        <v>1.1057709999999901</v>
      </c>
      <c r="L693">
        <v>367.46120000000002</v>
      </c>
      <c r="M693">
        <v>0.99983060000000001</v>
      </c>
      <c r="N693">
        <v>0</v>
      </c>
      <c r="O693">
        <v>8.6811570000000001E-3</v>
      </c>
      <c r="P693">
        <v>0.99465219999999999</v>
      </c>
      <c r="Q693">
        <v>8.4362180000000005E-3</v>
      </c>
      <c r="R693">
        <v>-0.1029375</v>
      </c>
      <c r="S693">
        <v>2.9308779999999999</v>
      </c>
      <c r="T693">
        <v>-0.14729100000000001</v>
      </c>
      <c r="U693">
        <v>-0.8410339</v>
      </c>
      <c r="V693">
        <v>0.1115073</v>
      </c>
      <c r="W693">
        <v>2.4839529999999999E-2</v>
      </c>
      <c r="X693">
        <v>0.99345309999999998</v>
      </c>
      <c r="Y693">
        <v>0.28381859999999998</v>
      </c>
      <c r="Z693">
        <v>-7.4139929999999998E-3</v>
      </c>
      <c r="AA693">
        <v>0.95884939999999996</v>
      </c>
      <c r="AB693">
        <v>37</v>
      </c>
      <c r="AC693">
        <v>21.618699999999901</v>
      </c>
      <c r="AD693">
        <v>-1.10577580995599</v>
      </c>
      <c r="AE693">
        <v>-6.3177000000000003</v>
      </c>
      <c r="AF693">
        <v>6.4895197308309802</v>
      </c>
      <c r="AG693">
        <v>-1.10577580995599</v>
      </c>
      <c r="AH693">
        <v>21.511182901595301</v>
      </c>
      <c r="AI693">
        <v>92.817477749600599</v>
      </c>
      <c r="AJ693">
        <v>73.2124239050585</v>
      </c>
      <c r="AK693">
        <v>22.4959462193662</v>
      </c>
      <c r="AL693">
        <v>88.576653331091606</v>
      </c>
      <c r="AM693">
        <v>83.595803437113702</v>
      </c>
      <c r="AN693">
        <v>0.99999997105175997</v>
      </c>
    </row>
    <row r="694" spans="1:40" x14ac:dyDescent="0.3">
      <c r="A694" t="str">
        <f>"20200111153843399"</f>
        <v>20200111153843399</v>
      </c>
      <c r="B694" t="str">
        <f>"1578728323391319"</f>
        <v>1578728323391319</v>
      </c>
      <c r="C694" t="s">
        <v>40</v>
      </c>
      <c r="D694">
        <v>4.8292310000000001</v>
      </c>
      <c r="E694">
        <v>0.56629719999999995</v>
      </c>
      <c r="F694" t="s">
        <v>42</v>
      </c>
      <c r="G694">
        <v>-211.43209999999999</v>
      </c>
      <c r="H694" s="1">
        <v>-5.1930650000000004E-6</v>
      </c>
      <c r="I694">
        <v>361.00490000000002</v>
      </c>
      <c r="J694">
        <v>-233.70169999999999</v>
      </c>
      <c r="K694">
        <v>1.105799</v>
      </c>
      <c r="L694">
        <v>367.46550000000002</v>
      </c>
      <c r="M694">
        <v>0.99982119999999997</v>
      </c>
      <c r="N694">
        <v>0</v>
      </c>
      <c r="O694">
        <v>9.8618660000000004E-3</v>
      </c>
      <c r="P694">
        <v>0.99458429999999998</v>
      </c>
      <c r="Q694">
        <v>8.3100129999999998E-3</v>
      </c>
      <c r="R694">
        <v>-0.1036006</v>
      </c>
      <c r="S694">
        <v>2.9308320000000001</v>
      </c>
      <c r="T694">
        <v>-0.1431711</v>
      </c>
      <c r="U694">
        <v>-0.8359375</v>
      </c>
      <c r="V694">
        <v>0.113342</v>
      </c>
      <c r="W694">
        <v>2.4632649999999999E-2</v>
      </c>
      <c r="X694">
        <v>0.99325059999999998</v>
      </c>
      <c r="Y694">
        <v>0.2834313</v>
      </c>
      <c r="Z694">
        <v>-7.2559349999999998E-3</v>
      </c>
      <c r="AA694">
        <v>0.95896510000000001</v>
      </c>
      <c r="AB694">
        <v>37</v>
      </c>
      <c r="AC694">
        <v>22.269600000000001</v>
      </c>
      <c r="AD694">
        <v>-1.105804193065</v>
      </c>
      <c r="AE694">
        <v>-6.4606000000000003</v>
      </c>
      <c r="AF694">
        <v>6.66477681532254</v>
      </c>
      <c r="AG694">
        <v>-1.105804193065</v>
      </c>
      <c r="AH694">
        <v>22.1544103583355</v>
      </c>
      <c r="AI694">
        <v>92.7365118802594</v>
      </c>
      <c r="AJ694">
        <v>73.256981392247198</v>
      </c>
      <c r="AK694">
        <v>23.161605109253198</v>
      </c>
      <c r="AL694">
        <v>88.588510302394695</v>
      </c>
      <c r="AM694">
        <v>83.490012533851896</v>
      </c>
      <c r="AN694">
        <v>0.99999996540518998</v>
      </c>
    </row>
    <row r="695" spans="1:40" x14ac:dyDescent="0.3">
      <c r="A695" t="str">
        <f>"20200111153843420"</f>
        <v>20200111153843420</v>
      </c>
      <c r="B695" t="str">
        <f>"1578728323410840"</f>
        <v>1578728323410840</v>
      </c>
      <c r="C695" t="s">
        <v>40</v>
      </c>
      <c r="D695">
        <v>4.8506710000000002</v>
      </c>
      <c r="E695">
        <v>0.5657008</v>
      </c>
      <c r="F695" t="s">
        <v>42</v>
      </c>
      <c r="G695">
        <v>-210.934</v>
      </c>
      <c r="H695" s="1">
        <v>-5.400064E-6</v>
      </c>
      <c r="I695">
        <v>360.99979999999999</v>
      </c>
      <c r="J695">
        <v>-233.3425</v>
      </c>
      <c r="K695">
        <v>1.1058079999999999</v>
      </c>
      <c r="L695">
        <v>367.47019999999998</v>
      </c>
      <c r="M695">
        <v>0.99981030000000004</v>
      </c>
      <c r="N695">
        <v>0</v>
      </c>
      <c r="O695">
        <v>1.102333E-2</v>
      </c>
      <c r="P695">
        <v>0.9945638</v>
      </c>
      <c r="Q695">
        <v>7.2248809999999998E-3</v>
      </c>
      <c r="R695">
        <v>-0.1038781</v>
      </c>
      <c r="S695">
        <v>2.9308010000000002</v>
      </c>
      <c r="T695">
        <v>-0.14234539999999901</v>
      </c>
      <c r="U695">
        <v>-0.83230590000000004</v>
      </c>
      <c r="V695">
        <v>0.1147751</v>
      </c>
      <c r="W695">
        <v>2.347666E-2</v>
      </c>
      <c r="X695">
        <v>0.9931141</v>
      </c>
      <c r="Y695">
        <v>0.2834508</v>
      </c>
      <c r="Z695">
        <v>-7.2712030000000004E-3</v>
      </c>
      <c r="AA695">
        <v>0.95895920000000001</v>
      </c>
      <c r="AB695">
        <v>37</v>
      </c>
      <c r="AC695">
        <v>22.408499999999901</v>
      </c>
      <c r="AD695">
        <v>-1.1058134000640001</v>
      </c>
      <c r="AE695">
        <v>-6.4703999999999802</v>
      </c>
      <c r="AF695">
        <v>6.7019901199626304</v>
      </c>
      <c r="AG695">
        <v>-1.1058134000640001</v>
      </c>
      <c r="AH695">
        <v>22.2857095839965</v>
      </c>
      <c r="AI695">
        <v>92.720513114382598</v>
      </c>
      <c r="AJ695">
        <v>73.262370619567506</v>
      </c>
      <c r="AK695">
        <v>23.297904337216099</v>
      </c>
      <c r="AL695">
        <v>88.654762936000196</v>
      </c>
      <c r="AM695">
        <v>83.407521929557902</v>
      </c>
      <c r="AN695">
        <v>1.00000004638178</v>
      </c>
    </row>
    <row r="696" spans="1:40" x14ac:dyDescent="0.3">
      <c r="A696" t="str">
        <f>"20200111153843442"</f>
        <v>20200111153843442</v>
      </c>
      <c r="B696" t="str">
        <f>"1578728323431332"</f>
        <v>1578728323431332</v>
      </c>
      <c r="C696" t="s">
        <v>40</v>
      </c>
      <c r="D696">
        <v>4.8770899999999999</v>
      </c>
      <c r="E696">
        <v>0.56514160000000002</v>
      </c>
      <c r="F696" t="s">
        <v>42</v>
      </c>
      <c r="G696">
        <v>-210.94550000000001</v>
      </c>
      <c r="H696" s="1">
        <v>-5.3697380000000002E-6</v>
      </c>
      <c r="I696">
        <v>361.1429</v>
      </c>
      <c r="J696">
        <v>-232.97399999999999</v>
      </c>
      <c r="K696">
        <v>1.1058140000000001</v>
      </c>
      <c r="L696">
        <v>367.47539999999998</v>
      </c>
      <c r="M696">
        <v>0.99979779999999996</v>
      </c>
      <c r="N696">
        <v>0</v>
      </c>
      <c r="O696">
        <v>1.2213669999999999E-2</v>
      </c>
      <c r="P696">
        <v>0.9945638</v>
      </c>
      <c r="Q696">
        <v>5.3810680000000001E-3</v>
      </c>
      <c r="R696">
        <v>-0.10399220000000001</v>
      </c>
      <c r="S696">
        <v>2.930984</v>
      </c>
      <c r="T696">
        <v>-0.14471210000000001</v>
      </c>
      <c r="U696">
        <v>-0.82803340000000003</v>
      </c>
      <c r="V696">
        <v>0.1160757</v>
      </c>
      <c r="W696">
        <v>2.1568360000000002E-2</v>
      </c>
      <c r="X696">
        <v>0.99300619999999995</v>
      </c>
      <c r="Y696">
        <v>0.28327049999999998</v>
      </c>
      <c r="Z696">
        <v>-7.4462469999999996E-3</v>
      </c>
      <c r="AA696">
        <v>0.95901110000000001</v>
      </c>
      <c r="AB696">
        <v>37</v>
      </c>
      <c r="AC696">
        <v>22.028500000000001</v>
      </c>
      <c r="AD696">
        <v>-1.1058193697380001</v>
      </c>
      <c r="AE696">
        <v>-6.33249999999998</v>
      </c>
      <c r="AF696">
        <v>6.58578139829718</v>
      </c>
      <c r="AG696">
        <v>-1.1058193697380001</v>
      </c>
      <c r="AH696">
        <v>21.898531719055001</v>
      </c>
      <c r="AI696">
        <v>92.7685460731131</v>
      </c>
      <c r="AJ696">
        <v>73.261824924773407</v>
      </c>
      <c r="AK696">
        <v>22.894126857233601</v>
      </c>
      <c r="AL696">
        <v>88.764128214965297</v>
      </c>
      <c r="AM696">
        <v>83.332768601390299</v>
      </c>
      <c r="AN696">
        <v>1.0000000377610001</v>
      </c>
    </row>
    <row r="697" spans="1:40" x14ac:dyDescent="0.3">
      <c r="A697" t="str">
        <f>"20200111153843466"</f>
        <v>20200111153843466</v>
      </c>
      <c r="B697" t="str">
        <f>"1578728323461265"</f>
        <v>1578728323461265</v>
      </c>
      <c r="C697" t="s">
        <v>40</v>
      </c>
      <c r="D697">
        <v>4.9057060000000003</v>
      </c>
      <c r="E697">
        <v>0.56447700000000001</v>
      </c>
      <c r="F697" t="s">
        <v>42</v>
      </c>
      <c r="G697">
        <v>-211.3229</v>
      </c>
      <c r="H697" s="1">
        <v>-5.1637810000000001E-6</v>
      </c>
      <c r="I697">
        <v>361.39120000000003</v>
      </c>
      <c r="J697">
        <v>-232.5958</v>
      </c>
      <c r="K697">
        <v>1.1058190000000001</v>
      </c>
      <c r="L697">
        <v>367.48129999999998</v>
      </c>
      <c r="M697">
        <v>0.99978319999999998</v>
      </c>
      <c r="N697">
        <v>0</v>
      </c>
      <c r="O697">
        <v>1.343302E-2</v>
      </c>
      <c r="P697">
        <v>0.99475409999999997</v>
      </c>
      <c r="Q697">
        <v>4.7220229999999997E-3</v>
      </c>
      <c r="R697">
        <v>-0.10218820000000001</v>
      </c>
      <c r="S697">
        <v>2.9310909999999999</v>
      </c>
      <c r="T697">
        <v>-0.14970359999999999</v>
      </c>
      <c r="U697">
        <v>-0.8236694</v>
      </c>
      <c r="V697">
        <v>0.1154868</v>
      </c>
      <c r="W697">
        <v>2.0843730000000001E-2</v>
      </c>
      <c r="X697">
        <v>0.99309029999999998</v>
      </c>
      <c r="Y697">
        <v>0.28308329999999998</v>
      </c>
      <c r="Z697">
        <v>-7.7604550000000003E-3</v>
      </c>
      <c r="AA697">
        <v>0.95906389999999997</v>
      </c>
      <c r="AB697">
        <v>37</v>
      </c>
      <c r="AC697">
        <v>21.2729</v>
      </c>
      <c r="AD697">
        <v>-1.105824163781</v>
      </c>
      <c r="AE697">
        <v>-6.0900999999999499</v>
      </c>
      <c r="AF697">
        <v>6.3594629789343902</v>
      </c>
      <c r="AG697">
        <v>-1.105824163781</v>
      </c>
      <c r="AH697">
        <v>21.136372931445301</v>
      </c>
      <c r="AI697">
        <v>92.868117845859601</v>
      </c>
      <c r="AJ697">
        <v>73.254631407960105</v>
      </c>
      <c r="AK697">
        <v>22.100042469614699</v>
      </c>
      <c r="AL697">
        <v>88.805655751947995</v>
      </c>
      <c r="AM697">
        <v>83.366848755041303</v>
      </c>
      <c r="AN697">
        <v>1.0000000030043199</v>
      </c>
    </row>
    <row r="698" spans="1:40" x14ac:dyDescent="0.3">
      <c r="A698" t="str">
        <f>"20200111153843488"</f>
        <v>20200111153843488</v>
      </c>
      <c r="B698" t="str">
        <f>"1578728323480784"</f>
        <v>1578728323480784</v>
      </c>
      <c r="C698" t="s">
        <v>40</v>
      </c>
      <c r="D698">
        <v>4.9425819999999998</v>
      </c>
      <c r="E698">
        <v>0.56405909999999904</v>
      </c>
      <c r="F698" t="s">
        <v>42</v>
      </c>
      <c r="G698">
        <v>-211.0591</v>
      </c>
      <c r="H698" s="1">
        <v>-5.2557000000000003E-6</v>
      </c>
      <c r="I698">
        <v>361.5111</v>
      </c>
      <c r="J698">
        <v>-232.2218</v>
      </c>
      <c r="K698">
        <v>1.105823</v>
      </c>
      <c r="L698">
        <v>367.48750000000001</v>
      </c>
      <c r="M698">
        <v>0.99976739999999997</v>
      </c>
      <c r="N698">
        <v>0</v>
      </c>
      <c r="O698">
        <v>1.463616E-2</v>
      </c>
      <c r="P698">
        <v>0.99482199999999998</v>
      </c>
      <c r="Q698">
        <v>4.4684670000000003E-3</v>
      </c>
      <c r="R698">
        <v>-0.101534</v>
      </c>
      <c r="S698">
        <v>2.9329990000000001</v>
      </c>
      <c r="T698">
        <v>-0.15059719999999999</v>
      </c>
      <c r="U698">
        <v>-0.81304929999999997</v>
      </c>
      <c r="V698">
        <v>0.11602949999999999</v>
      </c>
      <c r="W698">
        <v>2.0522889999999998E-2</v>
      </c>
      <c r="X698">
        <v>0.99303370000000002</v>
      </c>
      <c r="Y698">
        <v>0.28084920000000002</v>
      </c>
      <c r="Z698">
        <v>-7.809954E-3</v>
      </c>
      <c r="AA698">
        <v>0.95972009999999996</v>
      </c>
      <c r="AB698">
        <v>37</v>
      </c>
      <c r="AC698">
        <v>21.162700000000001</v>
      </c>
      <c r="AD698">
        <v>-1.1058282556999901</v>
      </c>
      <c r="AE698">
        <v>-5.9764000000000097</v>
      </c>
      <c r="AF698">
        <v>6.2696846158028103</v>
      </c>
      <c r="AG698">
        <v>-1.1058282556999901</v>
      </c>
      <c r="AH698">
        <v>21.019795826682898</v>
      </c>
      <c r="AI698">
        <v>92.886069020315503</v>
      </c>
      <c r="AJ698">
        <v>73.391460719125703</v>
      </c>
      <c r="AK698">
        <v>21.9627780098096</v>
      </c>
      <c r="AL698">
        <v>88.824042438040195</v>
      </c>
      <c r="AM698">
        <v>83.335581292680999</v>
      </c>
      <c r="AN698">
        <v>0.99999998160994497</v>
      </c>
    </row>
    <row r="699" spans="1:40" x14ac:dyDescent="0.3">
      <c r="A699" t="str">
        <f>"20200111153843511"</f>
        <v>20200111153843511</v>
      </c>
      <c r="B699" t="str">
        <f>"1578728323501284"</f>
        <v>1578728323501284</v>
      </c>
      <c r="C699" t="s">
        <v>40</v>
      </c>
      <c r="D699">
        <v>4.9570879999999997</v>
      </c>
      <c r="E699">
        <v>0.5636852</v>
      </c>
      <c r="F699" t="s">
        <v>42</v>
      </c>
      <c r="G699">
        <v>-210.73400000000001</v>
      </c>
      <c r="H699" s="1">
        <v>-5.384465E-6</v>
      </c>
      <c r="I699">
        <v>361.57130000000001</v>
      </c>
      <c r="J699">
        <v>-231.8673</v>
      </c>
      <c r="K699">
        <v>1.105828</v>
      </c>
      <c r="L699">
        <v>367.49380000000002</v>
      </c>
      <c r="M699">
        <v>0.9997511</v>
      </c>
      <c r="N699">
        <v>0</v>
      </c>
      <c r="O699">
        <v>1.5776390000000001E-2</v>
      </c>
      <c r="P699">
        <v>0.99491799999999997</v>
      </c>
      <c r="Q699">
        <v>5.4652520000000003E-3</v>
      </c>
      <c r="R699">
        <v>-0.1005403</v>
      </c>
      <c r="S699">
        <v>2.9338380000000002</v>
      </c>
      <c r="T699">
        <v>-0.1509838</v>
      </c>
      <c r="U699">
        <v>-0.80776979999999998</v>
      </c>
      <c r="V699">
        <v>0.1161673</v>
      </c>
      <c r="W699">
        <v>2.1457759999999999E-2</v>
      </c>
      <c r="X699">
        <v>0.99299780000000004</v>
      </c>
      <c r="Y699">
        <v>0.28026580000000001</v>
      </c>
      <c r="Z699">
        <v>-7.8725589999999995E-3</v>
      </c>
      <c r="AA699">
        <v>0.95989009999999997</v>
      </c>
      <c r="AB699">
        <v>37</v>
      </c>
      <c r="AC699">
        <v>21.133299999999899</v>
      </c>
      <c r="AD699">
        <v>-1.1058333844649999</v>
      </c>
      <c r="AE699">
        <v>-5.9225000000000101</v>
      </c>
      <c r="AF699">
        <v>6.2393715771267901</v>
      </c>
      <c r="AG699">
        <v>-1.1058333844649999</v>
      </c>
      <c r="AH699">
        <v>20.983950165110301</v>
      </c>
      <c r="AI699">
        <v>92.891742458518394</v>
      </c>
      <c r="AJ699">
        <v>73.440671035637493</v>
      </c>
      <c r="AK699">
        <v>21.9198264063265</v>
      </c>
      <c r="AL699">
        <v>88.770466491761496</v>
      </c>
      <c r="AM699">
        <v>83.327498709024994</v>
      </c>
      <c r="AN699">
        <v>0.99999995392917196</v>
      </c>
    </row>
    <row r="700" spans="1:40" x14ac:dyDescent="0.3">
      <c r="A700" t="str">
        <f>"20200111153843533"</f>
        <v>20200111153843533</v>
      </c>
      <c r="B700" t="str">
        <f>"1578728323520801"</f>
        <v>1578728323520801</v>
      </c>
      <c r="C700" t="s">
        <v>40</v>
      </c>
      <c r="D700">
        <v>4.993614</v>
      </c>
      <c r="E700">
        <v>0.5633745</v>
      </c>
      <c r="F700" t="s">
        <v>42</v>
      </c>
      <c r="G700">
        <v>-209.99629999999999</v>
      </c>
      <c r="H700" s="1">
        <v>-5.7096240000000002E-6</v>
      </c>
      <c r="I700">
        <v>361.52249999999998</v>
      </c>
      <c r="J700">
        <v>-231.49709999999999</v>
      </c>
      <c r="K700">
        <v>1.1058300000000001</v>
      </c>
      <c r="L700">
        <v>367.50080000000003</v>
      </c>
      <c r="M700">
        <v>0.99973239999999997</v>
      </c>
      <c r="N700">
        <v>0</v>
      </c>
      <c r="O700">
        <v>1.6972499999999901E-2</v>
      </c>
      <c r="P700">
        <v>0.99500639999999996</v>
      </c>
      <c r="Q700">
        <v>5.462199E-3</v>
      </c>
      <c r="R700">
        <v>-9.9662570000000006E-2</v>
      </c>
      <c r="S700">
        <v>2.9351349999999998</v>
      </c>
      <c r="T700">
        <v>-0.1484047</v>
      </c>
      <c r="U700">
        <v>-0.80136109999999905</v>
      </c>
      <c r="V700">
        <v>0.116479</v>
      </c>
      <c r="W700">
        <v>2.139578E-2</v>
      </c>
      <c r="X700">
        <v>0.99296269999999998</v>
      </c>
      <c r="Y700">
        <v>0.27936809999999901</v>
      </c>
      <c r="Z700">
        <v>-7.7742829999999999E-3</v>
      </c>
      <c r="AA700">
        <v>0.96015260000000002</v>
      </c>
      <c r="AB700">
        <v>37</v>
      </c>
      <c r="AC700">
        <v>21.500800000000002</v>
      </c>
      <c r="AD700">
        <v>-1.1058357096239999</v>
      </c>
      <c r="AE700">
        <v>-5.9783000000000399</v>
      </c>
      <c r="AF700">
        <v>6.3268707742204198</v>
      </c>
      <c r="AG700">
        <v>-1.1058357096239999</v>
      </c>
      <c r="AH700">
        <v>21.3438143544555</v>
      </c>
      <c r="AI700">
        <v>92.843781024449996</v>
      </c>
      <c r="AJ700">
        <v>73.488784299854302</v>
      </c>
      <c r="AK700">
        <v>22.289248026970899</v>
      </c>
      <c r="AL700">
        <v>88.774018593350306</v>
      </c>
      <c r="AM700">
        <v>83.309522792095393</v>
      </c>
      <c r="AN700">
        <v>1.00000003021704</v>
      </c>
    </row>
    <row r="701" spans="1:40" x14ac:dyDescent="0.3">
      <c r="A701" t="str">
        <f>"20200111153843555"</f>
        <v>20200111153843555</v>
      </c>
      <c r="B701" t="str">
        <f>"1578728323551280"</f>
        <v>1578728323551280</v>
      </c>
      <c r="C701" t="s">
        <v>40</v>
      </c>
      <c r="D701">
        <v>4.9977929999999997</v>
      </c>
      <c r="E701">
        <v>0.52813480000000002</v>
      </c>
      <c r="F701" t="s">
        <v>52</v>
      </c>
      <c r="G701">
        <v>-209.73939999999999</v>
      </c>
      <c r="H701" s="1">
        <v>-6.4500390000000001E-6</v>
      </c>
      <c r="I701">
        <v>361.59930000000003</v>
      </c>
      <c r="J701">
        <v>-231.13939999999999</v>
      </c>
      <c r="K701">
        <v>1.1058349999999999</v>
      </c>
      <c r="L701">
        <v>367.50810000000001</v>
      </c>
      <c r="M701">
        <v>0.99971290000000002</v>
      </c>
      <c r="N701">
        <v>0</v>
      </c>
      <c r="O701">
        <v>1.814586E-2</v>
      </c>
      <c r="P701">
        <v>0.99509809999999999</v>
      </c>
      <c r="Q701">
        <v>5.8908019999999997E-3</v>
      </c>
      <c r="R701">
        <v>-9.8719409999999994E-2</v>
      </c>
      <c r="S701">
        <v>2.936096</v>
      </c>
      <c r="T701">
        <v>-0.14922729999999901</v>
      </c>
      <c r="U701">
        <v>-0.796386699999999</v>
      </c>
      <c r="V701">
        <v>0.11670170000000001</v>
      </c>
      <c r="W701">
        <v>2.1763810000000001E-2</v>
      </c>
      <c r="X701">
        <v>0.99292849999999999</v>
      </c>
      <c r="Y701">
        <v>0.27889560000000002</v>
      </c>
      <c r="Z701">
        <v>-7.8633829999999998E-3</v>
      </c>
      <c r="AA701">
        <v>0.96028919999999995</v>
      </c>
      <c r="AB701">
        <v>37</v>
      </c>
      <c r="AC701">
        <v>21.4</v>
      </c>
      <c r="AD701">
        <v>-1.1058414500389999</v>
      </c>
      <c r="AE701">
        <v>-5.9087999999999798</v>
      </c>
      <c r="AF701">
        <v>6.2806128015885401</v>
      </c>
      <c r="AG701">
        <v>-1.1058414500389999</v>
      </c>
      <c r="AH701">
        <v>21.236551557446798</v>
      </c>
      <c r="AI701">
        <v>92.858664644643696</v>
      </c>
      <c r="AJ701">
        <v>73.524658681200904</v>
      </c>
      <c r="AK701">
        <v>22.1734098534303</v>
      </c>
      <c r="AL701">
        <v>88.752927051614705</v>
      </c>
      <c r="AM701">
        <v>83.296618564126803</v>
      </c>
      <c r="AN701">
        <v>0.99999997816042696</v>
      </c>
    </row>
    <row r="702" spans="1:40" x14ac:dyDescent="0.3">
      <c r="A702" t="str">
        <f>"20200111153843578"</f>
        <v>20200111153843578</v>
      </c>
      <c r="B702" t="str">
        <f>"1578728323570800"</f>
        <v>1578728323570800</v>
      </c>
      <c r="C702" t="s">
        <v>40</v>
      </c>
      <c r="D702">
        <v>5.1954250000000002</v>
      </c>
      <c r="E702">
        <v>0.51762189999999997</v>
      </c>
      <c r="F702" t="s">
        <v>52</v>
      </c>
      <c r="G702">
        <v>-207.21969999999999</v>
      </c>
      <c r="H702" s="1">
        <v>-5.3311859999999999E-6</v>
      </c>
      <c r="I702">
        <v>363.3623</v>
      </c>
      <c r="J702">
        <v>-230.762</v>
      </c>
      <c r="K702">
        <v>1.1058460000000001</v>
      </c>
      <c r="L702">
        <v>367.51620000000003</v>
      </c>
      <c r="M702">
        <v>0.99968999999999997</v>
      </c>
      <c r="N702">
        <v>0</v>
      </c>
      <c r="O702">
        <v>1.9415999999999999E-2</v>
      </c>
      <c r="P702">
        <v>0.99521990000000005</v>
      </c>
      <c r="Q702">
        <v>5.7899149999999996E-3</v>
      </c>
      <c r="R702">
        <v>-9.7489080000000006E-2</v>
      </c>
      <c r="S702">
        <v>2.9646150000000002</v>
      </c>
      <c r="T702">
        <v>-0.13705789999999901</v>
      </c>
      <c r="U702">
        <v>-0.51382450000000002</v>
      </c>
      <c r="V702">
        <v>0.11673509999999999</v>
      </c>
      <c r="W702">
        <v>2.1599819999999999E-2</v>
      </c>
      <c r="X702">
        <v>0.99292809999999998</v>
      </c>
      <c r="Y702">
        <v>0.1896571</v>
      </c>
      <c r="Z702">
        <v>-5.2402899999999999E-3</v>
      </c>
      <c r="AA702">
        <v>0.98183640000000005</v>
      </c>
      <c r="AB702">
        <v>37</v>
      </c>
      <c r="AC702">
        <v>23.542300000000001</v>
      </c>
      <c r="AD702">
        <v>-1.1058513311860001</v>
      </c>
      <c r="AE702">
        <v>-4.1539000000000197</v>
      </c>
      <c r="AF702">
        <v>4.6004254190863296</v>
      </c>
      <c r="AG702">
        <v>-1.1058513311860001</v>
      </c>
      <c r="AH702">
        <v>23.4071116173508</v>
      </c>
      <c r="AI702">
        <v>92.654182381070299</v>
      </c>
      <c r="AJ702">
        <v>78.880831948349595</v>
      </c>
      <c r="AK702">
        <v>23.880529631278701</v>
      </c>
      <c r="AL702">
        <v>88.762325128699302</v>
      </c>
      <c r="AM702">
        <v>83.294714847927494</v>
      </c>
      <c r="AN702">
        <v>0.99999992378282299</v>
      </c>
    </row>
    <row r="703" spans="1:40" x14ac:dyDescent="0.3">
      <c r="A703" t="str">
        <f>"20200111153843600"</f>
        <v>20200111153843600</v>
      </c>
      <c r="B703" t="str">
        <f>"1578728323591295"</f>
        <v>1578728323591295</v>
      </c>
      <c r="C703" t="s">
        <v>40</v>
      </c>
      <c r="D703">
        <v>5.129785</v>
      </c>
      <c r="E703">
        <v>0.46354790000000001</v>
      </c>
      <c r="F703" t="s">
        <v>52</v>
      </c>
      <c r="G703">
        <v>-203.7681</v>
      </c>
      <c r="H703" s="1">
        <v>-3.6604600000000001E-6</v>
      </c>
      <c r="I703">
        <v>363.63839999999999</v>
      </c>
      <c r="J703">
        <v>-230.4041</v>
      </c>
      <c r="K703">
        <v>1.10586299999999</v>
      </c>
      <c r="L703">
        <v>367.52440000000001</v>
      </c>
      <c r="M703">
        <v>0.99966619999999995</v>
      </c>
      <c r="N703">
        <v>0</v>
      </c>
      <c r="O703">
        <v>2.064817E-2</v>
      </c>
      <c r="P703">
        <v>0.99537089999999995</v>
      </c>
      <c r="Q703">
        <v>5.1984680000000004E-3</v>
      </c>
      <c r="R703">
        <v>-9.5966339999999997E-2</v>
      </c>
      <c r="S703">
        <v>2.9732669999999999</v>
      </c>
      <c r="T703">
        <v>-0.1218048</v>
      </c>
      <c r="U703">
        <v>-0.427124</v>
      </c>
      <c r="V703">
        <v>0.11644060000000001</v>
      </c>
      <c r="W703">
        <v>2.09529E-2</v>
      </c>
      <c r="X703">
        <v>0.99297659999999999</v>
      </c>
      <c r="Y703">
        <v>0.16245499999999999</v>
      </c>
      <c r="Z703">
        <v>-4.1508480000000004E-3</v>
      </c>
      <c r="AA703">
        <v>0.98670720000000001</v>
      </c>
      <c r="AB703">
        <v>37</v>
      </c>
      <c r="AC703">
        <v>26.635999999999999</v>
      </c>
      <c r="AD703">
        <v>-1.10586666045999</v>
      </c>
      <c r="AE703">
        <v>-3.8860000000000201</v>
      </c>
      <c r="AF703">
        <v>4.4277491499781698</v>
      </c>
      <c r="AG703">
        <v>-1.10586666045999</v>
      </c>
      <c r="AH703">
        <v>26.5053357959004</v>
      </c>
      <c r="AI703">
        <v>92.356515942476307</v>
      </c>
      <c r="AJ703">
        <v>80.516240355087504</v>
      </c>
      <c r="AK703">
        <v>26.8953663157669</v>
      </c>
      <c r="AL703">
        <v>88.799399381043699</v>
      </c>
      <c r="AM703">
        <v>83.311801253690405</v>
      </c>
      <c r="AN703">
        <v>0.99999998274716395</v>
      </c>
    </row>
    <row r="704" spans="1:40" x14ac:dyDescent="0.3">
      <c r="A704" t="str">
        <f>"20200111153843622"</f>
        <v>20200111153843622</v>
      </c>
      <c r="B704" t="str">
        <f>"1578728323610816"</f>
        <v>1578728323610816</v>
      </c>
      <c r="C704" t="s">
        <v>40</v>
      </c>
      <c r="D704">
        <v>5.1199729999999999</v>
      </c>
      <c r="E704">
        <v>0.46464159999999999</v>
      </c>
      <c r="F704" t="s">
        <v>52</v>
      </c>
      <c r="G704">
        <v>-203.79150000000001</v>
      </c>
      <c r="H704" s="1">
        <v>-2.7786590000000001E-6</v>
      </c>
      <c r="I704">
        <v>367.5874</v>
      </c>
      <c r="J704">
        <v>-230.05029999999999</v>
      </c>
      <c r="K704">
        <v>1.1058809999999999</v>
      </c>
      <c r="L704">
        <v>367.53300000000002</v>
      </c>
      <c r="M704">
        <v>0.99964059999999999</v>
      </c>
      <c r="N704">
        <v>0</v>
      </c>
      <c r="O704">
        <v>2.1904389999999999E-2</v>
      </c>
      <c r="P704">
        <v>0.99554699999999996</v>
      </c>
      <c r="Q704">
        <v>5.6921899999999997E-3</v>
      </c>
      <c r="R704">
        <v>-9.4097189999999997E-2</v>
      </c>
      <c r="S704">
        <v>3.0152589999999999</v>
      </c>
      <c r="T704">
        <v>-0.1252962</v>
      </c>
      <c r="U704">
        <v>7.1411130000000001E-3</v>
      </c>
      <c r="V704">
        <v>0.11582089999999901</v>
      </c>
      <c r="W704">
        <v>2.1396740000000001E-2</v>
      </c>
      <c r="X704">
        <v>0.99303960000000002</v>
      </c>
      <c r="Y704">
        <v>1.9503469999999998E-2</v>
      </c>
      <c r="Z704">
        <v>-1.31492E-3</v>
      </c>
      <c r="AA704">
        <v>0.9998089</v>
      </c>
      <c r="AB704">
        <v>36</v>
      </c>
      <c r="AC704">
        <v>26.258799999999901</v>
      </c>
      <c r="AD704">
        <v>-1.1058837786589999</v>
      </c>
      <c r="AE704">
        <v>5.4399999999986903E-2</v>
      </c>
      <c r="AF704">
        <v>0.51994256537047501</v>
      </c>
      <c r="AG704">
        <v>-1.1058837786589999</v>
      </c>
      <c r="AH704">
        <v>26.2072076099527</v>
      </c>
      <c r="AI704">
        <v>92.415841520113602</v>
      </c>
      <c r="AJ704">
        <v>88.863419281131996</v>
      </c>
      <c r="AK704">
        <v>26.2356827605905</v>
      </c>
      <c r="AL704">
        <v>88.773963508197696</v>
      </c>
      <c r="AM704">
        <v>83.347494391449999</v>
      </c>
      <c r="AN704">
        <v>0.99999997426379805</v>
      </c>
    </row>
    <row r="705" spans="1:40" x14ac:dyDescent="0.3">
      <c r="A705" t="str">
        <f>"20200111153843644"</f>
        <v>20200111153843644</v>
      </c>
      <c r="B705" t="str">
        <f>"1578728323641072"</f>
        <v>1578728323641072</v>
      </c>
      <c r="C705" t="s">
        <v>40</v>
      </c>
      <c r="D705">
        <v>5.0745009999999997</v>
      </c>
      <c r="E705">
        <v>0.46704560000000001</v>
      </c>
      <c r="F705" t="s">
        <v>52</v>
      </c>
      <c r="G705">
        <v>-204.61330000000001</v>
      </c>
      <c r="H705" s="1">
        <v>-3.2143459999999999E-6</v>
      </c>
      <c r="I705">
        <v>367.56849999999997</v>
      </c>
      <c r="J705">
        <v>-229.68369999999999</v>
      </c>
      <c r="K705">
        <v>1.1059110000000001</v>
      </c>
      <c r="L705">
        <v>367.54239999999999</v>
      </c>
      <c r="M705">
        <v>0.99961069999999996</v>
      </c>
      <c r="N705">
        <v>0</v>
      </c>
      <c r="O705">
        <v>2.3260920000000001E-2</v>
      </c>
      <c r="P705">
        <v>0.99575800000000003</v>
      </c>
      <c r="Q705">
        <v>6.101586E-3</v>
      </c>
      <c r="R705">
        <v>-9.1809260000000004E-2</v>
      </c>
      <c r="S705">
        <v>3.0145420000000001</v>
      </c>
      <c r="T705">
        <v>-0.13105820000000001</v>
      </c>
      <c r="U705">
        <v>4.2114259999999999E-3</v>
      </c>
      <c r="V705">
        <v>0.114883399999999</v>
      </c>
      <c r="W705">
        <v>2.1761909999999999E-2</v>
      </c>
      <c r="X705">
        <v>0.99314060000000004</v>
      </c>
      <c r="Y705">
        <v>2.1824409999999999E-2</v>
      </c>
      <c r="Z705">
        <v>-1.485033E-3</v>
      </c>
      <c r="AA705">
        <v>0.99976069999999995</v>
      </c>
      <c r="AB705">
        <v>36</v>
      </c>
      <c r="AC705">
        <v>25.0703999999999</v>
      </c>
      <c r="AD705">
        <v>-1.1059142143459999</v>
      </c>
      <c r="AE705">
        <v>2.6099999999985302E-2</v>
      </c>
      <c r="AF705">
        <v>0.55605483393301902</v>
      </c>
      <c r="AG705">
        <v>-1.1059142143459999</v>
      </c>
      <c r="AH705">
        <v>25.015544550937499</v>
      </c>
      <c r="AI705">
        <v>92.530721119727801</v>
      </c>
      <c r="AJ705">
        <v>88.726617788732398</v>
      </c>
      <c r="AK705">
        <v>25.046151648662001</v>
      </c>
      <c r="AL705">
        <v>88.753035983891905</v>
      </c>
      <c r="AM705">
        <v>83.401530722623093</v>
      </c>
      <c r="AN705">
        <v>1.00000001384538</v>
      </c>
    </row>
    <row r="706" spans="1:40" x14ac:dyDescent="0.3">
      <c r="A706" t="str">
        <f>"20200111153843667"</f>
        <v>20200111153843667</v>
      </c>
      <c r="B706" t="str">
        <f>"1578728323661567"</f>
        <v>1578728323661567</v>
      </c>
      <c r="C706" t="s">
        <v>40</v>
      </c>
      <c r="D706">
        <v>5.1301779999999999</v>
      </c>
      <c r="E706">
        <v>0.46821010000000002</v>
      </c>
      <c r="F706" t="s">
        <v>52</v>
      </c>
      <c r="G706">
        <v>-205.6617</v>
      </c>
      <c r="H706" s="1">
        <v>-3.7365140000000001E-6</v>
      </c>
      <c r="I706">
        <v>367.48129999999998</v>
      </c>
      <c r="J706">
        <v>-229.31620000000001</v>
      </c>
      <c r="K706">
        <v>1.105958</v>
      </c>
      <c r="L706">
        <v>367.55239999999998</v>
      </c>
      <c r="M706">
        <v>0.9995771</v>
      </c>
      <c r="N706">
        <v>0</v>
      </c>
      <c r="O706">
        <v>2.469004E-2</v>
      </c>
      <c r="P706">
        <v>0.99597080000000004</v>
      </c>
      <c r="Q706">
        <v>6.9702699999999998E-3</v>
      </c>
      <c r="R706">
        <v>-8.9407429999999996E-2</v>
      </c>
      <c r="S706">
        <v>3.0129389999999998</v>
      </c>
      <c r="T706">
        <v>-0.1387081</v>
      </c>
      <c r="U706">
        <v>-7.6599119999999996E-3</v>
      </c>
      <c r="V706">
        <v>0.1139025</v>
      </c>
      <c r="W706">
        <v>2.2593309999999998E-2</v>
      </c>
      <c r="X706">
        <v>0.99323499999999998</v>
      </c>
      <c r="Y706">
        <v>2.7179499999999999E-2</v>
      </c>
      <c r="Z706">
        <v>-1.7614250000000001E-3</v>
      </c>
      <c r="AA706">
        <v>0.99962899999999999</v>
      </c>
      <c r="AB706">
        <v>36</v>
      </c>
      <c r="AC706">
        <v>23.654499999999999</v>
      </c>
      <c r="AD706">
        <v>-1.105961736514</v>
      </c>
      <c r="AE706">
        <v>-7.1100000000001204E-2</v>
      </c>
      <c r="AF706">
        <v>0.653748716083561</v>
      </c>
      <c r="AG706">
        <v>-1.105961736514</v>
      </c>
      <c r="AH706">
        <v>23.593955442769499</v>
      </c>
      <c r="AI706">
        <v>92.682735092985098</v>
      </c>
      <c r="AJ706">
        <v>88.412836673001905</v>
      </c>
      <c r="AK706">
        <v>23.6289075537107</v>
      </c>
      <c r="AL706">
        <v>88.705388536659001</v>
      </c>
      <c r="AM706">
        <v>83.457995807184304</v>
      </c>
      <c r="AN706">
        <v>1.000000001194</v>
      </c>
    </row>
    <row r="707" spans="1:40" x14ac:dyDescent="0.3">
      <c r="A707" t="str">
        <f>"20200111153843689"</f>
        <v>20200111153843689</v>
      </c>
      <c r="B707" t="str">
        <f>"1578728323681088"</f>
        <v>1578728323681088</v>
      </c>
      <c r="C707" t="s">
        <v>40</v>
      </c>
      <c r="D707">
        <v>5.3878370000000002</v>
      </c>
      <c r="E707">
        <v>0.46878419999999998</v>
      </c>
      <c r="F707" t="s">
        <v>52</v>
      </c>
      <c r="G707">
        <v>-205.34030000000001</v>
      </c>
      <c r="H707" s="1">
        <v>-3.5880249999999998E-6</v>
      </c>
      <c r="I707">
        <v>367.47590000000002</v>
      </c>
      <c r="J707">
        <v>-228.95840000000001</v>
      </c>
      <c r="K707">
        <v>1.1060110000000001</v>
      </c>
      <c r="L707">
        <v>367.56270000000001</v>
      </c>
      <c r="M707">
        <v>0.99954030000000005</v>
      </c>
      <c r="N707">
        <v>0</v>
      </c>
      <c r="O707">
        <v>2.6161770000000001E-2</v>
      </c>
      <c r="P707">
        <v>0.99618470000000003</v>
      </c>
      <c r="Q707">
        <v>7.2298229999999998E-3</v>
      </c>
      <c r="R707">
        <v>-8.6970370000000005E-2</v>
      </c>
      <c r="S707">
        <v>3.0122529999999998</v>
      </c>
      <c r="T707">
        <v>-0.1389493</v>
      </c>
      <c r="U707">
        <v>-9.6130369999999996E-3</v>
      </c>
      <c r="V707">
        <v>0.11293060000000001</v>
      </c>
      <c r="W707">
        <v>2.282547E-2</v>
      </c>
      <c r="X707">
        <v>0.99334069999999997</v>
      </c>
      <c r="Y707">
        <v>2.9295950000000001E-2</v>
      </c>
      <c r="Z707">
        <v>-1.8815189999999999E-3</v>
      </c>
      <c r="AA707">
        <v>0.99956900000000004</v>
      </c>
      <c r="AB707">
        <v>36</v>
      </c>
      <c r="AC707">
        <v>23.618099999999998</v>
      </c>
      <c r="AD707">
        <v>-1.1060145880249901</v>
      </c>
      <c r="AE707">
        <v>-8.6799999999982405E-2</v>
      </c>
      <c r="AF707">
        <v>0.70319206616197605</v>
      </c>
      <c r="AG707">
        <v>-1.1060145880249901</v>
      </c>
      <c r="AH707">
        <v>23.556086058819599</v>
      </c>
      <c r="AI707">
        <v>92.687004445246203</v>
      </c>
      <c r="AJ707">
        <v>88.290124429044397</v>
      </c>
      <c r="AK707">
        <v>23.592518682017701</v>
      </c>
      <c r="AL707">
        <v>88.692083360591795</v>
      </c>
      <c r="AM707">
        <v>83.514023575405204</v>
      </c>
      <c r="AN707">
        <v>1.0000000343867801</v>
      </c>
    </row>
    <row r="708" spans="1:40" x14ac:dyDescent="0.3">
      <c r="A708" t="str">
        <f>"20200111153843711"</f>
        <v>20200111153843711</v>
      </c>
      <c r="B708" t="str">
        <f>"1578728323700608"</f>
        <v>1578728323700608</v>
      </c>
      <c r="C708" t="s">
        <v>40</v>
      </c>
      <c r="D708">
        <v>5.5277609999999999</v>
      </c>
      <c r="E708">
        <v>0.5053337</v>
      </c>
      <c r="F708" t="s">
        <v>52</v>
      </c>
      <c r="G708">
        <v>-204.65430000000001</v>
      </c>
      <c r="H708" s="1">
        <v>-3.2486390000000001E-6</v>
      </c>
      <c r="I708">
        <v>367.50700000000001</v>
      </c>
      <c r="J708">
        <v>-228.60329999999999</v>
      </c>
      <c r="K708">
        <v>1.1060700000000001</v>
      </c>
      <c r="L708">
        <v>367.57350000000002</v>
      </c>
      <c r="M708">
        <v>0.99949940000000004</v>
      </c>
      <c r="N708">
        <v>0</v>
      </c>
      <c r="O708">
        <v>2.770077E-2</v>
      </c>
      <c r="P708">
        <v>0.99636749999999996</v>
      </c>
      <c r="Q708">
        <v>7.3813790000000004E-3</v>
      </c>
      <c r="R708">
        <v>-8.4838609999999995E-2</v>
      </c>
      <c r="S708">
        <v>3.0118559999999999</v>
      </c>
      <c r="T708">
        <v>-0.1370614</v>
      </c>
      <c r="U708">
        <v>-6.8969729999999998E-3</v>
      </c>
      <c r="V708">
        <v>0.112330399999999</v>
      </c>
      <c r="W708">
        <v>2.2956560000000001E-2</v>
      </c>
      <c r="X708">
        <v>0.99340569999999895</v>
      </c>
      <c r="Y708">
        <v>2.9933339999999999E-2</v>
      </c>
      <c r="Z708">
        <v>-1.9407090000000001E-3</v>
      </c>
      <c r="AA708">
        <v>0.99955000000000005</v>
      </c>
      <c r="AB708">
        <v>36</v>
      </c>
      <c r="AC708">
        <v>23.948999999999899</v>
      </c>
      <c r="AD708">
        <v>-1.1060732486389999</v>
      </c>
      <c r="AE708">
        <v>-6.6500000000075901E-2</v>
      </c>
      <c r="AF708">
        <v>0.72840403944007104</v>
      </c>
      <c r="AG708">
        <v>-1.1060732486389999</v>
      </c>
      <c r="AH708">
        <v>23.887014485701101</v>
      </c>
      <c r="AI708">
        <v>92.649921508175495</v>
      </c>
      <c r="AJ708">
        <v>88.253379523985302</v>
      </c>
      <c r="AK708">
        <v>23.923700205363701</v>
      </c>
      <c r="AL708">
        <v>88.684570447980903</v>
      </c>
      <c r="AM708">
        <v>83.548622205696304</v>
      </c>
      <c r="AN708">
        <v>1.0000000036018399</v>
      </c>
    </row>
    <row r="709" spans="1:40" x14ac:dyDescent="0.3">
      <c r="A709" t="str">
        <f>"20200111153843733"</f>
        <v>20200111153843733</v>
      </c>
      <c r="B709" t="str">
        <f>"1578728323721104"</f>
        <v>1578728323721104</v>
      </c>
      <c r="C709" t="s">
        <v>40</v>
      </c>
      <c r="D709">
        <v>5.5562329999999998</v>
      </c>
      <c r="E709">
        <v>0.58953719999999998</v>
      </c>
      <c r="F709" t="s">
        <v>52</v>
      </c>
      <c r="G709">
        <v>-196.00919999999999</v>
      </c>
      <c r="H709" s="1">
        <v>-8.2222760000000002E-6</v>
      </c>
      <c r="I709">
        <v>364.38099999999997</v>
      </c>
      <c r="J709">
        <v>-228.2424</v>
      </c>
      <c r="K709">
        <v>1.1061299999999901</v>
      </c>
      <c r="L709">
        <v>367.58510000000001</v>
      </c>
      <c r="M709">
        <v>0.99945360000000005</v>
      </c>
      <c r="N709">
        <v>0</v>
      </c>
      <c r="O709">
        <v>2.9332250000000001E-2</v>
      </c>
      <c r="P709">
        <v>0.99645269999999997</v>
      </c>
      <c r="Q709">
        <v>8.1446260000000003E-3</v>
      </c>
      <c r="R709">
        <v>-8.3759689999999998E-2</v>
      </c>
      <c r="S709">
        <v>2.9867710000000001</v>
      </c>
      <c r="T709">
        <v>-0.1013558</v>
      </c>
      <c r="U709">
        <v>-0.29254150000000001</v>
      </c>
      <c r="V709">
        <v>0.1128702</v>
      </c>
      <c r="W709">
        <v>2.3694509999999998E-2</v>
      </c>
      <c r="X709">
        <v>0.99332719999999997</v>
      </c>
      <c r="Y709">
        <v>0.1265444</v>
      </c>
      <c r="Z709">
        <v>-3.1344910000000001E-3</v>
      </c>
      <c r="AA709">
        <v>0.99195599999999995</v>
      </c>
      <c r="AB709">
        <v>36</v>
      </c>
      <c r="AC709">
        <v>32.233199999999997</v>
      </c>
      <c r="AD709">
        <v>-1.1061382222759999</v>
      </c>
      <c r="AE709">
        <v>-3.2041000000000301</v>
      </c>
      <c r="AF709">
        <v>4.1434712739642103</v>
      </c>
      <c r="AG709">
        <v>-1.1061382222759999</v>
      </c>
      <c r="AH709">
        <v>32.087914781848802</v>
      </c>
      <c r="AI709">
        <v>91.958080347797306</v>
      </c>
      <c r="AJ709">
        <v>82.642184513258499</v>
      </c>
      <c r="AK709">
        <v>32.373232322586098</v>
      </c>
      <c r="AL709">
        <v>88.642277540720599</v>
      </c>
      <c r="AM709">
        <v>83.517375657873501</v>
      </c>
      <c r="AN709">
        <v>1.0000000190559999</v>
      </c>
    </row>
    <row r="710" spans="1:40" x14ac:dyDescent="0.3">
      <c r="A710" t="str">
        <f>"20200111153843756"</f>
        <v>20200111153843756</v>
      </c>
      <c r="B710" t="str">
        <f>"1578728323751360"</f>
        <v>1578728323751360</v>
      </c>
      <c r="C710" t="s">
        <v>40</v>
      </c>
      <c r="D710">
        <v>5.5594020000000004</v>
      </c>
      <c r="E710">
        <v>0.59323179999999998</v>
      </c>
      <c r="F710" t="s">
        <v>42</v>
      </c>
      <c r="G710">
        <v>-217.0104</v>
      </c>
      <c r="H710" s="1">
        <v>-2.5136840000000002E-6</v>
      </c>
      <c r="I710">
        <v>363.94040000000001</v>
      </c>
      <c r="J710">
        <v>-227.88820000000001</v>
      </c>
      <c r="K710">
        <v>1.106177</v>
      </c>
      <c r="L710">
        <v>367.59710000000001</v>
      </c>
      <c r="M710">
        <v>0.99940430000000002</v>
      </c>
      <c r="N710">
        <v>0</v>
      </c>
      <c r="O710">
        <v>3.0986509999999998E-2</v>
      </c>
      <c r="P710">
        <v>0.99651100000000004</v>
      </c>
      <c r="Q710">
        <v>9.504551E-3</v>
      </c>
      <c r="R710">
        <v>-8.2918199999999997E-2</v>
      </c>
      <c r="S710">
        <v>2.9330599999999998</v>
      </c>
      <c r="T710">
        <v>-0.28884799999999999</v>
      </c>
      <c r="U710">
        <v>-0.95175169999999998</v>
      </c>
      <c r="V710">
        <v>0.1136677</v>
      </c>
      <c r="W710">
        <v>2.502211E-2</v>
      </c>
      <c r="X710">
        <v>0.99320370000000002</v>
      </c>
      <c r="Y710">
        <v>0.33636490000000002</v>
      </c>
      <c r="Z710">
        <v>-1.9084190000000001E-2</v>
      </c>
      <c r="AA710">
        <v>0.94153830000000005</v>
      </c>
      <c r="AB710">
        <v>36</v>
      </c>
      <c r="AC710">
        <v>10.877800000000001</v>
      </c>
      <c r="AD710">
        <v>-1.106179513684</v>
      </c>
      <c r="AE710">
        <v>-3.6566999999999998</v>
      </c>
      <c r="AF710">
        <v>3.9552981442137098</v>
      </c>
      <c r="AG710">
        <v>-1.106179513684</v>
      </c>
      <c r="AH710">
        <v>10.6602076665606</v>
      </c>
      <c r="AI710">
        <v>95.556618751582704</v>
      </c>
      <c r="AJ710">
        <v>69.643440218687005</v>
      </c>
      <c r="AK710">
        <v>11.424011730574801</v>
      </c>
      <c r="AL710">
        <v>88.566189086239604</v>
      </c>
      <c r="AM710">
        <v>83.471161059810498</v>
      </c>
      <c r="AN710">
        <v>1.0000000208529101</v>
      </c>
    </row>
    <row r="711" spans="1:40" x14ac:dyDescent="0.3">
      <c r="A711" t="str">
        <f>"20200111153843778"</f>
        <v>20200111153843778</v>
      </c>
      <c r="B711" t="str">
        <f>"1578728323770882"</f>
        <v>1578728323770882</v>
      </c>
      <c r="C711" t="s">
        <v>40</v>
      </c>
      <c r="D711">
        <v>5.4773449999999997</v>
      </c>
      <c r="E711">
        <v>0.59388920000000001</v>
      </c>
      <c r="F711" t="s">
        <v>42</v>
      </c>
      <c r="G711">
        <v>-218.7466</v>
      </c>
      <c r="H711" s="1">
        <v>-1.759736E-6</v>
      </c>
      <c r="I711">
        <v>364.55340000000001</v>
      </c>
      <c r="J711">
        <v>-227.5145</v>
      </c>
      <c r="K711">
        <v>1.106196</v>
      </c>
      <c r="L711">
        <v>367.6105</v>
      </c>
      <c r="M711">
        <v>0.99934889999999998</v>
      </c>
      <c r="N711">
        <v>0</v>
      </c>
      <c r="O711">
        <v>3.2753240000000003E-2</v>
      </c>
      <c r="P711">
        <v>0.99661520000000003</v>
      </c>
      <c r="Q711">
        <v>1.1426250000000001E-2</v>
      </c>
      <c r="R711">
        <v>-8.1411720000000007E-2</v>
      </c>
      <c r="S711">
        <v>2.9326479999999999</v>
      </c>
      <c r="T711">
        <v>-0.35486220000000002</v>
      </c>
      <c r="U711">
        <v>-0.97640990000000005</v>
      </c>
      <c r="V711">
        <v>0.1139125</v>
      </c>
      <c r="W711">
        <v>2.689163E-2</v>
      </c>
      <c r="X711">
        <v>0.99312670000000003</v>
      </c>
      <c r="Y711">
        <v>0.34432239999999997</v>
      </c>
      <c r="Z711">
        <v>-2.4067870000000002E-2</v>
      </c>
      <c r="AA711">
        <v>0.93854289999999996</v>
      </c>
      <c r="AB711">
        <v>36</v>
      </c>
      <c r="AC711">
        <v>8.7678999999999903</v>
      </c>
      <c r="AD711">
        <v>-1.106197759736</v>
      </c>
      <c r="AE711">
        <v>-3.0570999999999899</v>
      </c>
      <c r="AF711">
        <v>3.2958936398014398</v>
      </c>
      <c r="AG711">
        <v>-1.106197759736</v>
      </c>
      <c r="AH711">
        <v>8.5418264977338101</v>
      </c>
      <c r="AI711">
        <v>96.889167934452601</v>
      </c>
      <c r="AJ711">
        <v>68.900717496135002</v>
      </c>
      <c r="AK711">
        <v>9.2222225242029392</v>
      </c>
      <c r="AL711">
        <v>88.4590372235253</v>
      </c>
      <c r="AM711">
        <v>83.456719157752204</v>
      </c>
      <c r="AN711">
        <v>0.99999992983659602</v>
      </c>
    </row>
    <row r="712" spans="1:40" x14ac:dyDescent="0.3">
      <c r="A712" t="str">
        <f>"20200111153843801"</f>
        <v>20200111153843801</v>
      </c>
      <c r="B712" t="str">
        <f>"1578728323791375"</f>
        <v>1578728323791375</v>
      </c>
      <c r="C712" t="s">
        <v>40</v>
      </c>
      <c r="D712">
        <v>5.5060229999999999</v>
      </c>
      <c r="E712">
        <v>0.59451160000000003</v>
      </c>
      <c r="F712" t="s">
        <v>42</v>
      </c>
      <c r="G712">
        <v>-218.4383</v>
      </c>
      <c r="H712" s="1">
        <v>-1.855635E-6</v>
      </c>
      <c r="I712">
        <v>364.5874</v>
      </c>
      <c r="J712">
        <v>-227.1644</v>
      </c>
      <c r="K712">
        <v>1.106198</v>
      </c>
      <c r="L712">
        <v>367.62369999999999</v>
      </c>
      <c r="M712">
        <v>0.99929449999999997</v>
      </c>
      <c r="N712">
        <v>0</v>
      </c>
      <c r="O712">
        <v>3.4403969999999999E-2</v>
      </c>
      <c r="P712">
        <v>0.99670639999999999</v>
      </c>
      <c r="Q712">
        <v>1.213873E-2</v>
      </c>
      <c r="R712">
        <v>-8.0185190000000003E-2</v>
      </c>
      <c r="S712">
        <v>2.9344640000000002</v>
      </c>
      <c r="T712">
        <v>-0.35764489999999999</v>
      </c>
      <c r="U712">
        <v>-0.97738650000000005</v>
      </c>
      <c r="V712">
        <v>0.11432779999999999</v>
      </c>
      <c r="W712">
        <v>2.7547510000000001E-2</v>
      </c>
      <c r="X712">
        <v>0.99306110000000003</v>
      </c>
      <c r="Y712">
        <v>0.34592040000000002</v>
      </c>
      <c r="Z712">
        <v>-2.4530139999999999E-2</v>
      </c>
      <c r="AA712">
        <v>0.93794319999999998</v>
      </c>
      <c r="AB712">
        <v>36</v>
      </c>
      <c r="AC712">
        <v>8.7261000000000006</v>
      </c>
      <c r="AD712">
        <v>-1.1061998556349999</v>
      </c>
      <c r="AE712">
        <v>-3.0362999999999798</v>
      </c>
      <c r="AF712">
        <v>3.2876211578776902</v>
      </c>
      <c r="AG712">
        <v>-1.1061998556349999</v>
      </c>
      <c r="AH712">
        <v>8.4946904225030408</v>
      </c>
      <c r="AI712">
        <v>96.924346151239703</v>
      </c>
      <c r="AJ712">
        <v>68.842530265910995</v>
      </c>
      <c r="AK712">
        <v>9.1756142231731204</v>
      </c>
      <c r="AL712">
        <v>88.421444293063701</v>
      </c>
      <c r="AM712">
        <v>83.432641775055302</v>
      </c>
      <c r="AN712">
        <v>1.0000000297466201</v>
      </c>
    </row>
    <row r="713" spans="1:40" x14ac:dyDescent="0.3">
      <c r="A713" t="str">
        <f>"20200111153843822"</f>
        <v>20200111153843822</v>
      </c>
      <c r="B713" t="str">
        <f>"1578728323810896"</f>
        <v>1578728323810896</v>
      </c>
      <c r="C713" t="s">
        <v>40</v>
      </c>
      <c r="D713">
        <v>5.4645780000000004</v>
      </c>
      <c r="E713">
        <v>0.59491019999999994</v>
      </c>
      <c r="F713" t="s">
        <v>42</v>
      </c>
      <c r="G713">
        <v>-218.1302</v>
      </c>
      <c r="H713" s="1">
        <v>-1.9539800000000001E-6</v>
      </c>
      <c r="I713">
        <v>364.61180000000002</v>
      </c>
      <c r="J713">
        <v>-226.8177</v>
      </c>
      <c r="K713">
        <v>1.106176</v>
      </c>
      <c r="L713">
        <v>367.63720000000001</v>
      </c>
      <c r="M713">
        <v>0.99923919999999999</v>
      </c>
      <c r="N713">
        <v>0</v>
      </c>
      <c r="O713">
        <v>3.5993610000000002E-2</v>
      </c>
      <c r="P713">
        <v>0.9967551</v>
      </c>
      <c r="Q713">
        <v>1.241046E-2</v>
      </c>
      <c r="R713">
        <v>-7.9534019999999997E-2</v>
      </c>
      <c r="S713">
        <v>2.9355769999999999</v>
      </c>
      <c r="T713">
        <v>-0.35944549999999997</v>
      </c>
      <c r="U713">
        <v>-0.97863770000000005</v>
      </c>
      <c r="V713">
        <v>0.1152593</v>
      </c>
      <c r="W713">
        <v>2.7758669999999999E-2</v>
      </c>
      <c r="X713">
        <v>0.99294749999999998</v>
      </c>
      <c r="Y713">
        <v>0.34761819999999999</v>
      </c>
      <c r="Z713">
        <v>-2.4932570000000001E-2</v>
      </c>
      <c r="AA713">
        <v>0.93730460000000004</v>
      </c>
      <c r="AB713">
        <v>36</v>
      </c>
      <c r="AC713">
        <v>8.6875</v>
      </c>
      <c r="AD713">
        <v>-1.1061779539799901</v>
      </c>
      <c r="AE713">
        <v>-3.0253999999999901</v>
      </c>
      <c r="AF713">
        <v>3.28861774588625</v>
      </c>
      <c r="AG713">
        <v>-1.1061779539799901</v>
      </c>
      <c r="AH713">
        <v>8.4507697172340794</v>
      </c>
      <c r="AI713">
        <v>96.954897272350806</v>
      </c>
      <c r="AJ713">
        <v>68.736496220280202</v>
      </c>
      <c r="AK713">
        <v>9.1353240313712991</v>
      </c>
      <c r="AL713">
        <v>88.409341031021995</v>
      </c>
      <c r="AM713">
        <v>83.378855818763498</v>
      </c>
      <c r="AN713">
        <v>0.999999993876454</v>
      </c>
    </row>
    <row r="714" spans="1:40" x14ac:dyDescent="0.3">
      <c r="A714" t="str">
        <f>"20200111153843846"</f>
        <v>20200111153843846</v>
      </c>
      <c r="B714" t="str">
        <f>"1578728323841152"</f>
        <v>1578728323841152</v>
      </c>
      <c r="C714" t="s">
        <v>40</v>
      </c>
      <c r="D714">
        <v>5.5154209999999999</v>
      </c>
      <c r="E714">
        <v>0.59494659999999999</v>
      </c>
      <c r="F714" t="s">
        <v>42</v>
      </c>
      <c r="G714">
        <v>-217.80279999999999</v>
      </c>
      <c r="H714" s="1">
        <v>-2.0612249999999999E-6</v>
      </c>
      <c r="I714">
        <v>364.62740000000002</v>
      </c>
      <c r="J714">
        <v>-226.44820000000001</v>
      </c>
      <c r="K714">
        <v>1.1061179999999999</v>
      </c>
      <c r="L714">
        <v>367.65210000000002</v>
      </c>
      <c r="M714">
        <v>0.9991814</v>
      </c>
      <c r="N714">
        <v>0</v>
      </c>
      <c r="O714">
        <v>3.7587040000000002E-2</v>
      </c>
      <c r="P714">
        <v>0.9968051</v>
      </c>
      <c r="Q714">
        <v>1.2717279999999999E-2</v>
      </c>
      <c r="R714">
        <v>-7.8855629999999996E-2</v>
      </c>
      <c r="S714">
        <v>2.9360200000000001</v>
      </c>
      <c r="T714">
        <v>-0.36026550000000002</v>
      </c>
      <c r="U714">
        <v>-0.9802246</v>
      </c>
      <c r="V714">
        <v>0.11616989999999899</v>
      </c>
      <c r="W714">
        <v>2.7994140000000001E-2</v>
      </c>
      <c r="X714">
        <v>0.99283469999999996</v>
      </c>
      <c r="Y714">
        <v>0.34949029999999998</v>
      </c>
      <c r="Z714">
        <v>-2.528509E-2</v>
      </c>
      <c r="AA714">
        <v>0.93659870000000001</v>
      </c>
      <c r="AB714">
        <v>36</v>
      </c>
      <c r="AC714">
        <v>8.64540000000002</v>
      </c>
      <c r="AD714">
        <v>-1.106120061225</v>
      </c>
      <c r="AE714">
        <v>-3.02469999999999</v>
      </c>
      <c r="AF714">
        <v>3.2994336002550302</v>
      </c>
      <c r="AG714">
        <v>-1.106120061225</v>
      </c>
      <c r="AH714">
        <v>8.4030348910485397</v>
      </c>
      <c r="AI714">
        <v>96.985445194037098</v>
      </c>
      <c r="AJ714">
        <v>68.562652614423399</v>
      </c>
      <c r="AK714">
        <v>9.0950953294902508</v>
      </c>
      <c r="AL714">
        <v>88.395844245346595</v>
      </c>
      <c r="AM714">
        <v>83.326264438527801</v>
      </c>
      <c r="AN714">
        <v>0.99999992953221695</v>
      </c>
    </row>
    <row r="715" spans="1:40" x14ac:dyDescent="0.3">
      <c r="A715" t="str">
        <f>"20200111153843868"</f>
        <v>20200111153843868</v>
      </c>
      <c r="B715" t="str">
        <f>"1578728323860671"</f>
        <v>1578728323860671</v>
      </c>
      <c r="C715" t="s">
        <v>40</v>
      </c>
      <c r="D715">
        <v>5.4931999999999999</v>
      </c>
      <c r="E715">
        <v>0.59522430000000004</v>
      </c>
      <c r="F715" t="s">
        <v>42</v>
      </c>
      <c r="G715">
        <v>-217.64109999999999</v>
      </c>
      <c r="H715" s="1">
        <v>-2.0922489999999999E-6</v>
      </c>
      <c r="I715">
        <v>364.71769999999998</v>
      </c>
      <c r="J715">
        <v>-226.0795</v>
      </c>
      <c r="K715">
        <v>1.106033</v>
      </c>
      <c r="L715">
        <v>367.66739999999999</v>
      </c>
      <c r="M715">
        <v>0.99912710000000005</v>
      </c>
      <c r="N715">
        <v>0</v>
      </c>
      <c r="O715">
        <v>3.9024139999999999E-2</v>
      </c>
      <c r="P715">
        <v>0.99678330000000004</v>
      </c>
      <c r="Q715">
        <v>1.4227180000000001E-2</v>
      </c>
      <c r="R715">
        <v>-7.8870969999999999E-2</v>
      </c>
      <c r="S715">
        <v>2.9369200000000002</v>
      </c>
      <c r="T715">
        <v>-0.36885889999999999</v>
      </c>
      <c r="U715">
        <v>-0.97854609999999997</v>
      </c>
      <c r="V715">
        <v>0.1176143</v>
      </c>
      <c r="W715">
        <v>2.9425489999999999E-2</v>
      </c>
      <c r="X715">
        <v>0.99262329999999999</v>
      </c>
      <c r="Y715">
        <v>0.3501282</v>
      </c>
      <c r="Z715">
        <v>-2.6093109999999999E-2</v>
      </c>
      <c r="AA715">
        <v>0.93633829999999996</v>
      </c>
      <c r="AB715">
        <v>36</v>
      </c>
      <c r="AC715">
        <v>8.4383999999999997</v>
      </c>
      <c r="AD715">
        <v>-1.1060350922490001</v>
      </c>
      <c r="AE715">
        <v>-2.9497</v>
      </c>
      <c r="AF715">
        <v>3.2273820152302801</v>
      </c>
      <c r="AG715">
        <v>-1.1060350922490001</v>
      </c>
      <c r="AH715">
        <v>8.1914443865681097</v>
      </c>
      <c r="AI715">
        <v>97.160237310539102</v>
      </c>
      <c r="AJ715">
        <v>68.495844772321803</v>
      </c>
      <c r="AK715">
        <v>8.8735037857520709</v>
      </c>
      <c r="AL715">
        <v>88.313800216761194</v>
      </c>
      <c r="AM715">
        <v>83.242623292714001</v>
      </c>
      <c r="AN715">
        <v>0.99999999936455997</v>
      </c>
    </row>
    <row r="716" spans="1:40" x14ac:dyDescent="0.3">
      <c r="A716" t="str">
        <f>"20200111153843889"</f>
        <v>20200111153843889</v>
      </c>
      <c r="B716" t="str">
        <f>"1578728323881168"</f>
        <v>1578728323881168</v>
      </c>
      <c r="C716" t="s">
        <v>40</v>
      </c>
      <c r="D716">
        <v>5.4757740000000004</v>
      </c>
      <c r="E716">
        <v>0.59544949999999996</v>
      </c>
      <c r="F716" t="s">
        <v>42</v>
      </c>
      <c r="G716">
        <v>-217.13419999999999</v>
      </c>
      <c r="H716" s="1">
        <v>-2.2749699999999998E-6</v>
      </c>
      <c r="I716">
        <v>364.67939999999999</v>
      </c>
      <c r="J716">
        <v>-225.73650000000001</v>
      </c>
      <c r="K716">
        <v>1.1059030000000001</v>
      </c>
      <c r="L716">
        <v>367.68209999999999</v>
      </c>
      <c r="M716">
        <v>0.99908220000000003</v>
      </c>
      <c r="N716">
        <v>0</v>
      </c>
      <c r="O716">
        <v>4.0175900000000001E-2</v>
      </c>
      <c r="P716">
        <v>0.9968612</v>
      </c>
      <c r="Q716">
        <v>1.5409549999999999E-2</v>
      </c>
      <c r="R716">
        <v>-7.7655130000000003E-2</v>
      </c>
      <c r="S716">
        <v>2.9372250000000002</v>
      </c>
      <c r="T716">
        <v>-0.36316749999999998</v>
      </c>
      <c r="U716">
        <v>-0.98114009999999996</v>
      </c>
      <c r="V716">
        <v>0.1175527</v>
      </c>
      <c r="W716">
        <v>3.0524590000000001E-2</v>
      </c>
      <c r="X716">
        <v>0.99259739999999996</v>
      </c>
      <c r="Y716">
        <v>0.35198590000000002</v>
      </c>
      <c r="Z716">
        <v>-2.5937330000000001E-2</v>
      </c>
      <c r="AA716">
        <v>0.93564590000000003</v>
      </c>
      <c r="AB716">
        <v>36</v>
      </c>
      <c r="AC716">
        <v>8.6023000000000103</v>
      </c>
      <c r="AD716">
        <v>-1.10590527497</v>
      </c>
      <c r="AE716">
        <v>-3.0026999999999999</v>
      </c>
      <c r="AF716">
        <v>3.2973404990330999</v>
      </c>
      <c r="AG716">
        <v>-1.10590527497</v>
      </c>
      <c r="AH716">
        <v>8.3516631413712599</v>
      </c>
      <c r="AI716">
        <v>97.021502663133703</v>
      </c>
      <c r="AJ716">
        <v>68.455276687822206</v>
      </c>
      <c r="AK716">
        <v>9.0468645436255795</v>
      </c>
      <c r="AL716">
        <v>88.250798101303303</v>
      </c>
      <c r="AM716">
        <v>83.245955136968604</v>
      </c>
      <c r="AN716">
        <v>0.99999999317935895</v>
      </c>
    </row>
    <row r="717" spans="1:40" x14ac:dyDescent="0.3">
      <c r="A717" t="str">
        <f>"20200111153843912"</f>
        <v>20200111153843912</v>
      </c>
      <c r="B717" t="str">
        <f>"1578728323900687"</f>
        <v>1578728323900687</v>
      </c>
      <c r="C717" t="s">
        <v>40</v>
      </c>
      <c r="D717">
        <v>5.4592980000000004</v>
      </c>
      <c r="E717">
        <v>0.59576580000000001</v>
      </c>
      <c r="F717" t="s">
        <v>42</v>
      </c>
      <c r="G717">
        <v>-216.62049999999999</v>
      </c>
      <c r="H717" s="1">
        <v>-2.459796E-6</v>
      </c>
      <c r="I717">
        <v>364.64170000000001</v>
      </c>
      <c r="J717">
        <v>-225.386</v>
      </c>
      <c r="K717">
        <v>1.1057330000000001</v>
      </c>
      <c r="L717">
        <v>367.69709999999998</v>
      </c>
      <c r="M717">
        <v>0.99904409999999999</v>
      </c>
      <c r="N717">
        <v>0</v>
      </c>
      <c r="O717">
        <v>4.113004E-2</v>
      </c>
      <c r="P717">
        <v>0.99702679999999999</v>
      </c>
      <c r="Q717">
        <v>1.5499209999999999E-2</v>
      </c>
      <c r="R717">
        <v>-7.5482350000000004E-2</v>
      </c>
      <c r="S717">
        <v>2.9386139999999998</v>
      </c>
      <c r="T717">
        <v>-0.35649309999999901</v>
      </c>
      <c r="U717">
        <v>-0.98007200000000005</v>
      </c>
      <c r="V717">
        <v>0.11634890000000001</v>
      </c>
      <c r="W717">
        <v>3.052268E-2</v>
      </c>
      <c r="X717">
        <v>0.99273929999999999</v>
      </c>
      <c r="Y717">
        <v>0.3525296</v>
      </c>
      <c r="Z717">
        <v>-2.5598579999999999E-2</v>
      </c>
      <c r="AA717">
        <v>0.93545049999999996</v>
      </c>
      <c r="AB717">
        <v>36</v>
      </c>
      <c r="AC717">
        <v>8.7654999999999994</v>
      </c>
      <c r="AD717">
        <v>-1.1057354597960001</v>
      </c>
      <c r="AE717">
        <v>-3.0553999999999601</v>
      </c>
      <c r="AF717">
        <v>3.3656242977634201</v>
      </c>
      <c r="AG717">
        <v>-1.1057354597960001</v>
      </c>
      <c r="AH717">
        <v>8.5116277826572606</v>
      </c>
      <c r="AI717">
        <v>96.888370979692994</v>
      </c>
      <c r="AJ717">
        <v>68.425420287301506</v>
      </c>
      <c r="AK717">
        <v>9.21942977256451</v>
      </c>
      <c r="AL717">
        <v>88.250907615192503</v>
      </c>
      <c r="AM717">
        <v>83.315437707888407</v>
      </c>
      <c r="AN717">
        <v>1.0000000091450401</v>
      </c>
    </row>
    <row r="718" spans="1:40" x14ac:dyDescent="0.3">
      <c r="A718" t="str">
        <f>"20200111153843935"</f>
        <v>20200111153843935</v>
      </c>
      <c r="B718" t="str">
        <f>"1578728323930944"</f>
        <v>1578728323930944</v>
      </c>
      <c r="C718" t="s">
        <v>40</v>
      </c>
      <c r="D718">
        <v>5.4379860000000004</v>
      </c>
      <c r="E718">
        <v>0.5964351</v>
      </c>
      <c r="F718" t="s">
        <v>42</v>
      </c>
      <c r="G718">
        <v>-216.2783</v>
      </c>
      <c r="H718" s="1">
        <v>-2.5688170000000001E-6</v>
      </c>
      <c r="I718">
        <v>364.6696</v>
      </c>
      <c r="J718">
        <v>-225.0181</v>
      </c>
      <c r="K718">
        <v>1.1055200000000001</v>
      </c>
      <c r="L718">
        <v>367.7131</v>
      </c>
      <c r="M718">
        <v>0.99901439999999997</v>
      </c>
      <c r="N718">
        <v>0</v>
      </c>
      <c r="O718">
        <v>4.185676E-2</v>
      </c>
      <c r="P718">
        <v>0.99721300000000002</v>
      </c>
      <c r="Q718">
        <v>1.4282390000000001E-2</v>
      </c>
      <c r="R718">
        <v>-7.32268999999999E-2</v>
      </c>
      <c r="S718">
        <v>2.9405209999999999</v>
      </c>
      <c r="T718">
        <v>-0.3569968</v>
      </c>
      <c r="U718">
        <v>-0.97744750000000002</v>
      </c>
      <c r="V718">
        <v>0.1148441</v>
      </c>
      <c r="W718">
        <v>2.9205289999999998E-2</v>
      </c>
      <c r="X718">
        <v>0.99295409999999995</v>
      </c>
      <c r="Y718">
        <v>0.35226750000000001</v>
      </c>
      <c r="Z718">
        <v>-2.5692719999999999E-2</v>
      </c>
      <c r="AA718">
        <v>0.93554660000000001</v>
      </c>
      <c r="AB718">
        <v>36</v>
      </c>
      <c r="AC718">
        <v>8.7398000000000007</v>
      </c>
      <c r="AD718">
        <v>-1.1055225688169901</v>
      </c>
      <c r="AE718">
        <v>-3.0434999999999901</v>
      </c>
      <c r="AF718">
        <v>3.3587623550614798</v>
      </c>
      <c r="AG718">
        <v>-1.1055225688169901</v>
      </c>
      <c r="AH718">
        <v>8.4836722482345497</v>
      </c>
      <c r="AI718">
        <v>96.908376137614894</v>
      </c>
      <c r="AJ718">
        <v>68.400940608694697</v>
      </c>
      <c r="AK718">
        <v>9.1910913129729597</v>
      </c>
      <c r="AL718">
        <v>88.326422140612905</v>
      </c>
      <c r="AM718">
        <v>83.402540065484203</v>
      </c>
      <c r="AN718">
        <v>0.99999998048780103</v>
      </c>
    </row>
    <row r="719" spans="1:40" x14ac:dyDescent="0.3">
      <c r="A719" t="str">
        <f>"20200111153843957"</f>
        <v>20200111153843957</v>
      </c>
      <c r="B719" t="str">
        <f>"1578728323951439"</f>
        <v>1578728323951439</v>
      </c>
      <c r="C719" t="s">
        <v>40</v>
      </c>
      <c r="D719">
        <v>5.4350899999999998</v>
      </c>
      <c r="E719">
        <v>0.59705969999999997</v>
      </c>
      <c r="F719" t="s">
        <v>42</v>
      </c>
      <c r="G719">
        <v>-216.06610000000001</v>
      </c>
      <c r="H719" s="1">
        <v>-2.6214879999999999E-6</v>
      </c>
      <c r="I719">
        <v>364.74299999999999</v>
      </c>
      <c r="J719">
        <v>-224.66050000000001</v>
      </c>
      <c r="K719">
        <v>1.1053010000000001</v>
      </c>
      <c r="L719">
        <v>367.72859999999997</v>
      </c>
      <c r="M719">
        <v>0.99899769999999999</v>
      </c>
      <c r="N719">
        <v>0</v>
      </c>
      <c r="O719">
        <v>4.226924E-2</v>
      </c>
      <c r="P719">
        <v>0.99735929999999995</v>
      </c>
      <c r="Q719">
        <v>1.3931850000000001E-2</v>
      </c>
      <c r="R719">
        <v>-7.1276989999999998E-2</v>
      </c>
      <c r="S719">
        <v>2.9418950000000001</v>
      </c>
      <c r="T719">
        <v>-0.36330469999999998</v>
      </c>
      <c r="U719">
        <v>-0.97604369999999996</v>
      </c>
      <c r="V719">
        <v>0.11332830000000001</v>
      </c>
      <c r="W719">
        <v>2.8747720000000001E-2</v>
      </c>
      <c r="X719">
        <v>0.99314159999999996</v>
      </c>
      <c r="Y719">
        <v>0.35202830000000002</v>
      </c>
      <c r="Z719">
        <v>-2.616916E-2</v>
      </c>
      <c r="AA719">
        <v>0.93562350000000005</v>
      </c>
      <c r="AB719">
        <v>36</v>
      </c>
      <c r="AC719">
        <v>8.5944000000000091</v>
      </c>
      <c r="AD719">
        <v>-1.1053036214880001</v>
      </c>
      <c r="AE719">
        <v>-2.9855999999999199</v>
      </c>
      <c r="AF719">
        <v>3.2975809136637602</v>
      </c>
      <c r="AG719">
        <v>-1.1053036214880001</v>
      </c>
      <c r="AH719">
        <v>8.3374536739496694</v>
      </c>
      <c r="AI719">
        <v>97.027892599782007</v>
      </c>
      <c r="AJ719">
        <v>68.420501805360104</v>
      </c>
      <c r="AK719">
        <v>9.0337627677004395</v>
      </c>
      <c r="AL719">
        <v>88.352649994051106</v>
      </c>
      <c r="AM719">
        <v>83.490084391583807</v>
      </c>
      <c r="AN719">
        <v>0.99999998631832399</v>
      </c>
    </row>
    <row r="720" spans="1:40" x14ac:dyDescent="0.3">
      <c r="A720" t="str">
        <f>"20200111153843979"</f>
        <v>20200111153843979</v>
      </c>
      <c r="B720" t="str">
        <f>"1578728323970962"</f>
        <v>1578728323970962</v>
      </c>
      <c r="C720" t="s">
        <v>40</v>
      </c>
      <c r="D720">
        <v>5.4295080000000002</v>
      </c>
      <c r="E720">
        <v>0.59791569999999905</v>
      </c>
      <c r="F720" t="s">
        <v>42</v>
      </c>
      <c r="G720">
        <v>-215.7337</v>
      </c>
      <c r="H720" s="1">
        <v>-2.727487E-6</v>
      </c>
      <c r="I720">
        <v>364.76979999999998</v>
      </c>
      <c r="J720">
        <v>-224.30930000000001</v>
      </c>
      <c r="K720">
        <v>1.1050990000000001</v>
      </c>
      <c r="L720">
        <v>367.74369999999999</v>
      </c>
      <c r="M720">
        <v>0.9989905</v>
      </c>
      <c r="N720">
        <v>0</v>
      </c>
      <c r="O720">
        <v>4.24579E-2</v>
      </c>
      <c r="P720">
        <v>0.99746970000000001</v>
      </c>
      <c r="Q720">
        <v>1.486577E-2</v>
      </c>
      <c r="R720">
        <v>-6.9522340000000002E-2</v>
      </c>
      <c r="S720">
        <v>2.943314</v>
      </c>
      <c r="T720">
        <v>-0.36443209999999998</v>
      </c>
      <c r="U720">
        <v>-0.97555539999999996</v>
      </c>
      <c r="V720">
        <v>0.1117805</v>
      </c>
      <c r="W720">
        <v>2.9578960000000001E-2</v>
      </c>
      <c r="X720">
        <v>0.99329259999999997</v>
      </c>
      <c r="Y720">
        <v>0.35191519999999998</v>
      </c>
      <c r="Z720">
        <v>-2.625446E-2</v>
      </c>
      <c r="AA720">
        <v>0.93566360000000004</v>
      </c>
      <c r="AB720">
        <v>36</v>
      </c>
      <c r="AC720">
        <v>8.5755999999999997</v>
      </c>
      <c r="AD720">
        <v>-1.1051017274869901</v>
      </c>
      <c r="AE720">
        <v>-2.9739000000000102</v>
      </c>
      <c r="AF720">
        <v>3.28663877715432</v>
      </c>
      <c r="AG720">
        <v>-1.1051017274869901</v>
      </c>
      <c r="AH720">
        <v>8.3182785996058097</v>
      </c>
      <c r="AI720">
        <v>97.043619165453293</v>
      </c>
      <c r="AJ720">
        <v>68.440506220622595</v>
      </c>
      <c r="AK720">
        <v>9.01204766633251</v>
      </c>
      <c r="AL720">
        <v>88.305003191996207</v>
      </c>
      <c r="AM720">
        <v>83.579214916725505</v>
      </c>
      <c r="AN720">
        <v>0.99999999213484503</v>
      </c>
    </row>
    <row r="721" spans="1:40" x14ac:dyDescent="0.3">
      <c r="A721" t="str">
        <f>"20200111153844012"</f>
        <v>20200111153844012</v>
      </c>
      <c r="B721" t="str">
        <f>"1578728324001215"</f>
        <v>1578728324001215</v>
      </c>
      <c r="C721" t="s">
        <v>40</v>
      </c>
      <c r="D721">
        <v>5.3731809999999998</v>
      </c>
      <c r="E721">
        <v>0.59876719999999894</v>
      </c>
      <c r="F721" t="s">
        <v>42</v>
      </c>
      <c r="G721">
        <v>-215.32320000000001</v>
      </c>
      <c r="H721" s="1">
        <v>-2.8698929999999998E-6</v>
      </c>
      <c r="I721">
        <v>364.75959999999998</v>
      </c>
      <c r="J721">
        <v>-223.78139999999999</v>
      </c>
      <c r="K721">
        <v>1.1047979999999999</v>
      </c>
      <c r="L721">
        <v>367.76620000000003</v>
      </c>
      <c r="M721">
        <v>0.99899800000000005</v>
      </c>
      <c r="N721">
        <v>0</v>
      </c>
      <c r="O721">
        <v>4.2304580000000001E-2</v>
      </c>
      <c r="P721">
        <v>0.99737039999999999</v>
      </c>
      <c r="Q721">
        <v>1.639734E-2</v>
      </c>
      <c r="R721">
        <v>-7.0597289999999993E-2</v>
      </c>
      <c r="S721">
        <v>2.944855</v>
      </c>
      <c r="T721">
        <v>-0.36215000000000003</v>
      </c>
      <c r="U721">
        <v>-0.97790529999999998</v>
      </c>
      <c r="V721">
        <v>0.1127181</v>
      </c>
      <c r="W721">
        <v>3.0962110000000001E-2</v>
      </c>
      <c r="X721">
        <v>0.99314449999999999</v>
      </c>
      <c r="Y721">
        <v>0.35233350000000002</v>
      </c>
      <c r="Z721">
        <v>-2.6081779999999999E-2</v>
      </c>
      <c r="AA721">
        <v>0.93551099999999998</v>
      </c>
      <c r="AB721">
        <v>36</v>
      </c>
      <c r="AC721">
        <v>8.4581999999999695</v>
      </c>
      <c r="AD721">
        <v>-1.1048008698930001</v>
      </c>
      <c r="AE721">
        <v>-3.0066000000000401</v>
      </c>
      <c r="AF721">
        <v>3.31160455444705</v>
      </c>
      <c r="AG721">
        <v>-1.1048008698930001</v>
      </c>
      <c r="AH721">
        <v>8.1992232942727199</v>
      </c>
      <c r="AI721">
        <v>97.121563723601497</v>
      </c>
      <c r="AJ721">
        <v>68.006588474551805</v>
      </c>
      <c r="AK721">
        <v>8.9114854158268795</v>
      </c>
      <c r="AL721">
        <v>88.225718226531001</v>
      </c>
      <c r="AM721">
        <v>83.524856361800502</v>
      </c>
      <c r="AN721">
        <v>1.0000000101017501</v>
      </c>
    </row>
    <row r="722" spans="1:40" x14ac:dyDescent="0.3">
      <c r="A722" t="str">
        <f>"20200111153844034"</f>
        <v>20200111153844034</v>
      </c>
      <c r="B722" t="str">
        <f>"1578728324031472"</f>
        <v>1578728324031472</v>
      </c>
      <c r="C722" t="s">
        <v>40</v>
      </c>
      <c r="D722">
        <v>5.4322520000000001</v>
      </c>
      <c r="E722">
        <v>0.61428899999999997</v>
      </c>
      <c r="F722" t="s">
        <v>42</v>
      </c>
      <c r="G722">
        <v>-214.6867</v>
      </c>
      <c r="H722" s="1">
        <v>-3.1313399999999998E-6</v>
      </c>
      <c r="I722">
        <v>364.71390000000002</v>
      </c>
      <c r="J722">
        <v>-223.4297</v>
      </c>
      <c r="K722">
        <v>1.1045670000000001</v>
      </c>
      <c r="L722">
        <v>367.78089999999997</v>
      </c>
      <c r="M722">
        <v>0.99901709999999999</v>
      </c>
      <c r="N722">
        <v>0</v>
      </c>
      <c r="O722">
        <v>4.1863230000000001E-2</v>
      </c>
      <c r="P722">
        <v>0.99714250000000004</v>
      </c>
      <c r="Q722">
        <v>1.597877E-2</v>
      </c>
      <c r="R722">
        <v>-7.3832610000000007E-2</v>
      </c>
      <c r="S722">
        <v>2.9438930000000001</v>
      </c>
      <c r="T722">
        <v>-0.35761459999999901</v>
      </c>
      <c r="U722">
        <v>-0.98800659999999896</v>
      </c>
      <c r="V722">
        <v>0.11551930000000001</v>
      </c>
      <c r="W722">
        <v>3.0436410000000001E-2</v>
      </c>
      <c r="X722">
        <v>0.99283880000000002</v>
      </c>
      <c r="Y722">
        <v>0.3549525</v>
      </c>
      <c r="Z722">
        <v>-2.585403E-2</v>
      </c>
      <c r="AA722">
        <v>0.93452679999999999</v>
      </c>
      <c r="AB722">
        <v>36</v>
      </c>
      <c r="AC722">
        <v>8.7429999999999897</v>
      </c>
      <c r="AD722">
        <v>-1.10457013134</v>
      </c>
      <c r="AE722">
        <v>-3.06699999999995</v>
      </c>
      <c r="AF722">
        <v>3.3822897695121301</v>
      </c>
      <c r="AG722">
        <v>-1.10457013134</v>
      </c>
      <c r="AH722">
        <v>8.4863157596707897</v>
      </c>
      <c r="AI722">
        <v>96.894144030347405</v>
      </c>
      <c r="AJ722">
        <v>68.269846221076904</v>
      </c>
      <c r="AK722">
        <v>9.2020386020072493</v>
      </c>
      <c r="AL722">
        <v>88.255852774466604</v>
      </c>
      <c r="AM722">
        <v>83.363332964567107</v>
      </c>
      <c r="AN722">
        <v>0.99999998325580897</v>
      </c>
    </row>
    <row r="723" spans="1:40" x14ac:dyDescent="0.3">
      <c r="A723" t="str">
        <f>"20200111153844058"</f>
        <v>20200111153844058</v>
      </c>
      <c r="B723" t="str">
        <f>"1578728324050991"</f>
        <v>1578728324050991</v>
      </c>
      <c r="C723" t="s">
        <v>40</v>
      </c>
      <c r="D723">
        <v>5.3429779999999996</v>
      </c>
      <c r="E723">
        <v>0.61462910000000004</v>
      </c>
      <c r="F723" t="s">
        <v>42</v>
      </c>
      <c r="G723">
        <v>-214.83109999999999</v>
      </c>
      <c r="H723" s="1">
        <v>-3.1085130000000001E-6</v>
      </c>
      <c r="I723">
        <v>364.49329999999998</v>
      </c>
      <c r="J723">
        <v>-223.05779999999999</v>
      </c>
      <c r="K723">
        <v>1.104274</v>
      </c>
      <c r="L723">
        <v>367.79579999999999</v>
      </c>
      <c r="M723">
        <v>0.99905319999999997</v>
      </c>
      <c r="N723">
        <v>0</v>
      </c>
      <c r="O723">
        <v>4.1008929999999999E-2</v>
      </c>
      <c r="P723">
        <v>0.99688330000000003</v>
      </c>
      <c r="Q723">
        <v>1.5199209999999999E-2</v>
      </c>
      <c r="R723">
        <v>-7.7415330000000004E-2</v>
      </c>
      <c r="S723">
        <v>2.9316409999999999</v>
      </c>
      <c r="T723">
        <v>-0.37659589999999998</v>
      </c>
      <c r="U723">
        <v>-1.1208800000000001</v>
      </c>
      <c r="V723">
        <v>0.118260199999999</v>
      </c>
      <c r="W723">
        <v>2.952892E-2</v>
      </c>
      <c r="X723">
        <v>0.99254350000000002</v>
      </c>
      <c r="Y723">
        <v>0.39201599999999998</v>
      </c>
      <c r="Z723">
        <v>-2.930924E-2</v>
      </c>
      <c r="AA723">
        <v>0.91949139999999996</v>
      </c>
      <c r="AB723">
        <v>36</v>
      </c>
      <c r="AC723">
        <v>8.2266999999999904</v>
      </c>
      <c r="AD723">
        <v>-1.1042771085130001</v>
      </c>
      <c r="AE723">
        <v>-3.3025000000000002</v>
      </c>
      <c r="AF723">
        <v>3.5815490987633201</v>
      </c>
      <c r="AG723">
        <v>-1.1042771085130001</v>
      </c>
      <c r="AH723">
        <v>7.9608017099014496</v>
      </c>
      <c r="AI723">
        <v>97.209700382470103</v>
      </c>
      <c r="AJ723">
        <v>65.777112902021997</v>
      </c>
      <c r="AK723">
        <v>8.7989366257297306</v>
      </c>
      <c r="AL723">
        <v>88.307871565649293</v>
      </c>
      <c r="AM723">
        <v>83.205318768039504</v>
      </c>
      <c r="AN723">
        <v>1.00000001570632</v>
      </c>
    </row>
    <row r="724" spans="1:40" x14ac:dyDescent="0.3">
      <c r="A724" t="str">
        <f>"20200111153844080"</f>
        <v>20200111153844080</v>
      </c>
      <c r="B724" t="str">
        <f>"1578728324071487"</f>
        <v>1578728324071487</v>
      </c>
      <c r="C724" t="s">
        <v>40</v>
      </c>
      <c r="D724">
        <v>5.4073440000000002</v>
      </c>
      <c r="E724">
        <v>0.61361619999999995</v>
      </c>
      <c r="F724" t="s">
        <v>42</v>
      </c>
      <c r="G724">
        <v>-214.76140000000001</v>
      </c>
      <c r="H724" s="1">
        <v>-3.1226169999999998E-6</v>
      </c>
      <c r="I724">
        <v>364.58249999999998</v>
      </c>
      <c r="J724">
        <v>-222.7124</v>
      </c>
      <c r="K724">
        <v>1.1039600000000001</v>
      </c>
      <c r="L724">
        <v>367.8091</v>
      </c>
      <c r="M724">
        <v>0.99909939999999997</v>
      </c>
      <c r="N724">
        <v>0</v>
      </c>
      <c r="O724">
        <v>3.9879940000000003E-2</v>
      </c>
      <c r="P724">
        <v>0.9966429</v>
      </c>
      <c r="Q724">
        <v>1.8047509999999999E-2</v>
      </c>
      <c r="R724">
        <v>-7.9858990000000005E-2</v>
      </c>
      <c r="S724">
        <v>2.9272770000000001</v>
      </c>
      <c r="T724">
        <v>-0.38962429999999998</v>
      </c>
      <c r="U724">
        <v>-1.133759</v>
      </c>
      <c r="V724">
        <v>0.1195976</v>
      </c>
      <c r="W724">
        <v>3.2251790000000002E-2</v>
      </c>
      <c r="X724">
        <v>0.99229849999999997</v>
      </c>
      <c r="Y724">
        <v>0.39472259999999998</v>
      </c>
      <c r="Z724">
        <v>-3.0362699999999999E-2</v>
      </c>
      <c r="AA724">
        <v>0.91829850000000002</v>
      </c>
      <c r="AB724">
        <v>36</v>
      </c>
      <c r="AC724">
        <v>7.9509999999999899</v>
      </c>
      <c r="AD724">
        <v>-1.1039631226169999</v>
      </c>
      <c r="AE724">
        <v>-3.2266000000000101</v>
      </c>
      <c r="AF724">
        <v>3.4834915566397799</v>
      </c>
      <c r="AG724">
        <v>-1.1039631226169999</v>
      </c>
      <c r="AH724">
        <v>7.6887174488026897</v>
      </c>
      <c r="AI724">
        <v>97.451152229180195</v>
      </c>
      <c r="AJ724">
        <v>65.626366363356098</v>
      </c>
      <c r="AK724">
        <v>8.5129210033220595</v>
      </c>
      <c r="AL724">
        <v>88.151788116388303</v>
      </c>
      <c r="AM724">
        <v>83.127528298131494</v>
      </c>
      <c r="AN724">
        <v>1.0000000384931</v>
      </c>
    </row>
    <row r="725" spans="1:40" x14ac:dyDescent="0.3">
      <c r="A725" t="str">
        <f>"20200111153844101"</f>
        <v>20200111153844101</v>
      </c>
      <c r="B725" t="str">
        <f>"1578728324091008"</f>
        <v>1578728324091008</v>
      </c>
      <c r="C725" t="s">
        <v>40</v>
      </c>
      <c r="D725">
        <v>5.4493429999999998</v>
      </c>
      <c r="E725">
        <v>0.58417259999999904</v>
      </c>
      <c r="F725" t="s">
        <v>42</v>
      </c>
      <c r="G725">
        <v>-214.20689999999999</v>
      </c>
      <c r="H725" s="1">
        <v>-3.372426E-6</v>
      </c>
      <c r="I725">
        <v>364.51510000000002</v>
      </c>
      <c r="J725">
        <v>-222.3647</v>
      </c>
      <c r="K725">
        <v>1.1036539999999999</v>
      </c>
      <c r="L725">
        <v>367.82170000000002</v>
      </c>
      <c r="M725">
        <v>0.99915620000000005</v>
      </c>
      <c r="N725">
        <v>0</v>
      </c>
      <c r="O725">
        <v>3.8438720000000003E-2</v>
      </c>
      <c r="P725">
        <v>0.99659699999999996</v>
      </c>
      <c r="Q725">
        <v>2.327448E-2</v>
      </c>
      <c r="R725">
        <v>-7.9076729999999998E-2</v>
      </c>
      <c r="S725">
        <v>2.9261629999999998</v>
      </c>
      <c r="T725">
        <v>-0.37979560000000001</v>
      </c>
      <c r="U725">
        <v>-1.13324</v>
      </c>
      <c r="V725">
        <v>0.1174192</v>
      </c>
      <c r="W725">
        <v>3.7368480000000003E-2</v>
      </c>
      <c r="X725">
        <v>0.99237909999999996</v>
      </c>
      <c r="Y725">
        <v>0.39355830000000003</v>
      </c>
      <c r="Z725">
        <v>-2.9360839999999999E-2</v>
      </c>
      <c r="AA725">
        <v>0.9188307</v>
      </c>
      <c r="AB725">
        <v>36</v>
      </c>
      <c r="AC725">
        <v>8.1577999999999999</v>
      </c>
      <c r="AD725">
        <v>-1.1036573724259999</v>
      </c>
      <c r="AE725">
        <v>-3.3066</v>
      </c>
      <c r="AF725">
        <v>3.5617719269640502</v>
      </c>
      <c r="AG725">
        <v>-1.1036573724259999</v>
      </c>
      <c r="AH725">
        <v>7.9004575714295102</v>
      </c>
      <c r="AI725">
        <v>97.257640317715399</v>
      </c>
      <c r="AJ725">
        <v>65.732667701953403</v>
      </c>
      <c r="AK725">
        <v>8.73621821461537</v>
      </c>
      <c r="AL725">
        <v>87.858445145854503</v>
      </c>
      <c r="AM725">
        <v>83.252084326143404</v>
      </c>
      <c r="AN725">
        <v>0.99999997497147897</v>
      </c>
    </row>
    <row r="726" spans="1:40" x14ac:dyDescent="0.3">
      <c r="A726" t="str">
        <f>"20200111153844126"</f>
        <v>20200111153844126</v>
      </c>
      <c r="B726" t="str">
        <f>"1578728324121264"</f>
        <v>1578728324121264</v>
      </c>
      <c r="C726" t="s">
        <v>40</v>
      </c>
      <c r="D726">
        <v>5.3786930000000002</v>
      </c>
      <c r="E726">
        <v>0.58806709999999995</v>
      </c>
      <c r="F726" t="s">
        <v>42</v>
      </c>
      <c r="G726">
        <v>-213.25569999999999</v>
      </c>
      <c r="H726" s="1">
        <v>-3.6861900000000001E-6</v>
      </c>
      <c r="I726">
        <v>365.04669999999999</v>
      </c>
      <c r="J726">
        <v>-221.98429999999999</v>
      </c>
      <c r="K726">
        <v>1.1033040000000001</v>
      </c>
      <c r="L726">
        <v>367.83460000000002</v>
      </c>
      <c r="M726">
        <v>0.99923059999999997</v>
      </c>
      <c r="N726">
        <v>0</v>
      </c>
      <c r="O726">
        <v>3.6461060000000003E-2</v>
      </c>
      <c r="P726">
        <v>0.99659540000000002</v>
      </c>
      <c r="Q726">
        <v>2.5069480000000002E-2</v>
      </c>
      <c r="R726">
        <v>-7.8544009999999997E-2</v>
      </c>
      <c r="S726">
        <v>2.9473419999999999</v>
      </c>
      <c r="T726">
        <v>-0.3571029</v>
      </c>
      <c r="U726">
        <v>-0.89788819999999903</v>
      </c>
      <c r="V726">
        <v>0.11495900000000001</v>
      </c>
      <c r="W726">
        <v>3.9051919999999997E-2</v>
      </c>
      <c r="X726">
        <v>0.99260230000000005</v>
      </c>
      <c r="Y726">
        <v>0.32369100000000001</v>
      </c>
      <c r="Z726">
        <v>-2.3419470000000001E-2</v>
      </c>
      <c r="AA726">
        <v>0.94587299999999996</v>
      </c>
      <c r="AB726">
        <v>35</v>
      </c>
      <c r="AC726">
        <v>8.7286000000000001</v>
      </c>
      <c r="AD726">
        <v>-1.10330768619</v>
      </c>
      <c r="AE726">
        <v>-2.7879000000000298</v>
      </c>
      <c r="AF726">
        <v>3.0599688205279798</v>
      </c>
      <c r="AG726">
        <v>-1.10330768619</v>
      </c>
      <c r="AH726">
        <v>8.4979291573184206</v>
      </c>
      <c r="AI726">
        <v>96.964435047394403</v>
      </c>
      <c r="AJ726">
        <v>70.196860124691398</v>
      </c>
      <c r="AK726">
        <v>9.0992030967448994</v>
      </c>
      <c r="AL726">
        <v>87.761920635528597</v>
      </c>
      <c r="AM726">
        <v>83.393677754432701</v>
      </c>
      <c r="AN726">
        <v>0.99999997505098803</v>
      </c>
    </row>
    <row r="727" spans="1:40" x14ac:dyDescent="0.3">
      <c r="A727" t="str">
        <f>"20200111153844146"</f>
        <v>20200111153844146</v>
      </c>
      <c r="B727" t="str">
        <f>"1578728324140786"</f>
        <v>1578728324140786</v>
      </c>
      <c r="C727" t="s">
        <v>40</v>
      </c>
      <c r="D727">
        <v>5.3369350000000004</v>
      </c>
      <c r="E727">
        <v>0.59024430000000006</v>
      </c>
      <c r="F727" t="s">
        <v>42</v>
      </c>
      <c r="G727">
        <v>-212.488</v>
      </c>
      <c r="H727" s="1">
        <v>-4.0518769999999997E-6</v>
      </c>
      <c r="I727">
        <v>364.84179999999998</v>
      </c>
      <c r="J727">
        <v>-221.6533</v>
      </c>
      <c r="K727">
        <v>1.102967</v>
      </c>
      <c r="L727">
        <v>367.84480000000002</v>
      </c>
      <c r="M727">
        <v>0.99930529999999995</v>
      </c>
      <c r="N727">
        <v>0</v>
      </c>
      <c r="O727">
        <v>3.435937E-2</v>
      </c>
      <c r="P727">
        <v>0.99662669999999998</v>
      </c>
      <c r="Q727">
        <v>2.1857660000000001E-2</v>
      </c>
      <c r="R727">
        <v>-7.9106419999999997E-2</v>
      </c>
      <c r="S727">
        <v>2.9456790000000002</v>
      </c>
      <c r="T727">
        <v>-0.34223500000000001</v>
      </c>
      <c r="U727">
        <v>-0.92831419999999998</v>
      </c>
      <c r="V727">
        <v>0.1134501</v>
      </c>
      <c r="W727">
        <v>3.5745939999999997E-2</v>
      </c>
      <c r="X727">
        <v>0.99290040000000002</v>
      </c>
      <c r="Y727">
        <v>0.33092650000000001</v>
      </c>
      <c r="Z727">
        <v>-2.2600519999999999E-2</v>
      </c>
      <c r="AA727">
        <v>0.94338580000000005</v>
      </c>
      <c r="AB727">
        <v>35</v>
      </c>
      <c r="AC727">
        <v>9.1653000000000002</v>
      </c>
      <c r="AD727">
        <v>-1.102971051877</v>
      </c>
      <c r="AE727">
        <v>-3.0030000000000401</v>
      </c>
      <c r="AF727">
        <v>3.2733634807235599</v>
      </c>
      <c r="AG727">
        <v>-1.102971051877</v>
      </c>
      <c r="AH727">
        <v>8.9397788637655005</v>
      </c>
      <c r="AI727">
        <v>96.608576834307598</v>
      </c>
      <c r="AJ727">
        <v>69.889436899764306</v>
      </c>
      <c r="AK727">
        <v>9.5838979414036807</v>
      </c>
      <c r="AL727">
        <v>87.951471985857793</v>
      </c>
      <c r="AM727">
        <v>83.481578510142199</v>
      </c>
      <c r="AN727">
        <v>0.99999995086832505</v>
      </c>
    </row>
    <row r="728" spans="1:40" x14ac:dyDescent="0.3">
      <c r="A728" t="str">
        <f>"20200111153844169"</f>
        <v>20200111153844169</v>
      </c>
      <c r="B728" t="str">
        <f>"1578728324161279"</f>
        <v>1578728324161279</v>
      </c>
      <c r="C728" t="s">
        <v>40</v>
      </c>
      <c r="D728">
        <v>5.353154</v>
      </c>
      <c r="E728">
        <v>0.59188649999999998</v>
      </c>
      <c r="F728" t="s">
        <v>42</v>
      </c>
      <c r="G728">
        <v>-212.43039999999999</v>
      </c>
      <c r="H728" s="1">
        <v>-4.0707120000000002E-6</v>
      </c>
      <c r="I728">
        <v>364.87509999999997</v>
      </c>
      <c r="J728">
        <v>-221.2878</v>
      </c>
      <c r="K728">
        <v>1.1025720000000001</v>
      </c>
      <c r="L728">
        <v>367.85489999999999</v>
      </c>
      <c r="M728">
        <v>0.99939639999999996</v>
      </c>
      <c r="N728">
        <v>0</v>
      </c>
      <c r="O728">
        <v>3.1608259999999999E-2</v>
      </c>
      <c r="P728">
        <v>0.99659200000000003</v>
      </c>
      <c r="Q728">
        <v>1.718006E-2</v>
      </c>
      <c r="R728">
        <v>-8.0681909999999996E-2</v>
      </c>
      <c r="S728">
        <v>2.9426730000000001</v>
      </c>
      <c r="T728">
        <v>-0.3519118</v>
      </c>
      <c r="U728">
        <v>-0.94750979999999996</v>
      </c>
      <c r="V728">
        <v>0.1122977</v>
      </c>
      <c r="W728">
        <v>3.0956399999999999E-2</v>
      </c>
      <c r="X728">
        <v>0.99319230000000003</v>
      </c>
      <c r="Y728">
        <v>0.33406249999999998</v>
      </c>
      <c r="Z728">
        <v>-2.3097469999999998E-2</v>
      </c>
      <c r="AA728">
        <v>0.94226790000000005</v>
      </c>
      <c r="AB728">
        <v>35</v>
      </c>
      <c r="AC728">
        <v>8.8574000000000108</v>
      </c>
      <c r="AD728">
        <v>-1.10257607071199</v>
      </c>
      <c r="AE728">
        <v>-2.9798000000000102</v>
      </c>
      <c r="AF728">
        <v>3.2135738455404299</v>
      </c>
      <c r="AG728">
        <v>-1.10257607071199</v>
      </c>
      <c r="AH728">
        <v>8.6385287224704896</v>
      </c>
      <c r="AI728">
        <v>96.821618986355006</v>
      </c>
      <c r="AJ728">
        <v>69.594559143558698</v>
      </c>
      <c r="AK728">
        <v>9.2826132819048208</v>
      </c>
      <c r="AL728">
        <v>88.226045539402193</v>
      </c>
      <c r="AM728">
        <v>83.549110330561504</v>
      </c>
      <c r="AN728">
        <v>1.00000000845277</v>
      </c>
    </row>
    <row r="729" spans="1:40" x14ac:dyDescent="0.3">
      <c r="A729" t="str">
        <f>"20200111153844190"</f>
        <v>20200111153844190</v>
      </c>
      <c r="B729" t="str">
        <f>"1578728324180800"</f>
        <v>1578728324180800</v>
      </c>
      <c r="C729" t="s">
        <v>40</v>
      </c>
      <c r="D729">
        <v>5.3336519999999998</v>
      </c>
      <c r="E729">
        <v>0.59346829999999995</v>
      </c>
      <c r="F729" t="s">
        <v>42</v>
      </c>
      <c r="G729">
        <v>-212.54650000000001</v>
      </c>
      <c r="H729" s="1">
        <v>-4.0015170000000004E-6</v>
      </c>
      <c r="I729">
        <v>364.98430000000002</v>
      </c>
      <c r="J729">
        <v>-220.94880000000001</v>
      </c>
      <c r="K729">
        <v>1.102195</v>
      </c>
      <c r="L729">
        <v>367.86290000000002</v>
      </c>
      <c r="M729">
        <v>0.99948590000000004</v>
      </c>
      <c r="N729">
        <v>0</v>
      </c>
      <c r="O729">
        <v>2.8650249999999999E-2</v>
      </c>
      <c r="P729">
        <v>0.99647459999999999</v>
      </c>
      <c r="Q729">
        <v>1.50606E-2</v>
      </c>
      <c r="R729">
        <v>-8.2533239999999994E-2</v>
      </c>
      <c r="S729">
        <v>2.9385379999999999</v>
      </c>
      <c r="T729">
        <v>-0.37064520000000001</v>
      </c>
      <c r="U729">
        <v>-0.96496579999999998</v>
      </c>
      <c r="V729">
        <v>0.1112186</v>
      </c>
      <c r="W729">
        <v>2.8726270000000002E-2</v>
      </c>
      <c r="X729">
        <v>0.99338070000000001</v>
      </c>
      <c r="Y729">
        <v>0.3364682</v>
      </c>
      <c r="Z729">
        <v>-2.4113430000000002E-2</v>
      </c>
      <c r="AA729">
        <v>0.94138599999999995</v>
      </c>
      <c r="AB729">
        <v>35</v>
      </c>
      <c r="AC729">
        <v>8.4022999999999897</v>
      </c>
      <c r="AD729">
        <v>-1.102199001517</v>
      </c>
      <c r="AE729">
        <v>-2.8786</v>
      </c>
      <c r="AF729">
        <v>3.0708789323454999</v>
      </c>
      <c r="AG729">
        <v>-1.102199001517</v>
      </c>
      <c r="AH729">
        <v>8.19023786192448</v>
      </c>
      <c r="AI729">
        <v>97.181906976449</v>
      </c>
      <c r="AJ729">
        <v>69.446777709920894</v>
      </c>
      <c r="AK729">
        <v>8.8161860399477607</v>
      </c>
      <c r="AL729">
        <v>88.353879511190797</v>
      </c>
      <c r="AM729">
        <v>83.611785403719296</v>
      </c>
      <c r="AN729">
        <v>0.99999999535328099</v>
      </c>
    </row>
    <row r="730" spans="1:40" x14ac:dyDescent="0.3">
      <c r="A730" t="str">
        <f>"20200111153844213"</f>
        <v>20200111153844213</v>
      </c>
      <c r="B730" t="str">
        <f>"1578728324201296"</f>
        <v>1578728324201296</v>
      </c>
      <c r="C730" t="s">
        <v>40</v>
      </c>
      <c r="D730">
        <v>5.3503869999999996</v>
      </c>
      <c r="E730">
        <v>0.594840699999999</v>
      </c>
      <c r="F730" t="s">
        <v>42</v>
      </c>
      <c r="G730">
        <v>-212.4837</v>
      </c>
      <c r="H730" s="1">
        <v>-4.0204469999999999E-6</v>
      </c>
      <c r="I730">
        <v>365.02940000000001</v>
      </c>
      <c r="J730">
        <v>-220.59469999999999</v>
      </c>
      <c r="K730">
        <v>1.1018019999999999</v>
      </c>
      <c r="L730">
        <v>367.86989999999997</v>
      </c>
      <c r="M730">
        <v>0.99957980000000002</v>
      </c>
      <c r="N730">
        <v>0</v>
      </c>
      <c r="O730">
        <v>2.5167620000000002E-2</v>
      </c>
      <c r="P730">
        <v>0.99624380000000001</v>
      </c>
      <c r="Q730">
        <v>1.427818E-2</v>
      </c>
      <c r="R730">
        <v>-8.5407360000000002E-2</v>
      </c>
      <c r="S730">
        <v>2.935028</v>
      </c>
      <c r="T730">
        <v>-0.38215450000000001</v>
      </c>
      <c r="U730">
        <v>-0.9824524</v>
      </c>
      <c r="V730">
        <v>0.1106441</v>
      </c>
      <c r="W730">
        <v>2.78254E-2</v>
      </c>
      <c r="X730">
        <v>0.99347050000000003</v>
      </c>
      <c r="Y730">
        <v>0.33842369999999999</v>
      </c>
      <c r="Z730">
        <v>-2.4544980000000001E-2</v>
      </c>
      <c r="AA730">
        <v>0.9406736</v>
      </c>
      <c r="AB730">
        <v>35</v>
      </c>
      <c r="AC730">
        <v>8.11099999999999</v>
      </c>
      <c r="AD730">
        <v>-1.1018060204469999</v>
      </c>
      <c r="AE730">
        <v>-2.8404999999999601</v>
      </c>
      <c r="AF730">
        <v>2.99453486751682</v>
      </c>
      <c r="AG730">
        <v>-1.1018060204469999</v>
      </c>
      <c r="AH730">
        <v>7.9069681746406504</v>
      </c>
      <c r="AI730">
        <v>97.424592490467603</v>
      </c>
      <c r="AJ730">
        <v>69.257271027983904</v>
      </c>
      <c r="AK730">
        <v>8.5265093264622198</v>
      </c>
      <c r="AL730">
        <v>88.405516219255702</v>
      </c>
      <c r="AM730">
        <v>83.645082813724102</v>
      </c>
      <c r="AN730">
        <v>1.0000000020601101</v>
      </c>
    </row>
    <row r="731" spans="1:40" x14ac:dyDescent="0.3">
      <c r="A731" t="str">
        <f>"20200111153844236"</f>
        <v>20200111153844236</v>
      </c>
      <c r="B731" t="str">
        <f>"1578728324231552"</f>
        <v>1578728324231552</v>
      </c>
      <c r="C731" t="s">
        <v>40</v>
      </c>
      <c r="D731">
        <v>5.3300229999999997</v>
      </c>
      <c r="E731">
        <v>0.59614719999999999</v>
      </c>
      <c r="F731" t="s">
        <v>42</v>
      </c>
      <c r="G731">
        <v>-212.27070000000001</v>
      </c>
      <c r="H731" s="1">
        <v>-4.1127240000000003E-6</v>
      </c>
      <c r="I731">
        <v>365.02440000000001</v>
      </c>
      <c r="J731">
        <v>-220.2364</v>
      </c>
      <c r="K731">
        <v>1.1014219999999999</v>
      </c>
      <c r="L731">
        <v>367.87529999999998</v>
      </c>
      <c r="M731">
        <v>0.99967139999999999</v>
      </c>
      <c r="N731">
        <v>0</v>
      </c>
      <c r="O731">
        <v>2.123997E-2</v>
      </c>
      <c r="P731">
        <v>0.99583290000000002</v>
      </c>
      <c r="Q731">
        <v>1.27435E-2</v>
      </c>
      <c r="R731">
        <v>-9.0302779999999999E-2</v>
      </c>
      <c r="S731">
        <v>2.9309539999999998</v>
      </c>
      <c r="T731">
        <v>-0.38795299999999999</v>
      </c>
      <c r="U731">
        <v>-1.0019229999999999</v>
      </c>
      <c r="V731">
        <v>0.11163729999999999</v>
      </c>
      <c r="W731">
        <v>2.615994E-2</v>
      </c>
      <c r="X731">
        <v>0.99340459999999997</v>
      </c>
      <c r="Y731">
        <v>0.34065899999999999</v>
      </c>
      <c r="Z731">
        <v>-2.4560439999999999E-2</v>
      </c>
      <c r="AA731">
        <v>0.93986610000000004</v>
      </c>
      <c r="AB731">
        <v>35</v>
      </c>
      <c r="AC731">
        <v>7.9656999999999902</v>
      </c>
      <c r="AD731">
        <v>-1.1014261127239999</v>
      </c>
      <c r="AE731">
        <v>-2.8508999999999598</v>
      </c>
      <c r="AF731">
        <v>2.9691442575020099</v>
      </c>
      <c r="AG731">
        <v>-1.1014261127239999</v>
      </c>
      <c r="AH731">
        <v>7.7716296082865801</v>
      </c>
      <c r="AI731">
        <v>97.54158463489</v>
      </c>
      <c r="AJ731">
        <v>69.090687135899501</v>
      </c>
      <c r="AK731">
        <v>8.3920905543281705</v>
      </c>
      <c r="AL731">
        <v>88.500974784500897</v>
      </c>
      <c r="AM731">
        <v>83.588088868322401</v>
      </c>
      <c r="AN731">
        <v>0.99999996425662596</v>
      </c>
    </row>
    <row r="732" spans="1:40" x14ac:dyDescent="0.3">
      <c r="A732" t="str">
        <f>"20200111153844258"</f>
        <v>20200111153844258</v>
      </c>
      <c r="B732" t="str">
        <f>"1578728324251074"</f>
        <v>1578728324251074</v>
      </c>
      <c r="C732" t="s">
        <v>40</v>
      </c>
      <c r="D732">
        <v>5.3627710000000004</v>
      </c>
      <c r="E732">
        <v>0.60956730000000003</v>
      </c>
      <c r="F732" t="s">
        <v>42</v>
      </c>
      <c r="G732">
        <v>-212.01840000000001</v>
      </c>
      <c r="H732" s="1">
        <v>-4.226765E-6</v>
      </c>
      <c r="I732">
        <v>364.99149999999997</v>
      </c>
      <c r="J732">
        <v>-219.87610000000001</v>
      </c>
      <c r="K732">
        <v>1.101073</v>
      </c>
      <c r="L732">
        <v>367.87880000000001</v>
      </c>
      <c r="M732">
        <v>0.99975429999999998</v>
      </c>
      <c r="N732">
        <v>0</v>
      </c>
      <c r="O732">
        <v>1.691664E-2</v>
      </c>
      <c r="P732">
        <v>0.99521170000000003</v>
      </c>
      <c r="Q732">
        <v>1.091721E-2</v>
      </c>
      <c r="R732">
        <v>-9.7131739999999994E-2</v>
      </c>
      <c r="S732">
        <v>2.924515</v>
      </c>
      <c r="T732">
        <v>-0.39195970000000002</v>
      </c>
      <c r="U732">
        <v>-1.0262450000000001</v>
      </c>
      <c r="V732">
        <v>0.1141625</v>
      </c>
      <c r="W732">
        <v>2.4194090000000001E-2</v>
      </c>
      <c r="X732">
        <v>0.99316749999999998</v>
      </c>
      <c r="Y732">
        <v>0.34415269999999998</v>
      </c>
      <c r="Z732">
        <v>-2.4496070000000002E-2</v>
      </c>
      <c r="AA732">
        <v>0.93859409999999999</v>
      </c>
      <c r="AB732">
        <v>35</v>
      </c>
      <c r="AC732">
        <v>7.8576999999999897</v>
      </c>
      <c r="AD732">
        <v>-1.101077226765</v>
      </c>
      <c r="AE732">
        <v>-2.88730000000003</v>
      </c>
      <c r="AF732">
        <v>2.9684722152487599</v>
      </c>
      <c r="AG732">
        <v>-1.101077226765</v>
      </c>
      <c r="AH732">
        <v>7.6749515941924802</v>
      </c>
      <c r="AI732">
        <v>97.621151103499997</v>
      </c>
      <c r="AJ732">
        <v>68.854822339249296</v>
      </c>
      <c r="AK732">
        <v>8.3023539026713404</v>
      </c>
      <c r="AL732">
        <v>88.613645558702203</v>
      </c>
      <c r="AM732">
        <v>83.442750815984994</v>
      </c>
      <c r="AN732">
        <v>1.00000005672671</v>
      </c>
    </row>
    <row r="733" spans="1:40" x14ac:dyDescent="0.3">
      <c r="A733" t="str">
        <f>"20200111153844280"</f>
        <v>20200111153844280</v>
      </c>
      <c r="B733" t="str">
        <f>"1578728324271568"</f>
        <v>1578728324271568</v>
      </c>
      <c r="C733" t="s">
        <v>40</v>
      </c>
      <c r="D733">
        <v>5.3710050000000003</v>
      </c>
      <c r="E733">
        <v>0.60958400000000001</v>
      </c>
      <c r="F733" t="s">
        <v>42</v>
      </c>
      <c r="G733">
        <v>-211.58019999999999</v>
      </c>
      <c r="H733" s="1">
        <v>-4.4862619999999999E-6</v>
      </c>
      <c r="I733">
        <v>364.58839999999998</v>
      </c>
      <c r="J733">
        <v>-219.53139999999999</v>
      </c>
      <c r="K733">
        <v>1.100784</v>
      </c>
      <c r="L733">
        <v>367.88049999999998</v>
      </c>
      <c r="M733">
        <v>0.99981929999999997</v>
      </c>
      <c r="N733">
        <v>0</v>
      </c>
      <c r="O733">
        <v>1.251996E-2</v>
      </c>
      <c r="P733">
        <v>0.99439469999999996</v>
      </c>
      <c r="Q733">
        <v>9.3922410000000008E-3</v>
      </c>
      <c r="R733">
        <v>-0.10531500000000001</v>
      </c>
      <c r="S733">
        <v>2.906158</v>
      </c>
      <c r="T733">
        <v>-0.38572040000000002</v>
      </c>
      <c r="U733">
        <v>-1.152679</v>
      </c>
      <c r="V733">
        <v>0.1179669</v>
      </c>
      <c r="W733">
        <v>2.252943E-2</v>
      </c>
      <c r="X733">
        <v>0.99276189999999997</v>
      </c>
      <c r="Y733">
        <v>0.37734200000000001</v>
      </c>
      <c r="Z733">
        <v>-2.562857E-2</v>
      </c>
      <c r="AA733">
        <v>0.92571930000000002</v>
      </c>
      <c r="AB733">
        <v>35</v>
      </c>
      <c r="AC733">
        <v>7.9512</v>
      </c>
      <c r="AD733">
        <v>-1.1007884862620001</v>
      </c>
      <c r="AE733">
        <v>-3.2921</v>
      </c>
      <c r="AF733">
        <v>3.3368051908782999</v>
      </c>
      <c r="AG733">
        <v>-1.1007884862620001</v>
      </c>
      <c r="AH733">
        <v>7.7820287082255701</v>
      </c>
      <c r="AI733">
        <v>97.407222367535397</v>
      </c>
      <c r="AJ733">
        <v>66.791146909037593</v>
      </c>
      <c r="AK733">
        <v>8.5384995748085792</v>
      </c>
      <c r="AL733">
        <v>88.709049492198503</v>
      </c>
      <c r="AM733">
        <v>83.223490686876104</v>
      </c>
      <c r="AN733">
        <v>0.99999997740167201</v>
      </c>
    </row>
    <row r="734" spans="1:40" x14ac:dyDescent="0.3">
      <c r="A734" t="str">
        <f>"20200111153844302"</f>
        <v>20200111153844302</v>
      </c>
      <c r="B734" t="str">
        <f>"1578728324291087"</f>
        <v>1578728324291087</v>
      </c>
      <c r="C734" t="s">
        <v>40</v>
      </c>
      <c r="D734">
        <v>5.4025540000000003</v>
      </c>
      <c r="E734">
        <v>0.61015160000000002</v>
      </c>
      <c r="F734" t="s">
        <v>42</v>
      </c>
      <c r="G734">
        <v>-211.38419999999999</v>
      </c>
      <c r="H734" s="1">
        <v>-4.5737010000000002E-6</v>
      </c>
      <c r="I734">
        <v>364.56950000000001</v>
      </c>
      <c r="J734">
        <v>-219.18090000000001</v>
      </c>
      <c r="K734">
        <v>1.100538</v>
      </c>
      <c r="L734">
        <v>367.88049999999998</v>
      </c>
      <c r="M734">
        <v>0.99986739999999996</v>
      </c>
      <c r="N734">
        <v>0</v>
      </c>
      <c r="O734">
        <v>7.8230609999999992E-3</v>
      </c>
      <c r="P734">
        <v>0.99335240000000002</v>
      </c>
      <c r="Q734">
        <v>9.3250239999999995E-3</v>
      </c>
      <c r="R734">
        <v>-0.1147367</v>
      </c>
      <c r="S734">
        <v>2.895966</v>
      </c>
      <c r="T734">
        <v>-0.39127879999999998</v>
      </c>
      <c r="U734">
        <v>-1.1769099999999999</v>
      </c>
      <c r="V734">
        <v>0.1227264</v>
      </c>
      <c r="W734">
        <v>2.231729E-2</v>
      </c>
      <c r="X734">
        <v>0.9921896</v>
      </c>
      <c r="Y734">
        <v>0.38069609999999998</v>
      </c>
      <c r="Z734">
        <v>-2.5649120000000001E-2</v>
      </c>
      <c r="AA734">
        <v>0.92434439999999995</v>
      </c>
      <c r="AB734">
        <v>35</v>
      </c>
      <c r="AC734">
        <v>7.7967000000000102</v>
      </c>
      <c r="AD734">
        <v>-1.1005425737009999</v>
      </c>
      <c r="AE734">
        <v>-3.3109999999999702</v>
      </c>
      <c r="AF734">
        <v>3.31592461769905</v>
      </c>
      <c r="AG734">
        <v>-1.1005425737009999</v>
      </c>
      <c r="AH734">
        <v>7.6415634829437202</v>
      </c>
      <c r="AI734">
        <v>97.526215623723701</v>
      </c>
      <c r="AJ734">
        <v>66.542399222423498</v>
      </c>
      <c r="AK734">
        <v>8.4023831435283896</v>
      </c>
      <c r="AL734">
        <v>88.721207326087494</v>
      </c>
      <c r="AM734">
        <v>82.948757875364393</v>
      </c>
      <c r="AN734">
        <v>1.0000000165190299</v>
      </c>
    </row>
    <row r="735" spans="1:40" x14ac:dyDescent="0.3">
      <c r="A735" t="str">
        <f>"20200111153844325"</f>
        <v>20200111153844325</v>
      </c>
      <c r="B735" t="str">
        <f>"1578728324321343"</f>
        <v>1578728324321343</v>
      </c>
      <c r="C735" t="s">
        <v>40</v>
      </c>
      <c r="D735">
        <v>5.4142409999999996</v>
      </c>
      <c r="E735">
        <v>0.61073840000000001</v>
      </c>
      <c r="F735" t="s">
        <v>42</v>
      </c>
      <c r="G735">
        <v>-211.08</v>
      </c>
      <c r="H735" s="1">
        <v>-4.7192259999999999E-6</v>
      </c>
      <c r="I735">
        <v>364.48500000000001</v>
      </c>
      <c r="J735">
        <v>-218.82859999999999</v>
      </c>
      <c r="K735">
        <v>1.1003350000000001</v>
      </c>
      <c r="L735">
        <v>367.87860000000001</v>
      </c>
      <c r="M735">
        <v>0.99989399999999995</v>
      </c>
      <c r="N735">
        <v>0</v>
      </c>
      <c r="O735">
        <v>2.9121949999999998E-3</v>
      </c>
      <c r="P735">
        <v>0.99220580000000003</v>
      </c>
      <c r="Q735">
        <v>1.078018E-2</v>
      </c>
      <c r="R735">
        <v>-0.124143</v>
      </c>
      <c r="S735">
        <v>2.884109</v>
      </c>
      <c r="T735">
        <v>-0.39181319999999997</v>
      </c>
      <c r="U735">
        <v>-1.2088620000000001</v>
      </c>
      <c r="V735">
        <v>0.12727949999999999</v>
      </c>
      <c r="W735">
        <v>2.363492E-2</v>
      </c>
      <c r="X735">
        <v>0.9915853</v>
      </c>
      <c r="Y735">
        <v>0.38620389999999999</v>
      </c>
      <c r="Z735">
        <v>-2.5448700000000001E-2</v>
      </c>
      <c r="AA735">
        <v>0.9220623</v>
      </c>
      <c r="AB735">
        <v>35</v>
      </c>
      <c r="AC735">
        <v>7.7485999999999802</v>
      </c>
      <c r="AD735">
        <v>-1.100339719226</v>
      </c>
      <c r="AE735">
        <v>-3.39359999999999</v>
      </c>
      <c r="AF735">
        <v>3.35931385978173</v>
      </c>
      <c r="AG735">
        <v>-1.100339719226</v>
      </c>
      <c r="AH735">
        <v>7.6099236527259304</v>
      </c>
      <c r="AI735">
        <v>97.535206380385802</v>
      </c>
      <c r="AJ735">
        <v>66.181486908456804</v>
      </c>
      <c r="AK735">
        <v>8.3908685549557802</v>
      </c>
      <c r="AL735">
        <v>88.645692786194303</v>
      </c>
      <c r="AM735">
        <v>82.685532747346898</v>
      </c>
      <c r="AN735">
        <v>1.00000004386987</v>
      </c>
    </row>
    <row r="736" spans="1:40" x14ac:dyDescent="0.3">
      <c r="A736" t="str">
        <f>"20200111153844348"</f>
        <v>20200111153844348</v>
      </c>
      <c r="B736" t="str">
        <f>"1578728324340866"</f>
        <v>1578728324340866</v>
      </c>
      <c r="C736" t="s">
        <v>40</v>
      </c>
      <c r="D736">
        <v>5.468153</v>
      </c>
      <c r="E736">
        <v>0.61100080000000001</v>
      </c>
      <c r="F736" t="s">
        <v>42</v>
      </c>
      <c r="G736">
        <v>-210.76939999999999</v>
      </c>
      <c r="H736" s="1">
        <v>-4.8681869999999997E-6</v>
      </c>
      <c r="I736">
        <v>364.39620000000002</v>
      </c>
      <c r="J736">
        <v>-218.46</v>
      </c>
      <c r="K736">
        <v>1.1001510000000001</v>
      </c>
      <c r="L736">
        <v>367.87470000000002</v>
      </c>
      <c r="M736">
        <v>0.9998956</v>
      </c>
      <c r="N736">
        <v>0</v>
      </c>
      <c r="O736">
        <v>-2.387087E-3</v>
      </c>
      <c r="P736">
        <v>0.99109879999999995</v>
      </c>
      <c r="Q736">
        <v>1.343972E-2</v>
      </c>
      <c r="R736">
        <v>-0.1324487</v>
      </c>
      <c r="S736">
        <v>2.8725429999999998</v>
      </c>
      <c r="T736">
        <v>-0.3921925</v>
      </c>
      <c r="U736">
        <v>-1.2412110000000001</v>
      </c>
      <c r="V736">
        <v>0.13036809999999999</v>
      </c>
      <c r="W736">
        <v>2.6178050000000001E-2</v>
      </c>
      <c r="X736">
        <v>0.99112</v>
      </c>
      <c r="Y736">
        <v>0.3914146</v>
      </c>
      <c r="Z736">
        <v>-2.5162790000000001E-2</v>
      </c>
      <c r="AA736">
        <v>0.91987030000000003</v>
      </c>
      <c r="AB736">
        <v>35</v>
      </c>
      <c r="AC736">
        <v>7.6906000000000097</v>
      </c>
      <c r="AD736">
        <v>-1.1001558681870001</v>
      </c>
      <c r="AE736">
        <v>-3.4784999999999902</v>
      </c>
      <c r="AF736">
        <v>3.4023299758684602</v>
      </c>
      <c r="AG736">
        <v>-1.1001558681870001</v>
      </c>
      <c r="AH736">
        <v>7.5702755993143498</v>
      </c>
      <c r="AI736">
        <v>97.550754256298603</v>
      </c>
      <c r="AJ736">
        <v>65.7992870750751</v>
      </c>
      <c r="AK736">
        <v>8.3722914932874595</v>
      </c>
      <c r="AL736">
        <v>88.499936845698798</v>
      </c>
      <c r="AM736">
        <v>82.506553262032099</v>
      </c>
      <c r="AN736">
        <v>0.999999993099706</v>
      </c>
    </row>
    <row r="737" spans="1:40" x14ac:dyDescent="0.3">
      <c r="A737" t="str">
        <f>"20200111153844370"</f>
        <v>20200111153844370</v>
      </c>
      <c r="B737" t="str">
        <f>"1578728324361359"</f>
        <v>1578728324361359</v>
      </c>
      <c r="C737" t="s">
        <v>40</v>
      </c>
      <c r="D737">
        <v>5.4540160000000002</v>
      </c>
      <c r="E737">
        <v>0.61117449999999995</v>
      </c>
      <c r="F737" t="s">
        <v>42</v>
      </c>
      <c r="G737">
        <v>-210.2647</v>
      </c>
      <c r="H737" s="1">
        <v>-5.1114550000000003E-6</v>
      </c>
      <c r="I737">
        <v>364.24549999999999</v>
      </c>
      <c r="J737">
        <v>-218.1147</v>
      </c>
      <c r="K737">
        <v>1.099998</v>
      </c>
      <c r="L737">
        <v>367.86919999999998</v>
      </c>
      <c r="M737">
        <v>0.99987079999999995</v>
      </c>
      <c r="N737">
        <v>0</v>
      </c>
      <c r="O737">
        <v>-7.48344099999999E-3</v>
      </c>
      <c r="P737">
        <v>0.99002999999999997</v>
      </c>
      <c r="Q737">
        <v>1.547248E-2</v>
      </c>
      <c r="R737">
        <v>-0.14000499999999999</v>
      </c>
      <c r="S737">
        <v>2.8627319999999998</v>
      </c>
      <c r="T737">
        <v>-0.38429340000000001</v>
      </c>
      <c r="U737">
        <v>-1.2677</v>
      </c>
      <c r="V737">
        <v>0.13291</v>
      </c>
      <c r="W737">
        <v>2.8110920000000001E-2</v>
      </c>
      <c r="X737">
        <v>0.99072939999999998</v>
      </c>
      <c r="Y737">
        <v>0.39514300000000002</v>
      </c>
      <c r="Z737">
        <v>-2.4280989999999999E-2</v>
      </c>
      <c r="AA737">
        <v>0.91829870000000002</v>
      </c>
      <c r="AB737">
        <v>35</v>
      </c>
      <c r="AC737">
        <v>7.8499999999999899</v>
      </c>
      <c r="AD737">
        <v>-1.100003111455</v>
      </c>
      <c r="AE737">
        <v>-3.6236999999999799</v>
      </c>
      <c r="AF737">
        <v>3.5080639919610599</v>
      </c>
      <c r="AG737">
        <v>-1.100003111455</v>
      </c>
      <c r="AH737">
        <v>7.7514314616569999</v>
      </c>
      <c r="AI737">
        <v>97.366671077335198</v>
      </c>
      <c r="AJ737">
        <v>65.649927423333594</v>
      </c>
      <c r="AK737">
        <v>8.5791147283196096</v>
      </c>
      <c r="AL737">
        <v>88.389150751964905</v>
      </c>
      <c r="AM737">
        <v>82.359179914795703</v>
      </c>
      <c r="AN737">
        <v>1.0000000179738</v>
      </c>
    </row>
    <row r="738" spans="1:40" x14ac:dyDescent="0.3">
      <c r="A738" t="str">
        <f>"20200111153844392"</f>
        <v>20200111153844392</v>
      </c>
      <c r="B738" t="str">
        <f>"1578728324380879"</f>
        <v>1578728324380879</v>
      </c>
      <c r="C738" t="s">
        <v>40</v>
      </c>
      <c r="D738">
        <v>5.4436419999999996</v>
      </c>
      <c r="E738">
        <v>0.61117259999999995</v>
      </c>
      <c r="F738" t="s">
        <v>52</v>
      </c>
      <c r="G738">
        <v>-209.8244</v>
      </c>
      <c r="H738" s="1">
        <v>-6.0849449999999997E-6</v>
      </c>
      <c r="I738">
        <v>364.11880000000002</v>
      </c>
      <c r="J738">
        <v>-217.76939999999999</v>
      </c>
      <c r="K738">
        <v>1.0998380000000001</v>
      </c>
      <c r="L738">
        <v>367.86180000000002</v>
      </c>
      <c r="M738">
        <v>0.99981819999999999</v>
      </c>
      <c r="N738">
        <v>0</v>
      </c>
      <c r="O738">
        <v>-1.270659E-2</v>
      </c>
      <c r="P738">
        <v>0.98910690000000001</v>
      </c>
      <c r="Q738">
        <v>1.5871670000000001E-2</v>
      </c>
      <c r="R738">
        <v>-0.14634229999999901</v>
      </c>
      <c r="S738">
        <v>2.8535919999999999</v>
      </c>
      <c r="T738">
        <v>-0.37862879999999999</v>
      </c>
      <c r="U738">
        <v>-1.290924</v>
      </c>
      <c r="V738">
        <v>0.1340944</v>
      </c>
      <c r="W738">
        <v>2.8431229999999998E-2</v>
      </c>
      <c r="X738">
        <v>0.99056069999999996</v>
      </c>
      <c r="Y738">
        <v>0.39776050000000002</v>
      </c>
      <c r="Z738">
        <v>-2.3465010000000001E-2</v>
      </c>
      <c r="AA738">
        <v>0.91718920000000004</v>
      </c>
      <c r="AB738">
        <v>35</v>
      </c>
      <c r="AC738">
        <v>7.9449999999999896</v>
      </c>
      <c r="AD738">
        <v>-1.099844084945</v>
      </c>
      <c r="AE738">
        <v>-3.7429999999999901</v>
      </c>
      <c r="AF738">
        <v>3.5855032267020199</v>
      </c>
      <c r="AG738">
        <v>-1.099844084945</v>
      </c>
      <c r="AH738">
        <v>7.8685241056646396</v>
      </c>
      <c r="AI738">
        <v>97.248792811637998</v>
      </c>
      <c r="AJ738">
        <v>65.502350313121894</v>
      </c>
      <c r="AK738">
        <v>8.7166026639571292</v>
      </c>
      <c r="AL738">
        <v>88.3707910900672</v>
      </c>
      <c r="AM738">
        <v>82.290608407637805</v>
      </c>
      <c r="AN738">
        <v>1.0000000716675701</v>
      </c>
    </row>
    <row r="739" spans="1:40" x14ac:dyDescent="0.3">
      <c r="A739" t="str">
        <f>"20200111153844415"</f>
        <v>20200111153844415</v>
      </c>
      <c r="B739" t="str">
        <f>"1578728324411137"</f>
        <v>1578728324411137</v>
      </c>
      <c r="C739" t="s">
        <v>40</v>
      </c>
      <c r="D739">
        <v>5.4686659999999998</v>
      </c>
      <c r="E739">
        <v>0.61146119999999904</v>
      </c>
      <c r="F739" t="s">
        <v>52</v>
      </c>
      <c r="G739">
        <v>-209.5395</v>
      </c>
      <c r="H739" s="1">
        <v>-5.9963179999999997E-6</v>
      </c>
      <c r="I739">
        <v>364.07569999999998</v>
      </c>
      <c r="J739">
        <v>-217.41849999999999</v>
      </c>
      <c r="K739">
        <v>1.0996649999999999</v>
      </c>
      <c r="L739">
        <v>367.85239999999999</v>
      </c>
      <c r="M739">
        <v>0.99973420000000002</v>
      </c>
      <c r="N739">
        <v>0</v>
      </c>
      <c r="O739">
        <v>-1.8160519999999999E-2</v>
      </c>
      <c r="P739">
        <v>0.98816470000000001</v>
      </c>
      <c r="Q739">
        <v>1.5780120000000002E-2</v>
      </c>
      <c r="R739">
        <v>-0.15258450000000001</v>
      </c>
      <c r="S739">
        <v>2.8454739999999998</v>
      </c>
      <c r="T739">
        <v>-0.38026880000000002</v>
      </c>
      <c r="U739">
        <v>-1.3090520000000001</v>
      </c>
      <c r="V739">
        <v>0.134955399999999</v>
      </c>
      <c r="W739">
        <v>2.8265829999999999E-2</v>
      </c>
      <c r="X739">
        <v>0.99044840000000001</v>
      </c>
      <c r="Y739">
        <v>0.3985842</v>
      </c>
      <c r="Z739">
        <v>-2.2959319999999998E-2</v>
      </c>
      <c r="AA739">
        <v>0.9168444</v>
      </c>
      <c r="AB739">
        <v>35</v>
      </c>
      <c r="AC739">
        <v>7.8789999999999898</v>
      </c>
      <c r="AD739">
        <v>-1.09967099631799</v>
      </c>
      <c r="AE739">
        <v>-3.7766999999999999</v>
      </c>
      <c r="AF739">
        <v>3.5763260468126199</v>
      </c>
      <c r="AG739">
        <v>-1.09967099631799</v>
      </c>
      <c r="AH739">
        <v>7.8223857500964904</v>
      </c>
      <c r="AI739">
        <v>97.285829661522598</v>
      </c>
      <c r="AJ739">
        <v>65.430536943737906</v>
      </c>
      <c r="AK739">
        <v>8.6711650380191791</v>
      </c>
      <c r="AL739">
        <v>88.380271465101401</v>
      </c>
      <c r="AM739">
        <v>82.240839591688598</v>
      </c>
      <c r="AN739">
        <v>0.99999997509865401</v>
      </c>
    </row>
    <row r="740" spans="1:40" x14ac:dyDescent="0.3">
      <c r="A740" t="str">
        <f>"20200111153844438"</f>
        <v>20200111153844438</v>
      </c>
      <c r="B740" t="str">
        <f>"1578728324431631"</f>
        <v>1578728324431631</v>
      </c>
      <c r="C740" t="s">
        <v>40</v>
      </c>
      <c r="D740">
        <v>5.4489229999999997</v>
      </c>
      <c r="E740">
        <v>0.61171189999999998</v>
      </c>
      <c r="F740" t="s">
        <v>52</v>
      </c>
      <c r="G740">
        <v>-209.2337</v>
      </c>
      <c r="H740" s="1">
        <v>-5.9033659999999996E-6</v>
      </c>
      <c r="I740">
        <v>364.0154</v>
      </c>
      <c r="J740">
        <v>-217.04740000000001</v>
      </c>
      <c r="K740">
        <v>1.0994630000000001</v>
      </c>
      <c r="L740">
        <v>367.83980000000003</v>
      </c>
      <c r="M740">
        <v>0.99960749999999998</v>
      </c>
      <c r="N740">
        <v>0</v>
      </c>
      <c r="O740">
        <v>-2.4145139999999999E-2</v>
      </c>
      <c r="P740">
        <v>0.98722980000000005</v>
      </c>
      <c r="Q740">
        <v>1.6096030000000001E-2</v>
      </c>
      <c r="R740">
        <v>-0.1584885</v>
      </c>
      <c r="S740">
        <v>2.8367</v>
      </c>
      <c r="T740">
        <v>-0.38112580000000001</v>
      </c>
      <c r="U740">
        <v>-1.3298030000000001</v>
      </c>
      <c r="V740">
        <v>0.13496329999999901</v>
      </c>
      <c r="W740">
        <v>2.851511E-2</v>
      </c>
      <c r="X740">
        <v>0.99044019999999999</v>
      </c>
      <c r="Y740">
        <v>0.39971099999999998</v>
      </c>
      <c r="Z740">
        <v>-2.2353689999999999E-2</v>
      </c>
      <c r="AA740">
        <v>0.91636870000000004</v>
      </c>
      <c r="AB740">
        <v>35</v>
      </c>
      <c r="AC740">
        <v>7.8137000000000096</v>
      </c>
      <c r="AD740">
        <v>-1.0994689033659999</v>
      </c>
      <c r="AE740">
        <v>-3.8244000000000198</v>
      </c>
      <c r="AF740">
        <v>3.5774603072387299</v>
      </c>
      <c r="AG740">
        <v>-1.0994689033659999</v>
      </c>
      <c r="AH740">
        <v>7.7795098429668297</v>
      </c>
      <c r="AI740">
        <v>97.316905247784504</v>
      </c>
      <c r="AJ740">
        <v>65.304343159420696</v>
      </c>
      <c r="AK740">
        <v>8.6329501050426103</v>
      </c>
      <c r="AL740">
        <v>88.365983048737604</v>
      </c>
      <c r="AM740">
        <v>82.240327460151093</v>
      </c>
      <c r="AN740">
        <v>0.99999999681062102</v>
      </c>
    </row>
    <row r="741" spans="1:40" x14ac:dyDescent="0.3">
      <c r="A741" t="str">
        <f>"20200111153844458"</f>
        <v>20200111153844458</v>
      </c>
      <c r="B741" t="str">
        <f>"1578728324451154"</f>
        <v>1578728324451154</v>
      </c>
      <c r="C741" t="s">
        <v>40</v>
      </c>
      <c r="D741">
        <v>5.472289</v>
      </c>
      <c r="E741">
        <v>0.61196110000000004</v>
      </c>
      <c r="F741" t="s">
        <v>52</v>
      </c>
      <c r="G741">
        <v>-208.8862</v>
      </c>
      <c r="H741" s="1">
        <v>-5.79780499999999E-6</v>
      </c>
      <c r="I741">
        <v>363.94659999999999</v>
      </c>
      <c r="J741">
        <v>-216.71100000000001</v>
      </c>
      <c r="K741">
        <v>1.09927</v>
      </c>
      <c r="L741">
        <v>367.82639999999998</v>
      </c>
      <c r="M741">
        <v>0.99945569999999895</v>
      </c>
      <c r="N741">
        <v>0</v>
      </c>
      <c r="O741">
        <v>-2.9774829999999999E-2</v>
      </c>
      <c r="P741">
        <v>0.98631919999999995</v>
      </c>
      <c r="Q741">
        <v>1.6923150000000001E-2</v>
      </c>
      <c r="R741">
        <v>-0.16397610000000001</v>
      </c>
      <c r="S741">
        <v>2.8284150000000001</v>
      </c>
      <c r="T741">
        <v>-0.3810423</v>
      </c>
      <c r="U741">
        <v>-1.3492740000000001</v>
      </c>
      <c r="V741">
        <v>0.13491719999999999</v>
      </c>
      <c r="W741">
        <v>2.9281069999999999E-2</v>
      </c>
      <c r="X741">
        <v>0.99042419999999998</v>
      </c>
      <c r="Y741">
        <v>0.40077010000000002</v>
      </c>
      <c r="Z741">
        <v>-2.1729660000000001E-2</v>
      </c>
      <c r="AA741">
        <v>0.91592090000000004</v>
      </c>
      <c r="AB741">
        <v>35</v>
      </c>
      <c r="AC741">
        <v>7.8247999999999802</v>
      </c>
      <c r="AD741">
        <v>-1.0992757978049901</v>
      </c>
      <c r="AE741">
        <v>-3.8797999999999799</v>
      </c>
      <c r="AF741">
        <v>3.58823034845889</v>
      </c>
      <c r="AG741">
        <v>-1.0992757978049901</v>
      </c>
      <c r="AH741">
        <v>7.8130897571537696</v>
      </c>
      <c r="AI741">
        <v>97.2861657632494</v>
      </c>
      <c r="AJ741">
        <v>65.332629761631594</v>
      </c>
      <c r="AK741">
        <v>8.6676511158780798</v>
      </c>
      <c r="AL741">
        <v>88.322078548708703</v>
      </c>
      <c r="AM741">
        <v>82.242821903032507</v>
      </c>
      <c r="AN741">
        <v>1.0000000639309099</v>
      </c>
    </row>
    <row r="742" spans="1:40" x14ac:dyDescent="0.3">
      <c r="A742" t="str">
        <f>"20200111153844481"</f>
        <v>20200111153844481</v>
      </c>
      <c r="B742" t="str">
        <f>"1578728324471648"</f>
        <v>1578728324471648</v>
      </c>
      <c r="C742" t="s">
        <v>40</v>
      </c>
      <c r="D742">
        <v>5.4880719999999998</v>
      </c>
      <c r="E742">
        <v>0.61209990000000003</v>
      </c>
      <c r="F742" t="s">
        <v>52</v>
      </c>
      <c r="G742">
        <v>-208.5335</v>
      </c>
      <c r="H742" s="1">
        <v>-5.6929229999999997E-6</v>
      </c>
      <c r="I742">
        <v>363.86219999999997</v>
      </c>
      <c r="J742">
        <v>-216.3622</v>
      </c>
      <c r="K742">
        <v>1.099064</v>
      </c>
      <c r="L742">
        <v>367.81029999999998</v>
      </c>
      <c r="M742">
        <v>0.99925739999999996</v>
      </c>
      <c r="N742">
        <v>0</v>
      </c>
      <c r="O742">
        <v>-3.5814690000000003E-2</v>
      </c>
      <c r="P742">
        <v>0.98542569999999996</v>
      </c>
      <c r="Q742">
        <v>1.8313840000000001E-2</v>
      </c>
      <c r="R742">
        <v>-0.16911860000000001</v>
      </c>
      <c r="S742">
        <v>2.820786</v>
      </c>
      <c r="T742">
        <v>-0.37918819999999998</v>
      </c>
      <c r="U742">
        <v>-1.367462</v>
      </c>
      <c r="V742">
        <v>0.13413079999999999</v>
      </c>
      <c r="W742">
        <v>3.0622759999999999E-2</v>
      </c>
      <c r="X742">
        <v>0.99049039999999999</v>
      </c>
      <c r="Y742">
        <v>0.40106249999999999</v>
      </c>
      <c r="Z742">
        <v>-2.0904260000000001E-2</v>
      </c>
      <c r="AA742">
        <v>0.91581210000000002</v>
      </c>
      <c r="AB742">
        <v>35</v>
      </c>
      <c r="AC742">
        <v>7.8286999999999898</v>
      </c>
      <c r="AD742">
        <v>-1.0990696929229999</v>
      </c>
      <c r="AE742">
        <v>-3.9481000000000099</v>
      </c>
      <c r="AF742">
        <v>3.60845607903943</v>
      </c>
      <c r="AG742">
        <v>-1.0990696929229999</v>
      </c>
      <c r="AH742">
        <v>7.8418712992611397</v>
      </c>
      <c r="AI742">
        <v>97.255928125877205</v>
      </c>
      <c r="AJ742">
        <v>65.290362205408698</v>
      </c>
      <c r="AK742">
        <v>8.7019454685969002</v>
      </c>
      <c r="AL742">
        <v>88.245170806267097</v>
      </c>
      <c r="AM742">
        <v>82.288000132731199</v>
      </c>
      <c r="AN742">
        <v>1.0000000287154001</v>
      </c>
    </row>
    <row r="743" spans="1:40" x14ac:dyDescent="0.3">
      <c r="A743" t="str">
        <f>"20200111153844503"</f>
        <v>20200111153844503</v>
      </c>
      <c r="B743" t="str">
        <f>"1578728324500927"</f>
        <v>1578728324500927</v>
      </c>
      <c r="C743" t="s">
        <v>40</v>
      </c>
      <c r="D743">
        <v>5.598611</v>
      </c>
      <c r="E743">
        <v>0.61226879999999995</v>
      </c>
      <c r="F743" t="s">
        <v>52</v>
      </c>
      <c r="G743">
        <v>-208.14859999999999</v>
      </c>
      <c r="H743" s="1">
        <v>-5.5782149999999996E-6</v>
      </c>
      <c r="I743">
        <v>363.7715</v>
      </c>
      <c r="J743">
        <v>-216.0127</v>
      </c>
      <c r="K743">
        <v>1.0988579999999999</v>
      </c>
      <c r="L743">
        <v>367.79180000000002</v>
      </c>
      <c r="M743">
        <v>0.9990116</v>
      </c>
      <c r="N743">
        <v>0</v>
      </c>
      <c r="O743">
        <v>-4.211666E-2</v>
      </c>
      <c r="P743">
        <v>0.98442110000000005</v>
      </c>
      <c r="Q743">
        <v>1.899646E-2</v>
      </c>
      <c r="R743">
        <v>-0.1747985</v>
      </c>
      <c r="S743">
        <v>2.8138890000000001</v>
      </c>
      <c r="T743">
        <v>-0.3765249</v>
      </c>
      <c r="U743">
        <v>-1.3836360000000001</v>
      </c>
      <c r="V743">
        <v>0.13362079999999901</v>
      </c>
      <c r="W743">
        <v>3.1251889999999997E-2</v>
      </c>
      <c r="X743">
        <v>0.99053970000000002</v>
      </c>
      <c r="Y743">
        <v>0.40050580000000002</v>
      </c>
      <c r="Z743">
        <v>-1.9953729999999999E-2</v>
      </c>
      <c r="AA743">
        <v>0.91607700000000003</v>
      </c>
      <c r="AB743">
        <v>35</v>
      </c>
      <c r="AC743">
        <v>7.8640999999999996</v>
      </c>
      <c r="AD743">
        <v>-1.09886357821499</v>
      </c>
      <c r="AE743">
        <v>-4.0203000000000202</v>
      </c>
      <c r="AF743">
        <v>3.6293093820473898</v>
      </c>
      <c r="AG743">
        <v>-1.09886357821499</v>
      </c>
      <c r="AH743">
        <v>7.9041084814253004</v>
      </c>
      <c r="AI743">
        <v>97.200723295543696</v>
      </c>
      <c r="AJ743">
        <v>65.336952689015604</v>
      </c>
      <c r="AK743">
        <v>8.7666594915214997</v>
      </c>
      <c r="AL743">
        <v>88.209107084808295</v>
      </c>
      <c r="AM743">
        <v>82.317350071854406</v>
      </c>
      <c r="AN743">
        <v>1.0000000480486499</v>
      </c>
    </row>
    <row r="744" spans="1:40" x14ac:dyDescent="0.3">
      <c r="A744" t="str">
        <f>"20200111153844526"</f>
        <v>20200111153844526</v>
      </c>
      <c r="B744" t="str">
        <f>"1578728324521423"</f>
        <v>1578728324521423</v>
      </c>
      <c r="C744" t="s">
        <v>40</v>
      </c>
      <c r="D744">
        <v>5.5583460000000002</v>
      </c>
      <c r="E744">
        <v>0.61496669999999998</v>
      </c>
      <c r="F744" t="s">
        <v>52</v>
      </c>
      <c r="G744">
        <v>-207.85910000000001</v>
      </c>
      <c r="H744" s="1">
        <v>-5.4895130000000003E-6</v>
      </c>
      <c r="I744">
        <v>363.71910000000003</v>
      </c>
      <c r="J744">
        <v>-215.66050000000001</v>
      </c>
      <c r="K744">
        <v>1.098622</v>
      </c>
      <c r="L744">
        <v>367.77069999999998</v>
      </c>
      <c r="M744">
        <v>0.99870919999999996</v>
      </c>
      <c r="N744">
        <v>0</v>
      </c>
      <c r="O744">
        <v>-4.8760970000000001E-2</v>
      </c>
      <c r="P744">
        <v>0.98327790000000004</v>
      </c>
      <c r="Q744">
        <v>1.9288820000000002E-2</v>
      </c>
      <c r="R744">
        <v>-0.18108730000000001</v>
      </c>
      <c r="S744">
        <v>2.8059229999999999</v>
      </c>
      <c r="T744">
        <v>-0.37815789999999999</v>
      </c>
      <c r="U744">
        <v>-1.4015500000000001</v>
      </c>
      <c r="V744">
        <v>0.1333857</v>
      </c>
      <c r="W744">
        <v>3.1483990000000003E-2</v>
      </c>
      <c r="X744">
        <v>0.990564</v>
      </c>
      <c r="Y744">
        <v>0.40016590000000002</v>
      </c>
      <c r="Z744">
        <v>-1.9204889999999999E-2</v>
      </c>
      <c r="AA744">
        <v>0.91624150000000004</v>
      </c>
      <c r="AB744">
        <v>35</v>
      </c>
      <c r="AC744">
        <v>7.8014000000000001</v>
      </c>
      <c r="AD744">
        <v>-1.0986274895129999</v>
      </c>
      <c r="AE744">
        <v>-4.0515999999999499</v>
      </c>
      <c r="AF744">
        <v>3.6099539188444898</v>
      </c>
      <c r="AG744">
        <v>-1.0986274895129999</v>
      </c>
      <c r="AH744">
        <v>7.8668273353765397</v>
      </c>
      <c r="AI744">
        <v>97.233720832521001</v>
      </c>
      <c r="AJ744">
        <v>65.350410820681304</v>
      </c>
      <c r="AK744">
        <v>8.7250055576785694</v>
      </c>
      <c r="AL744">
        <v>88.195802123280203</v>
      </c>
      <c r="AM744">
        <v>82.330892239964996</v>
      </c>
      <c r="AN744">
        <v>1.0000000123434001</v>
      </c>
    </row>
    <row r="745" spans="1:40" x14ac:dyDescent="0.3">
      <c r="A745" t="str">
        <f>"20200111153844548"</f>
        <v>20200111153844548</v>
      </c>
      <c r="B745" t="str">
        <f>"1578728324540946"</f>
        <v>1578728324540946</v>
      </c>
      <c r="C745" t="s">
        <v>40</v>
      </c>
      <c r="D745">
        <v>5.5435930000000004</v>
      </c>
      <c r="E745">
        <v>0.61548970000000003</v>
      </c>
      <c r="F745" t="s">
        <v>52</v>
      </c>
      <c r="G745">
        <v>-208.6164</v>
      </c>
      <c r="H745" s="1">
        <v>-5.6775549999999999E-6</v>
      </c>
      <c r="I745">
        <v>364.13819999999998</v>
      </c>
      <c r="J745">
        <v>-215.30799999999999</v>
      </c>
      <c r="K745">
        <v>1.0983639999999999</v>
      </c>
      <c r="L745">
        <v>367.74689999999998</v>
      </c>
      <c r="M745">
        <v>0.99834389999999995</v>
      </c>
      <c r="N745">
        <v>0</v>
      </c>
      <c r="O745">
        <v>-5.5736590000000003E-2</v>
      </c>
      <c r="P745">
        <v>0.98199479999999995</v>
      </c>
      <c r="Q745">
        <v>1.8951369999999999E-2</v>
      </c>
      <c r="R745">
        <v>-0.18795580000000001</v>
      </c>
      <c r="S745">
        <v>2.7942049999999998</v>
      </c>
      <c r="T745">
        <v>-0.43579869999999998</v>
      </c>
      <c r="U745">
        <v>-1.4409179999999999</v>
      </c>
      <c r="V745">
        <v>0.13340399999999999</v>
      </c>
      <c r="W745">
        <v>3.1079349999999999E-2</v>
      </c>
      <c r="X745">
        <v>0.99057430000000002</v>
      </c>
      <c r="Y745">
        <v>0.40475899999999998</v>
      </c>
      <c r="Z745">
        <v>-2.144561E-2</v>
      </c>
      <c r="AA745">
        <v>0.91417190000000004</v>
      </c>
      <c r="AB745">
        <v>35</v>
      </c>
      <c r="AC745">
        <v>6.6915999999999896</v>
      </c>
      <c r="AD745">
        <v>-1.09836967755499</v>
      </c>
      <c r="AE745">
        <v>-3.60869999999999</v>
      </c>
      <c r="AF745">
        <v>3.1640439072186402</v>
      </c>
      <c r="AG745">
        <v>-1.09836967755499</v>
      </c>
      <c r="AH745">
        <v>6.7416402507312698</v>
      </c>
      <c r="AI745">
        <v>98.389924442000705</v>
      </c>
      <c r="AJ745">
        <v>64.857996528327902</v>
      </c>
      <c r="AK745">
        <v>7.5277687973037297</v>
      </c>
      <c r="AL745">
        <v>88.218997614421994</v>
      </c>
      <c r="AM745">
        <v>82.329931397820005</v>
      </c>
      <c r="AN745">
        <v>0.99999999851645605</v>
      </c>
    </row>
    <row r="746" spans="1:40" x14ac:dyDescent="0.3">
      <c r="A746" t="str">
        <f>"20200111153844571"</f>
        <v>20200111153844571</v>
      </c>
      <c r="B746" t="str">
        <f>"1578728324561439"</f>
        <v>1578728324561439</v>
      </c>
      <c r="C746" t="s">
        <v>40</v>
      </c>
      <c r="D746">
        <v>5.5284110000000002</v>
      </c>
      <c r="E746">
        <v>0.61576999999999904</v>
      </c>
      <c r="F746" t="s">
        <v>52</v>
      </c>
      <c r="G746">
        <v>-208.3734</v>
      </c>
      <c r="H746" s="1">
        <v>-5.6025010000000004E-6</v>
      </c>
      <c r="I746">
        <v>364.09800000000001</v>
      </c>
      <c r="J746">
        <v>-214.96340000000001</v>
      </c>
      <c r="K746">
        <v>1.09809</v>
      </c>
      <c r="L746">
        <v>367.721</v>
      </c>
      <c r="M746">
        <v>0.99791859999999999</v>
      </c>
      <c r="N746">
        <v>0</v>
      </c>
      <c r="O746">
        <v>-6.2887719999999994E-2</v>
      </c>
      <c r="P746">
        <v>0.98066370000000003</v>
      </c>
      <c r="Q746">
        <v>1.9167630000000001E-2</v>
      </c>
      <c r="R746">
        <v>-0.19476080000000001</v>
      </c>
      <c r="S746">
        <v>2.783188</v>
      </c>
      <c r="T746">
        <v>-0.44083050000000001</v>
      </c>
      <c r="U746">
        <v>-1.4645079999999999</v>
      </c>
      <c r="V746">
        <v>0.13320029999999999</v>
      </c>
      <c r="W746">
        <v>3.1232820000000001E-2</v>
      </c>
      <c r="X746">
        <v>0.9905969</v>
      </c>
      <c r="Y746">
        <v>0.40575899999999998</v>
      </c>
      <c r="Z746">
        <v>-2.0752079999999999E-2</v>
      </c>
      <c r="AA746">
        <v>0.91374449999999996</v>
      </c>
      <c r="AB746">
        <v>35</v>
      </c>
      <c r="AC746">
        <v>6.59</v>
      </c>
      <c r="AD746">
        <v>-1.098095602501</v>
      </c>
      <c r="AE746">
        <v>-3.62299999999999</v>
      </c>
      <c r="AF746">
        <v>3.1345225981331302</v>
      </c>
      <c r="AG746">
        <v>-1.098095602501</v>
      </c>
      <c r="AH746">
        <v>6.6627593634713396</v>
      </c>
      <c r="AI746">
        <v>98.482105437248805</v>
      </c>
      <c r="AJ746">
        <v>64.805167707842102</v>
      </c>
      <c r="AK746">
        <v>7.4446899335005403</v>
      </c>
      <c r="AL746">
        <v>88.210200187284599</v>
      </c>
      <c r="AM746">
        <v>82.341676683309601</v>
      </c>
      <c r="AN746">
        <v>1.0000000136274201</v>
      </c>
    </row>
    <row r="747" spans="1:40" x14ac:dyDescent="0.3">
      <c r="A747" t="str">
        <f>"20200111153844593"</f>
        <v>20200111153844593</v>
      </c>
      <c r="B747" t="str">
        <f>"1578728324580960"</f>
        <v>1578728324580960</v>
      </c>
      <c r="C747" t="s">
        <v>40</v>
      </c>
      <c r="D747">
        <v>5.6039870000000001</v>
      </c>
      <c r="E747">
        <v>0.61602809999999997</v>
      </c>
      <c r="F747" t="s">
        <v>52</v>
      </c>
      <c r="G747">
        <v>-208.04580000000001</v>
      </c>
      <c r="H747" s="1">
        <v>-5.5058970000000002E-6</v>
      </c>
      <c r="I747">
        <v>364.01440000000002</v>
      </c>
      <c r="J747">
        <v>-214.61619999999999</v>
      </c>
      <c r="K747">
        <v>1.0978129999999999</v>
      </c>
      <c r="L747">
        <v>367.69209999999998</v>
      </c>
      <c r="M747">
        <v>0.99741440000000003</v>
      </c>
      <c r="N747">
        <v>0</v>
      </c>
      <c r="O747">
        <v>-7.0429060000000002E-2</v>
      </c>
      <c r="P747">
        <v>0.97914369999999995</v>
      </c>
      <c r="Q747">
        <v>1.9771159999999999E-2</v>
      </c>
      <c r="R747">
        <v>-0.2022043</v>
      </c>
      <c r="S747">
        <v>2.7727050000000002</v>
      </c>
      <c r="T747">
        <v>-0.44013639999999998</v>
      </c>
      <c r="U747">
        <v>-1.485687</v>
      </c>
      <c r="V747">
        <v>0.13327020000000001</v>
      </c>
      <c r="W747">
        <v>3.1768520000000001E-2</v>
      </c>
      <c r="X747">
        <v>0.99057039999999996</v>
      </c>
      <c r="Y747">
        <v>0.4058021</v>
      </c>
      <c r="Z747">
        <v>-1.965273E-2</v>
      </c>
      <c r="AA747">
        <v>0.91374960000000005</v>
      </c>
      <c r="AB747">
        <v>35</v>
      </c>
      <c r="AC747">
        <v>6.57039999999997</v>
      </c>
      <c r="AD747">
        <v>-1.097818505897</v>
      </c>
      <c r="AE747">
        <v>-3.67769999999995</v>
      </c>
      <c r="AF747">
        <v>3.1390431668779102</v>
      </c>
      <c r="AG747">
        <v>-1.097818505897</v>
      </c>
      <c r="AH747">
        <v>6.6713092684857598</v>
      </c>
      <c r="AI747">
        <v>98.469045856269503</v>
      </c>
      <c r="AJ747">
        <v>64.801664244634793</v>
      </c>
      <c r="AK747">
        <v>7.4542045069341096</v>
      </c>
      <c r="AL747">
        <v>88.179491484858303</v>
      </c>
      <c r="AM747">
        <v>82.337502982422606</v>
      </c>
      <c r="AN747">
        <v>0.99999995121359397</v>
      </c>
    </row>
    <row r="748" spans="1:40" x14ac:dyDescent="0.3">
      <c r="A748" t="str">
        <f>"20200111153844617"</f>
        <v>20200111153844617</v>
      </c>
      <c r="B748" t="str">
        <f>"1578728324611216"</f>
        <v>1578728324611216</v>
      </c>
      <c r="C748" t="s">
        <v>40</v>
      </c>
      <c r="D748">
        <v>5.6411980000000002</v>
      </c>
      <c r="E748">
        <v>0.61718009999999901</v>
      </c>
      <c r="F748" t="s">
        <v>52</v>
      </c>
      <c r="G748">
        <v>-207.8356</v>
      </c>
      <c r="H748" s="1">
        <v>-5.4396259999999998E-6</v>
      </c>
      <c r="I748">
        <v>363.98809999999997</v>
      </c>
      <c r="J748">
        <v>-214.24940000000001</v>
      </c>
      <c r="K748">
        <v>1.097518</v>
      </c>
      <c r="L748">
        <v>367.6583</v>
      </c>
      <c r="M748">
        <v>0.99678949999999999</v>
      </c>
      <c r="N748">
        <v>0</v>
      </c>
      <c r="O748">
        <v>-7.8775849999999994E-2</v>
      </c>
      <c r="P748">
        <v>0.9773193</v>
      </c>
      <c r="Q748">
        <v>2.0739730000000001E-2</v>
      </c>
      <c r="R748">
        <v>-0.21075389999999999</v>
      </c>
      <c r="S748">
        <v>2.7613979999999998</v>
      </c>
      <c r="T748">
        <v>-0.44708350000000002</v>
      </c>
      <c r="U748">
        <v>-1.508453</v>
      </c>
      <c r="V748">
        <v>0.13367699999999999</v>
      </c>
      <c r="W748">
        <v>3.2661170000000003E-2</v>
      </c>
      <c r="X748">
        <v>0.99048659999999999</v>
      </c>
      <c r="Y748">
        <v>0.40552080000000001</v>
      </c>
      <c r="Z748">
        <v>-1.873201E-2</v>
      </c>
      <c r="AA748">
        <v>0.91389390000000004</v>
      </c>
      <c r="AB748">
        <v>35</v>
      </c>
      <c r="AC748">
        <v>6.4138000000000002</v>
      </c>
      <c r="AD748">
        <v>-1.0975234396259901</v>
      </c>
      <c r="AE748">
        <v>-3.6702000000000199</v>
      </c>
      <c r="AF748">
        <v>3.0854274437056302</v>
      </c>
      <c r="AG748">
        <v>-1.0975234396259901</v>
      </c>
      <c r="AH748">
        <v>6.5387805904688401</v>
      </c>
      <c r="AI748">
        <v>98.631462414107403</v>
      </c>
      <c r="AJ748">
        <v>64.738974361260304</v>
      </c>
      <c r="AK748">
        <v>7.3130070300248198</v>
      </c>
      <c r="AL748">
        <v>88.128319931974005</v>
      </c>
      <c r="AM748">
        <v>82.313750304939504</v>
      </c>
      <c r="AN748">
        <v>0.99999999856716404</v>
      </c>
    </row>
    <row r="749" spans="1:40" x14ac:dyDescent="0.3">
      <c r="A749" t="str">
        <f>"20200111153844638"</f>
        <v>20200111153844638</v>
      </c>
      <c r="B749" t="str">
        <f>"1578728324630735"</f>
        <v>1578728324630735</v>
      </c>
      <c r="C749" t="s">
        <v>40</v>
      </c>
      <c r="D749">
        <v>5.6540280000000003</v>
      </c>
      <c r="E749">
        <v>0.61722949999999999</v>
      </c>
      <c r="F749" t="s">
        <v>52</v>
      </c>
      <c r="G749">
        <v>-207.6431</v>
      </c>
      <c r="H749" s="1">
        <v>-5.3808019999999999E-6</v>
      </c>
      <c r="I749">
        <v>363.95209999999997</v>
      </c>
      <c r="J749">
        <v>-213.90479999999999</v>
      </c>
      <c r="K749">
        <v>1.0972649999999999</v>
      </c>
      <c r="L749">
        <v>367.62329999999997</v>
      </c>
      <c r="M749">
        <v>0.99610969999999999</v>
      </c>
      <c r="N749">
        <v>0</v>
      </c>
      <c r="O749">
        <v>-8.6944850000000004E-2</v>
      </c>
      <c r="P749">
        <v>0.97516950000000002</v>
      </c>
      <c r="Q749">
        <v>2.2561999999999999E-2</v>
      </c>
      <c r="R749">
        <v>-0.220308</v>
      </c>
      <c r="S749">
        <v>2.7469939999999999</v>
      </c>
      <c r="T749">
        <v>-0.45636209999999999</v>
      </c>
      <c r="U749">
        <v>-1.541077</v>
      </c>
      <c r="V749">
        <v>0.13530790000000001</v>
      </c>
      <c r="W749">
        <v>3.4392550000000001E-2</v>
      </c>
      <c r="X749">
        <v>0.99020649999999999</v>
      </c>
      <c r="Y749">
        <v>0.40826499999999999</v>
      </c>
      <c r="Z749">
        <v>-1.8124390000000001E-2</v>
      </c>
      <c r="AA749">
        <v>0.91268349999999998</v>
      </c>
      <c r="AB749">
        <v>35</v>
      </c>
      <c r="AC749">
        <v>6.2616999999999896</v>
      </c>
      <c r="AD749">
        <v>-1.0972703808019999</v>
      </c>
      <c r="AE749">
        <v>-3.67119999999999</v>
      </c>
      <c r="AF749">
        <v>3.0432707940085502</v>
      </c>
      <c r="AG749">
        <v>-1.0972703808019999</v>
      </c>
      <c r="AH749">
        <v>6.4107091395173201</v>
      </c>
      <c r="AI749">
        <v>98.789684952447999</v>
      </c>
      <c r="AJ749">
        <v>64.605526336248403</v>
      </c>
      <c r="AK749">
        <v>7.1807166136634102</v>
      </c>
      <c r="AL749">
        <v>88.029063343206701</v>
      </c>
      <c r="AM749">
        <v>82.218943580909198</v>
      </c>
      <c r="AN749">
        <v>0.99999999397008099</v>
      </c>
    </row>
    <row r="750" spans="1:40" x14ac:dyDescent="0.3">
      <c r="A750" t="str">
        <f>"20200111153844660"</f>
        <v>20200111153844660</v>
      </c>
      <c r="B750" t="str">
        <f>"1578728324651232"</f>
        <v>1578728324651232</v>
      </c>
      <c r="C750" t="s">
        <v>40</v>
      </c>
      <c r="D750">
        <v>5.595758</v>
      </c>
      <c r="E750">
        <v>0.61677789999999999</v>
      </c>
      <c r="F750" t="s">
        <v>52</v>
      </c>
      <c r="G750">
        <v>-207.35339999999999</v>
      </c>
      <c r="H750" s="1">
        <v>-5.2976669999999998E-6</v>
      </c>
      <c r="I750">
        <v>363.86360000000002</v>
      </c>
      <c r="J750">
        <v>-213.56659999999999</v>
      </c>
      <c r="K750">
        <v>1.097043</v>
      </c>
      <c r="L750">
        <v>367.58589999999998</v>
      </c>
      <c r="M750">
        <v>0.99535260000000003</v>
      </c>
      <c r="N750">
        <v>0</v>
      </c>
      <c r="O750">
        <v>-9.5217750000000004E-2</v>
      </c>
      <c r="P750">
        <v>0.9729506</v>
      </c>
      <c r="Q750">
        <v>2.4203880000000001E-2</v>
      </c>
      <c r="R750">
        <v>-0.2297421</v>
      </c>
      <c r="S750">
        <v>2.7326969999999999</v>
      </c>
      <c r="T750">
        <v>-0.45768799999999998</v>
      </c>
      <c r="U750">
        <v>-1.5682069999999999</v>
      </c>
      <c r="V750">
        <v>0.1367254</v>
      </c>
      <c r="W750">
        <v>3.5954659999999999E-2</v>
      </c>
      <c r="X750">
        <v>0.98995630000000001</v>
      </c>
      <c r="Y750">
        <v>0.40961920000000002</v>
      </c>
      <c r="Z750">
        <v>-1.7062850000000001E-2</v>
      </c>
      <c r="AA750">
        <v>0.91209700000000005</v>
      </c>
      <c r="AB750">
        <v>35</v>
      </c>
      <c r="AC750">
        <v>6.2131999999999996</v>
      </c>
      <c r="AD750">
        <v>-1.097048297667</v>
      </c>
      <c r="AE750">
        <v>-3.7222999999999602</v>
      </c>
      <c r="AF750">
        <v>3.0438836860073502</v>
      </c>
      <c r="AG750">
        <v>-1.097048297667</v>
      </c>
      <c r="AH750">
        <v>6.3927680400142002</v>
      </c>
      <c r="AI750">
        <v>98.807407813358296</v>
      </c>
      <c r="AJ750">
        <v>64.538785171761702</v>
      </c>
      <c r="AK750">
        <v>7.1649302909925598</v>
      </c>
      <c r="AL750">
        <v>87.939505669017606</v>
      </c>
      <c r="AM750">
        <v>82.136480417100501</v>
      </c>
      <c r="AN750">
        <v>1.00000002424528</v>
      </c>
    </row>
    <row r="751" spans="1:40" x14ac:dyDescent="0.3">
      <c r="A751" t="str">
        <f>"20200111153844684"</f>
        <v>20200111153844684</v>
      </c>
      <c r="B751" t="str">
        <f>"1578728324681488"</f>
        <v>1578728324681488</v>
      </c>
      <c r="C751" t="s">
        <v>40</v>
      </c>
      <c r="D751">
        <v>5.5763400000000001</v>
      </c>
      <c r="E751">
        <v>0.61662439999999996</v>
      </c>
      <c r="F751" t="s">
        <v>52</v>
      </c>
      <c r="G751">
        <v>-206.84950000000001</v>
      </c>
      <c r="H751" s="1">
        <v>-5.1385239999999998E-6</v>
      </c>
      <c r="I751">
        <v>363.65370000000001</v>
      </c>
      <c r="J751">
        <v>-213.21209999999999</v>
      </c>
      <c r="K751">
        <v>1.0968260000000001</v>
      </c>
      <c r="L751">
        <v>367.54349999999999</v>
      </c>
      <c r="M751">
        <v>0.99445779999999995</v>
      </c>
      <c r="N751">
        <v>0</v>
      </c>
      <c r="O751">
        <v>-0.104144</v>
      </c>
      <c r="P751">
        <v>0.97068100000000002</v>
      </c>
      <c r="Q751">
        <v>2.5526170000000001E-2</v>
      </c>
      <c r="R751">
        <v>-0.2390119</v>
      </c>
      <c r="S751">
        <v>2.718658</v>
      </c>
      <c r="T751">
        <v>-0.4440133</v>
      </c>
      <c r="U751">
        <v>-1.5915220000000001</v>
      </c>
      <c r="V751">
        <v>0.13733529999999999</v>
      </c>
      <c r="W751">
        <v>3.721505E-2</v>
      </c>
      <c r="X751">
        <v>0.98982519999999996</v>
      </c>
      <c r="Y751">
        <v>0.4095955</v>
      </c>
      <c r="Z751">
        <v>-1.527804E-2</v>
      </c>
      <c r="AA751">
        <v>0.91213940000000004</v>
      </c>
      <c r="AB751">
        <v>35</v>
      </c>
      <c r="AC751">
        <v>6.36259999999998</v>
      </c>
      <c r="AD751">
        <v>-1.0968311385239999</v>
      </c>
      <c r="AE751">
        <v>-3.8897999999999802</v>
      </c>
      <c r="AF751">
        <v>3.1380649373407699</v>
      </c>
      <c r="AG751">
        <v>-1.0968311385239999</v>
      </c>
      <c r="AH751">
        <v>6.5905671146844798</v>
      </c>
      <c r="AI751">
        <v>98.545371849869994</v>
      </c>
      <c r="AJ751">
        <v>64.538783490047393</v>
      </c>
      <c r="AK751">
        <v>7.3814676718498102</v>
      </c>
      <c r="AL751">
        <v>87.8672420724711</v>
      </c>
      <c r="AM751">
        <v>82.100811927076194</v>
      </c>
      <c r="AN751">
        <v>0.99999993556381395</v>
      </c>
    </row>
    <row r="752" spans="1:40" x14ac:dyDescent="0.3">
      <c r="A752" t="str">
        <f>"20200111153844706"</f>
        <v>20200111153844706</v>
      </c>
      <c r="B752" t="str">
        <f>"1578728324701007"</f>
        <v>1578728324701007</v>
      </c>
      <c r="C752" t="s">
        <v>40</v>
      </c>
      <c r="D752">
        <v>5.6738350000000004</v>
      </c>
      <c r="E752">
        <v>0.61660009999999998</v>
      </c>
      <c r="F752" t="s">
        <v>52</v>
      </c>
      <c r="G752">
        <v>-206.21700000000001</v>
      </c>
      <c r="H752" s="1">
        <v>-4.9091869999999998E-6</v>
      </c>
      <c r="I752">
        <v>363.35930000000002</v>
      </c>
      <c r="J752">
        <v>-212.86170000000001</v>
      </c>
      <c r="K752">
        <v>1.096617</v>
      </c>
      <c r="L752">
        <v>367.49829999999997</v>
      </c>
      <c r="M752">
        <v>0.99346659999999998</v>
      </c>
      <c r="N752">
        <v>0</v>
      </c>
      <c r="O752">
        <v>-0.1132079</v>
      </c>
      <c r="P752">
        <v>0.96819109999999997</v>
      </c>
      <c r="Q752">
        <v>2.6659849999999999E-2</v>
      </c>
      <c r="R752">
        <v>-0.2487878</v>
      </c>
      <c r="S752">
        <v>2.7035369999999999</v>
      </c>
      <c r="T752">
        <v>-0.4239137</v>
      </c>
      <c r="U752">
        <v>-1.617157</v>
      </c>
      <c r="V752">
        <v>0.13833529999999999</v>
      </c>
      <c r="W752">
        <v>3.8282879999999998E-2</v>
      </c>
      <c r="X752">
        <v>0.9896452</v>
      </c>
      <c r="Y752">
        <v>0.41023539999999997</v>
      </c>
      <c r="Z752">
        <v>-1.339712E-2</v>
      </c>
      <c r="AA752">
        <v>0.91188130000000001</v>
      </c>
      <c r="AB752">
        <v>35</v>
      </c>
      <c r="AC752">
        <v>6.6447000000000003</v>
      </c>
      <c r="AD752">
        <v>-1.096621909187</v>
      </c>
      <c r="AE752">
        <v>-4.1389999999999496</v>
      </c>
      <c r="AF752">
        <v>3.2954086566566798</v>
      </c>
      <c r="AG752">
        <v>-1.096621909187</v>
      </c>
      <c r="AH752">
        <v>6.9345129127160003</v>
      </c>
      <c r="AI752">
        <v>98.128687927638197</v>
      </c>
      <c r="AJ752">
        <v>64.582069403407701</v>
      </c>
      <c r="AK752">
        <v>7.7556280959508204</v>
      </c>
      <c r="AL752">
        <v>87.806016258317001</v>
      </c>
      <c r="AM752">
        <v>82.042599762700306</v>
      </c>
      <c r="AN752">
        <v>0.99999992800510895</v>
      </c>
    </row>
    <row r="753" spans="1:40" x14ac:dyDescent="0.3">
      <c r="A753" t="str">
        <f>"20200111153844728"</f>
        <v>20200111153844728</v>
      </c>
      <c r="B753" t="str">
        <f>"1578728324721503"</f>
        <v>1578728324721503</v>
      </c>
      <c r="C753" t="s">
        <v>40</v>
      </c>
      <c r="D753">
        <v>5.698969</v>
      </c>
      <c r="E753">
        <v>0.61684319999999904</v>
      </c>
      <c r="F753" t="s">
        <v>52</v>
      </c>
      <c r="G753">
        <v>-205.84649999999999</v>
      </c>
      <c r="H753" s="1">
        <v>-4.7705719999999998E-6</v>
      </c>
      <c r="I753">
        <v>363.20609999999999</v>
      </c>
      <c r="J753">
        <v>-212.5179</v>
      </c>
      <c r="K753">
        <v>1.0964210000000001</v>
      </c>
      <c r="L753">
        <v>367.45060000000001</v>
      </c>
      <c r="M753">
        <v>0.99238479999999996</v>
      </c>
      <c r="N753">
        <v>0</v>
      </c>
      <c r="O753">
        <v>-0.1223248</v>
      </c>
      <c r="P753">
        <v>0.9653661</v>
      </c>
      <c r="Q753">
        <v>2.7391189999999999E-2</v>
      </c>
      <c r="R753">
        <v>-0.25945679999999999</v>
      </c>
      <c r="S753">
        <v>2.6876069999999999</v>
      </c>
      <c r="T753">
        <v>-0.420128</v>
      </c>
      <c r="U753">
        <v>-1.644409</v>
      </c>
      <c r="V753">
        <v>0.1402062</v>
      </c>
      <c r="W753">
        <v>3.8931380000000002E-2</v>
      </c>
      <c r="X753">
        <v>0.98935660000000003</v>
      </c>
      <c r="Y753">
        <v>0.41111969999999998</v>
      </c>
      <c r="Z753">
        <v>-1.2101249999999999E-2</v>
      </c>
      <c r="AA753">
        <v>0.91150100000000001</v>
      </c>
      <c r="AB753">
        <v>35</v>
      </c>
      <c r="AC753">
        <v>6.6714000000000002</v>
      </c>
      <c r="AD753">
        <v>-1.096425770572</v>
      </c>
      <c r="AE753">
        <v>-4.2445000000000102</v>
      </c>
      <c r="AF753">
        <v>3.3323822502615701</v>
      </c>
      <c r="AG753">
        <v>-1.096425770572</v>
      </c>
      <c r="AH753">
        <v>7.0058471168479404</v>
      </c>
      <c r="AI753">
        <v>98.044238973462697</v>
      </c>
      <c r="AJ753">
        <v>64.561562609215898</v>
      </c>
      <c r="AK753">
        <v>7.8351014516009503</v>
      </c>
      <c r="AL753">
        <v>87.768832283455495</v>
      </c>
      <c r="AM753">
        <v>81.934065756417496</v>
      </c>
      <c r="AN753">
        <v>0.999999956415351</v>
      </c>
    </row>
    <row r="754" spans="1:40" x14ac:dyDescent="0.3">
      <c r="A754" t="str">
        <f>"20200111153844749"</f>
        <v>20200111153844749</v>
      </c>
      <c r="B754" t="str">
        <f>"1578728324741023"</f>
        <v>1578728324741023</v>
      </c>
      <c r="C754" t="s">
        <v>40</v>
      </c>
      <c r="D754">
        <v>5.6488360000000002</v>
      </c>
      <c r="E754">
        <v>0.61692630000000004</v>
      </c>
      <c r="F754" t="s">
        <v>52</v>
      </c>
      <c r="G754">
        <v>-205.55619999999999</v>
      </c>
      <c r="H754" s="1">
        <v>-4.6633699999999997E-6</v>
      </c>
      <c r="I754">
        <v>363.07960000000003</v>
      </c>
      <c r="J754">
        <v>-212.17959999999999</v>
      </c>
      <c r="K754">
        <v>1.0962270000000001</v>
      </c>
      <c r="L754">
        <v>367.40039999999999</v>
      </c>
      <c r="M754">
        <v>0.99121060000000005</v>
      </c>
      <c r="N754">
        <v>0</v>
      </c>
      <c r="O754">
        <v>-0.13149839999999999</v>
      </c>
      <c r="P754">
        <v>0.96227110000000005</v>
      </c>
      <c r="Q754">
        <v>2.7818030000000001E-2</v>
      </c>
      <c r="R754">
        <v>-0.27066750000000001</v>
      </c>
      <c r="S754">
        <v>2.6691590000000001</v>
      </c>
      <c r="T754">
        <v>-0.420379</v>
      </c>
      <c r="U754">
        <v>-1.6758729999999999</v>
      </c>
      <c r="V754">
        <v>0.14259229999999901</v>
      </c>
      <c r="W754">
        <v>3.9264420000000001E-2</v>
      </c>
      <c r="X754">
        <v>0.98900239999999995</v>
      </c>
      <c r="Y754">
        <v>0.41329490000000002</v>
      </c>
      <c r="Z754">
        <v>-1.1016959999999999E-2</v>
      </c>
      <c r="AA754">
        <v>0.91053059999999997</v>
      </c>
      <c r="AB754">
        <v>35</v>
      </c>
      <c r="AC754">
        <v>6.6234000000000002</v>
      </c>
      <c r="AD754">
        <v>-1.09623166337</v>
      </c>
      <c r="AE754">
        <v>-4.3207999999999602</v>
      </c>
      <c r="AF754">
        <v>3.3478822722795201</v>
      </c>
      <c r="AG754">
        <v>-1.09623166337</v>
      </c>
      <c r="AH754">
        <v>6.9996085123295</v>
      </c>
      <c r="AI754">
        <v>98.041767442032494</v>
      </c>
      <c r="AJ754">
        <v>64.438413245852502</v>
      </c>
      <c r="AK754">
        <v>7.8361061053749204</v>
      </c>
      <c r="AL754">
        <v>87.749735999508005</v>
      </c>
      <c r="AM754">
        <v>81.795750446464794</v>
      </c>
      <c r="AN754">
        <v>1.0000000029514899</v>
      </c>
    </row>
    <row r="755" spans="1:40" x14ac:dyDescent="0.3">
      <c r="A755" t="str">
        <f>"20200111153844772"</f>
        <v>20200111153844772</v>
      </c>
      <c r="B755" t="str">
        <f>"1578728324761519"</f>
        <v>1578728324761519</v>
      </c>
      <c r="C755" t="s">
        <v>40</v>
      </c>
      <c r="D755">
        <v>5.7226759999999999</v>
      </c>
      <c r="E755">
        <v>0.6169232</v>
      </c>
      <c r="F755" t="s">
        <v>52</v>
      </c>
      <c r="G755">
        <v>-205.23220000000001</v>
      </c>
      <c r="H755" s="1">
        <v>-4.54745E-6</v>
      </c>
      <c r="I755">
        <v>362.92169999999999</v>
      </c>
      <c r="J755">
        <v>-211.84610000000001</v>
      </c>
      <c r="K755">
        <v>1.096033</v>
      </c>
      <c r="L755">
        <v>367.3476</v>
      </c>
      <c r="M755">
        <v>0.98993940000000002</v>
      </c>
      <c r="N755">
        <v>0</v>
      </c>
      <c r="O755">
        <v>-0.14074539999999999</v>
      </c>
      <c r="P755">
        <v>0.95899109999999999</v>
      </c>
      <c r="Q755">
        <v>2.8255659999999998E-2</v>
      </c>
      <c r="R755">
        <v>-0.2820241</v>
      </c>
      <c r="S755">
        <v>2.649292</v>
      </c>
      <c r="T755">
        <v>-0.41802820000000002</v>
      </c>
      <c r="U755">
        <v>-1.707886</v>
      </c>
      <c r="V755">
        <v>0.14508199999999999</v>
      </c>
      <c r="W755">
        <v>3.9605099999999997E-2</v>
      </c>
      <c r="X755">
        <v>0.98862669999999997</v>
      </c>
      <c r="Y755">
        <v>0.41576380000000002</v>
      </c>
      <c r="Z755">
        <v>-9.8820239999999997E-3</v>
      </c>
      <c r="AA755">
        <v>0.90941890000000003</v>
      </c>
      <c r="AB755">
        <v>34</v>
      </c>
      <c r="AC755">
        <v>6.6139000000000001</v>
      </c>
      <c r="AD755">
        <v>-1.0960375474499999</v>
      </c>
      <c r="AE755">
        <v>-4.4259000000000102</v>
      </c>
      <c r="AF755">
        <v>3.3866222963175501</v>
      </c>
      <c r="AG755">
        <v>-1.0960375474499999</v>
      </c>
      <c r="AH755">
        <v>7.0375512358081203</v>
      </c>
      <c r="AI755">
        <v>97.988571764666702</v>
      </c>
      <c r="AJ755">
        <v>64.302131131433995</v>
      </c>
      <c r="AK755">
        <v>7.8865478049625599</v>
      </c>
      <c r="AL755">
        <v>87.730201387995706</v>
      </c>
      <c r="AM755">
        <v>81.651375832935898</v>
      </c>
      <c r="AN755">
        <v>1.00000005131144</v>
      </c>
    </row>
    <row r="756" spans="1:40" x14ac:dyDescent="0.3">
      <c r="A756" t="str">
        <f>"20200111153844794"</f>
        <v>20200111153844794</v>
      </c>
      <c r="B756" t="str">
        <f>"1578728324790801"</f>
        <v>1578728324790801</v>
      </c>
      <c r="C756" t="s">
        <v>40</v>
      </c>
      <c r="D756">
        <v>5.6262129999999999</v>
      </c>
      <c r="E756">
        <v>0.61718809999999902</v>
      </c>
      <c r="F756" t="s">
        <v>52</v>
      </c>
      <c r="G756">
        <v>-204.9092</v>
      </c>
      <c r="H756" s="1">
        <v>-4.4299380000000003E-6</v>
      </c>
      <c r="I756">
        <v>362.75779999999997</v>
      </c>
      <c r="J756">
        <v>-211.49889999999999</v>
      </c>
      <c r="K756">
        <v>1.0958300000000001</v>
      </c>
      <c r="L756">
        <v>367.28910000000002</v>
      </c>
      <c r="M756">
        <v>0.9884908</v>
      </c>
      <c r="N756">
        <v>0</v>
      </c>
      <c r="O756">
        <v>-0.15058060000000001</v>
      </c>
      <c r="P756">
        <v>0.95530349999999997</v>
      </c>
      <c r="Q756">
        <v>2.835244E-2</v>
      </c>
      <c r="R756">
        <v>-0.29426380000000002</v>
      </c>
      <c r="S756">
        <v>2.6289980000000002</v>
      </c>
      <c r="T756">
        <v>-0.41538750000000002</v>
      </c>
      <c r="U756">
        <v>-1.739471</v>
      </c>
      <c r="V756">
        <v>0.1479174</v>
      </c>
      <c r="W756">
        <v>3.9593660000000003E-2</v>
      </c>
      <c r="X756">
        <v>0.9882069</v>
      </c>
      <c r="Y756">
        <v>0.41765089999999999</v>
      </c>
      <c r="Z756">
        <v>-8.6276809999999999E-3</v>
      </c>
      <c r="AA756">
        <v>0.90856669999999995</v>
      </c>
      <c r="AB756">
        <v>34</v>
      </c>
      <c r="AC756">
        <v>6.5896999999999899</v>
      </c>
      <c r="AD756">
        <v>-1.0958344299379901</v>
      </c>
      <c r="AE756">
        <v>-4.5313000000000399</v>
      </c>
      <c r="AF756">
        <v>3.4229664358307801</v>
      </c>
      <c r="AG756">
        <v>-1.0958344299379901</v>
      </c>
      <c r="AH756">
        <v>7.0643051663952301</v>
      </c>
      <c r="AI756">
        <v>97.947037043591706</v>
      </c>
      <c r="AJ756">
        <v>64.147771692251496</v>
      </c>
      <c r="AK756">
        <v>7.9260305199147396</v>
      </c>
      <c r="AL756">
        <v>87.730857354534905</v>
      </c>
      <c r="AM756">
        <v>81.4870194839459</v>
      </c>
      <c r="AN756">
        <v>1.0000000461712799</v>
      </c>
    </row>
    <row r="757" spans="1:40" x14ac:dyDescent="0.3">
      <c r="A757" t="str">
        <f>"20200111153844818"</f>
        <v>20200111153844818</v>
      </c>
      <c r="B757" t="str">
        <f>"1578728324811295"</f>
        <v>1578728324811295</v>
      </c>
      <c r="C757" t="s">
        <v>40</v>
      </c>
      <c r="D757">
        <v>5.5868120000000001</v>
      </c>
      <c r="E757">
        <v>0.6173826</v>
      </c>
      <c r="F757" t="s">
        <v>52</v>
      </c>
      <c r="G757">
        <v>-204.61349999999999</v>
      </c>
      <c r="H757" s="1">
        <v>-4.316252E-6</v>
      </c>
      <c r="I757">
        <v>362.5994</v>
      </c>
      <c r="J757">
        <v>-211.149</v>
      </c>
      <c r="K757">
        <v>1.0956220000000001</v>
      </c>
      <c r="L757">
        <v>367.226</v>
      </c>
      <c r="M757">
        <v>0.9868865</v>
      </c>
      <c r="N757">
        <v>0</v>
      </c>
      <c r="O757">
        <v>-0.16075599999999901</v>
      </c>
      <c r="P757">
        <v>0.95146929999999996</v>
      </c>
      <c r="Q757">
        <v>2.8214179999999998E-2</v>
      </c>
      <c r="R757">
        <v>-0.306448</v>
      </c>
      <c r="S757">
        <v>2.6059420000000002</v>
      </c>
      <c r="T757">
        <v>-0.41474040000000001</v>
      </c>
      <c r="U757">
        <v>-1.774902</v>
      </c>
      <c r="V757">
        <v>0.15038290000000001</v>
      </c>
      <c r="W757">
        <v>3.9353050000000001E-2</v>
      </c>
      <c r="X757">
        <v>0.98784430000000001</v>
      </c>
      <c r="Y757">
        <v>0.4205392</v>
      </c>
      <c r="Z757">
        <v>-7.4488089999999998E-3</v>
      </c>
      <c r="AA757">
        <v>0.90724380000000004</v>
      </c>
      <c r="AB757">
        <v>34</v>
      </c>
      <c r="AC757">
        <v>6.5355000000000096</v>
      </c>
      <c r="AD757">
        <v>-1.0956263162519999</v>
      </c>
      <c r="AE757">
        <v>-4.6265999999999901</v>
      </c>
      <c r="AF757">
        <v>3.4510721838334399</v>
      </c>
      <c r="AG757">
        <v>-1.0956263162519999</v>
      </c>
      <c r="AH757">
        <v>7.0621009817062204</v>
      </c>
      <c r="AI757">
        <v>97.935252207853395</v>
      </c>
      <c r="AJ757">
        <v>63.956396498613998</v>
      </c>
      <c r="AK757">
        <v>7.9362186536604904</v>
      </c>
      <c r="AL757">
        <v>87.744653985425401</v>
      </c>
      <c r="AM757">
        <v>81.344126826642906</v>
      </c>
      <c r="AN757">
        <v>1.0000000200996</v>
      </c>
    </row>
    <row r="758" spans="1:40" x14ac:dyDescent="0.3">
      <c r="A758" t="str">
        <f>"20200111153844839"</f>
        <v>20200111153844839</v>
      </c>
      <c r="B758" t="str">
        <f>"1578728324830816"</f>
        <v>1578728324830816</v>
      </c>
      <c r="C758" t="s">
        <v>40</v>
      </c>
      <c r="D758">
        <v>5.6768769999999904</v>
      </c>
      <c r="E758">
        <v>0.61755839999999995</v>
      </c>
      <c r="F758" t="s">
        <v>52</v>
      </c>
      <c r="G758">
        <v>-204.32040000000001</v>
      </c>
      <c r="H758" s="1">
        <v>-4.2039760000000001E-6</v>
      </c>
      <c r="I758">
        <v>362.44069999999999</v>
      </c>
      <c r="J758">
        <v>-210.8107</v>
      </c>
      <c r="K758">
        <v>1.0954170000000001</v>
      </c>
      <c r="L758">
        <v>367.16129999999998</v>
      </c>
      <c r="M758">
        <v>0.98519310000000004</v>
      </c>
      <c r="N758">
        <v>0</v>
      </c>
      <c r="O758">
        <v>-0.17082510000000001</v>
      </c>
      <c r="P758">
        <v>0.94770659999999896</v>
      </c>
      <c r="Q758">
        <v>2.8637550000000001E-2</v>
      </c>
      <c r="R758">
        <v>-0.31785600000000003</v>
      </c>
      <c r="S758">
        <v>2.5824280000000002</v>
      </c>
      <c r="T758">
        <v>-0.41434539999999997</v>
      </c>
      <c r="U758">
        <v>-1.809723</v>
      </c>
      <c r="V758">
        <v>0.152195</v>
      </c>
      <c r="W758">
        <v>3.9689910000000002E-2</v>
      </c>
      <c r="X758">
        <v>0.98755320000000002</v>
      </c>
      <c r="Y758">
        <v>0.42342610000000003</v>
      </c>
      <c r="Z758">
        <v>-6.2891190000000001E-3</v>
      </c>
      <c r="AA758">
        <v>0.90590879999999996</v>
      </c>
      <c r="AB758">
        <v>34</v>
      </c>
      <c r="AC758">
        <v>6.4902999999999897</v>
      </c>
      <c r="AD758">
        <v>-1.0954212039759901</v>
      </c>
      <c r="AE758">
        <v>-4.7205999999999904</v>
      </c>
      <c r="AF758">
        <v>3.4775854944013802</v>
      </c>
      <c r="AG758">
        <v>-1.0954212039759901</v>
      </c>
      <c r="AH758">
        <v>7.0696535154426803</v>
      </c>
      <c r="AI758">
        <v>97.915439169548506</v>
      </c>
      <c r="AJ758">
        <v>63.807277442379402</v>
      </c>
      <c r="AK758">
        <v>7.9544672551593401</v>
      </c>
      <c r="AL758">
        <v>87.725338112836198</v>
      </c>
      <c r="AM758">
        <v>81.238890574766899</v>
      </c>
      <c r="AN758">
        <v>0.99999996490552301</v>
      </c>
    </row>
    <row r="759" spans="1:40" x14ac:dyDescent="0.3">
      <c r="A759" t="str">
        <f>"20200111153844862"</f>
        <v>20200111153844862</v>
      </c>
      <c r="B759" t="str">
        <f>"1578728324851311"</f>
        <v>1578728324851311</v>
      </c>
      <c r="C759" t="s">
        <v>40</v>
      </c>
      <c r="D759">
        <v>5.5937970000000004</v>
      </c>
      <c r="E759">
        <v>0.61768679999999998</v>
      </c>
      <c r="F759" t="s">
        <v>52</v>
      </c>
      <c r="G759">
        <v>-203.99780000000001</v>
      </c>
      <c r="H759" s="1">
        <v>-4.0820839999999998E-6</v>
      </c>
      <c r="I759">
        <v>362.25810000000001</v>
      </c>
      <c r="J759">
        <v>-210.48150000000001</v>
      </c>
      <c r="K759">
        <v>1.0952230000000001</v>
      </c>
      <c r="L759">
        <v>367.09480000000002</v>
      </c>
      <c r="M759">
        <v>0.98340550000000004</v>
      </c>
      <c r="N759">
        <v>0</v>
      </c>
      <c r="O759">
        <v>-0.18082999999999999</v>
      </c>
      <c r="P759">
        <v>0.94378660000000003</v>
      </c>
      <c r="Q759">
        <v>3.0292050000000001E-2</v>
      </c>
      <c r="R759">
        <v>-0.32916529999999999</v>
      </c>
      <c r="S759">
        <v>2.5600429999999998</v>
      </c>
      <c r="T759">
        <v>-0.41161550000000002</v>
      </c>
      <c r="U759">
        <v>-1.842438</v>
      </c>
      <c r="V759">
        <v>0.15403240000000001</v>
      </c>
      <c r="W759">
        <v>4.1259799999999999E-2</v>
      </c>
      <c r="X759">
        <v>0.98720399999999997</v>
      </c>
      <c r="Y759">
        <v>0.42569439999999997</v>
      </c>
      <c r="Z759">
        <v>-5.0622820000000004E-3</v>
      </c>
      <c r="AA759">
        <v>0.90485289999999996</v>
      </c>
      <c r="AB759">
        <v>34</v>
      </c>
      <c r="AC759">
        <v>6.48369999999999</v>
      </c>
      <c r="AD759">
        <v>-1.095227082084</v>
      </c>
      <c r="AE759">
        <v>-4.8367000000000004</v>
      </c>
      <c r="AF759">
        <v>3.5198466680640701</v>
      </c>
      <c r="AG759">
        <v>-1.095227082084</v>
      </c>
      <c r="AH759">
        <v>7.1209592815893696</v>
      </c>
      <c r="AI759">
        <v>97.850394377086403</v>
      </c>
      <c r="AJ759">
        <v>63.697094118869103</v>
      </c>
      <c r="AK759">
        <v>8.01853502942188</v>
      </c>
      <c r="AL759">
        <v>87.635316449606705</v>
      </c>
      <c r="AM759">
        <v>81.131704859063106</v>
      </c>
      <c r="AN759">
        <v>1.0000000444808901</v>
      </c>
    </row>
    <row r="760" spans="1:40" x14ac:dyDescent="0.3">
      <c r="A760" t="str">
        <f>"20200111153844883"</f>
        <v>20200111153844883</v>
      </c>
      <c r="B760" t="str">
        <f>"1578728324881569"</f>
        <v>1578728324881569</v>
      </c>
      <c r="C760" t="s">
        <v>40</v>
      </c>
      <c r="D760">
        <v>5.5047030000000001</v>
      </c>
      <c r="E760">
        <v>0.61768970000000001</v>
      </c>
      <c r="F760" t="s">
        <v>52</v>
      </c>
      <c r="G760">
        <v>-203.6266</v>
      </c>
      <c r="H760" s="1">
        <v>-3.9454039999999996E-6</v>
      </c>
      <c r="I760">
        <v>362.03210000000001</v>
      </c>
      <c r="J760">
        <v>-210.14340000000001</v>
      </c>
      <c r="K760">
        <v>1.095024</v>
      </c>
      <c r="L760">
        <v>367.02260000000001</v>
      </c>
      <c r="M760">
        <v>0.98141400000000001</v>
      </c>
      <c r="N760">
        <v>0</v>
      </c>
      <c r="O760">
        <v>-0.19134100000000001</v>
      </c>
      <c r="P760">
        <v>0.93966899999999998</v>
      </c>
      <c r="Q760">
        <v>3.1276360000000003E-2</v>
      </c>
      <c r="R760">
        <v>-0.34065240000000002</v>
      </c>
      <c r="S760">
        <v>2.5379640000000001</v>
      </c>
      <c r="T760">
        <v>-0.40549469999999999</v>
      </c>
      <c r="U760">
        <v>-1.87439</v>
      </c>
      <c r="V760">
        <v>0.15556159999999999</v>
      </c>
      <c r="W760">
        <v>4.2164519999999997E-2</v>
      </c>
      <c r="X760">
        <v>0.98692590000000002</v>
      </c>
      <c r="Y760">
        <v>0.4272822</v>
      </c>
      <c r="Z760">
        <v>-3.6988799999999999E-3</v>
      </c>
      <c r="AA760">
        <v>0.90411070000000004</v>
      </c>
      <c r="AB760">
        <v>34</v>
      </c>
      <c r="AC760">
        <v>6.5168000000000097</v>
      </c>
      <c r="AD760">
        <v>-1.0950279454039999</v>
      </c>
      <c r="AE760">
        <v>-4.9904999999999902</v>
      </c>
      <c r="AF760">
        <v>3.5873622385596202</v>
      </c>
      <c r="AG760">
        <v>-1.0950279454039999</v>
      </c>
      <c r="AH760">
        <v>7.22280889868322</v>
      </c>
      <c r="AI760">
        <v>97.732428204251804</v>
      </c>
      <c r="AJ760">
        <v>63.587726005672003</v>
      </c>
      <c r="AK760">
        <v>8.1386253396232</v>
      </c>
      <c r="AL760">
        <v>87.583434538805705</v>
      </c>
      <c r="AM760">
        <v>81.042599866090399</v>
      </c>
      <c r="AN760">
        <v>0.99999999511610005</v>
      </c>
    </row>
    <row r="761" spans="1:40" x14ac:dyDescent="0.3">
      <c r="A761" t="str">
        <f>"20200111153844906"</f>
        <v>20200111153844906</v>
      </c>
      <c r="B761" t="str">
        <f>"1578728324901087"</f>
        <v>1578728324901087</v>
      </c>
      <c r="C761" t="s">
        <v>40</v>
      </c>
      <c r="D761">
        <v>5.5166810000000002</v>
      </c>
      <c r="E761">
        <v>0.61772590000000005</v>
      </c>
      <c r="F761" t="s">
        <v>52</v>
      </c>
      <c r="G761">
        <v>-203.2739</v>
      </c>
      <c r="H761" s="1">
        <v>-3.8154139999999999E-6</v>
      </c>
      <c r="I761">
        <v>361.81790000000001</v>
      </c>
      <c r="J761">
        <v>-209.79390000000001</v>
      </c>
      <c r="K761">
        <v>1.094805</v>
      </c>
      <c r="L761">
        <v>366.94380000000001</v>
      </c>
      <c r="M761">
        <v>0.97917639999999995</v>
      </c>
      <c r="N761">
        <v>0</v>
      </c>
      <c r="O761">
        <v>-0.2024774</v>
      </c>
      <c r="P761">
        <v>0.935643</v>
      </c>
      <c r="Q761">
        <v>3.0900520000000001E-2</v>
      </c>
      <c r="R761">
        <v>-0.35159269999999998</v>
      </c>
      <c r="S761">
        <v>2.5151370000000002</v>
      </c>
      <c r="T761">
        <v>-0.40092309999999998</v>
      </c>
      <c r="U761">
        <v>-1.9056090000000001</v>
      </c>
      <c r="V761">
        <v>0.1558763</v>
      </c>
      <c r="W761">
        <v>4.1737169999999997E-2</v>
      </c>
      <c r="X761">
        <v>0.98689439999999995</v>
      </c>
      <c r="Y761">
        <v>0.42821550000000003</v>
      </c>
      <c r="Z761">
        <v>-2.2507759999999999E-3</v>
      </c>
      <c r="AA761">
        <v>0.90367379999999997</v>
      </c>
      <c r="AB761">
        <v>34</v>
      </c>
      <c r="AC761">
        <v>6.52</v>
      </c>
      <c r="AD761">
        <v>-1.0948088154140001</v>
      </c>
      <c r="AE761">
        <v>-5.1258999999999997</v>
      </c>
      <c r="AF761">
        <v>3.63604872353786</v>
      </c>
      <c r="AG761">
        <v>-1.0948088154140001</v>
      </c>
      <c r="AH761">
        <v>7.2957810713529199</v>
      </c>
      <c r="AI761">
        <v>97.649353604692607</v>
      </c>
      <c r="AJ761">
        <v>63.509394725952198</v>
      </c>
      <c r="AK761">
        <v>8.2248330137067907</v>
      </c>
      <c r="AL761">
        <v>87.607941439133498</v>
      </c>
      <c r="AM761">
        <v>81.024491993846098</v>
      </c>
      <c r="AN761">
        <v>0.99999998450632899</v>
      </c>
    </row>
    <row r="762" spans="1:40" x14ac:dyDescent="0.3">
      <c r="A762" t="str">
        <f>"20200111153844921"</f>
        <v>20200111153844921</v>
      </c>
      <c r="B762" t="str">
        <f>"1578728324910848"</f>
        <v>1578728324910848</v>
      </c>
      <c r="C762" t="s">
        <v>40</v>
      </c>
      <c r="D762">
        <v>5.5913589999999997</v>
      </c>
      <c r="E762">
        <v>0.61777890000000002</v>
      </c>
      <c r="F762" t="s">
        <v>52</v>
      </c>
      <c r="G762">
        <v>-202.96119999999999</v>
      </c>
      <c r="H762" s="1">
        <v>-3.6985420000000001E-6</v>
      </c>
      <c r="I762">
        <v>361.63549999999998</v>
      </c>
      <c r="J762">
        <v>-209.5703</v>
      </c>
      <c r="K762">
        <v>1.094659</v>
      </c>
      <c r="L762">
        <v>366.89109999999999</v>
      </c>
      <c r="M762">
        <v>0.97764280000000003</v>
      </c>
      <c r="N762">
        <v>0</v>
      </c>
      <c r="O762">
        <v>-0.2097559</v>
      </c>
      <c r="P762">
        <v>0.9330079</v>
      </c>
      <c r="Q762">
        <v>3.095492E-2</v>
      </c>
      <c r="R762">
        <v>-0.35852230000000002</v>
      </c>
      <c r="S762">
        <v>2.4920040000000001</v>
      </c>
      <c r="T762">
        <v>-0.39930120000000002</v>
      </c>
      <c r="U762">
        <v>-1.9360660000000001</v>
      </c>
      <c r="V762">
        <v>0.15587129999999999</v>
      </c>
      <c r="W762">
        <v>4.1763389999999997E-2</v>
      </c>
      <c r="X762">
        <v>0.9868941</v>
      </c>
      <c r="Y762">
        <v>0.43247590000000002</v>
      </c>
      <c r="Z762">
        <v>-1.58621E-3</v>
      </c>
      <c r="AA762">
        <v>0.90164409999999895</v>
      </c>
      <c r="AB762">
        <v>34</v>
      </c>
      <c r="AC762">
        <v>6.6091000000000104</v>
      </c>
      <c r="AD762">
        <v>-1.094662698542</v>
      </c>
      <c r="AE762">
        <v>-5.25560000000001</v>
      </c>
      <c r="AF762">
        <v>3.6901919561001799</v>
      </c>
      <c r="AG762">
        <v>-1.094662698542</v>
      </c>
      <c r="AH762">
        <v>7.4395250925563596</v>
      </c>
      <c r="AI762">
        <v>97.509222059714503</v>
      </c>
      <c r="AJ762">
        <v>63.617429537363797</v>
      </c>
      <c r="AK762">
        <v>8.3762961205547999</v>
      </c>
      <c r="AL762">
        <v>87.606437878857193</v>
      </c>
      <c r="AM762">
        <v>81.024772527947903</v>
      </c>
      <c r="AN762">
        <v>1.0000000037613901</v>
      </c>
    </row>
    <row r="763" spans="1:40" x14ac:dyDescent="0.3">
      <c r="A763" t="str">
        <f>"20200111153844940"</f>
        <v>20200111153844940</v>
      </c>
      <c r="B763" t="str">
        <f>"1578728324931346"</f>
        <v>1578728324931346</v>
      </c>
      <c r="C763" t="s">
        <v>40</v>
      </c>
      <c r="D763">
        <v>5.4959569999999998</v>
      </c>
      <c r="E763">
        <v>0.61779110000000004</v>
      </c>
      <c r="F763" t="s">
        <v>52</v>
      </c>
      <c r="G763">
        <v>-202.75829999999999</v>
      </c>
      <c r="H763" s="1">
        <v>-3.6232279999999998E-6</v>
      </c>
      <c r="I763">
        <v>361.5145</v>
      </c>
      <c r="J763">
        <v>-209.29650000000001</v>
      </c>
      <c r="K763">
        <v>1.0944670000000001</v>
      </c>
      <c r="L763">
        <v>366.82400000000001</v>
      </c>
      <c r="M763">
        <v>0.97564620000000002</v>
      </c>
      <c r="N763">
        <v>0</v>
      </c>
      <c r="O763">
        <v>-0.21885209999999999</v>
      </c>
      <c r="P763">
        <v>0.92940880000000003</v>
      </c>
      <c r="Q763">
        <v>3.2044580000000003E-2</v>
      </c>
      <c r="R763">
        <v>-0.3676585</v>
      </c>
      <c r="S763">
        <v>2.4772799999999999</v>
      </c>
      <c r="T763">
        <v>-0.39808670000000002</v>
      </c>
      <c r="U763">
        <v>-1.9552609999999999</v>
      </c>
      <c r="V763">
        <v>0.15641659999999999</v>
      </c>
      <c r="W763">
        <v>4.2801480000000003E-2</v>
      </c>
      <c r="X763">
        <v>0.98676339999999996</v>
      </c>
      <c r="Y763">
        <v>0.43108229999999997</v>
      </c>
      <c r="Z763">
        <v>-2.8136559999999999E-4</v>
      </c>
      <c r="AA763">
        <v>0.90231260000000002</v>
      </c>
      <c r="AB763">
        <v>34</v>
      </c>
      <c r="AC763">
        <v>6.5382000000000096</v>
      </c>
      <c r="AD763">
        <v>-1.0944706232279999</v>
      </c>
      <c r="AE763">
        <v>-5.3095000000000097</v>
      </c>
      <c r="AF763">
        <v>3.6874382153106802</v>
      </c>
      <c r="AG763">
        <v>-1.0944706232279999</v>
      </c>
      <c r="AH763">
        <v>7.4165531198968901</v>
      </c>
      <c r="AI763">
        <v>97.527453527148197</v>
      </c>
      <c r="AJ763">
        <v>63.563881013588997</v>
      </c>
      <c r="AK763">
        <v>8.3546589826931292</v>
      </c>
      <c r="AL763">
        <v>87.546906608233797</v>
      </c>
      <c r="AM763">
        <v>80.992714038288796</v>
      </c>
      <c r="AN763">
        <v>1.00000006351265</v>
      </c>
    </row>
    <row r="764" spans="1:40" x14ac:dyDescent="0.3">
      <c r="A764" t="str">
        <f>"20200111153844955"</f>
        <v>20200111153844955</v>
      </c>
      <c r="B764" t="str">
        <f>"1578728324951371"</f>
        <v>1578728324951371</v>
      </c>
      <c r="C764" t="s">
        <v>40</v>
      </c>
      <c r="D764">
        <v>5.4547800000000004</v>
      </c>
      <c r="E764">
        <v>0.6178998</v>
      </c>
      <c r="F764" t="s">
        <v>52</v>
      </c>
      <c r="G764">
        <v>-202.45079999999999</v>
      </c>
      <c r="H764" s="1">
        <v>-3.5142109999999998E-6</v>
      </c>
      <c r="I764">
        <v>361.30829999999997</v>
      </c>
      <c r="J764">
        <v>-209.06370000000001</v>
      </c>
      <c r="K764">
        <v>1.094301</v>
      </c>
      <c r="L764">
        <v>366.76499999999999</v>
      </c>
      <c r="M764">
        <v>0.97384479999999995</v>
      </c>
      <c r="N764">
        <v>0</v>
      </c>
      <c r="O764">
        <v>-0.22673109999999999</v>
      </c>
      <c r="P764">
        <v>0.92636479999999999</v>
      </c>
      <c r="Q764">
        <v>3.2734689999999997E-2</v>
      </c>
      <c r="R764">
        <v>-0.37520209999999998</v>
      </c>
      <c r="S764">
        <v>2.4579620000000002</v>
      </c>
      <c r="T764">
        <v>-0.39297189999999999</v>
      </c>
      <c r="U764">
        <v>-1.9804379999999999</v>
      </c>
      <c r="V764">
        <v>0.1565037</v>
      </c>
      <c r="W764">
        <v>4.3457000000000003E-2</v>
      </c>
      <c r="X764">
        <v>0.98672090000000001</v>
      </c>
      <c r="Y764">
        <v>0.43294480000000002</v>
      </c>
      <c r="Z764">
        <v>6.1915259999999997E-4</v>
      </c>
      <c r="AA764">
        <v>0.9014202</v>
      </c>
      <c r="AB764">
        <v>34</v>
      </c>
      <c r="AC764">
        <v>6.6129000000000202</v>
      </c>
      <c r="AD764">
        <v>-1.0943045142109999</v>
      </c>
      <c r="AE764">
        <v>-5.4567000000000103</v>
      </c>
      <c r="AF764">
        <v>3.7538917420900999</v>
      </c>
      <c r="AG764">
        <v>-1.0943045142109999</v>
      </c>
      <c r="AH764">
        <v>7.5549052779720496</v>
      </c>
      <c r="AI764">
        <v>97.390932794750995</v>
      </c>
      <c r="AJ764">
        <v>63.578074188712101</v>
      </c>
      <c r="AK764">
        <v>8.5068089986953801</v>
      </c>
      <c r="AL764">
        <v>87.509313008180897</v>
      </c>
      <c r="AM764">
        <v>80.987398860148602</v>
      </c>
      <c r="AN764">
        <v>1.00000002672974</v>
      </c>
    </row>
    <row r="765" spans="1:40" x14ac:dyDescent="0.3">
      <c r="A765" t="str">
        <f>"20200111153844968"</f>
        <v>20200111153844968</v>
      </c>
      <c r="B765" t="str">
        <f>"1578728324961131"</f>
        <v>1578728324961131</v>
      </c>
      <c r="C765" t="s">
        <v>40</v>
      </c>
      <c r="D765">
        <v>5.4517160000000002</v>
      </c>
      <c r="E765">
        <v>0.61789179999999999</v>
      </c>
      <c r="F765" t="s">
        <v>52</v>
      </c>
      <c r="G765">
        <v>-202.221</v>
      </c>
      <c r="H765" s="1">
        <v>-3.4321679999999999E-6</v>
      </c>
      <c r="I765">
        <v>361.1567</v>
      </c>
      <c r="J765">
        <v>-208.84460000000001</v>
      </c>
      <c r="K765">
        <v>1.094139</v>
      </c>
      <c r="L765">
        <v>366.70690000000002</v>
      </c>
      <c r="M765">
        <v>0.97204579999999996</v>
      </c>
      <c r="N765">
        <v>0</v>
      </c>
      <c r="O765">
        <v>-0.2343219</v>
      </c>
      <c r="P765">
        <v>0.92327729999999997</v>
      </c>
      <c r="Q765">
        <v>3.3601789999999999E-2</v>
      </c>
      <c r="R765">
        <v>-0.38266220000000001</v>
      </c>
      <c r="S765">
        <v>2.4417110000000002</v>
      </c>
      <c r="T765">
        <v>-0.39048579999999999</v>
      </c>
      <c r="U765">
        <v>-2.0012210000000001</v>
      </c>
      <c r="V765">
        <v>0.15681210000000001</v>
      </c>
      <c r="W765">
        <v>4.4286850000000003E-2</v>
      </c>
      <c r="X765">
        <v>0.98663500000000004</v>
      </c>
      <c r="Y765">
        <v>0.43351529999999999</v>
      </c>
      <c r="Z765">
        <v>1.5613339999999999E-3</v>
      </c>
      <c r="AA765">
        <v>0.90114490000000003</v>
      </c>
      <c r="AB765">
        <v>34</v>
      </c>
      <c r="AC765">
        <v>6.6236000000000397</v>
      </c>
      <c r="AD765">
        <v>-1.094142432168</v>
      </c>
      <c r="AE765">
        <v>-5.55020000000001</v>
      </c>
      <c r="AF765">
        <v>3.7827753934863302</v>
      </c>
      <c r="AG765">
        <v>-1.094142432168</v>
      </c>
      <c r="AH765">
        <v>7.6177083275035198</v>
      </c>
      <c r="AI765">
        <v>97.330471426686699</v>
      </c>
      <c r="AJ765">
        <v>63.592082552686101</v>
      </c>
      <c r="AK765">
        <v>8.5753144258594194</v>
      </c>
      <c r="AL765">
        <v>87.461720191976198</v>
      </c>
      <c r="AM765">
        <v>80.969158106318503</v>
      </c>
      <c r="AN765">
        <v>0.99999999150716601</v>
      </c>
    </row>
    <row r="766" spans="1:40" x14ac:dyDescent="0.3">
      <c r="A766" t="str">
        <f>"20200111153844984"</f>
        <v>20200111153844984</v>
      </c>
      <c r="B766" t="str">
        <f>"1578728324981627"</f>
        <v>1578728324981627</v>
      </c>
      <c r="C766" t="s">
        <v>40</v>
      </c>
      <c r="D766">
        <v>5.4715720000000001</v>
      </c>
      <c r="E766">
        <v>0.61784839999999996</v>
      </c>
      <c r="F766" t="s">
        <v>52</v>
      </c>
      <c r="G766">
        <v>-201.9847</v>
      </c>
      <c r="H766" s="1">
        <v>-3.3505130000000001E-6</v>
      </c>
      <c r="I766">
        <v>360.98880000000003</v>
      </c>
      <c r="J766">
        <v>-208.63140000000001</v>
      </c>
      <c r="K766">
        <v>1.0939840000000001</v>
      </c>
      <c r="L766">
        <v>366.64859999999999</v>
      </c>
      <c r="M766">
        <v>0.97020379999999995</v>
      </c>
      <c r="N766">
        <v>0</v>
      </c>
      <c r="O766">
        <v>-0.24183370000000001</v>
      </c>
      <c r="P766">
        <v>0.920126</v>
      </c>
      <c r="Q766">
        <v>3.5256999999999997E-2</v>
      </c>
      <c r="R766">
        <v>-0.39003280000000001</v>
      </c>
      <c r="S766">
        <v>2.425446</v>
      </c>
      <c r="T766">
        <v>-0.38685360000000002</v>
      </c>
      <c r="U766">
        <v>-2.0217290000000001</v>
      </c>
      <c r="V766">
        <v>0.15714589999999901</v>
      </c>
      <c r="W766">
        <v>4.5904069999999998E-2</v>
      </c>
      <c r="X766">
        <v>0.98650800000000005</v>
      </c>
      <c r="Y766">
        <v>0.43409120000000001</v>
      </c>
      <c r="Z766">
        <v>2.475213E-3</v>
      </c>
      <c r="AA766">
        <v>0.90086560000000004</v>
      </c>
      <c r="AB766">
        <v>34</v>
      </c>
      <c r="AC766">
        <v>6.6467000000000098</v>
      </c>
      <c r="AD766">
        <v>-1.093987350513</v>
      </c>
      <c r="AE766">
        <v>-5.6597999999999598</v>
      </c>
      <c r="AF766">
        <v>3.8241396612095402</v>
      </c>
      <c r="AG766">
        <v>-1.093987350513</v>
      </c>
      <c r="AH766">
        <v>7.69737105855961</v>
      </c>
      <c r="AI766">
        <v>97.253730314308896</v>
      </c>
      <c r="AJ766">
        <v>63.581301935701298</v>
      </c>
      <c r="AK766">
        <v>8.6643161117695495</v>
      </c>
      <c r="AL766">
        <v>87.368966030199203</v>
      </c>
      <c r="AM766">
        <v>80.949106541789803</v>
      </c>
      <c r="AN766">
        <v>1.0000000257966799</v>
      </c>
    </row>
    <row r="767" spans="1:40" x14ac:dyDescent="0.3">
      <c r="A767" t="str">
        <f>"20200111153845007"</f>
        <v>20200111153845007</v>
      </c>
      <c r="B767" t="str">
        <f>"1578728325001150"</f>
        <v>1578728325001150</v>
      </c>
      <c r="C767" t="s">
        <v>40</v>
      </c>
      <c r="D767">
        <v>5.4339069999999996</v>
      </c>
      <c r="E767">
        <v>0.61783859999999902</v>
      </c>
      <c r="F767" t="s">
        <v>52</v>
      </c>
      <c r="G767">
        <v>-201.6985</v>
      </c>
      <c r="H767" s="1">
        <v>-3.2535350000000002E-6</v>
      </c>
      <c r="I767">
        <v>360.77659999999997</v>
      </c>
      <c r="J767">
        <v>-208.28989999999999</v>
      </c>
      <c r="K767">
        <v>1.0937349999999999</v>
      </c>
      <c r="L767">
        <v>366.55160000000001</v>
      </c>
      <c r="M767">
        <v>0.9670569</v>
      </c>
      <c r="N767">
        <v>0</v>
      </c>
      <c r="O767">
        <v>-0.25412200000000001</v>
      </c>
      <c r="P767">
        <v>0.91450799999999999</v>
      </c>
      <c r="Q767">
        <v>3.8024750000000003E-2</v>
      </c>
      <c r="R767">
        <v>-0.40277679999999999</v>
      </c>
      <c r="S767">
        <v>2.409805</v>
      </c>
      <c r="T767">
        <v>-0.38025930000000002</v>
      </c>
      <c r="U767">
        <v>-2.041077</v>
      </c>
      <c r="V767">
        <v>0.15846729999999901</v>
      </c>
      <c r="W767">
        <v>4.8587560000000002E-2</v>
      </c>
      <c r="X767">
        <v>0.98616800000000004</v>
      </c>
      <c r="Y767">
        <v>0.4299173</v>
      </c>
      <c r="Z767">
        <v>4.2760630000000001E-3</v>
      </c>
      <c r="AA767">
        <v>0.9028581</v>
      </c>
      <c r="AB767">
        <v>34</v>
      </c>
      <c r="AC767">
        <v>6.5913999999999904</v>
      </c>
      <c r="AD767">
        <v>-1.093738253535</v>
      </c>
      <c r="AE767">
        <v>-5.7750000000000297</v>
      </c>
      <c r="AF767">
        <v>3.85019559771834</v>
      </c>
      <c r="AG767">
        <v>-1.093738253535</v>
      </c>
      <c r="AH767">
        <v>7.7223966175685899</v>
      </c>
      <c r="AI767">
        <v>97.223812552468502</v>
      </c>
      <c r="AJ767">
        <v>63.500293108883703</v>
      </c>
      <c r="AK767">
        <v>8.6980273066351295</v>
      </c>
      <c r="AL767">
        <v>87.215041320485298</v>
      </c>
      <c r="AM767">
        <v>80.871181990781494</v>
      </c>
      <c r="AN767">
        <v>0.99999998019002101</v>
      </c>
    </row>
    <row r="768" spans="1:40" x14ac:dyDescent="0.3">
      <c r="A768" t="str">
        <f>"20200111153845029"</f>
        <v>20200111153845029</v>
      </c>
      <c r="B768" t="str">
        <f>"1578728325021642"</f>
        <v>1578728325021642</v>
      </c>
      <c r="C768" t="s">
        <v>40</v>
      </c>
      <c r="D768">
        <v>5.6347239999999896</v>
      </c>
      <c r="E768">
        <v>0.61769399999999997</v>
      </c>
      <c r="F768" t="s">
        <v>52</v>
      </c>
      <c r="G768">
        <v>-201.29560000000001</v>
      </c>
      <c r="H768" s="1">
        <v>-3.1206670000000002E-6</v>
      </c>
      <c r="I768">
        <v>360.46129999999999</v>
      </c>
      <c r="J768">
        <v>-207.96870000000001</v>
      </c>
      <c r="K768">
        <v>1.0934820000000001</v>
      </c>
      <c r="L768">
        <v>366.45580000000001</v>
      </c>
      <c r="M768">
        <v>0.96385699999999996</v>
      </c>
      <c r="N768">
        <v>0</v>
      </c>
      <c r="O768">
        <v>-0.26599869999999998</v>
      </c>
      <c r="P768">
        <v>0.90865649999999998</v>
      </c>
      <c r="Q768">
        <v>3.9456459999999999E-2</v>
      </c>
      <c r="R768">
        <v>-0.4156764</v>
      </c>
      <c r="S768">
        <v>2.382339</v>
      </c>
      <c r="T768">
        <v>-0.37253599999999998</v>
      </c>
      <c r="U768">
        <v>-2.0744020000000001</v>
      </c>
      <c r="V768">
        <v>0.1603763</v>
      </c>
      <c r="W768">
        <v>4.9920609999999997E-2</v>
      </c>
      <c r="X768">
        <v>0.98579280000000002</v>
      </c>
      <c r="Y768">
        <v>0.4312706</v>
      </c>
      <c r="Z768">
        <v>5.5802630000000002E-3</v>
      </c>
      <c r="AA768">
        <v>0.90220540000000005</v>
      </c>
      <c r="AB768">
        <v>34</v>
      </c>
      <c r="AC768">
        <v>6.6730999999999998</v>
      </c>
      <c r="AD768">
        <v>-1.093485120667</v>
      </c>
      <c r="AE768">
        <v>-5.9945000000000102</v>
      </c>
      <c r="AF768">
        <v>3.9446362030482298</v>
      </c>
      <c r="AG768">
        <v>-1.093485120667</v>
      </c>
      <c r="AH768">
        <v>7.9098032830934599</v>
      </c>
      <c r="AI768">
        <v>97.052433871682695</v>
      </c>
      <c r="AJ768">
        <v>63.494467024162702</v>
      </c>
      <c r="AK768">
        <v>8.9062254889911099</v>
      </c>
      <c r="AL768">
        <v>87.138570516278904</v>
      </c>
      <c r="AM768">
        <v>80.759639912461495</v>
      </c>
      <c r="AN768">
        <v>1.0000000347181499</v>
      </c>
    </row>
    <row r="769" spans="1:40" x14ac:dyDescent="0.3">
      <c r="A769" t="str">
        <f>"20200111153845050"</f>
        <v>20200111153845050</v>
      </c>
      <c r="B769" t="str">
        <f>"1578728325041163"</f>
        <v>1578728325041163</v>
      </c>
      <c r="C769" t="s">
        <v>40</v>
      </c>
      <c r="D769">
        <v>5.4672939999999999</v>
      </c>
      <c r="E769">
        <v>0.64044780000000001</v>
      </c>
      <c r="F769" t="s">
        <v>52</v>
      </c>
      <c r="G769">
        <v>-201.0384</v>
      </c>
      <c r="H769" s="1">
        <v>-3.0364779999999999E-6</v>
      </c>
      <c r="I769">
        <v>360.25729999999999</v>
      </c>
      <c r="J769">
        <v>-207.6404</v>
      </c>
      <c r="K769">
        <v>1.093221</v>
      </c>
      <c r="L769">
        <v>366.35320000000002</v>
      </c>
      <c r="M769">
        <v>0.96033429999999997</v>
      </c>
      <c r="N769">
        <v>0</v>
      </c>
      <c r="O769">
        <v>-0.27844580000000002</v>
      </c>
      <c r="P769">
        <v>0.90223960000000003</v>
      </c>
      <c r="Q769">
        <v>3.994168E-2</v>
      </c>
      <c r="R769">
        <v>-0.42938169999999998</v>
      </c>
      <c r="S769">
        <v>2.3543850000000002</v>
      </c>
      <c r="T769">
        <v>-0.3714809</v>
      </c>
      <c r="U769">
        <v>-2.1057739999999998</v>
      </c>
      <c r="V769">
        <v>0.16259589999999999</v>
      </c>
      <c r="W769">
        <v>5.0297799999999997E-2</v>
      </c>
      <c r="X769">
        <v>0.98540989999999995</v>
      </c>
      <c r="Y769">
        <v>0.43168279999999998</v>
      </c>
      <c r="Z769">
        <v>7.0902930000000001E-3</v>
      </c>
      <c r="AA769">
        <v>0.90199759999999995</v>
      </c>
      <c r="AB769">
        <v>34</v>
      </c>
      <c r="AC769">
        <v>6.6020000000000003</v>
      </c>
      <c r="AD769">
        <v>-1.0932240364779999</v>
      </c>
      <c r="AE769">
        <v>-6.0959000000000199</v>
      </c>
      <c r="AF769">
        <v>3.9576783358821999</v>
      </c>
      <c r="AG769">
        <v>-1.0932240364779999</v>
      </c>
      <c r="AH769">
        <v>7.9211707093155299</v>
      </c>
      <c r="AI769">
        <v>97.038158158374202</v>
      </c>
      <c r="AJ769">
        <v>63.451773038663497</v>
      </c>
      <c r="AK769">
        <v>8.9220682585576991</v>
      </c>
      <c r="AL769">
        <v>87.116931789592499</v>
      </c>
      <c r="AM769">
        <v>80.630430009621506</v>
      </c>
      <c r="AN769">
        <v>0.99999998319982897</v>
      </c>
    </row>
    <row r="770" spans="1:40" x14ac:dyDescent="0.3">
      <c r="A770" t="str">
        <f>"20200111153845074"</f>
        <v>20200111153845074</v>
      </c>
      <c r="B770" t="str">
        <f>"1578728325071419"</f>
        <v>1578728325071419</v>
      </c>
      <c r="C770" t="s">
        <v>40</v>
      </c>
      <c r="D770">
        <v>5.4144459999999999</v>
      </c>
      <c r="E770">
        <v>0.65573609999999904</v>
      </c>
      <c r="F770" t="s">
        <v>52</v>
      </c>
      <c r="G770">
        <v>-196.9966</v>
      </c>
      <c r="H770" s="1">
        <v>-4.883787E-6</v>
      </c>
      <c r="I770">
        <v>355.40379999999999</v>
      </c>
      <c r="J770">
        <v>-207.3117</v>
      </c>
      <c r="K770">
        <v>1.092962</v>
      </c>
      <c r="L770">
        <v>366.24560000000002</v>
      </c>
      <c r="M770">
        <v>0.95653639999999995</v>
      </c>
      <c r="N770">
        <v>0</v>
      </c>
      <c r="O770">
        <v>-0.29122189999999998</v>
      </c>
      <c r="P770">
        <v>0.89540180000000003</v>
      </c>
      <c r="Q770">
        <v>4.046781E-2</v>
      </c>
      <c r="R770">
        <v>-0.4434167</v>
      </c>
      <c r="S770">
        <v>2.2390750000000001</v>
      </c>
      <c r="T770">
        <v>-0.2299737</v>
      </c>
      <c r="U770">
        <v>-2.3033450000000002</v>
      </c>
      <c r="V770">
        <v>0.16490089999999999</v>
      </c>
      <c r="W770">
        <v>5.071353E-2</v>
      </c>
      <c r="X770">
        <v>0.98500549999999998</v>
      </c>
      <c r="Y770">
        <v>0.48246410000000001</v>
      </c>
      <c r="Z770">
        <v>3.2331180000000001E-3</v>
      </c>
      <c r="AA770">
        <v>0.87590970000000001</v>
      </c>
      <c r="AB770">
        <v>34</v>
      </c>
      <c r="AC770">
        <v>10.315099999999999</v>
      </c>
      <c r="AD770">
        <v>-1.0929668837869999</v>
      </c>
      <c r="AE770">
        <v>-10.841799999999999</v>
      </c>
      <c r="AF770">
        <v>7.3283419801780303</v>
      </c>
      <c r="AG770">
        <v>-1.0929668837869999</v>
      </c>
      <c r="AH770">
        <v>12.9565098384324</v>
      </c>
      <c r="AI770">
        <v>94.199425470471994</v>
      </c>
      <c r="AJ770">
        <v>60.5070304839969</v>
      </c>
      <c r="AK770">
        <v>14.925492286048399</v>
      </c>
      <c r="AL770">
        <v>87.0930818312696</v>
      </c>
      <c r="AM770">
        <v>80.496180113094397</v>
      </c>
      <c r="AN770">
        <v>1.0000000019880599</v>
      </c>
    </row>
    <row r="771" spans="1:40" x14ac:dyDescent="0.3">
      <c r="A771" t="str">
        <f>"20200111153845097"</f>
        <v>20200111153845097</v>
      </c>
      <c r="B771" t="str">
        <f>"1578728325090939"</f>
        <v>1578728325090939</v>
      </c>
      <c r="C771" t="s">
        <v>40</v>
      </c>
      <c r="D771">
        <v>5.4201119999999996</v>
      </c>
      <c r="E771">
        <v>0.65764860000000003</v>
      </c>
      <c r="F771" t="s">
        <v>52</v>
      </c>
      <c r="G771">
        <v>-195.77979999999999</v>
      </c>
      <c r="H771" s="1">
        <v>-3.4888119999999999E-6</v>
      </c>
      <c r="I771">
        <v>353.10820000000001</v>
      </c>
      <c r="J771">
        <v>-206.97890000000001</v>
      </c>
      <c r="K771">
        <v>1.0927129999999901</v>
      </c>
      <c r="L771">
        <v>366.1311</v>
      </c>
      <c r="M771">
        <v>0.95239660000000004</v>
      </c>
      <c r="N771">
        <v>0</v>
      </c>
      <c r="O771">
        <v>-0.30448429999999999</v>
      </c>
      <c r="P771">
        <v>0.888107599999999</v>
      </c>
      <c r="Q771">
        <v>4.0474309999999999E-2</v>
      </c>
      <c r="R771">
        <v>-0.45785049999999999</v>
      </c>
      <c r="S771">
        <v>2.147888</v>
      </c>
      <c r="T771">
        <v>-0.20357130000000001</v>
      </c>
      <c r="U771">
        <v>-2.44693</v>
      </c>
      <c r="V771">
        <v>0.16718949999999999</v>
      </c>
      <c r="W771">
        <v>5.0611139999999999E-2</v>
      </c>
      <c r="X771">
        <v>0.98462490000000003</v>
      </c>
      <c r="Y771">
        <v>0.51456020000000002</v>
      </c>
      <c r="Z771">
        <v>2.5393270000000001E-3</v>
      </c>
      <c r="AA771">
        <v>0.85745049999999901</v>
      </c>
      <c r="AB771">
        <v>34</v>
      </c>
      <c r="AC771">
        <v>11.1991</v>
      </c>
      <c r="AD771">
        <v>-1.09271648881199</v>
      </c>
      <c r="AE771">
        <v>-13.0228999999999</v>
      </c>
      <c r="AF771">
        <v>8.9577948084572405</v>
      </c>
      <c r="AG771">
        <v>-1.09271648881199</v>
      </c>
      <c r="AH771">
        <v>14.573950693851099</v>
      </c>
      <c r="AI771">
        <v>93.654871257705807</v>
      </c>
      <c r="AJ771">
        <v>58.423276468627101</v>
      </c>
      <c r="AK771">
        <v>17.141649745055101</v>
      </c>
      <c r="AL771">
        <v>87.098955898252797</v>
      </c>
      <c r="AM771">
        <v>80.363081481740096</v>
      </c>
      <c r="AN771">
        <v>1.0000000050511799</v>
      </c>
    </row>
    <row r="772" spans="1:40" x14ac:dyDescent="0.3">
      <c r="A772" t="str">
        <f>"20200111153845120"</f>
        <v>20200111153845120</v>
      </c>
      <c r="B772" t="str">
        <f>"1578728325111435"</f>
        <v>1578728325111435</v>
      </c>
      <c r="C772" t="s">
        <v>40</v>
      </c>
      <c r="D772">
        <v>5.3949379999999998</v>
      </c>
      <c r="E772">
        <v>0.65806999999999904</v>
      </c>
      <c r="F772" t="s">
        <v>52</v>
      </c>
      <c r="G772">
        <v>-195.4315</v>
      </c>
      <c r="H772" s="1">
        <v>-3.0645590000000002E-6</v>
      </c>
      <c r="I772">
        <v>352.41849999999999</v>
      </c>
      <c r="J772">
        <v>-206.64510000000001</v>
      </c>
      <c r="K772">
        <v>1.09246</v>
      </c>
      <c r="L772">
        <v>366.01069999999999</v>
      </c>
      <c r="M772">
        <v>0.94793919999999998</v>
      </c>
      <c r="N772">
        <v>0</v>
      </c>
      <c r="O772">
        <v>-0.31808710000000001</v>
      </c>
      <c r="P772">
        <v>0.88022630000000002</v>
      </c>
      <c r="Q772">
        <v>4.1077450000000001E-2</v>
      </c>
      <c r="R772">
        <v>-0.4727731</v>
      </c>
      <c r="S772">
        <v>2.1008610000000001</v>
      </c>
      <c r="T772">
        <v>-0.19880200000000001</v>
      </c>
      <c r="U772">
        <v>-2.4947810000000001</v>
      </c>
      <c r="V772">
        <v>0.16976830000000001</v>
      </c>
      <c r="W772">
        <v>5.109785E-2</v>
      </c>
      <c r="X772">
        <v>0.98415839999999999</v>
      </c>
      <c r="Y772">
        <v>0.519899</v>
      </c>
      <c r="Z772">
        <v>3.1852849999999999E-3</v>
      </c>
      <c r="AA772">
        <v>0.85422180000000003</v>
      </c>
      <c r="AB772">
        <v>34</v>
      </c>
      <c r="AC772">
        <v>11.2136</v>
      </c>
      <c r="AD772">
        <v>-1.0924630645590001</v>
      </c>
      <c r="AE772">
        <v>-13.592199999999901</v>
      </c>
      <c r="AF772">
        <v>9.2830757277955591</v>
      </c>
      <c r="AG772">
        <v>-1.0924630645590001</v>
      </c>
      <c r="AH772">
        <v>14.8977841314125</v>
      </c>
      <c r="AI772">
        <v>93.561312059808202</v>
      </c>
      <c r="AJ772">
        <v>58.072228311877097</v>
      </c>
      <c r="AK772">
        <v>17.587294918252201</v>
      </c>
      <c r="AL772">
        <v>87.071033357323401</v>
      </c>
      <c r="AM772">
        <v>80.212741156456602</v>
      </c>
      <c r="AN772">
        <v>1.00000001112503</v>
      </c>
    </row>
    <row r="773" spans="1:40" x14ac:dyDescent="0.3">
      <c r="A773" t="str">
        <f>"20200111153845140"</f>
        <v>20200111153845140</v>
      </c>
      <c r="B773" t="str">
        <f>"1578728325130955"</f>
        <v>1578728325130955</v>
      </c>
      <c r="C773" t="s">
        <v>40</v>
      </c>
      <c r="D773">
        <v>5.378965</v>
      </c>
      <c r="E773">
        <v>0.65824189999999905</v>
      </c>
      <c r="F773" t="s">
        <v>52</v>
      </c>
      <c r="G773">
        <v>-194.62569999999999</v>
      </c>
      <c r="H773" s="1">
        <v>-2.179689E-6</v>
      </c>
      <c r="I773">
        <v>351.20569999999998</v>
      </c>
      <c r="J773">
        <v>-206.3451</v>
      </c>
      <c r="K773">
        <v>1.092268</v>
      </c>
      <c r="L773">
        <v>365.89780000000002</v>
      </c>
      <c r="M773">
        <v>0.94367369999999995</v>
      </c>
      <c r="N773">
        <v>0</v>
      </c>
      <c r="O773">
        <v>-0.33052480000000001</v>
      </c>
      <c r="P773">
        <v>0.87280979999999997</v>
      </c>
      <c r="Q773">
        <v>4.1617580000000001E-2</v>
      </c>
      <c r="R773">
        <v>-0.48628359999999898</v>
      </c>
      <c r="S773">
        <v>2.0564269999999998</v>
      </c>
      <c r="T773">
        <v>-0.18691269999999999</v>
      </c>
      <c r="U773">
        <v>-2.53302</v>
      </c>
      <c r="V773">
        <v>0.1720457</v>
      </c>
      <c r="W773">
        <v>5.1536909999999998E-2</v>
      </c>
      <c r="X773">
        <v>0.9837399</v>
      </c>
      <c r="Y773">
        <v>0.52406079999999999</v>
      </c>
      <c r="Z773">
        <v>3.6322709999999999E-3</v>
      </c>
      <c r="AA773">
        <v>0.85167309999999996</v>
      </c>
      <c r="AB773">
        <v>34</v>
      </c>
      <c r="AC773">
        <v>11.7194</v>
      </c>
      <c r="AD773">
        <v>-1.092270179689</v>
      </c>
      <c r="AE773">
        <v>-14.6921</v>
      </c>
      <c r="AF773">
        <v>9.9585235774517695</v>
      </c>
      <c r="AG773">
        <v>-1.092270179689</v>
      </c>
      <c r="AH773">
        <v>15.8636652193463</v>
      </c>
      <c r="AI773">
        <v>93.337443865746707</v>
      </c>
      <c r="AJ773">
        <v>57.8811736694635</v>
      </c>
      <c r="AK773">
        <v>18.762225885528501</v>
      </c>
      <c r="AL773">
        <v>87.045843800746198</v>
      </c>
      <c r="AM773">
        <v>80.079902139485597</v>
      </c>
      <c r="AN773">
        <v>0.99999998341642304</v>
      </c>
    </row>
    <row r="774" spans="1:40" x14ac:dyDescent="0.3">
      <c r="A774" t="str">
        <f>"20200111153845167"</f>
        <v>20200111153845167</v>
      </c>
      <c r="B774" t="str">
        <f>"1578728325160768"</f>
        <v>1578728325160768</v>
      </c>
      <c r="C774" t="s">
        <v>40</v>
      </c>
      <c r="D774">
        <v>5.324954</v>
      </c>
      <c r="E774">
        <v>0.65739959999999997</v>
      </c>
      <c r="F774" t="s">
        <v>52</v>
      </c>
      <c r="G774">
        <v>-194.1174</v>
      </c>
      <c r="H774" s="1">
        <v>-1.5311959999999999E-6</v>
      </c>
      <c r="I774">
        <v>350.33870000000002</v>
      </c>
      <c r="J774">
        <v>-205.96729999999999</v>
      </c>
      <c r="K774">
        <v>1.0920399999999999</v>
      </c>
      <c r="L774">
        <v>365.74900000000002</v>
      </c>
      <c r="M774">
        <v>0.93793959999999998</v>
      </c>
      <c r="N774">
        <v>0</v>
      </c>
      <c r="O774">
        <v>-0.34645939999999997</v>
      </c>
      <c r="P774">
        <v>0.86318779999999995</v>
      </c>
      <c r="Q774">
        <v>4.2408700000000001E-2</v>
      </c>
      <c r="R774">
        <v>-0.50309899999999996</v>
      </c>
      <c r="S774">
        <v>2.0163120000000001</v>
      </c>
      <c r="T774">
        <v>-0.180113</v>
      </c>
      <c r="U774">
        <v>-2.565674</v>
      </c>
      <c r="V774">
        <v>0.1745082</v>
      </c>
      <c r="W774">
        <v>5.221597E-2</v>
      </c>
      <c r="X774">
        <v>0.98327019999999998</v>
      </c>
      <c r="Y774">
        <v>0.52318120000000001</v>
      </c>
      <c r="Z774">
        <v>4.4970940000000001E-3</v>
      </c>
      <c r="AA774">
        <v>0.85220959999999901</v>
      </c>
      <c r="AB774">
        <v>34</v>
      </c>
      <c r="AC774">
        <v>11.8498999999999</v>
      </c>
      <c r="AD774">
        <v>-1.0920415311959999</v>
      </c>
      <c r="AE774">
        <v>-15.410299999999999</v>
      </c>
      <c r="AF774">
        <v>10.3170802602124</v>
      </c>
      <c r="AG774">
        <v>-1.0920415311959999</v>
      </c>
      <c r="AH774">
        <v>16.403702768946498</v>
      </c>
      <c r="AI774">
        <v>93.225403584926596</v>
      </c>
      <c r="AJ774">
        <v>57.832231440982397</v>
      </c>
      <c r="AK774">
        <v>19.409177322428299</v>
      </c>
      <c r="AL774">
        <v>87.006883976730904</v>
      </c>
      <c r="AM774">
        <v>79.9360881660741</v>
      </c>
      <c r="AN774">
        <v>0.99999995279915899</v>
      </c>
    </row>
    <row r="775" spans="1:40" x14ac:dyDescent="0.3">
      <c r="A775" t="str">
        <f>"20200111153845186"</f>
        <v>20200111153845186</v>
      </c>
      <c r="B775" t="str">
        <f>"1578728325181266"</f>
        <v>1578728325181266</v>
      </c>
      <c r="C775" t="s">
        <v>40</v>
      </c>
      <c r="D775">
        <v>5.3025260000000003</v>
      </c>
      <c r="E775">
        <v>0.65684439999999999</v>
      </c>
      <c r="F775" t="s">
        <v>42</v>
      </c>
      <c r="G775">
        <v>-193.59700000000001</v>
      </c>
      <c r="H775" s="1">
        <v>-4.872516E-6</v>
      </c>
      <c r="I775">
        <v>349.43</v>
      </c>
      <c r="J775">
        <v>-205.70189999999999</v>
      </c>
      <c r="K775">
        <v>1.0918920000000001</v>
      </c>
      <c r="L775">
        <v>365.63990000000001</v>
      </c>
      <c r="M775">
        <v>0.93366130000000003</v>
      </c>
      <c r="N775">
        <v>0</v>
      </c>
      <c r="O775">
        <v>-0.35782639999999999</v>
      </c>
      <c r="P775">
        <v>0.85608700000000004</v>
      </c>
      <c r="Q775">
        <v>4.2953169999999999E-2</v>
      </c>
      <c r="R775">
        <v>-0.51504399999999995</v>
      </c>
      <c r="S775">
        <v>1.9696039999999999</v>
      </c>
      <c r="T775">
        <v>-0.1738759</v>
      </c>
      <c r="U775">
        <v>-2.598328</v>
      </c>
      <c r="V775">
        <v>0.17627329999999999</v>
      </c>
      <c r="W775">
        <v>5.268072E-2</v>
      </c>
      <c r="X775">
        <v>0.98293050000000004</v>
      </c>
      <c r="Y775">
        <v>0.52772019999999997</v>
      </c>
      <c r="Z775">
        <v>4.8719389999999996E-3</v>
      </c>
      <c r="AA775">
        <v>0.8494043</v>
      </c>
      <c r="AB775">
        <v>34</v>
      </c>
      <c r="AC775">
        <v>12.104899999999899</v>
      </c>
      <c r="AD775">
        <v>-1.0918968725159901</v>
      </c>
      <c r="AE775">
        <v>-16.209900000000001</v>
      </c>
      <c r="AF775">
        <v>10.773001881186699</v>
      </c>
      <c r="AG775">
        <v>-1.0918968725159901</v>
      </c>
      <c r="AH775">
        <v>17.054553450501199</v>
      </c>
      <c r="AI775">
        <v>93.098336590565296</v>
      </c>
      <c r="AJ775">
        <v>57.720261250337899</v>
      </c>
      <c r="AK775">
        <v>20.2016732403102</v>
      </c>
      <c r="AL775">
        <v>86.980219056273299</v>
      </c>
      <c r="AM775">
        <v>79.832967058539396</v>
      </c>
      <c r="AN775">
        <v>0.99999995119142804</v>
      </c>
    </row>
    <row r="776" spans="1:40" x14ac:dyDescent="0.3">
      <c r="A776" t="str">
        <f>"20200111153845209"</f>
        <v>20200111153845209</v>
      </c>
      <c r="B776" t="str">
        <f>"1578728325201760"</f>
        <v>1578728325201760</v>
      </c>
      <c r="C776" t="s">
        <v>40</v>
      </c>
      <c r="D776">
        <v>5.3737490000000001</v>
      </c>
      <c r="E776">
        <v>0.65604510000000005</v>
      </c>
      <c r="F776" t="s">
        <v>42</v>
      </c>
      <c r="G776">
        <v>-193.3218</v>
      </c>
      <c r="H776" s="1">
        <v>-4.6330710000000004E-6</v>
      </c>
      <c r="I776">
        <v>348.8698</v>
      </c>
      <c r="J776">
        <v>-205.363</v>
      </c>
      <c r="K776">
        <v>1.0917030000000001</v>
      </c>
      <c r="L776">
        <v>365.49509999999998</v>
      </c>
      <c r="M776">
        <v>0.92789200000000005</v>
      </c>
      <c r="N776">
        <v>0</v>
      </c>
      <c r="O776">
        <v>-0.3725291</v>
      </c>
      <c r="P776">
        <v>0.84698490000000004</v>
      </c>
      <c r="Q776">
        <v>4.2850289999999999E-2</v>
      </c>
      <c r="R776">
        <v>-0.52988710000000006</v>
      </c>
      <c r="S776">
        <v>1.935516</v>
      </c>
      <c r="T776">
        <v>-0.1707081</v>
      </c>
      <c r="U776">
        <v>-2.6218569999999999</v>
      </c>
      <c r="V776">
        <v>0.17789920000000001</v>
      </c>
      <c r="W776">
        <v>5.2498820000000002E-2</v>
      </c>
      <c r="X776">
        <v>0.9826473</v>
      </c>
      <c r="Y776">
        <v>0.52511470000000005</v>
      </c>
      <c r="Z776">
        <v>5.7219019999999897E-3</v>
      </c>
      <c r="AA776">
        <v>0.851012199999999</v>
      </c>
      <c r="AB776">
        <v>34</v>
      </c>
      <c r="AC776">
        <v>12.0412</v>
      </c>
      <c r="AD776">
        <v>-1.091707633071</v>
      </c>
      <c r="AE776">
        <v>-16.6252999999999</v>
      </c>
      <c r="AF776">
        <v>10.9112300591249</v>
      </c>
      <c r="AG776">
        <v>-1.091707633071</v>
      </c>
      <c r="AH776">
        <v>17.319427807457899</v>
      </c>
      <c r="AI776">
        <v>93.052823069325797</v>
      </c>
      <c r="AJ776">
        <v>57.7890946787725</v>
      </c>
      <c r="AK776">
        <v>20.499008428141199</v>
      </c>
      <c r="AL776">
        <v>86.990655699486098</v>
      </c>
      <c r="AM776">
        <v>79.738277827574805</v>
      </c>
      <c r="AN776">
        <v>0.99999998382966104</v>
      </c>
    </row>
    <row r="777" spans="1:40" x14ac:dyDescent="0.3">
      <c r="A777" t="str">
        <f>"20200111153845231"</f>
        <v>20200111153845231</v>
      </c>
      <c r="B777" t="str">
        <f>"1578728325221283"</f>
        <v>1578728325221283</v>
      </c>
      <c r="C777" t="s">
        <v>40</v>
      </c>
      <c r="D777">
        <v>5.2707920000000001</v>
      </c>
      <c r="E777">
        <v>0.65533799999999998</v>
      </c>
      <c r="F777" t="s">
        <v>42</v>
      </c>
      <c r="G777">
        <v>-193.3338</v>
      </c>
      <c r="H777" s="1">
        <v>-4.5618110000000002E-6</v>
      </c>
      <c r="I777">
        <v>348.6542</v>
      </c>
      <c r="J777">
        <v>-205.07</v>
      </c>
      <c r="K777">
        <v>1.0915520000000001</v>
      </c>
      <c r="L777">
        <v>365.3646</v>
      </c>
      <c r="M777">
        <v>0.92261760000000004</v>
      </c>
      <c r="N777">
        <v>0</v>
      </c>
      <c r="O777">
        <v>-0.385405</v>
      </c>
      <c r="P777">
        <v>0.83888969999999896</v>
      </c>
      <c r="Q777">
        <v>4.2320499999999997E-2</v>
      </c>
      <c r="R777">
        <v>-0.54265379999999996</v>
      </c>
      <c r="S777">
        <v>1.892822</v>
      </c>
      <c r="T777">
        <v>-0.17178270000000001</v>
      </c>
      <c r="U777">
        <v>-2.6499630000000001</v>
      </c>
      <c r="V777">
        <v>0.1790997</v>
      </c>
      <c r="W777">
        <v>5.1909770000000001E-2</v>
      </c>
      <c r="X777">
        <v>0.98246049999999996</v>
      </c>
      <c r="Y777">
        <v>0.52662019999999998</v>
      </c>
      <c r="Z777">
        <v>6.4731040000000004E-3</v>
      </c>
      <c r="AA777">
        <v>0.8500761</v>
      </c>
      <c r="AB777">
        <v>34</v>
      </c>
      <c r="AC777">
        <v>11.736199999999901</v>
      </c>
      <c r="AD777">
        <v>-1.0915565618109999</v>
      </c>
      <c r="AE777">
        <v>-16.7103999999999</v>
      </c>
      <c r="AF777">
        <v>10.8643805160914</v>
      </c>
      <c r="AG777">
        <v>-1.0915565618109999</v>
      </c>
      <c r="AH777">
        <v>17.221157869244799</v>
      </c>
      <c r="AI777">
        <v>93.068577692267397</v>
      </c>
      <c r="AJ777">
        <v>57.753238646534903</v>
      </c>
      <c r="AK777">
        <v>20.391040632677701</v>
      </c>
      <c r="AL777">
        <v>87.024451852832598</v>
      </c>
      <c r="AM777">
        <v>79.6685938618091</v>
      </c>
      <c r="AN777">
        <v>0.99999998041089599</v>
      </c>
    </row>
    <row r="778" spans="1:40" x14ac:dyDescent="0.3">
      <c r="A778" t="str">
        <f>"20200111153845255"</f>
        <v>20200111153845255</v>
      </c>
      <c r="B778" t="str">
        <f>"1578728325251224"</f>
        <v>1578728325251224</v>
      </c>
      <c r="C778" t="s">
        <v>40</v>
      </c>
      <c r="D778">
        <v>5.3736439999999996</v>
      </c>
      <c r="E778">
        <v>0.65425999999999995</v>
      </c>
      <c r="F778" t="s">
        <v>42</v>
      </c>
      <c r="G778">
        <v>-193.28270000000001</v>
      </c>
      <c r="H778" s="1">
        <v>-4.4592499999999997E-6</v>
      </c>
      <c r="I778">
        <v>348.37939999999998</v>
      </c>
      <c r="J778">
        <v>-204.74700000000001</v>
      </c>
      <c r="K778">
        <v>1.0913919999999999</v>
      </c>
      <c r="L778">
        <v>365.21510000000001</v>
      </c>
      <c r="M778">
        <v>0.91648949999999996</v>
      </c>
      <c r="N778">
        <v>0</v>
      </c>
      <c r="O778">
        <v>-0.39975749999999999</v>
      </c>
      <c r="P778">
        <v>0.82952870000000001</v>
      </c>
      <c r="Q778">
        <v>4.177289E-2</v>
      </c>
      <c r="R778">
        <v>-0.55690010000000001</v>
      </c>
      <c r="S778">
        <v>1.8554079999999999</v>
      </c>
      <c r="T778">
        <v>-0.17181850000000001</v>
      </c>
      <c r="U778">
        <v>-2.673584</v>
      </c>
      <c r="V778">
        <v>0.1805348</v>
      </c>
      <c r="W778">
        <v>5.1293569999999997E-2</v>
      </c>
      <c r="X778">
        <v>0.98223020000000005</v>
      </c>
      <c r="Y778">
        <v>0.52490859999999995</v>
      </c>
      <c r="Z778">
        <v>7.3807029999999997E-3</v>
      </c>
      <c r="AA778">
        <v>0.85112659999999996</v>
      </c>
      <c r="AB778">
        <v>34</v>
      </c>
      <c r="AC778">
        <v>11.4643</v>
      </c>
      <c r="AD778">
        <v>-1.0913964592499901</v>
      </c>
      <c r="AE778">
        <v>-16.835699999999999</v>
      </c>
      <c r="AF778">
        <v>10.817052200929099</v>
      </c>
      <c r="AG778">
        <v>-1.0913964592499901</v>
      </c>
      <c r="AH778">
        <v>17.1898306813003</v>
      </c>
      <c r="AI778">
        <v>93.075928748804401</v>
      </c>
      <c r="AJ778">
        <v>57.819006307603303</v>
      </c>
      <c r="AK778">
        <v>20.339371755308999</v>
      </c>
      <c r="AL778">
        <v>87.059804684814694</v>
      </c>
      <c r="AM778">
        <v>79.585225591569497</v>
      </c>
      <c r="AN778">
        <v>1.0000000050632101</v>
      </c>
    </row>
    <row r="779" spans="1:40" x14ac:dyDescent="0.3">
      <c r="A779" t="str">
        <f>"20200111153845276"</f>
        <v>20200111153845276</v>
      </c>
      <c r="B779" t="str">
        <f>"1578728325271719"</f>
        <v>1578728325271719</v>
      </c>
      <c r="C779" t="s">
        <v>40</v>
      </c>
      <c r="D779">
        <v>5.3325950000000004</v>
      </c>
      <c r="E779">
        <v>0.65343490000000004</v>
      </c>
      <c r="F779" t="s">
        <v>42</v>
      </c>
      <c r="G779">
        <v>-193.19710000000001</v>
      </c>
      <c r="H779" s="1">
        <v>-4.3261479999999996E-6</v>
      </c>
      <c r="I779">
        <v>348.03289999999998</v>
      </c>
      <c r="J779">
        <v>-204.4545</v>
      </c>
      <c r="K779">
        <v>1.091256</v>
      </c>
      <c r="L779">
        <v>365.07389999999998</v>
      </c>
      <c r="M779">
        <v>0.91064250000000002</v>
      </c>
      <c r="N779">
        <v>0</v>
      </c>
      <c r="O779">
        <v>-0.41290179999999999</v>
      </c>
      <c r="P779">
        <v>0.82069890000000001</v>
      </c>
      <c r="Q779">
        <v>4.104928E-2</v>
      </c>
      <c r="R779">
        <v>-0.56988439999999996</v>
      </c>
      <c r="S779">
        <v>1.813736</v>
      </c>
      <c r="T779">
        <v>-0.1713877</v>
      </c>
      <c r="U779">
        <v>-2.6982119999999998</v>
      </c>
      <c r="V779">
        <v>0.1818381</v>
      </c>
      <c r="W779">
        <v>5.0509720000000001E-2</v>
      </c>
      <c r="X779">
        <v>0.98203039999999997</v>
      </c>
      <c r="Y779">
        <v>0.52531589999999995</v>
      </c>
      <c r="Z779">
        <v>8.1367249999999992E-3</v>
      </c>
      <c r="AA779">
        <v>0.85086830000000002</v>
      </c>
      <c r="AB779">
        <v>34</v>
      </c>
      <c r="AC779">
        <v>11.257399999999899</v>
      </c>
      <c r="AD779">
        <v>-1.0912603261480001</v>
      </c>
      <c r="AE779">
        <v>-17.040999999999901</v>
      </c>
      <c r="AF779">
        <v>10.840427160168201</v>
      </c>
      <c r="AG779">
        <v>-1.0912603261480001</v>
      </c>
      <c r="AH779">
        <v>17.240601414194501</v>
      </c>
      <c r="AI779">
        <v>93.067192199314206</v>
      </c>
      <c r="AJ779">
        <v>57.839421301666803</v>
      </c>
      <c r="AK779">
        <v>20.3947063533031</v>
      </c>
      <c r="AL779">
        <v>87.104774310974094</v>
      </c>
      <c r="AM779">
        <v>79.509616295320797</v>
      </c>
      <c r="AN779">
        <v>1.0000000164751199</v>
      </c>
    </row>
    <row r="780" spans="1:40" x14ac:dyDescent="0.3">
      <c r="A780" t="str">
        <f>"20200111153845300"</f>
        <v>20200111153845300</v>
      </c>
      <c r="B780" t="str">
        <f>"1578728325291242"</f>
        <v>1578728325291242</v>
      </c>
      <c r="C780" t="s">
        <v>40</v>
      </c>
      <c r="D780">
        <v>5.1704249999999998</v>
      </c>
      <c r="E780">
        <v>0.65378990000000003</v>
      </c>
      <c r="F780" t="s">
        <v>42</v>
      </c>
      <c r="G780">
        <v>-193.3475</v>
      </c>
      <c r="H780" s="1">
        <v>-4.3579420000000001E-6</v>
      </c>
      <c r="I780">
        <v>348.04790000000003</v>
      </c>
      <c r="J780">
        <v>-204.1276</v>
      </c>
      <c r="K780">
        <v>1.0911230000000001</v>
      </c>
      <c r="L780">
        <v>364.90949999999998</v>
      </c>
      <c r="M780">
        <v>0.90376570000000001</v>
      </c>
      <c r="N780">
        <v>0</v>
      </c>
      <c r="O780">
        <v>-0.42774279999999998</v>
      </c>
      <c r="P780">
        <v>0.81059490000000001</v>
      </c>
      <c r="Q780">
        <v>3.964459E-2</v>
      </c>
      <c r="R780">
        <v>-0.58426420000000001</v>
      </c>
      <c r="S780">
        <v>1.7748870000000001</v>
      </c>
      <c r="T780">
        <v>-0.17438219999999999</v>
      </c>
      <c r="U780">
        <v>-2.7207340000000002</v>
      </c>
      <c r="V780">
        <v>0.18302750000000001</v>
      </c>
      <c r="W780">
        <v>4.9049540000000003E-2</v>
      </c>
      <c r="X780">
        <v>0.98188339999999996</v>
      </c>
      <c r="Y780">
        <v>0.52314439999999995</v>
      </c>
      <c r="Z780">
        <v>9.2529680000000003E-3</v>
      </c>
      <c r="AA780">
        <v>0.8521938</v>
      </c>
      <c r="AB780">
        <v>33</v>
      </c>
      <c r="AC780">
        <v>10.780099999999999</v>
      </c>
      <c r="AD780">
        <v>-1.091127357942</v>
      </c>
      <c r="AE780">
        <v>-16.8615999999999</v>
      </c>
      <c r="AF780">
        <v>10.597619126047</v>
      </c>
      <c r="AG780">
        <v>-1.091127357942</v>
      </c>
      <c r="AH780">
        <v>16.906922738997999</v>
      </c>
      <c r="AI780">
        <v>93.1299720232537</v>
      </c>
      <c r="AJ780">
        <v>57.919638391003701</v>
      </c>
      <c r="AK780">
        <v>19.983596436939401</v>
      </c>
      <c r="AL780">
        <v>87.188540180622397</v>
      </c>
      <c r="AM780">
        <v>79.440991645672398</v>
      </c>
      <c r="AN780">
        <v>0.99999996716300998</v>
      </c>
    </row>
    <row r="781" spans="1:40" x14ac:dyDescent="0.3">
      <c r="A781" t="str">
        <f>"20200111153845320"</f>
        <v>20200111153845320</v>
      </c>
      <c r="B781" t="str">
        <f>"1578728325310762"</f>
        <v>1578728325310762</v>
      </c>
      <c r="C781" t="s">
        <v>40</v>
      </c>
      <c r="D781">
        <v>5.2994349999999999</v>
      </c>
      <c r="E781">
        <v>0.70179440000000004</v>
      </c>
      <c r="F781" t="s">
        <v>42</v>
      </c>
      <c r="G781">
        <v>-193.71190000000001</v>
      </c>
      <c r="H781" s="1">
        <v>-4.5016509999999997E-6</v>
      </c>
      <c r="I781">
        <v>348.28019999999998</v>
      </c>
      <c r="J781">
        <v>-203.85050000000001</v>
      </c>
      <c r="K781">
        <v>1.0910139999999999</v>
      </c>
      <c r="L781">
        <v>364.76510000000002</v>
      </c>
      <c r="M781">
        <v>0.89765949999999906</v>
      </c>
      <c r="N781">
        <v>0</v>
      </c>
      <c r="O781">
        <v>-0.44041209999999997</v>
      </c>
      <c r="P781">
        <v>0.80127079999999995</v>
      </c>
      <c r="Q781">
        <v>3.9187569999999998E-2</v>
      </c>
      <c r="R781">
        <v>-0.59701780000000004</v>
      </c>
      <c r="S781">
        <v>1.72486899999999</v>
      </c>
      <c r="T781">
        <v>-0.1806951</v>
      </c>
      <c r="U781">
        <v>-2.753876</v>
      </c>
      <c r="V781">
        <v>0.18474160000000001</v>
      </c>
      <c r="W781">
        <v>4.8522309999999999E-2</v>
      </c>
      <c r="X781">
        <v>0.98158860000000003</v>
      </c>
      <c r="Y781">
        <v>0.52688729999999995</v>
      </c>
      <c r="Z781">
        <v>1.0265700000000001E-2</v>
      </c>
      <c r="AA781">
        <v>0.8498732</v>
      </c>
      <c r="AB781">
        <v>33</v>
      </c>
      <c r="AC781">
        <v>10.138599999999901</v>
      </c>
      <c r="AD781">
        <v>-1.0910185016509999</v>
      </c>
      <c r="AE781">
        <v>-16.4849</v>
      </c>
      <c r="AF781">
        <v>10.301191087652899</v>
      </c>
      <c r="AG781">
        <v>-1.0910185016509999</v>
      </c>
      <c r="AH781">
        <v>16.311323007365601</v>
      </c>
      <c r="AI781">
        <v>93.236827026738496</v>
      </c>
      <c r="AJ781">
        <v>57.726106216716602</v>
      </c>
      <c r="AK781">
        <v>19.322632259759501</v>
      </c>
      <c r="AL781">
        <v>87.218784413832296</v>
      </c>
      <c r="AM781">
        <v>79.341231219439194</v>
      </c>
      <c r="AN781">
        <v>1.00000002649412</v>
      </c>
    </row>
    <row r="782" spans="1:40" x14ac:dyDescent="0.3">
      <c r="A782" t="str">
        <f>"20200111153845341"</f>
        <v>20200111153845341</v>
      </c>
      <c r="B782" t="str">
        <f>"1578728325331255"</f>
        <v>1578728325331255</v>
      </c>
      <c r="C782" t="s">
        <v>40</v>
      </c>
      <c r="D782">
        <v>5.1514309999999996</v>
      </c>
      <c r="E782">
        <v>0.7062079</v>
      </c>
      <c r="F782" t="s">
        <v>52</v>
      </c>
      <c r="G782">
        <v>-197.47540000000001</v>
      </c>
      <c r="H782" s="1">
        <v>-2.9185270000000002E-6</v>
      </c>
      <c r="I782">
        <v>351.2278</v>
      </c>
      <c r="J782">
        <v>-203.5581</v>
      </c>
      <c r="K782">
        <v>1.0909059999999999</v>
      </c>
      <c r="L782">
        <v>364.6071</v>
      </c>
      <c r="M782">
        <v>0.89092660000000001</v>
      </c>
      <c r="N782">
        <v>0</v>
      </c>
      <c r="O782">
        <v>-0.45387670000000002</v>
      </c>
      <c r="P782">
        <v>0.79160750000000002</v>
      </c>
      <c r="Q782">
        <v>3.8623480000000002E-2</v>
      </c>
      <c r="R782">
        <v>-0.60980829999999997</v>
      </c>
      <c r="S782">
        <v>1.454666</v>
      </c>
      <c r="T782">
        <v>-0.24894910000000001</v>
      </c>
      <c r="U782">
        <v>-3.088959</v>
      </c>
      <c r="V782">
        <v>0.18570690000000001</v>
      </c>
      <c r="W782">
        <v>4.7915529999999998E-2</v>
      </c>
      <c r="X782">
        <v>0.98143619999999998</v>
      </c>
      <c r="Y782">
        <v>0.61229940000000005</v>
      </c>
      <c r="Z782">
        <v>1.08664E-2</v>
      </c>
      <c r="AA782">
        <v>0.79055129999999996</v>
      </c>
      <c r="AB782">
        <v>33</v>
      </c>
      <c r="AC782">
        <v>6.0826999999999796</v>
      </c>
      <c r="AD782">
        <v>-1.090908918527</v>
      </c>
      <c r="AE782">
        <v>-13.379300000000001</v>
      </c>
      <c r="AF782">
        <v>9.1101117305403392</v>
      </c>
      <c r="AG782">
        <v>-1.090908918527</v>
      </c>
      <c r="AH782">
        <v>11.430228970504499</v>
      </c>
      <c r="AI782">
        <v>94.268360016189803</v>
      </c>
      <c r="AJ782">
        <v>51.4444825190931</v>
      </c>
      <c r="AK782">
        <v>14.657228671533099</v>
      </c>
      <c r="AL782">
        <v>87.253590713290805</v>
      </c>
      <c r="AM782">
        <v>79.285198459881897</v>
      </c>
      <c r="AN782">
        <v>0.99999998269661505</v>
      </c>
    </row>
    <row r="783" spans="1:40" x14ac:dyDescent="0.3">
      <c r="A783" t="str">
        <f>"20200111153845365"</f>
        <v>20200111153845365</v>
      </c>
      <c r="B783" t="str">
        <f>"1578728325361223"</f>
        <v>1578728325361223</v>
      </c>
      <c r="C783" t="s">
        <v>40</v>
      </c>
      <c r="D783">
        <v>5.1150989999999998</v>
      </c>
      <c r="E783">
        <v>0.70639200000000002</v>
      </c>
      <c r="F783" t="s">
        <v>42</v>
      </c>
      <c r="G783">
        <v>-194.46610000000001</v>
      </c>
      <c r="H783" s="1">
        <v>-3.0545839999999999E-6</v>
      </c>
      <c r="I783">
        <v>343.93939999999998</v>
      </c>
      <c r="J783">
        <v>-203.25919999999999</v>
      </c>
      <c r="K783">
        <v>1.09081299999999</v>
      </c>
      <c r="L783">
        <v>364.43959999999998</v>
      </c>
      <c r="M783">
        <v>0.88373289999999904</v>
      </c>
      <c r="N783">
        <v>0</v>
      </c>
      <c r="O783">
        <v>-0.46772809999999998</v>
      </c>
      <c r="P783">
        <v>0.78152909999999998</v>
      </c>
      <c r="Q783">
        <v>3.7275700000000002E-2</v>
      </c>
      <c r="R783">
        <v>-0.62275459999999905</v>
      </c>
      <c r="S783">
        <v>1.3804780000000001</v>
      </c>
      <c r="T783">
        <v>-0.16563729999999999</v>
      </c>
      <c r="U783">
        <v>-3.1380620000000001</v>
      </c>
      <c r="V783">
        <v>0.18647540000000001</v>
      </c>
      <c r="W783">
        <v>4.6534239999999998E-2</v>
      </c>
      <c r="X783">
        <v>0.98135700000000003</v>
      </c>
      <c r="Y783">
        <v>0.62047169999999996</v>
      </c>
      <c r="Z783">
        <v>7.7460840000000003E-3</v>
      </c>
      <c r="AA783">
        <v>0.78419059999999996</v>
      </c>
      <c r="AB783">
        <v>33</v>
      </c>
      <c r="AC783">
        <v>8.7930999999999795</v>
      </c>
      <c r="AD783">
        <v>-1.09081605458399</v>
      </c>
      <c r="AE783">
        <v>-20.5002</v>
      </c>
      <c r="AF783">
        <v>13.972235656872501</v>
      </c>
      <c r="AG783">
        <v>-1.09081605458399</v>
      </c>
      <c r="AH783">
        <v>17.319993885223798</v>
      </c>
      <c r="AI783">
        <v>92.806298857741496</v>
      </c>
      <c r="AJ783">
        <v>51.106487388967103</v>
      </c>
      <c r="AK783">
        <v>22.279933507537802</v>
      </c>
      <c r="AL783">
        <v>87.332821349061305</v>
      </c>
      <c r="AM783">
        <v>79.241042845329403</v>
      </c>
      <c r="AN783">
        <v>1.0000000358732599</v>
      </c>
    </row>
    <row r="784" spans="1:40" x14ac:dyDescent="0.3">
      <c r="A784" t="str">
        <f>"20200111153845389"</f>
        <v>20200111153845389</v>
      </c>
      <c r="B784" t="str">
        <f>"1578728325381718"</f>
        <v>1578728325381718</v>
      </c>
      <c r="C784" t="s">
        <v>40</v>
      </c>
      <c r="D784">
        <v>5.2928410000000001</v>
      </c>
      <c r="E784">
        <v>0.70473209999999997</v>
      </c>
      <c r="F784" t="s">
        <v>42</v>
      </c>
      <c r="G784">
        <v>-192.24879999999999</v>
      </c>
      <c r="H784" s="1">
        <v>-4.215611E-6</v>
      </c>
      <c r="I784">
        <v>338.20240000000001</v>
      </c>
      <c r="J784">
        <v>-202.9469</v>
      </c>
      <c r="K784">
        <v>1.090733</v>
      </c>
      <c r="L784">
        <v>364.25810000000001</v>
      </c>
      <c r="M784">
        <v>0.87587700000000002</v>
      </c>
      <c r="N784">
        <v>0</v>
      </c>
      <c r="O784">
        <v>-0.48227779999999998</v>
      </c>
      <c r="P784">
        <v>0.77106479999999999</v>
      </c>
      <c r="Q784">
        <v>3.5967249999999999E-2</v>
      </c>
      <c r="R784">
        <v>-0.63574019999999898</v>
      </c>
      <c r="S784">
        <v>1.326355</v>
      </c>
      <c r="T784">
        <v>-0.1314042</v>
      </c>
      <c r="U784">
        <v>-3.1606450000000001</v>
      </c>
      <c r="V784">
        <v>0.18659770000000001</v>
      </c>
      <c r="W784">
        <v>4.5217649999999998E-2</v>
      </c>
      <c r="X784">
        <v>0.98139520000000002</v>
      </c>
      <c r="Y784">
        <v>0.62099309999999996</v>
      </c>
      <c r="Z784">
        <v>6.7974799999999998E-3</v>
      </c>
      <c r="AA784">
        <v>0.78378649999999905</v>
      </c>
      <c r="AB784">
        <v>33</v>
      </c>
      <c r="AC784">
        <v>10.6981</v>
      </c>
      <c r="AD784">
        <v>-1.090737215611</v>
      </c>
      <c r="AE784">
        <v>-26.055700000000002</v>
      </c>
      <c r="AF784">
        <v>17.637869446763698</v>
      </c>
      <c r="AG784">
        <v>-1.090737215611</v>
      </c>
      <c r="AH784">
        <v>21.906171133152</v>
      </c>
      <c r="AI784">
        <v>92.220975911522501</v>
      </c>
      <c r="AJ784">
        <v>51.160536790430903</v>
      </c>
      <c r="AK784">
        <v>28.145416678556</v>
      </c>
      <c r="AL784">
        <v>87.408335654407296</v>
      </c>
      <c r="AM784">
        <v>79.234560701241804</v>
      </c>
      <c r="AN784">
        <v>0.99999993804992404</v>
      </c>
    </row>
    <row r="785" spans="1:40" x14ac:dyDescent="0.3">
      <c r="A785" t="str">
        <f>"20200111153845410"</f>
        <v>20200111153845410</v>
      </c>
      <c r="B785" t="str">
        <f>"1578728325401240"</f>
        <v>1578728325401240</v>
      </c>
      <c r="C785" t="s">
        <v>40</v>
      </c>
      <c r="D785">
        <v>5.2986610000000001</v>
      </c>
      <c r="E785">
        <v>0.70246919999999902</v>
      </c>
      <c r="F785" t="s">
        <v>42</v>
      </c>
      <c r="G785">
        <v>-192.71350000000001</v>
      </c>
      <c r="H785" s="1">
        <v>-4.549662E-6</v>
      </c>
      <c r="I785">
        <v>338.9418</v>
      </c>
      <c r="J785">
        <v>-202.66990000000001</v>
      </c>
      <c r="K785">
        <v>1.0906739999999999</v>
      </c>
      <c r="L785">
        <v>364.09109999999998</v>
      </c>
      <c r="M785">
        <v>0.86860959999999998</v>
      </c>
      <c r="N785">
        <v>0</v>
      </c>
      <c r="O785">
        <v>-0.49524649999999998</v>
      </c>
      <c r="P785">
        <v>0.76127219999999995</v>
      </c>
      <c r="Q785">
        <v>3.5411360000000003E-2</v>
      </c>
      <c r="R785">
        <v>-0.64746539999999997</v>
      </c>
      <c r="S785">
        <v>1.2820739999999999</v>
      </c>
      <c r="T785">
        <v>-0.13665039999999901</v>
      </c>
      <c r="U785">
        <v>-3.1716920000000002</v>
      </c>
      <c r="V785">
        <v>0.18699969999999999</v>
      </c>
      <c r="W785">
        <v>4.4646030000000003E-2</v>
      </c>
      <c r="X785">
        <v>0.98134489999999996</v>
      </c>
      <c r="Y785">
        <v>0.61967220000000001</v>
      </c>
      <c r="Z785">
        <v>7.73391599999999E-3</v>
      </c>
      <c r="AA785">
        <v>0.78482259999999904</v>
      </c>
      <c r="AB785">
        <v>33</v>
      </c>
      <c r="AC785">
        <v>9.9564000000000004</v>
      </c>
      <c r="AD785">
        <v>-1.090678549662</v>
      </c>
      <c r="AE785">
        <v>-25.149299999999901</v>
      </c>
      <c r="AF785">
        <v>16.888690830168699</v>
      </c>
      <c r="AG785">
        <v>-1.090678549662</v>
      </c>
      <c r="AH785">
        <v>21.071685840612599</v>
      </c>
      <c r="AI785">
        <v>92.312847744948598</v>
      </c>
      <c r="AJ785">
        <v>51.2882647402853</v>
      </c>
      <c r="AK785">
        <v>27.026531442661899</v>
      </c>
      <c r="AL785">
        <v>87.441120299311805</v>
      </c>
      <c r="AM785">
        <v>79.2113717301674</v>
      </c>
      <c r="AN785">
        <v>0.99999998427543002</v>
      </c>
    </row>
    <row r="786" spans="1:40" x14ac:dyDescent="0.3">
      <c r="A786" t="str">
        <f>"20200111153845431"</f>
        <v>20200111153845431</v>
      </c>
      <c r="B786" t="str">
        <f>"1578728325421739"</f>
        <v>1578728325421739</v>
      </c>
      <c r="C786" t="s">
        <v>40</v>
      </c>
      <c r="D786">
        <v>5.2232430000000001</v>
      </c>
      <c r="E786">
        <v>0.70129359999999996</v>
      </c>
      <c r="F786" t="s">
        <v>42</v>
      </c>
      <c r="G786">
        <v>-192.9436</v>
      </c>
      <c r="H786" s="1">
        <v>-4.7048280000000002E-6</v>
      </c>
      <c r="I786">
        <v>339.27780000000001</v>
      </c>
      <c r="J786">
        <v>-202.39330000000001</v>
      </c>
      <c r="K786">
        <v>1.090625</v>
      </c>
      <c r="L786">
        <v>363.9187</v>
      </c>
      <c r="M786">
        <v>0.86106510000000003</v>
      </c>
      <c r="N786">
        <v>0</v>
      </c>
      <c r="O786">
        <v>-0.50824999999999998</v>
      </c>
      <c r="P786">
        <v>0.75169249999999999</v>
      </c>
      <c r="Q786">
        <v>3.5585249999999999E-2</v>
      </c>
      <c r="R786">
        <v>-0.65855330000000001</v>
      </c>
      <c r="S786">
        <v>1.245285</v>
      </c>
      <c r="T786">
        <v>-0.1396424</v>
      </c>
      <c r="U786">
        <v>-3.1769099999999999</v>
      </c>
      <c r="V786">
        <v>0.18664339999999999</v>
      </c>
      <c r="W786">
        <v>4.4833240000000003E-2</v>
      </c>
      <c r="X786">
        <v>0.98140419999999995</v>
      </c>
      <c r="Y786">
        <v>0.6161645</v>
      </c>
      <c r="Z786">
        <v>8.6503650000000001E-3</v>
      </c>
      <c r="AA786">
        <v>0.78756999999999999</v>
      </c>
      <c r="AB786">
        <v>33</v>
      </c>
      <c r="AC786">
        <v>9.4497</v>
      </c>
      <c r="AD786">
        <v>-1.090629704828</v>
      </c>
      <c r="AE786">
        <v>-24.640899999999899</v>
      </c>
      <c r="AF786">
        <v>16.3886621044729</v>
      </c>
      <c r="AG786">
        <v>-1.090629704828</v>
      </c>
      <c r="AH786">
        <v>20.627885774471402</v>
      </c>
      <c r="AI786">
        <v>92.370509417588096</v>
      </c>
      <c r="AJ786">
        <v>51.533187289964602</v>
      </c>
      <c r="AK786">
        <v>26.368302756383098</v>
      </c>
      <c r="AL786">
        <v>87.430383222217102</v>
      </c>
      <c r="AM786">
        <v>79.232082195671197</v>
      </c>
      <c r="AN786">
        <v>0.99999999097504799</v>
      </c>
    </row>
    <row r="787" spans="1:40" x14ac:dyDescent="0.3">
      <c r="A787" t="str">
        <f>"20200111153845454"</f>
        <v>20200111153845454</v>
      </c>
      <c r="B787" t="str">
        <f>"1578728325451013"</f>
        <v>1578728325451013</v>
      </c>
      <c r="C787" t="s">
        <v>40</v>
      </c>
      <c r="D787">
        <v>5.3055079999999997</v>
      </c>
      <c r="E787">
        <v>0.67712490000000003</v>
      </c>
      <c r="F787" t="s">
        <v>42</v>
      </c>
      <c r="G787">
        <v>-192.97139999999999</v>
      </c>
      <c r="H787" s="1">
        <v>-4.6107980000000003E-6</v>
      </c>
      <c r="I787">
        <v>338.98700000000002</v>
      </c>
      <c r="J787">
        <v>-202.10669999999999</v>
      </c>
      <c r="K787">
        <v>1.0905860000000001</v>
      </c>
      <c r="L787">
        <v>363.73390000000001</v>
      </c>
      <c r="M787">
        <v>0.85294190000000003</v>
      </c>
      <c r="N787">
        <v>0</v>
      </c>
      <c r="O787">
        <v>-0.52176699999999998</v>
      </c>
      <c r="P787">
        <v>0.74175760000000002</v>
      </c>
      <c r="Q787">
        <v>3.552773E-2</v>
      </c>
      <c r="R787">
        <v>-0.66972659999999995</v>
      </c>
      <c r="S787">
        <v>1.2047270000000001</v>
      </c>
      <c r="T787">
        <v>-0.13945250000000001</v>
      </c>
      <c r="U787">
        <v>-3.1878660000000001</v>
      </c>
      <c r="V787">
        <v>0.18585009999999999</v>
      </c>
      <c r="W787">
        <v>4.4807039999999999E-2</v>
      </c>
      <c r="X787">
        <v>0.98155590000000004</v>
      </c>
      <c r="Y787">
        <v>0.61339860000000002</v>
      </c>
      <c r="Z787">
        <v>9.3853770000000003E-3</v>
      </c>
      <c r="AA787">
        <v>0.78971780000000003</v>
      </c>
      <c r="AB787">
        <v>33</v>
      </c>
      <c r="AC787">
        <v>9.1353000000000009</v>
      </c>
      <c r="AD787">
        <v>-1.0905906107979999</v>
      </c>
      <c r="AE787">
        <v>-24.7469</v>
      </c>
      <c r="AF787">
        <v>16.315320646310202</v>
      </c>
      <c r="AG787">
        <v>-1.0905906107979999</v>
      </c>
      <c r="AH787">
        <v>20.671245416809299</v>
      </c>
      <c r="AI787">
        <v>92.371461965114904</v>
      </c>
      <c r="AJ787">
        <v>51.716810354233701</v>
      </c>
      <c r="AK787">
        <v>26.356772616430899</v>
      </c>
      <c r="AL787">
        <v>87.431885796114301</v>
      </c>
      <c r="AM787">
        <v>79.2784050317386</v>
      </c>
      <c r="AN787">
        <v>0.99999995766418903</v>
      </c>
    </row>
    <row r="788" spans="1:40" x14ac:dyDescent="0.3">
      <c r="A788" t="str">
        <f>"20200111153845478"</f>
        <v>20200111153845478</v>
      </c>
      <c r="B788" t="str">
        <f>"1578728325471509"</f>
        <v>1578728325471509</v>
      </c>
      <c r="C788" t="s">
        <v>40</v>
      </c>
      <c r="D788">
        <v>5.2686390000000003</v>
      </c>
      <c r="E788">
        <v>0.67589069999999996</v>
      </c>
      <c r="F788" t="s">
        <v>52</v>
      </c>
      <c r="G788">
        <v>-198.44759999999999</v>
      </c>
      <c r="H788" s="1">
        <v>-5.0431930000000003E-6</v>
      </c>
      <c r="I788">
        <v>355.05529999999999</v>
      </c>
      <c r="J788">
        <v>-201.8135</v>
      </c>
      <c r="K788">
        <v>1.0905480000000001</v>
      </c>
      <c r="L788">
        <v>363.5376</v>
      </c>
      <c r="M788">
        <v>0.84429339999999997</v>
      </c>
      <c r="N788">
        <v>0</v>
      </c>
      <c r="O788">
        <v>-0.53564799999999901</v>
      </c>
      <c r="P788">
        <v>0.73126389999999997</v>
      </c>
      <c r="Q788">
        <v>3.5344390000000003E-2</v>
      </c>
      <c r="R788">
        <v>-0.68117879999999997</v>
      </c>
      <c r="S788">
        <v>1.293304</v>
      </c>
      <c r="T788">
        <v>-0.38547310000000001</v>
      </c>
      <c r="U788">
        <v>-3.0674739999999998</v>
      </c>
      <c r="V788">
        <v>0.1850492</v>
      </c>
      <c r="W788">
        <v>4.4656979999999999E-2</v>
      </c>
      <c r="X788">
        <v>0.98171410000000003</v>
      </c>
      <c r="Y788">
        <v>0.5694574</v>
      </c>
      <c r="Z788">
        <v>3.1343790000000003E-2</v>
      </c>
      <c r="AA788">
        <v>0.82142309999999996</v>
      </c>
      <c r="AB788">
        <v>33</v>
      </c>
      <c r="AC788">
        <v>3.3659000000000101</v>
      </c>
      <c r="AD788">
        <v>-1.0905530431929999</v>
      </c>
      <c r="AE788">
        <v>-8.4823000000000093</v>
      </c>
      <c r="AF788">
        <v>5.2838234546856002</v>
      </c>
      <c r="AG788">
        <v>-1.0905530431929999</v>
      </c>
      <c r="AH788">
        <v>7.2822588720335704</v>
      </c>
      <c r="AI788">
        <v>96.911102446344003</v>
      </c>
      <c r="AJ788">
        <v>54.036307419686601</v>
      </c>
      <c r="AK788">
        <v>9.0630784240022404</v>
      </c>
      <c r="AL788">
        <v>87.440492358259505</v>
      </c>
      <c r="AM788">
        <v>79.325225127865096</v>
      </c>
      <c r="AN788">
        <v>1.00000001321108</v>
      </c>
    </row>
    <row r="789" spans="1:40" x14ac:dyDescent="0.3">
      <c r="A789" t="str">
        <f>"20200111153845499"</f>
        <v>20200111153845499</v>
      </c>
      <c r="B789" t="str">
        <f>"1578728325491041"</f>
        <v>1578728325491041</v>
      </c>
      <c r="C789" t="s">
        <v>40</v>
      </c>
      <c r="D789">
        <v>5.2702049999999998</v>
      </c>
      <c r="E789">
        <v>0.67418230000000001</v>
      </c>
      <c r="F789" t="s">
        <v>52</v>
      </c>
      <c r="G789">
        <v>-198.304</v>
      </c>
      <c r="H789" s="1">
        <v>-4.938644E-6</v>
      </c>
      <c r="I789">
        <v>354.89929999999998</v>
      </c>
      <c r="J789">
        <v>-201.53970000000001</v>
      </c>
      <c r="K789">
        <v>1.090527</v>
      </c>
      <c r="L789">
        <v>363.34789999999998</v>
      </c>
      <c r="M789">
        <v>0.83590350000000002</v>
      </c>
      <c r="N789">
        <v>0</v>
      </c>
      <c r="O789">
        <v>-0.54864849999999998</v>
      </c>
      <c r="P789">
        <v>0.72109899999999905</v>
      </c>
      <c r="Q789">
        <v>3.5271509999999999E-2</v>
      </c>
      <c r="R789">
        <v>-0.6919341</v>
      </c>
      <c r="S789">
        <v>1.251617</v>
      </c>
      <c r="T789">
        <v>-0.38892749999999998</v>
      </c>
      <c r="U789">
        <v>-3.0807190000000002</v>
      </c>
      <c r="V789">
        <v>0.18439510000000001</v>
      </c>
      <c r="W789">
        <v>4.4612680000000002E-2</v>
      </c>
      <c r="X789">
        <v>0.98183920000000002</v>
      </c>
      <c r="Y789">
        <v>0.56755230000000001</v>
      </c>
      <c r="Z789">
        <v>3.359827E-2</v>
      </c>
      <c r="AA789">
        <v>0.82265159999999904</v>
      </c>
      <c r="AB789">
        <v>33</v>
      </c>
      <c r="AC789">
        <v>3.2357</v>
      </c>
      <c r="AD789">
        <v>-1.090531938644</v>
      </c>
      <c r="AE789">
        <v>-8.4485999999999901</v>
      </c>
      <c r="AF789">
        <v>5.2118851024157902</v>
      </c>
      <c r="AG789">
        <v>-1.090531938644</v>
      </c>
      <c r="AH789">
        <v>7.2358264047403296</v>
      </c>
      <c r="AI789">
        <v>96.972189736826607</v>
      </c>
      <c r="AJ789">
        <v>54.2352145647829</v>
      </c>
      <c r="AK789">
        <v>8.9838850164905697</v>
      </c>
      <c r="AL789">
        <v>87.443033134826194</v>
      </c>
      <c r="AM789">
        <v>79.363419465570701</v>
      </c>
      <c r="AN789">
        <v>1.0000000293887099</v>
      </c>
    </row>
    <row r="790" spans="1:40" x14ac:dyDescent="0.3">
      <c r="A790" t="str">
        <f>"20200111153845521"</f>
        <v>20200111153845521</v>
      </c>
      <c r="B790" t="str">
        <f>"1578728325511526"</f>
        <v>1578728325511526</v>
      </c>
      <c r="C790" t="s">
        <v>40</v>
      </c>
      <c r="D790">
        <v>5.0505589999999998</v>
      </c>
      <c r="E790">
        <v>0.67566040000000005</v>
      </c>
      <c r="F790" t="s">
        <v>52</v>
      </c>
      <c r="G790">
        <v>-198.1464</v>
      </c>
      <c r="H790" s="1">
        <v>-4.8192299999999999E-6</v>
      </c>
      <c r="I790">
        <v>354.71789999999999</v>
      </c>
      <c r="J790">
        <v>-201.27430000000001</v>
      </c>
      <c r="K790">
        <v>1.090509</v>
      </c>
      <c r="L790">
        <v>363.15800000000002</v>
      </c>
      <c r="M790">
        <v>0.82747340000000003</v>
      </c>
      <c r="N790">
        <v>0</v>
      </c>
      <c r="O790">
        <v>-0.56128180000000005</v>
      </c>
      <c r="P790">
        <v>0.71119699999999997</v>
      </c>
      <c r="Q790">
        <v>3.4937360000000001E-2</v>
      </c>
      <c r="R790">
        <v>-0.70212450000000004</v>
      </c>
      <c r="S790">
        <v>1.214828</v>
      </c>
      <c r="T790">
        <v>-0.39041019999999999</v>
      </c>
      <c r="U790">
        <v>-3.0895389999999998</v>
      </c>
      <c r="V790">
        <v>0.18343309999999999</v>
      </c>
      <c r="W790">
        <v>4.431972E-2</v>
      </c>
      <c r="X790">
        <v>0.98203260000000003</v>
      </c>
      <c r="Y790">
        <v>0.56437630000000005</v>
      </c>
      <c r="Z790">
        <v>3.5768910000000001E-2</v>
      </c>
      <c r="AA790">
        <v>0.82474239999999999</v>
      </c>
      <c r="AB790">
        <v>33</v>
      </c>
      <c r="AC790">
        <v>3.1279000000000101</v>
      </c>
      <c r="AD790">
        <v>-1.0905138192299999</v>
      </c>
      <c r="AE790">
        <v>-8.4401000000000295</v>
      </c>
      <c r="AF790">
        <v>5.1533377629973396</v>
      </c>
      <c r="AG790">
        <v>-1.0905138192299999</v>
      </c>
      <c r="AH790">
        <v>7.2204623311587701</v>
      </c>
      <c r="AI790">
        <v>97.008338436786204</v>
      </c>
      <c r="AJ790">
        <v>54.484056718766404</v>
      </c>
      <c r="AK790">
        <v>8.9376275803564802</v>
      </c>
      <c r="AL790">
        <v>87.459835008623202</v>
      </c>
      <c r="AM790">
        <v>79.419691564599106</v>
      </c>
      <c r="AN790">
        <v>0.99999998360962405</v>
      </c>
    </row>
    <row r="791" spans="1:40" x14ac:dyDescent="0.3">
      <c r="A791" t="str">
        <f>"20200111153845544"</f>
        <v>20200111153845544</v>
      </c>
      <c r="B791" t="str">
        <f>"1578728325540805"</f>
        <v>1578728325540805</v>
      </c>
      <c r="C791" t="s">
        <v>40</v>
      </c>
      <c r="D791">
        <v>5.2463660000000001</v>
      </c>
      <c r="E791">
        <v>0.67603659999999999</v>
      </c>
      <c r="F791" t="s">
        <v>52</v>
      </c>
      <c r="G791">
        <v>-197.44309999999999</v>
      </c>
      <c r="H791" s="1">
        <v>-3.7430649999999999E-6</v>
      </c>
      <c r="I791">
        <v>352.88049999999998</v>
      </c>
      <c r="J791">
        <v>-201.0027</v>
      </c>
      <c r="K791">
        <v>1.0905</v>
      </c>
      <c r="L791">
        <v>362.9572</v>
      </c>
      <c r="M791">
        <v>0.81854130000000003</v>
      </c>
      <c r="N791">
        <v>0</v>
      </c>
      <c r="O791">
        <v>-0.57422910000000005</v>
      </c>
      <c r="P791">
        <v>0.70103040000000005</v>
      </c>
      <c r="Q791">
        <v>3.468566E-2</v>
      </c>
      <c r="R791">
        <v>-0.71228729999999996</v>
      </c>
      <c r="S791">
        <v>1.16066</v>
      </c>
      <c r="T791">
        <v>-0.33037139999999998</v>
      </c>
      <c r="U791">
        <v>-3.113556</v>
      </c>
      <c r="V791">
        <v>0.1821036</v>
      </c>
      <c r="W791">
        <v>4.4122979999999999E-2</v>
      </c>
      <c r="X791">
        <v>0.98228890000000002</v>
      </c>
      <c r="Y791">
        <v>0.56622790000000001</v>
      </c>
      <c r="Z791">
        <v>3.1733909999999997E-2</v>
      </c>
      <c r="AA791">
        <v>0.82363759999999997</v>
      </c>
      <c r="AB791">
        <v>33</v>
      </c>
      <c r="AC791">
        <v>3.5596000000000099</v>
      </c>
      <c r="AD791">
        <v>-1.090503743065</v>
      </c>
      <c r="AE791">
        <v>-10.076700000000001</v>
      </c>
      <c r="AF791">
        <v>6.1410060744286703</v>
      </c>
      <c r="AG791">
        <v>-1.090503743065</v>
      </c>
      <c r="AH791">
        <v>8.6114412555057704</v>
      </c>
      <c r="AI791">
        <v>95.886583471457996</v>
      </c>
      <c r="AJ791">
        <v>54.506506206068799</v>
      </c>
      <c r="AK791">
        <v>10.632877057355399</v>
      </c>
      <c r="AL791">
        <v>87.471118512458503</v>
      </c>
      <c r="AM791">
        <v>79.497343213806204</v>
      </c>
      <c r="AN791">
        <v>1.0000000207801201</v>
      </c>
    </row>
    <row r="792" spans="1:40" x14ac:dyDescent="0.3">
      <c r="A792" t="str">
        <f>"20200111153845558"</f>
        <v>20200111153845558</v>
      </c>
      <c r="B792" t="str">
        <f>"1578728325551542"</f>
        <v>1578728325551542</v>
      </c>
      <c r="C792" t="s">
        <v>40</v>
      </c>
      <c r="D792">
        <v>5.2764300000000004</v>
      </c>
      <c r="E792">
        <v>0.67559440000000004</v>
      </c>
      <c r="F792" t="s">
        <v>52</v>
      </c>
      <c r="G792">
        <v>-196.68559999999999</v>
      </c>
      <c r="H792" s="1">
        <v>-2.4879290000000001E-6</v>
      </c>
      <c r="I792">
        <v>350.8005</v>
      </c>
      <c r="J792">
        <v>-200.8329</v>
      </c>
      <c r="K792">
        <v>1.0905</v>
      </c>
      <c r="L792">
        <v>362.82859999999999</v>
      </c>
      <c r="M792">
        <v>0.81279590000000002</v>
      </c>
      <c r="N792">
        <v>0</v>
      </c>
      <c r="O792">
        <v>-0.58233299999999999</v>
      </c>
      <c r="P792">
        <v>0.69440449999999998</v>
      </c>
      <c r="Q792">
        <v>3.4295579999999999E-2</v>
      </c>
      <c r="R792">
        <v>-0.71876739999999995</v>
      </c>
      <c r="S792">
        <v>1.1119079999999999</v>
      </c>
      <c r="T792">
        <v>-0.28086939999999999</v>
      </c>
      <c r="U792">
        <v>-3.1310730000000002</v>
      </c>
      <c r="V792">
        <v>0.18144299999999999</v>
      </c>
      <c r="W792">
        <v>4.3761410000000001E-2</v>
      </c>
      <c r="X792">
        <v>0.9824273</v>
      </c>
      <c r="Y792">
        <v>0.57094800000000001</v>
      </c>
      <c r="Z792">
        <v>2.762216E-2</v>
      </c>
      <c r="AA792">
        <v>0.82052150000000001</v>
      </c>
      <c r="AB792">
        <v>33</v>
      </c>
      <c r="AC792">
        <v>4.1473000000000004</v>
      </c>
      <c r="AD792">
        <v>-1.090502487929</v>
      </c>
      <c r="AE792">
        <v>-12.028099999999901</v>
      </c>
      <c r="AF792">
        <v>7.3085140593026203</v>
      </c>
      <c r="AG792">
        <v>-1.090502487929</v>
      </c>
      <c r="AH792">
        <v>10.3008966708059</v>
      </c>
      <c r="AI792">
        <v>94.934715670756106</v>
      </c>
      <c r="AJ792">
        <v>54.644196066740001</v>
      </c>
      <c r="AK792">
        <v>12.6772254714438</v>
      </c>
      <c r="AL792">
        <v>87.491854953762598</v>
      </c>
      <c r="AM792">
        <v>79.536041206845894</v>
      </c>
      <c r="AN792">
        <v>1.0000000115197301</v>
      </c>
    </row>
    <row r="793" spans="1:40" x14ac:dyDescent="0.3">
      <c r="A793" t="str">
        <f>"20200111153845571"</f>
        <v>20200111153845571</v>
      </c>
      <c r="B793" t="str">
        <f>"1578728325561302"</f>
        <v>1578728325561302</v>
      </c>
      <c r="C793" t="s">
        <v>40</v>
      </c>
      <c r="D793">
        <v>5.2167159999999999</v>
      </c>
      <c r="E793">
        <v>0.67500389999999999</v>
      </c>
      <c r="F793" t="s">
        <v>52</v>
      </c>
      <c r="G793">
        <v>-196.5514</v>
      </c>
      <c r="H793" s="1">
        <v>-2.2407180000000001E-6</v>
      </c>
      <c r="I793">
        <v>350.44330000000002</v>
      </c>
      <c r="J793">
        <v>-200.67269999999999</v>
      </c>
      <c r="K793">
        <v>1.090498</v>
      </c>
      <c r="L793">
        <v>362.7045</v>
      </c>
      <c r="M793">
        <v>0.80725469999999999</v>
      </c>
      <c r="N793">
        <v>0</v>
      </c>
      <c r="O793">
        <v>-0.58999029999999997</v>
      </c>
      <c r="P793">
        <v>0.68811350000000004</v>
      </c>
      <c r="Q793">
        <v>3.4354669999999997E-2</v>
      </c>
      <c r="R793">
        <v>-0.72478980000000004</v>
      </c>
      <c r="S793">
        <v>1.085037</v>
      </c>
      <c r="T793">
        <v>-0.27635880000000002</v>
      </c>
      <c r="U793">
        <v>-3.1387330000000002</v>
      </c>
      <c r="V793">
        <v>0.18071860000000001</v>
      </c>
      <c r="W793">
        <v>4.3851439999999998E-2</v>
      </c>
      <c r="X793">
        <v>0.98255680000000001</v>
      </c>
      <c r="Y793">
        <v>0.57009969999999999</v>
      </c>
      <c r="Z793">
        <v>2.8011560000000001E-2</v>
      </c>
      <c r="AA793">
        <v>0.82109789999999905</v>
      </c>
      <c r="AB793">
        <v>33</v>
      </c>
      <c r="AC793">
        <v>4.12129999999999</v>
      </c>
      <c r="AD793">
        <v>-1.090500240718</v>
      </c>
      <c r="AE793">
        <v>-12.261199999999899</v>
      </c>
      <c r="AF793">
        <v>7.4146254387473904</v>
      </c>
      <c r="AG793">
        <v>-1.090500240718</v>
      </c>
      <c r="AH793">
        <v>10.4877168368977</v>
      </c>
      <c r="AI793">
        <v>94.852964216958696</v>
      </c>
      <c r="AJ793">
        <v>54.740382665013399</v>
      </c>
      <c r="AK793">
        <v>12.890231402999399</v>
      </c>
      <c r="AL793">
        <v>87.486691662450895</v>
      </c>
      <c r="AM793">
        <v>79.578244175376199</v>
      </c>
      <c r="AN793">
        <v>1.00000001320113</v>
      </c>
    </row>
    <row r="794" spans="1:40" x14ac:dyDescent="0.3">
      <c r="A794" t="str">
        <f>"20200111153845589"</f>
        <v>20200111153845589</v>
      </c>
      <c r="B794" t="str">
        <f>"1578728325580821"</f>
        <v>1578728325580821</v>
      </c>
      <c r="C794" t="s">
        <v>40</v>
      </c>
      <c r="D794">
        <v>5.2637619999999998</v>
      </c>
      <c r="E794">
        <v>0.67411759999999998</v>
      </c>
      <c r="F794" t="s">
        <v>52</v>
      </c>
      <c r="G794">
        <v>-196.41399999999999</v>
      </c>
      <c r="H794" s="1">
        <v>-1.989717E-6</v>
      </c>
      <c r="I794">
        <v>350.08100000000002</v>
      </c>
      <c r="J794">
        <v>-200.45840000000001</v>
      </c>
      <c r="K794">
        <v>1.0905020000000001</v>
      </c>
      <c r="L794">
        <v>362.53449999999998</v>
      </c>
      <c r="M794">
        <v>0.79965129999999995</v>
      </c>
      <c r="N794">
        <v>0</v>
      </c>
      <c r="O794">
        <v>-0.60025499999999998</v>
      </c>
      <c r="P794">
        <v>0.67967</v>
      </c>
      <c r="Q794">
        <v>3.4701589999999997E-2</v>
      </c>
      <c r="R794">
        <v>-0.73269700000000004</v>
      </c>
      <c r="S794">
        <v>1.0609280000000001</v>
      </c>
      <c r="T794">
        <v>-0.27166469999999998</v>
      </c>
      <c r="U794">
        <v>-3.1447750000000001</v>
      </c>
      <c r="V794">
        <v>0.17954800000000001</v>
      </c>
      <c r="W794">
        <v>4.4247790000000002E-2</v>
      </c>
      <c r="X794">
        <v>0.9827536</v>
      </c>
      <c r="Y794">
        <v>0.56575569999999997</v>
      </c>
      <c r="Z794">
        <v>2.8775999999999999E-2</v>
      </c>
      <c r="AA794">
        <v>0.82407059999999999</v>
      </c>
      <c r="AB794">
        <v>33</v>
      </c>
      <c r="AC794">
        <v>4.0443999999999898</v>
      </c>
      <c r="AD794">
        <v>-1.0905039897169999</v>
      </c>
      <c r="AE794">
        <v>-12.4535</v>
      </c>
      <c r="AF794">
        <v>7.4798520358309997</v>
      </c>
      <c r="AG794">
        <v>-1.0905039897169999</v>
      </c>
      <c r="AH794">
        <v>10.636952951902</v>
      </c>
      <c r="AI794">
        <v>94.793714007513401</v>
      </c>
      <c r="AJ794">
        <v>54.885305397021398</v>
      </c>
      <c r="AK794">
        <v>13.049220418495899</v>
      </c>
      <c r="AL794">
        <v>87.463960369408397</v>
      </c>
      <c r="AM794">
        <v>79.646314539994293</v>
      </c>
      <c r="AN794">
        <v>0.99999999476842205</v>
      </c>
    </row>
    <row r="795" spans="1:40" x14ac:dyDescent="0.3">
      <c r="A795" t="str">
        <f>"20200111153845603"</f>
        <v>20200111153845603</v>
      </c>
      <c r="B795" t="str">
        <f>"1578728325591560"</f>
        <v>1578728325591560</v>
      </c>
      <c r="C795" t="s">
        <v>40</v>
      </c>
      <c r="D795">
        <v>5.237285</v>
      </c>
      <c r="E795">
        <v>0.6735044</v>
      </c>
      <c r="F795" t="s">
        <v>42</v>
      </c>
      <c r="G795">
        <v>-196.2004</v>
      </c>
      <c r="H795" s="1">
        <v>-5.3558880000000003E-6</v>
      </c>
      <c r="I795">
        <v>349.49340000000001</v>
      </c>
      <c r="J795">
        <v>-200.30539999999999</v>
      </c>
      <c r="K795">
        <v>1.0905049999999901</v>
      </c>
      <c r="L795">
        <v>362.41019999999997</v>
      </c>
      <c r="M795">
        <v>0.7940895</v>
      </c>
      <c r="N795">
        <v>0</v>
      </c>
      <c r="O795">
        <v>-0.60759410000000003</v>
      </c>
      <c r="P795">
        <v>0.6735198</v>
      </c>
      <c r="Q795">
        <v>3.4606480000000002E-2</v>
      </c>
      <c r="R795">
        <v>-0.73835890000000004</v>
      </c>
      <c r="S795">
        <v>1.029236</v>
      </c>
      <c r="T795">
        <v>-0.26359440000000001</v>
      </c>
      <c r="U795">
        <v>-3.1522519999999998</v>
      </c>
      <c r="V795">
        <v>0.1787146</v>
      </c>
      <c r="W795">
        <v>4.418776E-2</v>
      </c>
      <c r="X795">
        <v>0.98290820000000001</v>
      </c>
      <c r="Y795">
        <v>0.56623819999999903</v>
      </c>
      <c r="Z795">
        <v>2.8647300000000001E-2</v>
      </c>
      <c r="AA795">
        <v>0.82374369999999997</v>
      </c>
      <c r="AB795">
        <v>33</v>
      </c>
      <c r="AC795">
        <v>4.1049999999999898</v>
      </c>
      <c r="AD795">
        <v>-1.0905103558879901</v>
      </c>
      <c r="AE795">
        <v>-12.916799999999901</v>
      </c>
      <c r="AF795">
        <v>7.7139579417682196</v>
      </c>
      <c r="AG795">
        <v>-1.0905103558879901</v>
      </c>
      <c r="AH795">
        <v>11.037847301250601</v>
      </c>
      <c r="AI795">
        <v>94.629774960921395</v>
      </c>
      <c r="AJ795">
        <v>55.0516730027433</v>
      </c>
      <c r="AK795">
        <v>13.510308398012</v>
      </c>
      <c r="AL795">
        <v>87.4674032106591</v>
      </c>
      <c r="AM795">
        <v>79.694926798459093</v>
      </c>
      <c r="AN795">
        <v>0.99999999800710804</v>
      </c>
    </row>
    <row r="796" spans="1:40" x14ac:dyDescent="0.3">
      <c r="A796" t="str">
        <f>"20200111153845617"</f>
        <v>20200111153845617</v>
      </c>
      <c r="B796" t="str">
        <f>"1578728325611079"</f>
        <v>1578728325611079</v>
      </c>
      <c r="C796" t="s">
        <v>40</v>
      </c>
      <c r="D796">
        <v>5.2320019999999996</v>
      </c>
      <c r="E796">
        <v>0.67248390000000002</v>
      </c>
      <c r="F796" t="s">
        <v>42</v>
      </c>
      <c r="G796">
        <v>-196.10890000000001</v>
      </c>
      <c r="H796" s="1">
        <v>-5.2539709999999998E-6</v>
      </c>
      <c r="I796">
        <v>349.24160000000001</v>
      </c>
      <c r="J796">
        <v>-200.1353</v>
      </c>
      <c r="K796">
        <v>1.0905100000000001</v>
      </c>
      <c r="L796">
        <v>362.2697</v>
      </c>
      <c r="M796">
        <v>0.78778130000000002</v>
      </c>
      <c r="N796">
        <v>0</v>
      </c>
      <c r="O796">
        <v>-0.61575069999999998</v>
      </c>
      <c r="P796">
        <v>0.66635940000000005</v>
      </c>
      <c r="Q796">
        <v>3.4453320000000003E-2</v>
      </c>
      <c r="R796">
        <v>-0.74483440000000001</v>
      </c>
      <c r="S796">
        <v>1.00621</v>
      </c>
      <c r="T796">
        <v>-0.26147670000000001</v>
      </c>
      <c r="U796">
        <v>-3.1575009999999999</v>
      </c>
      <c r="V796">
        <v>0.17806830000000001</v>
      </c>
      <c r="W796">
        <v>4.4063909999999998E-2</v>
      </c>
      <c r="X796">
        <v>0.98303099999999999</v>
      </c>
      <c r="Y796">
        <v>0.56360189999999999</v>
      </c>
      <c r="Z796">
        <v>2.934022E-2</v>
      </c>
      <c r="AA796">
        <v>0.82552539999999996</v>
      </c>
      <c r="AB796">
        <v>33</v>
      </c>
      <c r="AC796">
        <v>4.02639999999999</v>
      </c>
      <c r="AD796">
        <v>-1.0905152539709999</v>
      </c>
      <c r="AE796">
        <v>-13.028099999999901</v>
      </c>
      <c r="AF796">
        <v>7.7355411176000404</v>
      </c>
      <c r="AG796">
        <v>-1.0905152539709999</v>
      </c>
      <c r="AH796">
        <v>11.124246832932201</v>
      </c>
      <c r="AI796">
        <v>94.601482189460597</v>
      </c>
      <c r="AJ796">
        <v>55.186151727429497</v>
      </c>
      <c r="AK796">
        <v>13.5932588992201</v>
      </c>
      <c r="AL796">
        <v>87.474506083272701</v>
      </c>
      <c r="AM796">
        <v>79.732655034032106</v>
      </c>
      <c r="AN796">
        <v>0.99999994729518704</v>
      </c>
    </row>
    <row r="797" spans="1:40" x14ac:dyDescent="0.3">
      <c r="A797" t="str">
        <f>"20200111153845633"</f>
        <v>20200111153845633</v>
      </c>
      <c r="B797" t="str">
        <f>"1578728325620838"</f>
        <v>1578728325620838</v>
      </c>
      <c r="C797" t="s">
        <v>40</v>
      </c>
      <c r="D797">
        <v>5.2371819999999998</v>
      </c>
      <c r="E797">
        <v>0.67195709999999997</v>
      </c>
      <c r="F797" t="s">
        <v>42</v>
      </c>
      <c r="G797">
        <v>-195.97049999999999</v>
      </c>
      <c r="H797" s="1">
        <v>-5.0961929999999996E-6</v>
      </c>
      <c r="I797">
        <v>348.8501</v>
      </c>
      <c r="J797">
        <v>-199.95330000000001</v>
      </c>
      <c r="K797">
        <v>1.090519</v>
      </c>
      <c r="L797">
        <v>362.11610000000002</v>
      </c>
      <c r="M797">
        <v>0.78087289999999998</v>
      </c>
      <c r="N797">
        <v>0</v>
      </c>
      <c r="O797">
        <v>-0.6244885</v>
      </c>
      <c r="P797">
        <v>0.6594525</v>
      </c>
      <c r="Q797">
        <v>3.4529919999999999E-2</v>
      </c>
      <c r="R797">
        <v>-0.75095299999999998</v>
      </c>
      <c r="S797">
        <v>0.98126219999999997</v>
      </c>
      <c r="T797">
        <v>-0.25693260000000001</v>
      </c>
      <c r="U797">
        <v>-3.161743</v>
      </c>
      <c r="V797">
        <v>0.17619409999999999</v>
      </c>
      <c r="W797">
        <v>4.4214919999999998E-2</v>
      </c>
      <c r="X797">
        <v>0.98336190000000001</v>
      </c>
      <c r="Y797">
        <v>0.56066740000000004</v>
      </c>
      <c r="Z797">
        <v>2.9821E-2</v>
      </c>
      <c r="AA797">
        <v>0.82750400000000002</v>
      </c>
      <c r="AB797">
        <v>33</v>
      </c>
      <c r="AC797">
        <v>3.9828000000000201</v>
      </c>
      <c r="AD797">
        <v>-1.0905240961929901</v>
      </c>
      <c r="AE797">
        <v>-13.266</v>
      </c>
      <c r="AF797">
        <v>7.8243359114330202</v>
      </c>
      <c r="AG797">
        <v>-1.0905240961929901</v>
      </c>
      <c r="AH797">
        <v>11.3257524318406</v>
      </c>
      <c r="AI797">
        <v>94.529553099770794</v>
      </c>
      <c r="AJ797">
        <v>55.361550258256898</v>
      </c>
      <c r="AK797">
        <v>13.8087705248027</v>
      </c>
      <c r="AL797">
        <v>87.465845471969502</v>
      </c>
      <c r="AM797">
        <v>79.841805348363906</v>
      </c>
      <c r="AN797">
        <v>0.99999997319851197</v>
      </c>
    </row>
    <row r="798" spans="1:40" x14ac:dyDescent="0.3">
      <c r="A798" t="str">
        <f>"20200111153845648"</f>
        <v>20200111153845648</v>
      </c>
      <c r="B798" t="str">
        <f>"1578728325641335"</f>
        <v>1578728325641335</v>
      </c>
      <c r="C798" t="s">
        <v>40</v>
      </c>
      <c r="D798">
        <v>5.2280230000000003</v>
      </c>
      <c r="E798">
        <v>0.67103519999999905</v>
      </c>
      <c r="F798" t="s">
        <v>42</v>
      </c>
      <c r="G798">
        <v>-195.84299999999999</v>
      </c>
      <c r="H798" s="1">
        <v>-4.9504619999999997E-6</v>
      </c>
      <c r="I798">
        <v>348.48829999999998</v>
      </c>
      <c r="J798">
        <v>-199.79130000000001</v>
      </c>
      <c r="K798">
        <v>1.09053</v>
      </c>
      <c r="L798">
        <v>361.97559999999999</v>
      </c>
      <c r="M798">
        <v>0.77456720000000001</v>
      </c>
      <c r="N798">
        <v>0</v>
      </c>
      <c r="O798">
        <v>-0.63229279999999999</v>
      </c>
      <c r="P798">
        <v>0.65247529999999998</v>
      </c>
      <c r="Q798">
        <v>3.4658410000000001E-2</v>
      </c>
      <c r="R798">
        <v>-0.75701759999999996</v>
      </c>
      <c r="S798">
        <v>0.95538330000000005</v>
      </c>
      <c r="T798">
        <v>-0.2534788</v>
      </c>
      <c r="U798">
        <v>-3.1676030000000002</v>
      </c>
      <c r="V798">
        <v>0.17542530000000001</v>
      </c>
      <c r="W798">
        <v>4.4377359999999998E-2</v>
      </c>
      <c r="X798">
        <v>0.98349209999999998</v>
      </c>
      <c r="Y798">
        <v>0.55899049999999995</v>
      </c>
      <c r="Z798">
        <v>3.0248770000000001E-2</v>
      </c>
      <c r="AA798">
        <v>0.82862209999999903</v>
      </c>
      <c r="AB798">
        <v>33</v>
      </c>
      <c r="AC798">
        <v>3.9483000000000099</v>
      </c>
      <c r="AD798">
        <v>-1.0905349504620001</v>
      </c>
      <c r="AE798">
        <v>-13.487299999999999</v>
      </c>
      <c r="AF798">
        <v>7.9037442607943103</v>
      </c>
      <c r="AG798">
        <v>-1.0905349504620001</v>
      </c>
      <c r="AH798">
        <v>11.518243830767201</v>
      </c>
      <c r="AI798">
        <v>94.463855372441799</v>
      </c>
      <c r="AJ798">
        <v>55.5423385370921</v>
      </c>
      <c r="AK798">
        <v>14.0117229762519</v>
      </c>
      <c r="AL798">
        <v>87.456529392146393</v>
      </c>
      <c r="AM798">
        <v>79.886523591956603</v>
      </c>
      <c r="AN798">
        <v>1.0000000483615299</v>
      </c>
    </row>
    <row r="799" spans="1:40" x14ac:dyDescent="0.3">
      <c r="A799" t="str">
        <f>"20200111153845668"</f>
        <v>20200111153845668</v>
      </c>
      <c r="B799" t="str">
        <f>"1578728325661439"</f>
        <v>1578728325661439</v>
      </c>
      <c r="C799" t="s">
        <v>40</v>
      </c>
      <c r="D799">
        <v>5.2356530000000001</v>
      </c>
      <c r="E799">
        <v>0.67016200000000004</v>
      </c>
      <c r="F799" t="s">
        <v>42</v>
      </c>
      <c r="G799">
        <v>-195.67850000000001</v>
      </c>
      <c r="H799" s="1">
        <v>-4.7432179999999998E-6</v>
      </c>
      <c r="I799">
        <v>347.96510000000001</v>
      </c>
      <c r="J799">
        <v>-199.5624</v>
      </c>
      <c r="K799">
        <v>1.090543</v>
      </c>
      <c r="L799">
        <v>361.77280000000002</v>
      </c>
      <c r="M799">
        <v>0.76543660000000002</v>
      </c>
      <c r="N799">
        <v>0</v>
      </c>
      <c r="O799">
        <v>-0.64331559999999999</v>
      </c>
      <c r="P799">
        <v>0.64247580000000004</v>
      </c>
      <c r="Q799">
        <v>3.5443820000000001E-2</v>
      </c>
      <c r="R799">
        <v>-0.76548590000000005</v>
      </c>
      <c r="S799">
        <v>0.93109129999999996</v>
      </c>
      <c r="T799">
        <v>-0.2468822</v>
      </c>
      <c r="U799">
        <v>-3.171783</v>
      </c>
      <c r="V799">
        <v>0.1742619</v>
      </c>
      <c r="W799">
        <v>4.5212410000000001E-2</v>
      </c>
      <c r="X799">
        <v>0.9836608</v>
      </c>
      <c r="Y799">
        <v>0.55326869999999995</v>
      </c>
      <c r="Z799">
        <v>3.0734029999999999E-2</v>
      </c>
      <c r="AA799">
        <v>0.8324357</v>
      </c>
      <c r="AB799">
        <v>33</v>
      </c>
      <c r="AC799">
        <v>3.8838999999999801</v>
      </c>
      <c r="AD799">
        <v>-1.090547743218</v>
      </c>
      <c r="AE799">
        <v>-13.807700000000001</v>
      </c>
      <c r="AF799">
        <v>8.0249724046431208</v>
      </c>
      <c r="AG799">
        <v>-1.090547743218</v>
      </c>
      <c r="AH799">
        <v>11.788933560386701</v>
      </c>
      <c r="AI799">
        <v>94.372901716536404</v>
      </c>
      <c r="AJ799">
        <v>55.756066507175397</v>
      </c>
      <c r="AK799">
        <v>14.302742078592299</v>
      </c>
      <c r="AL799">
        <v>87.408636276169304</v>
      </c>
      <c r="AM799">
        <v>79.953911991597593</v>
      </c>
      <c r="AN799">
        <v>0.99999997063312795</v>
      </c>
    </row>
    <row r="800" spans="1:40" x14ac:dyDescent="0.3">
      <c r="A800" t="str">
        <f>"20200111153845693"</f>
        <v>20200111153845693</v>
      </c>
      <c r="B800" t="str">
        <f>"1578728325680959"</f>
        <v>1578728325680959</v>
      </c>
      <c r="C800" t="s">
        <v>40</v>
      </c>
      <c r="D800">
        <v>5.2739419999999999</v>
      </c>
      <c r="E800">
        <v>0.66934989999999905</v>
      </c>
      <c r="F800" t="s">
        <v>42</v>
      </c>
      <c r="G800">
        <v>-195.46629999999999</v>
      </c>
      <c r="H800" s="1">
        <v>-4.4520260000000002E-6</v>
      </c>
      <c r="I800">
        <v>347.22</v>
      </c>
      <c r="J800">
        <v>-199.30080000000001</v>
      </c>
      <c r="K800">
        <v>1.0905640000000001</v>
      </c>
      <c r="L800">
        <v>361.53390000000002</v>
      </c>
      <c r="M800">
        <v>0.75465190000000004</v>
      </c>
      <c r="N800">
        <v>0</v>
      </c>
      <c r="O800">
        <v>-0.65593359999999901</v>
      </c>
      <c r="P800">
        <v>0.63080829999999999</v>
      </c>
      <c r="Q800">
        <v>3.593648E-2</v>
      </c>
      <c r="R800">
        <v>-0.77510649999999903</v>
      </c>
      <c r="S800">
        <v>0.89479059999999899</v>
      </c>
      <c r="T800">
        <v>-0.23822860000000001</v>
      </c>
      <c r="U800">
        <v>-3.1790470000000002</v>
      </c>
      <c r="V800">
        <v>0.17282819999999999</v>
      </c>
      <c r="W800">
        <v>4.576736E-2</v>
      </c>
      <c r="X800">
        <v>0.98388810000000004</v>
      </c>
      <c r="Y800">
        <v>0.54875309999999999</v>
      </c>
      <c r="Z800">
        <v>3.0990449999999999E-2</v>
      </c>
      <c r="AA800">
        <v>0.83540979999999998</v>
      </c>
      <c r="AB800">
        <v>33</v>
      </c>
      <c r="AC800">
        <v>3.8345000000000198</v>
      </c>
      <c r="AD800">
        <v>-1.0905684520259999</v>
      </c>
      <c r="AE800">
        <v>-14.313899999999901</v>
      </c>
      <c r="AF800">
        <v>8.2432306006754192</v>
      </c>
      <c r="AG800">
        <v>-1.0905684520259999</v>
      </c>
      <c r="AH800">
        <v>12.2180513974888</v>
      </c>
      <c r="AI800">
        <v>94.231782328016607</v>
      </c>
      <c r="AJ800">
        <v>55.993390413912998</v>
      </c>
      <c r="AK800">
        <v>14.779072035691</v>
      </c>
      <c r="AL800">
        <v>87.376807150469801</v>
      </c>
      <c r="AM800">
        <v>80.037156535325295</v>
      </c>
      <c r="AN800">
        <v>1.0000000156391</v>
      </c>
    </row>
    <row r="801" spans="1:40" x14ac:dyDescent="0.3">
      <c r="A801" t="str">
        <f>"20200111153845717"</f>
        <v>20200111153845717</v>
      </c>
      <c r="B801" t="str">
        <f>"1578728325711216"</f>
        <v>1578728325711216</v>
      </c>
      <c r="C801" t="s">
        <v>40</v>
      </c>
      <c r="D801">
        <v>5.1935419999999999</v>
      </c>
      <c r="E801">
        <v>0.66800400000000004</v>
      </c>
      <c r="F801" t="s">
        <v>42</v>
      </c>
      <c r="G801">
        <v>-195.32329999999999</v>
      </c>
      <c r="H801" s="1">
        <v>-4.2286810000000004E-6</v>
      </c>
      <c r="I801">
        <v>346.63819999999998</v>
      </c>
      <c r="J801">
        <v>-199.05600000000001</v>
      </c>
      <c r="K801">
        <v>1.090584</v>
      </c>
      <c r="L801">
        <v>361.30290000000002</v>
      </c>
      <c r="M801">
        <v>0.74420909999999996</v>
      </c>
      <c r="N801">
        <v>0</v>
      </c>
      <c r="O801">
        <v>-0.66775810000000002</v>
      </c>
      <c r="P801">
        <v>0.61958080000000004</v>
      </c>
      <c r="Q801">
        <v>3.5559E-2</v>
      </c>
      <c r="R801">
        <v>-0.78412720000000002</v>
      </c>
      <c r="S801">
        <v>0.85136409999999996</v>
      </c>
      <c r="T801">
        <v>-0.2334331</v>
      </c>
      <c r="U801">
        <v>-3.1883849999999998</v>
      </c>
      <c r="V801">
        <v>0.17147129999999999</v>
      </c>
      <c r="W801">
        <v>4.5448210000000003E-2</v>
      </c>
      <c r="X801">
        <v>0.98414029999999997</v>
      </c>
      <c r="Y801">
        <v>0.54680260000000003</v>
      </c>
      <c r="Z801">
        <v>3.151292E-2</v>
      </c>
      <c r="AA801">
        <v>0.83666830000000003</v>
      </c>
      <c r="AB801">
        <v>33</v>
      </c>
      <c r="AC801">
        <v>3.7326999999999901</v>
      </c>
      <c r="AD801">
        <v>-1.090588228681</v>
      </c>
      <c r="AE801">
        <v>-14.6647</v>
      </c>
      <c r="AF801">
        <v>8.3786040562079194</v>
      </c>
      <c r="AG801">
        <v>-1.090588228681</v>
      </c>
      <c r="AH801">
        <v>12.5070024360878</v>
      </c>
      <c r="AI801">
        <v>94.143529410403204</v>
      </c>
      <c r="AJ801">
        <v>56.1813535914876</v>
      </c>
      <c r="AK801">
        <v>15.093558180613</v>
      </c>
      <c r="AL801">
        <v>87.395112205109697</v>
      </c>
      <c r="AM801">
        <v>80.116310600238094</v>
      </c>
      <c r="AN801">
        <v>1.0000000382999901</v>
      </c>
    </row>
    <row r="802" spans="1:40" x14ac:dyDescent="0.3">
      <c r="A802" t="str">
        <f>"20200111153845737"</f>
        <v>20200111153845737</v>
      </c>
      <c r="B802" t="str">
        <f>"1578728325731711"</f>
        <v>1578728325731711</v>
      </c>
      <c r="C802" t="s">
        <v>40</v>
      </c>
      <c r="D802">
        <v>5.1847659999999998</v>
      </c>
      <c r="E802">
        <v>0.66759089999999999</v>
      </c>
      <c r="F802" t="s">
        <v>42</v>
      </c>
      <c r="G802">
        <v>-195.2302</v>
      </c>
      <c r="H802" s="1">
        <v>-4.0944839999999999E-6</v>
      </c>
      <c r="I802">
        <v>346.29239999999999</v>
      </c>
      <c r="J802">
        <v>-198.82419999999999</v>
      </c>
      <c r="K802">
        <v>1.090611</v>
      </c>
      <c r="L802">
        <v>361.07679999999999</v>
      </c>
      <c r="M802">
        <v>0.73398129999999995</v>
      </c>
      <c r="N802">
        <v>0</v>
      </c>
      <c r="O802">
        <v>-0.67898440000000004</v>
      </c>
      <c r="P802">
        <v>0.60856049999999995</v>
      </c>
      <c r="Q802">
        <v>3.5248679999999998E-2</v>
      </c>
      <c r="R802">
        <v>-0.79272469999999995</v>
      </c>
      <c r="S802">
        <v>0.81390379999999996</v>
      </c>
      <c r="T802">
        <v>-0.23201160000000001</v>
      </c>
      <c r="U802">
        <v>-3.1933289999999999</v>
      </c>
      <c r="V802">
        <v>0.17027629999999999</v>
      </c>
      <c r="W802">
        <v>4.5190979999999999E-2</v>
      </c>
      <c r="X802">
        <v>0.9843596</v>
      </c>
      <c r="Y802">
        <v>0.54361150000000003</v>
      </c>
      <c r="Z802">
        <v>3.2474959999999997E-2</v>
      </c>
      <c r="AA802">
        <v>0.83870849999999997</v>
      </c>
      <c r="AB802">
        <v>33</v>
      </c>
      <c r="AC802">
        <v>3.5939999999999901</v>
      </c>
      <c r="AD802">
        <v>-1.0906150944840001</v>
      </c>
      <c r="AE802">
        <v>-14.7844</v>
      </c>
      <c r="AF802">
        <v>8.3692597583914399</v>
      </c>
      <c r="AG802">
        <v>-1.0906150944840001</v>
      </c>
      <c r="AH802">
        <v>12.613093887541099</v>
      </c>
      <c r="AI802">
        <v>94.120965364861704</v>
      </c>
      <c r="AJ802">
        <v>56.434237530513997</v>
      </c>
      <c r="AK802">
        <v>15.1764319786857</v>
      </c>
      <c r="AL802">
        <v>87.409865541569502</v>
      </c>
      <c r="AM802">
        <v>80.185990825549396</v>
      </c>
      <c r="AN802">
        <v>1.0000000325636</v>
      </c>
    </row>
    <row r="803" spans="1:40" x14ac:dyDescent="0.3">
      <c r="A803" t="str">
        <f>"20200111153845758"</f>
        <v>20200111153845758</v>
      </c>
      <c r="B803" t="str">
        <f>"1578728325750916"</f>
        <v>1578728325750916</v>
      </c>
      <c r="C803" t="s">
        <v>40</v>
      </c>
      <c r="D803">
        <v>5.2134140000000002</v>
      </c>
      <c r="E803">
        <v>0.6510013</v>
      </c>
      <c r="F803" t="s">
        <v>42</v>
      </c>
      <c r="G803">
        <v>-195.18039999999999</v>
      </c>
      <c r="H803" s="1">
        <v>-3.9699779999999999E-6</v>
      </c>
      <c r="I803">
        <v>345.95249999999999</v>
      </c>
      <c r="J803">
        <v>-198.59870000000001</v>
      </c>
      <c r="K803">
        <v>1.090638</v>
      </c>
      <c r="L803">
        <v>360.85</v>
      </c>
      <c r="M803">
        <v>0.723713099999999</v>
      </c>
      <c r="N803">
        <v>0</v>
      </c>
      <c r="O803">
        <v>-0.68991859999999905</v>
      </c>
      <c r="P803">
        <v>0.59724100000000002</v>
      </c>
      <c r="Q803">
        <v>3.475222E-2</v>
      </c>
      <c r="R803">
        <v>-0.80130889999999999</v>
      </c>
      <c r="S803">
        <v>0.77156069999999999</v>
      </c>
      <c r="T803">
        <v>-0.230932</v>
      </c>
      <c r="U803">
        <v>-3.2024840000000001</v>
      </c>
      <c r="V803">
        <v>0.16948550000000001</v>
      </c>
      <c r="W803">
        <v>4.4732250000000001E-2</v>
      </c>
      <c r="X803">
        <v>0.98451699999999998</v>
      </c>
      <c r="Y803">
        <v>0.54205579999999998</v>
      </c>
      <c r="Z803">
        <v>3.3364919999999999E-2</v>
      </c>
      <c r="AA803">
        <v>0.83967990000000003</v>
      </c>
      <c r="AB803">
        <v>33</v>
      </c>
      <c r="AC803">
        <v>3.4183000000000101</v>
      </c>
      <c r="AD803">
        <v>-1.0906419699779999</v>
      </c>
      <c r="AE803">
        <v>-14.897500000000001</v>
      </c>
      <c r="AF803">
        <v>8.3815518349174791</v>
      </c>
      <c r="AG803">
        <v>-1.0906419699779999</v>
      </c>
      <c r="AH803">
        <v>12.688928912781501</v>
      </c>
      <c r="AI803">
        <v>94.102156777450404</v>
      </c>
      <c r="AJ803">
        <v>56.553621237357497</v>
      </c>
      <c r="AK803">
        <v>15.2462725943658</v>
      </c>
      <c r="AL803">
        <v>87.436175398428503</v>
      </c>
      <c r="AM803">
        <v>80.232220742626794</v>
      </c>
      <c r="AN803">
        <v>1.0000000160946501</v>
      </c>
    </row>
    <row r="804" spans="1:40" x14ac:dyDescent="0.3">
      <c r="A804" t="str">
        <f>"20200111153845782"</f>
        <v>20200111153845782</v>
      </c>
      <c r="B804" t="str">
        <f>"1578728325771414"</f>
        <v>1578728325771414</v>
      </c>
      <c r="C804" t="s">
        <v>40</v>
      </c>
      <c r="D804">
        <v>5.3165139999999997</v>
      </c>
      <c r="E804">
        <v>0.65126470000000003</v>
      </c>
      <c r="F804" t="s">
        <v>42</v>
      </c>
      <c r="G804">
        <v>-194.46340000000001</v>
      </c>
      <c r="H804" s="1">
        <v>-3.6092620000000001E-6</v>
      </c>
      <c r="I804">
        <v>345.26620000000003</v>
      </c>
      <c r="J804">
        <v>-198.36199999999999</v>
      </c>
      <c r="K804">
        <v>1.0906670000000001</v>
      </c>
      <c r="L804">
        <v>360.6044</v>
      </c>
      <c r="M804">
        <v>0.71258520000000003</v>
      </c>
      <c r="N804">
        <v>0</v>
      </c>
      <c r="O804">
        <v>-0.70140609999999903</v>
      </c>
      <c r="P804">
        <v>0.58508289999999996</v>
      </c>
      <c r="Q804">
        <v>3.405246E-2</v>
      </c>
      <c r="R804">
        <v>-0.81025859999999905</v>
      </c>
      <c r="S804">
        <v>0.83151249999999999</v>
      </c>
      <c r="T804">
        <v>-0.21930520000000001</v>
      </c>
      <c r="U804">
        <v>-3.133575</v>
      </c>
      <c r="V804">
        <v>0.1685864</v>
      </c>
      <c r="W804">
        <v>4.4075339999999998E-2</v>
      </c>
      <c r="X804">
        <v>0.98470100000000005</v>
      </c>
      <c r="Y804">
        <v>0.50898129999999997</v>
      </c>
      <c r="Z804">
        <v>3.4205659999999999E-2</v>
      </c>
      <c r="AA804">
        <v>0.86009760000000002</v>
      </c>
      <c r="AB804">
        <v>32</v>
      </c>
      <c r="AC804">
        <v>3.8985999999999801</v>
      </c>
      <c r="AD804">
        <v>-1.090670609262</v>
      </c>
      <c r="AE804">
        <v>-15.338199999999899</v>
      </c>
      <c r="AF804">
        <v>8.1575600372389392</v>
      </c>
      <c r="AG804">
        <v>-1.090670609262</v>
      </c>
      <c r="AH804">
        <v>13.4741008432282</v>
      </c>
      <c r="AI804">
        <v>93.961071273745603</v>
      </c>
      <c r="AJ804">
        <v>58.8082313106434</v>
      </c>
      <c r="AK804">
        <v>15.788816981412801</v>
      </c>
      <c r="AL804">
        <v>87.473850776374803</v>
      </c>
      <c r="AM804">
        <v>80.284828301366801</v>
      </c>
      <c r="AN804">
        <v>1.00000003463103</v>
      </c>
    </row>
    <row r="805" spans="1:40" x14ac:dyDescent="0.3">
      <c r="A805" t="str">
        <f>"20200111153845802"</f>
        <v>20200111153845802</v>
      </c>
      <c r="B805" t="str">
        <f>"1578728325790934"</f>
        <v>1578728325790934</v>
      </c>
      <c r="C805" t="s">
        <v>40</v>
      </c>
      <c r="D805">
        <v>5.2941919999999998</v>
      </c>
      <c r="E805">
        <v>0.65056720000000001</v>
      </c>
      <c r="F805" t="s">
        <v>42</v>
      </c>
      <c r="G805">
        <v>-194.36</v>
      </c>
      <c r="H805" s="1">
        <v>-3.266111E-6</v>
      </c>
      <c r="I805">
        <v>344.49829999999997</v>
      </c>
      <c r="J805">
        <v>-198.15029999999999</v>
      </c>
      <c r="K805">
        <v>1.0906910000000001</v>
      </c>
      <c r="L805">
        <v>360.37810000000002</v>
      </c>
      <c r="M805">
        <v>0.70232419999999995</v>
      </c>
      <c r="N805">
        <v>0</v>
      </c>
      <c r="O805">
        <v>-0.71168039999999999</v>
      </c>
      <c r="P805">
        <v>0.57404659999999996</v>
      </c>
      <c r="Q805">
        <v>3.3010659999999997E-2</v>
      </c>
      <c r="R805">
        <v>-0.81815700000000002</v>
      </c>
      <c r="S805">
        <v>0.78192139999999999</v>
      </c>
      <c r="T805">
        <v>-0.2130995</v>
      </c>
      <c r="U805">
        <v>-3.146881</v>
      </c>
      <c r="V805">
        <v>0.16762479999999999</v>
      </c>
      <c r="W805">
        <v>4.3078270000000002E-2</v>
      </c>
      <c r="X805">
        <v>0.98490919999999904</v>
      </c>
      <c r="Y805">
        <v>0.51010529999999998</v>
      </c>
      <c r="Z805">
        <v>3.4060720000000003E-2</v>
      </c>
      <c r="AA805">
        <v>0.85943729999999996</v>
      </c>
      <c r="AB805">
        <v>32</v>
      </c>
      <c r="AC805">
        <v>3.79029999999997</v>
      </c>
      <c r="AD805">
        <v>-1.090694266111</v>
      </c>
      <c r="AE805">
        <v>-15.879799999999999</v>
      </c>
      <c r="AF805">
        <v>8.4187747911322308</v>
      </c>
      <c r="AG805">
        <v>-1.090694266111</v>
      </c>
      <c r="AH805">
        <v>13.9030665540506</v>
      </c>
      <c r="AI805">
        <v>93.839126593468393</v>
      </c>
      <c r="AJ805">
        <v>58.803683511372697</v>
      </c>
      <c r="AK805">
        <v>16.289893878484602</v>
      </c>
      <c r="AL805">
        <v>87.531032842440297</v>
      </c>
      <c r="AM805">
        <v>80.341199146570602</v>
      </c>
      <c r="AN805">
        <v>0.99999997158293497</v>
      </c>
    </row>
    <row r="806" spans="1:40" x14ac:dyDescent="0.3">
      <c r="A806" t="str">
        <f>"20200111153845825"</f>
        <v>20200111153845825</v>
      </c>
      <c r="B806" t="str">
        <f>"1578728325821188"</f>
        <v>1578728325821188</v>
      </c>
      <c r="C806" t="s">
        <v>40</v>
      </c>
      <c r="D806">
        <v>5.3589190000000002</v>
      </c>
      <c r="E806">
        <v>0.61337569999999997</v>
      </c>
      <c r="F806" t="s">
        <v>42</v>
      </c>
      <c r="G806">
        <v>-194.44380000000001</v>
      </c>
      <c r="H806" s="1">
        <v>-3.35661E-6</v>
      </c>
      <c r="I806">
        <v>344.65730000000002</v>
      </c>
      <c r="J806">
        <v>-197.934</v>
      </c>
      <c r="K806">
        <v>1.09073</v>
      </c>
      <c r="L806">
        <v>360.13979999999998</v>
      </c>
      <c r="M806">
        <v>0.69152709999999995</v>
      </c>
      <c r="N806">
        <v>0</v>
      </c>
      <c r="O806">
        <v>-0.72217640000000005</v>
      </c>
      <c r="P806">
        <v>0.56230590000000003</v>
      </c>
      <c r="Q806">
        <v>3.2485420000000001E-2</v>
      </c>
      <c r="R806">
        <v>-0.82629109999999995</v>
      </c>
      <c r="S806">
        <v>0.74359129999999996</v>
      </c>
      <c r="T806">
        <v>-0.2188128</v>
      </c>
      <c r="U806">
        <v>-3.15387</v>
      </c>
      <c r="V806">
        <v>0.16684769999999999</v>
      </c>
      <c r="W806">
        <v>4.2592339999999999E-2</v>
      </c>
      <c r="X806">
        <v>0.98506229999999995</v>
      </c>
      <c r="Y806">
        <v>0.5074784</v>
      </c>
      <c r="Z806">
        <v>3.5977589999999997E-2</v>
      </c>
      <c r="AA806">
        <v>0.86091309999999999</v>
      </c>
      <c r="AB806">
        <v>32</v>
      </c>
      <c r="AC806">
        <v>3.49020000000001</v>
      </c>
      <c r="AD806">
        <v>-1.0907333566099999</v>
      </c>
      <c r="AE806">
        <v>-15.4824999999999</v>
      </c>
      <c r="AF806">
        <v>8.1485713660969292</v>
      </c>
      <c r="AG806">
        <v>-1.0907333566099999</v>
      </c>
      <c r="AH806">
        <v>13.5324587623547</v>
      </c>
      <c r="AI806">
        <v>93.949971508988497</v>
      </c>
      <c r="AJ806">
        <v>58.945747381896602</v>
      </c>
      <c r="AK806">
        <v>15.834025221605099</v>
      </c>
      <c r="AL806">
        <v>87.558900225863198</v>
      </c>
      <c r="AM806">
        <v>80.386605511044706</v>
      </c>
      <c r="AN806">
        <v>0.99999999865162703</v>
      </c>
    </row>
    <row r="807" spans="1:40" x14ac:dyDescent="0.3">
      <c r="A807" t="str">
        <f>"20200111153845847"</f>
        <v>20200111153845847</v>
      </c>
      <c r="B807" t="str">
        <f>"1578728325841683"</f>
        <v>1578728325841683</v>
      </c>
      <c r="C807" t="s">
        <v>40</v>
      </c>
      <c r="D807">
        <v>5.3198429999999997</v>
      </c>
      <c r="E807">
        <v>0.61098509999999995</v>
      </c>
      <c r="F807" t="s">
        <v>52</v>
      </c>
      <c r="G807">
        <v>-195.43469999999999</v>
      </c>
      <c r="H807" s="1">
        <v>-2.959092E-6</v>
      </c>
      <c r="I807">
        <v>352.20760000000001</v>
      </c>
      <c r="J807">
        <v>-197.7107</v>
      </c>
      <c r="K807">
        <v>1.0907800000000001</v>
      </c>
      <c r="L807">
        <v>359.88619999999997</v>
      </c>
      <c r="M807">
        <v>0.68004639999999905</v>
      </c>
      <c r="N807">
        <v>0</v>
      </c>
      <c r="O807">
        <v>-0.73299769999999997</v>
      </c>
      <c r="P807">
        <v>0.54969069999999998</v>
      </c>
      <c r="Q807">
        <v>3.2134339999999997E-2</v>
      </c>
      <c r="R807">
        <v>-0.83475010000000005</v>
      </c>
      <c r="S807">
        <v>0.94616699999999998</v>
      </c>
      <c r="T807">
        <v>-0.4129314</v>
      </c>
      <c r="U807">
        <v>-3.0030209999999999</v>
      </c>
      <c r="V807">
        <v>0.16625870000000001</v>
      </c>
      <c r="W807">
        <v>4.2274569999999997E-2</v>
      </c>
      <c r="X807">
        <v>0.98517549999999998</v>
      </c>
      <c r="Y807">
        <v>0.42920510000000001</v>
      </c>
      <c r="Z807">
        <v>7.5513839999999999E-2</v>
      </c>
      <c r="AA807">
        <v>0.90004479999999998</v>
      </c>
      <c r="AB807">
        <v>32</v>
      </c>
      <c r="AC807">
        <v>2.27600000000001</v>
      </c>
      <c r="AD807">
        <v>-1.090782959092</v>
      </c>
      <c r="AE807">
        <v>-7.6785999999999497</v>
      </c>
      <c r="AF807">
        <v>3.4892234617074802</v>
      </c>
      <c r="AG807">
        <v>-1.090782959092</v>
      </c>
      <c r="AH807">
        <v>7.0463742757394696</v>
      </c>
      <c r="AI807">
        <v>97.897910337863195</v>
      </c>
      <c r="AJ807">
        <v>63.656308021691899</v>
      </c>
      <c r="AK807">
        <v>7.9382541067528498</v>
      </c>
      <c r="AL807">
        <v>87.577123353671595</v>
      </c>
      <c r="AM807">
        <v>80.420992696831803</v>
      </c>
      <c r="AN807">
        <v>0.99999993019731004</v>
      </c>
    </row>
    <row r="808" spans="1:40" x14ac:dyDescent="0.3">
      <c r="A808" t="str">
        <f>"20200111153845871"</f>
        <v>20200111153845871</v>
      </c>
      <c r="B808" t="str">
        <f>"1578728325860767"</f>
        <v>1578728325860767</v>
      </c>
      <c r="C808" t="s">
        <v>40</v>
      </c>
      <c r="D808">
        <v>5.373882</v>
      </c>
      <c r="E808">
        <v>0.61099110000000001</v>
      </c>
      <c r="F808" t="s">
        <v>52</v>
      </c>
      <c r="G808">
        <v>-195.10290000000001</v>
      </c>
      <c r="H808" s="1">
        <v>-2.3796309999999998E-6</v>
      </c>
      <c r="I808">
        <v>351.32900000000001</v>
      </c>
      <c r="J808">
        <v>-197.48089999999999</v>
      </c>
      <c r="K808">
        <v>1.0908450000000001</v>
      </c>
      <c r="L808">
        <v>359.61680000000001</v>
      </c>
      <c r="M808">
        <v>0.66786699999999999</v>
      </c>
      <c r="N808">
        <v>0</v>
      </c>
      <c r="O808">
        <v>-0.74411210000000005</v>
      </c>
      <c r="P808">
        <v>0.53673199999999999</v>
      </c>
      <c r="Q808">
        <v>3.1346880000000001E-2</v>
      </c>
      <c r="R808">
        <v>-0.84317050000000004</v>
      </c>
      <c r="S808">
        <v>0.91590879999999997</v>
      </c>
      <c r="T808">
        <v>-0.38310939999999999</v>
      </c>
      <c r="U808">
        <v>-3.005493</v>
      </c>
      <c r="V808">
        <v>0.16521649999999999</v>
      </c>
      <c r="W808">
        <v>4.1538510000000001E-2</v>
      </c>
      <c r="X808">
        <v>0.98538219999999999</v>
      </c>
      <c r="Y808">
        <v>0.42272799999999999</v>
      </c>
      <c r="Z808">
        <v>7.2251389999999999E-2</v>
      </c>
      <c r="AA808">
        <v>0.90337190000000001</v>
      </c>
      <c r="AB808">
        <v>32</v>
      </c>
      <c r="AC808">
        <v>2.3779999999999801</v>
      </c>
      <c r="AD808">
        <v>-1.0908473796310001</v>
      </c>
      <c r="AE808">
        <v>-8.2878000000000007</v>
      </c>
      <c r="AF808">
        <v>3.70678998508345</v>
      </c>
      <c r="AG808">
        <v>-1.0908473796310001</v>
      </c>
      <c r="AH808">
        <v>7.6340205184538199</v>
      </c>
      <c r="AI808">
        <v>97.324693209949302</v>
      </c>
      <c r="AJ808">
        <v>64.100553953065997</v>
      </c>
      <c r="AK808">
        <v>8.5561971269563895</v>
      </c>
      <c r="AL808">
        <v>87.619333759050093</v>
      </c>
      <c r="AM808">
        <v>80.481897122283598</v>
      </c>
      <c r="AN808">
        <v>1.00000000988105</v>
      </c>
    </row>
    <row r="809" spans="1:40" x14ac:dyDescent="0.3">
      <c r="A809" t="str">
        <f>"20200111153845891"</f>
        <v>20200111153845891</v>
      </c>
      <c r="B809" t="str">
        <f>"1578728325881263"</f>
        <v>1578728325881263</v>
      </c>
      <c r="C809" t="s">
        <v>40</v>
      </c>
      <c r="D809">
        <v>5.3123129999999996</v>
      </c>
      <c r="E809">
        <v>0.61137189999999997</v>
      </c>
      <c r="F809" t="s">
        <v>52</v>
      </c>
      <c r="G809">
        <v>-194.91970000000001</v>
      </c>
      <c r="H809" s="1">
        <v>-1.9667000000000002E-6</v>
      </c>
      <c r="I809">
        <v>350.71379999999999</v>
      </c>
      <c r="J809">
        <v>-197.2878</v>
      </c>
      <c r="K809">
        <v>1.0909070000000001</v>
      </c>
      <c r="L809">
        <v>359.38299999999998</v>
      </c>
      <c r="M809">
        <v>0.65733229999999998</v>
      </c>
      <c r="N809">
        <v>0</v>
      </c>
      <c r="O809">
        <v>-0.75343459999999995</v>
      </c>
      <c r="P809">
        <v>0.52555079999999998</v>
      </c>
      <c r="Q809">
        <v>3.0240079999999999E-2</v>
      </c>
      <c r="R809">
        <v>-0.850224599999999</v>
      </c>
      <c r="S809">
        <v>0.86846919999999905</v>
      </c>
      <c r="T809">
        <v>-0.36989369999999999</v>
      </c>
      <c r="U809">
        <v>-3.0189210000000002</v>
      </c>
      <c r="V809">
        <v>0.16434849999999901</v>
      </c>
      <c r="W809">
        <v>4.0476529999999997E-2</v>
      </c>
      <c r="X809">
        <v>0.98557150000000004</v>
      </c>
      <c r="Y809">
        <v>0.42412929999999999</v>
      </c>
      <c r="Z809">
        <v>7.1099120000000002E-2</v>
      </c>
      <c r="AA809">
        <v>0.90280629999999995</v>
      </c>
      <c r="AB809">
        <v>32</v>
      </c>
      <c r="AC809">
        <v>2.3680999999999899</v>
      </c>
      <c r="AD809">
        <v>-1.0909089667</v>
      </c>
      <c r="AE809">
        <v>-8.6692000000000409</v>
      </c>
      <c r="AF809">
        <v>3.8579779147120701</v>
      </c>
      <c r="AG809">
        <v>-1.0909089667</v>
      </c>
      <c r="AH809">
        <v>7.9718481153623202</v>
      </c>
      <c r="AI809">
        <v>97.022241687410201</v>
      </c>
      <c r="AJ809">
        <v>64.175327228297604</v>
      </c>
      <c r="AK809">
        <v>8.9232526770476692</v>
      </c>
      <c r="AL809">
        <v>87.680231889790505</v>
      </c>
      <c r="AM809">
        <v>80.532780416678094</v>
      </c>
      <c r="AN809">
        <v>0.99999998027267001</v>
      </c>
    </row>
    <row r="810" spans="1:40" x14ac:dyDescent="0.3">
      <c r="A810" t="str">
        <f>"20200111153845914"</f>
        <v>20200111153845914</v>
      </c>
      <c r="B810" t="str">
        <f>"1578728325911516"</f>
        <v>1578728325911516</v>
      </c>
      <c r="C810" t="s">
        <v>40</v>
      </c>
      <c r="D810">
        <v>5.2778660000000004</v>
      </c>
      <c r="E810">
        <v>0.611958</v>
      </c>
      <c r="F810" t="s">
        <v>52</v>
      </c>
      <c r="G810">
        <v>-194.78980000000001</v>
      </c>
      <c r="H810" s="1">
        <v>-1.631909E-6</v>
      </c>
      <c r="I810">
        <v>350.20659999999998</v>
      </c>
      <c r="J810">
        <v>-197.08510000000001</v>
      </c>
      <c r="K810">
        <v>1.0909930000000001</v>
      </c>
      <c r="L810">
        <v>359.13049999999998</v>
      </c>
      <c r="M810">
        <v>0.64599169999999995</v>
      </c>
      <c r="N810">
        <v>0</v>
      </c>
      <c r="O810">
        <v>-0.76318069999999905</v>
      </c>
      <c r="P810">
        <v>0.51341519999999996</v>
      </c>
      <c r="Q810">
        <v>2.9908089999999998E-2</v>
      </c>
      <c r="R810">
        <v>-0.85761889999999996</v>
      </c>
      <c r="S810">
        <v>0.82514949999999998</v>
      </c>
      <c r="T810">
        <v>-0.36036360000000001</v>
      </c>
      <c r="U810">
        <v>-3.0312809999999999</v>
      </c>
      <c r="V810">
        <v>0.1636039</v>
      </c>
      <c r="W810">
        <v>4.0186380000000001E-2</v>
      </c>
      <c r="X810">
        <v>0.98570729999999995</v>
      </c>
      <c r="Y810">
        <v>0.42352630000000002</v>
      </c>
      <c r="Z810">
        <v>7.0704139999999999E-2</v>
      </c>
      <c r="AA810">
        <v>0.90312029999999999</v>
      </c>
      <c r="AB810">
        <v>32</v>
      </c>
      <c r="AC810">
        <v>2.2952999999999899</v>
      </c>
      <c r="AD810">
        <v>-1.090994631909</v>
      </c>
      <c r="AE810">
        <v>-8.9238999999999997</v>
      </c>
      <c r="AF810">
        <v>3.9580506197483798</v>
      </c>
      <c r="AG810">
        <v>-1.090994631909</v>
      </c>
      <c r="AH810">
        <v>8.1796594901123694</v>
      </c>
      <c r="AI810">
        <v>96.8462444429383</v>
      </c>
      <c r="AJ810">
        <v>64.178151746029897</v>
      </c>
      <c r="AK810">
        <v>9.1522272354618792</v>
      </c>
      <c r="AL810">
        <v>87.696869915417494</v>
      </c>
      <c r="AM810">
        <v>80.576176650499306</v>
      </c>
      <c r="AN810">
        <v>1.000000031253</v>
      </c>
    </row>
    <row r="811" spans="1:40" x14ac:dyDescent="0.3">
      <c r="A811" t="str">
        <f>"20200111153845937"</f>
        <v>20200111153845937</v>
      </c>
      <c r="B811" t="str">
        <f>"1578728325931037"</f>
        <v>1578728325931037</v>
      </c>
      <c r="C811" t="s">
        <v>40</v>
      </c>
      <c r="D811">
        <v>5.3141699999999998</v>
      </c>
      <c r="E811">
        <v>0.61186309999999999</v>
      </c>
      <c r="F811" t="s">
        <v>42</v>
      </c>
      <c r="G811">
        <v>-194.6454</v>
      </c>
      <c r="H811" s="1">
        <v>-5.1080339999999997E-6</v>
      </c>
      <c r="I811">
        <v>349.57560000000001</v>
      </c>
      <c r="J811">
        <v>-196.87370000000001</v>
      </c>
      <c r="K811">
        <v>1.091094</v>
      </c>
      <c r="L811">
        <v>358.85820000000001</v>
      </c>
      <c r="M811">
        <v>0.63384050000000003</v>
      </c>
      <c r="N811">
        <v>0</v>
      </c>
      <c r="O811">
        <v>-0.77330259999999995</v>
      </c>
      <c r="P811">
        <v>0.50014130000000001</v>
      </c>
      <c r="Q811">
        <v>3.011867E-2</v>
      </c>
      <c r="R811">
        <v>-0.86542039999999998</v>
      </c>
      <c r="S811">
        <v>0.77740480000000001</v>
      </c>
      <c r="T811">
        <v>-0.34765449999999998</v>
      </c>
      <c r="U811">
        <v>-3.0447389999999999</v>
      </c>
      <c r="V811">
        <v>0.16319210000000001</v>
      </c>
      <c r="W811">
        <v>4.0428409999999998E-2</v>
      </c>
      <c r="X811">
        <v>0.98576560000000002</v>
      </c>
      <c r="Y811">
        <v>0.42343760000000003</v>
      </c>
      <c r="Z811">
        <v>6.9629410000000003E-2</v>
      </c>
      <c r="AA811">
        <v>0.90324539999999998</v>
      </c>
      <c r="AB811">
        <v>32</v>
      </c>
      <c r="AC811">
        <v>2.2283000000000102</v>
      </c>
      <c r="AD811">
        <v>-1.091099108034</v>
      </c>
      <c r="AE811">
        <v>-9.2826000000000004</v>
      </c>
      <c r="AF811">
        <v>4.1073995982221598</v>
      </c>
      <c r="AG811">
        <v>-1.091099108034</v>
      </c>
      <c r="AH811">
        <v>8.4809264853375304</v>
      </c>
      <c r="AI811">
        <v>96.604780507068696</v>
      </c>
      <c r="AJ811">
        <v>64.158617571352394</v>
      </c>
      <c r="AK811">
        <v>9.4861658625984298</v>
      </c>
      <c r="AL811">
        <v>87.682991192894505</v>
      </c>
      <c r="AM811">
        <v>80.600019055569405</v>
      </c>
      <c r="AN811">
        <v>0.99999996799044799</v>
      </c>
    </row>
    <row r="812" spans="1:40" x14ac:dyDescent="0.3">
      <c r="A812" t="str">
        <f>"20200111153845960"</f>
        <v>20200111153845960</v>
      </c>
      <c r="B812" t="str">
        <f>"1578728325951682"</f>
        <v>1578728325951682</v>
      </c>
      <c r="C812" t="s">
        <v>40</v>
      </c>
      <c r="D812">
        <v>5.3228330000000001</v>
      </c>
      <c r="E812">
        <v>0.61144580000000004</v>
      </c>
      <c r="F812" t="s">
        <v>42</v>
      </c>
      <c r="G812">
        <v>-194.52680000000001</v>
      </c>
      <c r="H812" s="1">
        <v>-4.9073910000000002E-6</v>
      </c>
      <c r="I812">
        <v>349.0478</v>
      </c>
      <c r="J812">
        <v>-196.67570000000001</v>
      </c>
      <c r="K812">
        <v>1.0912029999999999</v>
      </c>
      <c r="L812">
        <v>358.59480000000002</v>
      </c>
      <c r="M812">
        <v>0.62214879999999995</v>
      </c>
      <c r="N812">
        <v>0</v>
      </c>
      <c r="O812">
        <v>-0.7827404</v>
      </c>
      <c r="P812">
        <v>0.48746230000000002</v>
      </c>
      <c r="Q812">
        <v>3.0641149999999999E-2</v>
      </c>
      <c r="R812">
        <v>-0.87260659999999901</v>
      </c>
      <c r="S812">
        <v>0.73106380000000004</v>
      </c>
      <c r="T812">
        <v>-0.33987450000000002</v>
      </c>
      <c r="U812">
        <v>-3.0559080000000001</v>
      </c>
      <c r="V812">
        <v>0.16275519999999999</v>
      </c>
      <c r="W812">
        <v>4.0983459999999999E-2</v>
      </c>
      <c r="X812">
        <v>0.98581490000000005</v>
      </c>
      <c r="Y812">
        <v>0.42352220000000002</v>
      </c>
      <c r="Z812">
        <v>6.9381479999999995E-2</v>
      </c>
      <c r="AA812">
        <v>0.90322480000000005</v>
      </c>
      <c r="AB812">
        <v>32</v>
      </c>
      <c r="AC812">
        <v>2.14889999999999</v>
      </c>
      <c r="AD812">
        <v>-1.0912079073909999</v>
      </c>
      <c r="AE812">
        <v>-9.5470000000000201</v>
      </c>
      <c r="AF812">
        <v>4.2058561122754803</v>
      </c>
      <c r="AG812">
        <v>-1.0912079073909999</v>
      </c>
      <c r="AH812">
        <v>8.7026419846134502</v>
      </c>
      <c r="AI812">
        <v>96.441146066947596</v>
      </c>
      <c r="AJ812">
        <v>64.206219587768899</v>
      </c>
      <c r="AK812">
        <v>9.7270724191132896</v>
      </c>
      <c r="AL812">
        <v>87.651162765442805</v>
      </c>
      <c r="AM812">
        <v>80.625197949793005</v>
      </c>
      <c r="AN812">
        <v>0.99999995809131004</v>
      </c>
    </row>
    <row r="813" spans="1:40" x14ac:dyDescent="0.3">
      <c r="A813" t="str">
        <f>"20200111153845982"</f>
        <v>20200111153845982</v>
      </c>
      <c r="B813" t="str">
        <f>"1578728325971205"</f>
        <v>1578728325971205</v>
      </c>
      <c r="C813" t="s">
        <v>40</v>
      </c>
      <c r="D813">
        <v>5.3324040000000004</v>
      </c>
      <c r="E813">
        <v>0.61072340000000003</v>
      </c>
      <c r="F813" t="s">
        <v>42</v>
      </c>
      <c r="G813">
        <v>-194.42250000000001</v>
      </c>
      <c r="H813" s="1">
        <v>-4.728717E-6</v>
      </c>
      <c r="I813">
        <v>348.57709999999997</v>
      </c>
      <c r="J813">
        <v>-196.4828</v>
      </c>
      <c r="K813">
        <v>1.091316</v>
      </c>
      <c r="L813">
        <v>358.3304</v>
      </c>
      <c r="M813">
        <v>0.61047769999999901</v>
      </c>
      <c r="N813">
        <v>0</v>
      </c>
      <c r="O813">
        <v>-0.7918771</v>
      </c>
      <c r="P813">
        <v>0.4749372</v>
      </c>
      <c r="Q813">
        <v>3.116375E-2</v>
      </c>
      <c r="R813">
        <v>-0.87946800000000003</v>
      </c>
      <c r="S813">
        <v>0.68928529999999999</v>
      </c>
      <c r="T813">
        <v>-0.3338236</v>
      </c>
      <c r="U813">
        <v>-3.0646059999999999</v>
      </c>
      <c r="V813">
        <v>0.16223000000000001</v>
      </c>
      <c r="W813">
        <v>4.1540420000000002E-2</v>
      </c>
      <c r="X813">
        <v>0.98587820000000004</v>
      </c>
      <c r="Y813">
        <v>0.42236170000000001</v>
      </c>
      <c r="Z813">
        <v>6.9460049999999995E-2</v>
      </c>
      <c r="AA813">
        <v>0.90376210000000001</v>
      </c>
      <c r="AB813">
        <v>32</v>
      </c>
      <c r="AC813">
        <v>2.0602999999999798</v>
      </c>
      <c r="AD813">
        <v>-1.0913207287169999</v>
      </c>
      <c r="AE813">
        <v>-9.7533000000000207</v>
      </c>
      <c r="AF813">
        <v>4.2720026554931696</v>
      </c>
      <c r="AG813">
        <v>-1.0913207287169999</v>
      </c>
      <c r="AH813">
        <v>8.8759155216962</v>
      </c>
      <c r="AI813">
        <v>96.321939369560198</v>
      </c>
      <c r="AJ813">
        <v>64.298359570991707</v>
      </c>
      <c r="AK813">
        <v>9.9107448746174303</v>
      </c>
      <c r="AL813">
        <v>87.619224211548797</v>
      </c>
      <c r="AM813">
        <v>80.655504726783604</v>
      </c>
      <c r="AN813">
        <v>1.0000000023144999</v>
      </c>
    </row>
    <row r="814" spans="1:40" x14ac:dyDescent="0.3">
      <c r="A814" t="str">
        <f>"20200111153846015"</f>
        <v>20200111153846015</v>
      </c>
      <c r="B814" t="str">
        <f>"1578728326011218"</f>
        <v>1578728326011218</v>
      </c>
      <c r="C814" t="s">
        <v>40</v>
      </c>
      <c r="D814">
        <v>5.3834160000000004</v>
      </c>
      <c r="E814">
        <v>0.60970809999999998</v>
      </c>
      <c r="F814" t="s">
        <v>42</v>
      </c>
      <c r="G814">
        <v>-194.3262</v>
      </c>
      <c r="H814" s="1">
        <v>-4.5647090000000001E-6</v>
      </c>
      <c r="I814">
        <v>348.1454</v>
      </c>
      <c r="J814">
        <v>-196.2122</v>
      </c>
      <c r="K814">
        <v>1.091486</v>
      </c>
      <c r="L814">
        <v>357.9461</v>
      </c>
      <c r="M814">
        <v>0.59361609999999998</v>
      </c>
      <c r="N814">
        <v>0</v>
      </c>
      <c r="O814">
        <v>-0.80459530000000001</v>
      </c>
      <c r="P814">
        <v>0.45682230000000001</v>
      </c>
      <c r="Q814">
        <v>3.2094490000000003E-2</v>
      </c>
      <c r="R814">
        <v>-0.88897929999999903</v>
      </c>
      <c r="S814">
        <v>0.65040589999999998</v>
      </c>
      <c r="T814">
        <v>-0.32911570000000001</v>
      </c>
      <c r="U814">
        <v>-3.071564</v>
      </c>
      <c r="V814">
        <v>0.16159419999999999</v>
      </c>
      <c r="W814">
        <v>4.2518970000000003E-2</v>
      </c>
      <c r="X814">
        <v>0.98594090000000001</v>
      </c>
      <c r="Y814">
        <v>0.41458109999999998</v>
      </c>
      <c r="Z814">
        <v>7.0512870000000005E-2</v>
      </c>
      <c r="AA814">
        <v>0.90727639999999998</v>
      </c>
      <c r="AB814">
        <v>32</v>
      </c>
      <c r="AC814">
        <v>1.8859999999999899</v>
      </c>
      <c r="AD814">
        <v>-1.0914905647090001</v>
      </c>
      <c r="AE814">
        <v>-9.8007000000000009</v>
      </c>
      <c r="AF814">
        <v>4.2500849925730098</v>
      </c>
      <c r="AG814">
        <v>-1.0914905647090001</v>
      </c>
      <c r="AH814">
        <v>8.8998238798703007</v>
      </c>
      <c r="AI814">
        <v>96.315231045552693</v>
      </c>
      <c r="AJ814">
        <v>64.473327593803205</v>
      </c>
      <c r="AK814">
        <v>9.9227737649133498</v>
      </c>
      <c r="AL814">
        <v>87.563107840195201</v>
      </c>
      <c r="AM814">
        <v>80.692066344588497</v>
      </c>
      <c r="AN814">
        <v>1.00000000328815</v>
      </c>
    </row>
    <row r="815" spans="1:40" x14ac:dyDescent="0.3">
      <c r="A815" t="str">
        <f>"20200111153846039"</f>
        <v>20200111153846039</v>
      </c>
      <c r="B815" t="str">
        <f>"1578728326030738"</f>
        <v>1578728326030738</v>
      </c>
      <c r="C815" t="s">
        <v>40</v>
      </c>
      <c r="D815">
        <v>5.3303849999999997</v>
      </c>
      <c r="E815">
        <v>0.60046560000000004</v>
      </c>
      <c r="F815" t="s">
        <v>42</v>
      </c>
      <c r="G815">
        <v>-194.2252</v>
      </c>
      <c r="H815" s="1">
        <v>-4.378158E-6</v>
      </c>
      <c r="I815">
        <v>347.64980000000003</v>
      </c>
      <c r="J815">
        <v>-196.01320000000001</v>
      </c>
      <c r="K815">
        <v>1.091628</v>
      </c>
      <c r="L815">
        <v>357.65089999999998</v>
      </c>
      <c r="M815">
        <v>0.58082259999999997</v>
      </c>
      <c r="N815">
        <v>0</v>
      </c>
      <c r="O815">
        <v>-0.81387929999999997</v>
      </c>
      <c r="P815">
        <v>0.4434459</v>
      </c>
      <c r="Q815">
        <v>3.2983119999999998E-2</v>
      </c>
      <c r="R815">
        <v>-0.8956944</v>
      </c>
      <c r="S815">
        <v>0.5945587</v>
      </c>
      <c r="T815">
        <v>-0.32660489999999998</v>
      </c>
      <c r="U815">
        <v>-3.0809329999999999</v>
      </c>
      <c r="V815">
        <v>0.1607806</v>
      </c>
      <c r="W815">
        <v>4.3454609999999998E-2</v>
      </c>
      <c r="X815">
        <v>0.9860331</v>
      </c>
      <c r="Y815">
        <v>0.41655940000000002</v>
      </c>
      <c r="Z815">
        <v>7.1199799999999994E-2</v>
      </c>
      <c r="AA815">
        <v>0.90631609999999996</v>
      </c>
      <c r="AB815">
        <v>32</v>
      </c>
      <c r="AC815">
        <v>1.78800000000001</v>
      </c>
      <c r="AD815">
        <v>-1.091632378158</v>
      </c>
      <c r="AE815">
        <v>-10.0010999999999</v>
      </c>
      <c r="AF815">
        <v>4.3044881718858701</v>
      </c>
      <c r="AG815">
        <v>-1.091632378158</v>
      </c>
      <c r="AH815">
        <v>9.0745606581941001</v>
      </c>
      <c r="AI815">
        <v>96.203018898873395</v>
      </c>
      <c r="AJ815">
        <v>64.622828840598302</v>
      </c>
      <c r="AK815">
        <v>10.102867454846301</v>
      </c>
      <c r="AL815">
        <v>87.509449981492693</v>
      </c>
      <c r="AM815">
        <v>80.738967145110706</v>
      </c>
      <c r="AN815">
        <v>0.99999998938111101</v>
      </c>
    </row>
    <row r="816" spans="1:40" x14ac:dyDescent="0.3">
      <c r="A816" t="str">
        <f>"20200111153846063"</f>
        <v>20200111153846063</v>
      </c>
      <c r="B816" t="str">
        <f>"1578728326060994"</f>
        <v>1578728326060994</v>
      </c>
      <c r="C816" t="s">
        <v>40</v>
      </c>
      <c r="D816">
        <v>5.4025530000000002</v>
      </c>
      <c r="E816">
        <v>0.60002749999999905</v>
      </c>
      <c r="F816" t="s">
        <v>42</v>
      </c>
      <c r="G816">
        <v>-193.9982</v>
      </c>
      <c r="H816" s="1">
        <v>-4.3308150000000003E-6</v>
      </c>
      <c r="I816">
        <v>347.62909999999999</v>
      </c>
      <c r="J816">
        <v>-195.82079999999999</v>
      </c>
      <c r="K816">
        <v>1.09179</v>
      </c>
      <c r="L816">
        <v>357.35599999999999</v>
      </c>
      <c r="M816">
        <v>0.56812969999999996</v>
      </c>
      <c r="N816">
        <v>0</v>
      </c>
      <c r="O816">
        <v>-0.82279059999999904</v>
      </c>
      <c r="P816">
        <v>0.43060979999999999</v>
      </c>
      <c r="Q816">
        <v>3.3772330000000003E-2</v>
      </c>
      <c r="R816">
        <v>-0.90190630000000005</v>
      </c>
      <c r="S816">
        <v>0.61471560000000003</v>
      </c>
      <c r="T816">
        <v>-0.33301380000000003</v>
      </c>
      <c r="U816">
        <v>-3.0572810000000001</v>
      </c>
      <c r="V816">
        <v>0.1595606</v>
      </c>
      <c r="W816">
        <v>4.4302569999999999E-2</v>
      </c>
      <c r="X816">
        <v>0.98619349999999995</v>
      </c>
      <c r="Y816">
        <v>0.3953642</v>
      </c>
      <c r="Z816">
        <v>7.4998990000000001E-2</v>
      </c>
      <c r="AA816">
        <v>0.91545739999999998</v>
      </c>
      <c r="AB816">
        <v>32</v>
      </c>
      <c r="AC816">
        <v>1.82259999999999</v>
      </c>
      <c r="AD816">
        <v>-1.091794330815</v>
      </c>
      <c r="AE816">
        <v>-9.7269000000000005</v>
      </c>
      <c r="AF816">
        <v>3.9785888818359698</v>
      </c>
      <c r="AG816">
        <v>-1.091794330815</v>
      </c>
      <c r="AH816">
        <v>8.9310741464913495</v>
      </c>
      <c r="AI816">
        <v>96.371685856010401</v>
      </c>
      <c r="AJ816">
        <v>65.988123323526594</v>
      </c>
      <c r="AK816">
        <v>9.8379504858275606</v>
      </c>
      <c r="AL816">
        <v>87.460818540195703</v>
      </c>
      <c r="AM816">
        <v>80.809505153705899</v>
      </c>
      <c r="AN816">
        <v>0.99999996111160605</v>
      </c>
    </row>
    <row r="817" spans="1:40" x14ac:dyDescent="0.3">
      <c r="A817" t="str">
        <f>"20200111153846084"</f>
        <v>20200111153846084</v>
      </c>
      <c r="B817" t="str">
        <f>"1578728326081492"</f>
        <v>1578728326081492</v>
      </c>
      <c r="C817" t="s">
        <v>40</v>
      </c>
      <c r="D817">
        <v>5.3675759999999997</v>
      </c>
      <c r="E817">
        <v>0.62889490000000003</v>
      </c>
      <c r="F817" t="s">
        <v>42</v>
      </c>
      <c r="G817">
        <v>-193.91679999999999</v>
      </c>
      <c r="H817" s="1">
        <v>-4.1666440000000004E-6</v>
      </c>
      <c r="I817">
        <v>347.18900000000002</v>
      </c>
      <c r="J817">
        <v>-195.65539999999999</v>
      </c>
      <c r="K817">
        <v>1.0919399999999999</v>
      </c>
      <c r="L817">
        <v>357.09480000000002</v>
      </c>
      <c r="M817">
        <v>0.55697019999999997</v>
      </c>
      <c r="N817">
        <v>0</v>
      </c>
      <c r="O817">
        <v>-0.8303857</v>
      </c>
      <c r="P817">
        <v>0.42034729999999998</v>
      </c>
      <c r="Q817">
        <v>3.5668430000000001E-2</v>
      </c>
      <c r="R817">
        <v>-0.90666190000000002</v>
      </c>
      <c r="S817">
        <v>0.57388309999999998</v>
      </c>
      <c r="T817">
        <v>-0.32909189999999999</v>
      </c>
      <c r="U817">
        <v>-3.064575</v>
      </c>
      <c r="V817">
        <v>0.1574411</v>
      </c>
      <c r="W817">
        <v>4.6285609999999998E-2</v>
      </c>
      <c r="X817">
        <v>0.98644310000000002</v>
      </c>
      <c r="Y817">
        <v>0.39514120000000003</v>
      </c>
      <c r="Z817">
        <v>7.5183079999999999E-2</v>
      </c>
      <c r="AA817">
        <v>0.91553859999999998</v>
      </c>
      <c r="AB817">
        <v>32</v>
      </c>
      <c r="AC817">
        <v>1.7385999999999899</v>
      </c>
      <c r="AD817">
        <v>-1.091944166644</v>
      </c>
      <c r="AE817">
        <v>-9.9057999999999993</v>
      </c>
      <c r="AF817">
        <v>4.0265578279780003</v>
      </c>
      <c r="AG817">
        <v>-1.091944166644</v>
      </c>
      <c r="AH817">
        <v>9.0879736406179994</v>
      </c>
      <c r="AI817">
        <v>96.268980811363605</v>
      </c>
      <c r="AJ817">
        <v>66.103571697582495</v>
      </c>
      <c r="AK817">
        <v>9.9998387435841405</v>
      </c>
      <c r="AL817">
        <v>87.347082131992707</v>
      </c>
      <c r="AM817">
        <v>80.931799909057503</v>
      </c>
      <c r="AN817">
        <v>1.00000002359994</v>
      </c>
    </row>
    <row r="818" spans="1:40" x14ac:dyDescent="0.3">
      <c r="A818" t="str">
        <f>"20200111153846106"</f>
        <v>20200111153846106</v>
      </c>
      <c r="B818" t="str">
        <f>"1578728326101013"</f>
        <v>1578728326101013</v>
      </c>
      <c r="C818" t="s">
        <v>40</v>
      </c>
      <c r="D818">
        <v>5.3533739999999996</v>
      </c>
      <c r="E818">
        <v>0.63145309999999999</v>
      </c>
      <c r="F818" t="s">
        <v>42</v>
      </c>
      <c r="G818">
        <v>-194.68610000000001</v>
      </c>
      <c r="H818" s="1">
        <v>-4.5084160000000003E-6</v>
      </c>
      <c r="I818">
        <v>347.79239999999999</v>
      </c>
      <c r="J818">
        <v>-195.4923</v>
      </c>
      <c r="K818">
        <v>1.092093</v>
      </c>
      <c r="L818">
        <v>356.82929999999999</v>
      </c>
      <c r="M818">
        <v>0.54571700000000001</v>
      </c>
      <c r="N818">
        <v>0</v>
      </c>
      <c r="O818">
        <v>-0.83782459999999903</v>
      </c>
      <c r="P818">
        <v>0.41065489999999999</v>
      </c>
      <c r="Q818">
        <v>3.748216E-2</v>
      </c>
      <c r="R818">
        <v>-0.91102030000000001</v>
      </c>
      <c r="S818">
        <v>0.3303528</v>
      </c>
      <c r="T818">
        <v>-0.3721353</v>
      </c>
      <c r="U818">
        <v>-3.170258</v>
      </c>
      <c r="V818">
        <v>0.15465139999999999</v>
      </c>
      <c r="W818">
        <v>4.8207970000000003E-2</v>
      </c>
      <c r="X818">
        <v>0.98679229999999996</v>
      </c>
      <c r="Y818">
        <v>0.45618710000000001</v>
      </c>
      <c r="Z818">
        <v>8.1953219999999993E-2</v>
      </c>
      <c r="AA818">
        <v>0.8861021</v>
      </c>
      <c r="AB818">
        <v>32</v>
      </c>
      <c r="AC818">
        <v>0.80619999999998904</v>
      </c>
      <c r="AD818">
        <v>-1.0920975084160001</v>
      </c>
      <c r="AE818">
        <v>-9.0368999999999993</v>
      </c>
      <c r="AF818">
        <v>4.1958585850430596</v>
      </c>
      <c r="AG818">
        <v>-1.0920975084160001</v>
      </c>
      <c r="AH818">
        <v>7.8978348650991297</v>
      </c>
      <c r="AI818">
        <v>96.962186562559097</v>
      </c>
      <c r="AJ818">
        <v>62.019768525999297</v>
      </c>
      <c r="AK818">
        <v>9.0096449314023097</v>
      </c>
      <c r="AL818">
        <v>87.236815945582904</v>
      </c>
      <c r="AM818">
        <v>81.092981216717106</v>
      </c>
      <c r="AN818">
        <v>1.00000005361638</v>
      </c>
    </row>
    <row r="819" spans="1:40" x14ac:dyDescent="0.3">
      <c r="A819" t="str">
        <f>"20200111153846130"</f>
        <v>20200111153846130</v>
      </c>
      <c r="B819" t="str">
        <f>"1578728326121506"</f>
        <v>1578728326121506</v>
      </c>
      <c r="C819" t="s">
        <v>40</v>
      </c>
      <c r="D819">
        <v>5.3076169999999996</v>
      </c>
      <c r="E819">
        <v>0.62963990000000003</v>
      </c>
      <c r="F819" t="s">
        <v>42</v>
      </c>
      <c r="G819">
        <v>-194.62739999999999</v>
      </c>
      <c r="H819" s="1">
        <v>-4.2116219999999998E-6</v>
      </c>
      <c r="I819">
        <v>346.95080000000002</v>
      </c>
      <c r="J819">
        <v>-195.31659999999999</v>
      </c>
      <c r="K819">
        <v>1.0922590000000001</v>
      </c>
      <c r="L819">
        <v>356.5342</v>
      </c>
      <c r="M819">
        <v>0.53331049999999902</v>
      </c>
      <c r="N819">
        <v>0</v>
      </c>
      <c r="O819">
        <v>-0.84577669999999905</v>
      </c>
      <c r="P819">
        <v>0.4015032</v>
      </c>
      <c r="Q819">
        <v>3.8651030000000003E-2</v>
      </c>
      <c r="R819">
        <v>-0.91504189999999996</v>
      </c>
      <c r="S819">
        <v>0.27857969999999999</v>
      </c>
      <c r="T819">
        <v>-0.35177170000000002</v>
      </c>
      <c r="U819">
        <v>-3.181915</v>
      </c>
      <c r="V819">
        <v>0.14998789999999901</v>
      </c>
      <c r="W819">
        <v>4.9545319999999997E-2</v>
      </c>
      <c r="X819">
        <v>0.98744569999999998</v>
      </c>
      <c r="Y819">
        <v>0.45768730000000002</v>
      </c>
      <c r="Z819">
        <v>7.8501689999999999E-2</v>
      </c>
      <c r="AA819">
        <v>0.88564089999999995</v>
      </c>
      <c r="AB819">
        <v>32</v>
      </c>
      <c r="AC819">
        <v>0.68919999999999904</v>
      </c>
      <c r="AD819">
        <v>-1.0922632116219999</v>
      </c>
      <c r="AE819">
        <v>-9.5833999999999797</v>
      </c>
      <c r="AF819">
        <v>4.4707882665450702</v>
      </c>
      <c r="AG819">
        <v>-1.0922632116219999</v>
      </c>
      <c r="AH819">
        <v>8.3658828862708301</v>
      </c>
      <c r="AI819">
        <v>96.568680811998206</v>
      </c>
      <c r="AJ819">
        <v>61.879630821430403</v>
      </c>
      <c r="AK819">
        <v>9.5482450279901698</v>
      </c>
      <c r="AL819">
        <v>87.160099760920602</v>
      </c>
      <c r="AM819">
        <v>81.363087047883795</v>
      </c>
      <c r="AN819">
        <v>1.0000000596643901</v>
      </c>
    </row>
    <row r="820" spans="1:40" x14ac:dyDescent="0.3">
      <c r="A820" t="str">
        <f>"20200111153846150"</f>
        <v>20200111153846150</v>
      </c>
      <c r="B820" t="str">
        <f>"1578728326141026"</f>
        <v>1578728326141026</v>
      </c>
      <c r="C820" t="s">
        <v>40</v>
      </c>
      <c r="D820">
        <v>5.3572889999999997</v>
      </c>
      <c r="E820">
        <v>0.62865470000000001</v>
      </c>
      <c r="F820" t="s">
        <v>42</v>
      </c>
      <c r="G820">
        <v>-194.47149999999999</v>
      </c>
      <c r="H820" s="1">
        <v>-3.9489899999999999E-6</v>
      </c>
      <c r="I820">
        <v>346.26029999999997</v>
      </c>
      <c r="J820">
        <v>-195.16499999999999</v>
      </c>
      <c r="K820">
        <v>1.092408</v>
      </c>
      <c r="L820">
        <v>356.2715</v>
      </c>
      <c r="M820">
        <v>0.52235569999999998</v>
      </c>
      <c r="N820">
        <v>0</v>
      </c>
      <c r="O820">
        <v>-0.85258650000000002</v>
      </c>
      <c r="P820">
        <v>0.39399200000000001</v>
      </c>
      <c r="Q820">
        <v>3.9066579999999997E-2</v>
      </c>
      <c r="R820">
        <v>-0.91828359999999998</v>
      </c>
      <c r="S820">
        <v>0.26139829999999997</v>
      </c>
      <c r="T820">
        <v>-0.33787840000000002</v>
      </c>
      <c r="U820">
        <v>-3.1781009999999998</v>
      </c>
      <c r="V820">
        <v>0.14532519999999999</v>
      </c>
      <c r="W820">
        <v>5.0124439999999999E-2</v>
      </c>
      <c r="X820">
        <v>0.98811340000000003</v>
      </c>
      <c r="Y820">
        <v>0.45087359999999999</v>
      </c>
      <c r="Z820">
        <v>7.6773930000000004E-2</v>
      </c>
      <c r="AA820">
        <v>0.88927990000000001</v>
      </c>
      <c r="AB820">
        <v>32</v>
      </c>
      <c r="AC820">
        <v>0.69350000000000001</v>
      </c>
      <c r="AD820">
        <v>-1.0924119489899999</v>
      </c>
      <c r="AE820">
        <v>-10.011200000000001</v>
      </c>
      <c r="AF820">
        <v>4.58437193009377</v>
      </c>
      <c r="AG820">
        <v>-1.0924119489899999</v>
      </c>
      <c r="AH820">
        <v>8.7945231730946194</v>
      </c>
      <c r="AI820">
        <v>96.285681585809598</v>
      </c>
      <c r="AJ820">
        <v>62.468059986433303</v>
      </c>
      <c r="AK820">
        <v>9.9776484054022596</v>
      </c>
      <c r="AL820">
        <v>87.126877128170506</v>
      </c>
      <c r="AM820">
        <v>81.633296234832599</v>
      </c>
      <c r="AN820">
        <v>0.99999998224995601</v>
      </c>
    </row>
    <row r="821" spans="1:40" x14ac:dyDescent="0.3">
      <c r="A821" t="str">
        <f>"20200111153846173"</f>
        <v>20200111153846173</v>
      </c>
      <c r="B821" t="str">
        <f>"1578728326161056"</f>
        <v>1578728326161056</v>
      </c>
      <c r="C821" t="s">
        <v>40</v>
      </c>
      <c r="D821">
        <v>5.5281159999999998</v>
      </c>
      <c r="E821">
        <v>0.62762989999999996</v>
      </c>
      <c r="F821" t="s">
        <v>42</v>
      </c>
      <c r="G821">
        <v>-194.36609999999999</v>
      </c>
      <c r="H821" s="1">
        <v>-3.77485E-6</v>
      </c>
      <c r="I821">
        <v>345.80349999999999</v>
      </c>
      <c r="J821">
        <v>-195.00450000000001</v>
      </c>
      <c r="K821">
        <v>1.09257</v>
      </c>
      <c r="L821">
        <v>355.98480000000001</v>
      </c>
      <c r="M821">
        <v>0.51048359999999904</v>
      </c>
      <c r="N821">
        <v>0</v>
      </c>
      <c r="O821">
        <v>-0.85974810000000002</v>
      </c>
      <c r="P821">
        <v>0.38425520000000002</v>
      </c>
      <c r="Q821">
        <v>4.0362700000000001E-2</v>
      </c>
      <c r="R821">
        <v>-0.92234430000000001</v>
      </c>
      <c r="S821">
        <v>0.24244689999999999</v>
      </c>
      <c r="T821">
        <v>-0.33154640000000002</v>
      </c>
      <c r="U821">
        <v>-3.1770320000000001</v>
      </c>
      <c r="V821">
        <v>0.14206820000000001</v>
      </c>
      <c r="W821">
        <v>5.1536909999999998E-2</v>
      </c>
      <c r="X821">
        <v>0.98851429999999996</v>
      </c>
      <c r="Y821">
        <v>0.44374140000000001</v>
      </c>
      <c r="Z821">
        <v>7.6663899999999993E-2</v>
      </c>
      <c r="AA821">
        <v>0.89286969999999999</v>
      </c>
      <c r="AB821">
        <v>32</v>
      </c>
      <c r="AC821">
        <v>0.63840000000001795</v>
      </c>
      <c r="AD821">
        <v>-1.09257377485</v>
      </c>
      <c r="AE821">
        <v>-10.1813</v>
      </c>
      <c r="AF821">
        <v>4.5963571580564198</v>
      </c>
      <c r="AG821">
        <v>-1.09257377485</v>
      </c>
      <c r="AH821">
        <v>8.9773575876687293</v>
      </c>
      <c r="AI821">
        <v>96.182741827189005</v>
      </c>
      <c r="AJ821">
        <v>62.887806036459203</v>
      </c>
      <c r="AK821">
        <v>10.144612650800401</v>
      </c>
      <c r="AL821">
        <v>87.045843772679405</v>
      </c>
      <c r="AM821">
        <v>81.821515256996094</v>
      </c>
      <c r="AN821">
        <v>0.99999997392403805</v>
      </c>
    </row>
    <row r="822" spans="1:40" x14ac:dyDescent="0.3">
      <c r="A822" t="str">
        <f>"20200111153846196"</f>
        <v>20200111153846196</v>
      </c>
      <c r="B822" t="str">
        <f>"1578728326191309"</f>
        <v>1578728326191309</v>
      </c>
      <c r="C822" t="s">
        <v>40</v>
      </c>
      <c r="D822">
        <v>5.3771810000000002</v>
      </c>
      <c r="E822">
        <v>0.6259053</v>
      </c>
      <c r="F822" t="s">
        <v>42</v>
      </c>
      <c r="G822">
        <v>-194.2944</v>
      </c>
      <c r="H822" s="1">
        <v>-3.6763580000000002E-6</v>
      </c>
      <c r="I822">
        <v>345.55149999999998</v>
      </c>
      <c r="J822">
        <v>-194.85650000000001</v>
      </c>
      <c r="K822">
        <v>1.092714</v>
      </c>
      <c r="L822">
        <v>355.71199999999999</v>
      </c>
      <c r="M822">
        <v>0.49927460000000001</v>
      </c>
      <c r="N822">
        <v>0</v>
      </c>
      <c r="O822">
        <v>-0.86630580000000001</v>
      </c>
      <c r="P822">
        <v>0.37416939999999999</v>
      </c>
      <c r="Q822">
        <v>4.1446289999999997E-2</v>
      </c>
      <c r="R822">
        <v>-0.92643390000000003</v>
      </c>
      <c r="S822">
        <v>0.2162018</v>
      </c>
      <c r="T822">
        <v>-0.33269389999999999</v>
      </c>
      <c r="U822">
        <v>-3.1770019999999999</v>
      </c>
      <c r="V822">
        <v>0.14000499999999999</v>
      </c>
      <c r="W822">
        <v>5.2696430000000002E-2</v>
      </c>
      <c r="X822">
        <v>0.9887475</v>
      </c>
      <c r="Y822">
        <v>0.43944569999999999</v>
      </c>
      <c r="Z822">
        <v>7.8055840000000001E-2</v>
      </c>
      <c r="AA822">
        <v>0.89487139999999998</v>
      </c>
      <c r="AB822">
        <v>32</v>
      </c>
      <c r="AC822">
        <v>0.56210000000001503</v>
      </c>
      <c r="AD822">
        <v>-1.092717676358</v>
      </c>
      <c r="AE822">
        <v>-10.160500000000001</v>
      </c>
      <c r="AF822">
        <v>4.53419471338057</v>
      </c>
      <c r="AG822">
        <v>-1.092717676358</v>
      </c>
      <c r="AH822">
        <v>8.9802789195787902</v>
      </c>
      <c r="AI822">
        <v>96.199144392355905</v>
      </c>
      <c r="AJ822">
        <v>63.210526066424201</v>
      </c>
      <c r="AK822">
        <v>10.119207631653</v>
      </c>
      <c r="AL822">
        <v>86.979317733078503</v>
      </c>
      <c r="AM822">
        <v>81.940591943506206</v>
      </c>
      <c r="AN822">
        <v>0.99999996625799603</v>
      </c>
    </row>
    <row r="823" spans="1:40" x14ac:dyDescent="0.3">
      <c r="A823" t="str">
        <f>"20200111153846217"</f>
        <v>20200111153846217</v>
      </c>
      <c r="B823" t="str">
        <f>"1578728326210829"</f>
        <v>1578728326210829</v>
      </c>
      <c r="C823" t="s">
        <v>40</v>
      </c>
      <c r="D823">
        <v>5.3226519999999997</v>
      </c>
      <c r="E823">
        <v>0.62489490000000003</v>
      </c>
      <c r="F823" t="s">
        <v>42</v>
      </c>
      <c r="G823">
        <v>-194.2116</v>
      </c>
      <c r="H823" s="1">
        <v>-3.5110349999999998E-6</v>
      </c>
      <c r="I823">
        <v>345.16129999999998</v>
      </c>
      <c r="J823">
        <v>-194.70429999999999</v>
      </c>
      <c r="K823">
        <v>1.0928549999999999</v>
      </c>
      <c r="L823">
        <v>355.42160000000001</v>
      </c>
      <c r="M823">
        <v>0.4874424</v>
      </c>
      <c r="N823">
        <v>0</v>
      </c>
      <c r="O823">
        <v>-0.87301899999999999</v>
      </c>
      <c r="P823">
        <v>0.3625603</v>
      </c>
      <c r="Q823">
        <v>4.2415370000000001E-2</v>
      </c>
      <c r="R823">
        <v>-0.93099489999999996</v>
      </c>
      <c r="S823">
        <v>0.194046</v>
      </c>
      <c r="T823">
        <v>-0.32878359999999901</v>
      </c>
      <c r="U823">
        <v>-3.1745610000000002</v>
      </c>
      <c r="V823">
        <v>0.13890079999999999</v>
      </c>
      <c r="W823">
        <v>5.3710180000000003E-2</v>
      </c>
      <c r="X823">
        <v>0.98884870000000002</v>
      </c>
      <c r="Y823">
        <v>0.4333979</v>
      </c>
      <c r="Z823">
        <v>7.8387799999999994E-2</v>
      </c>
      <c r="AA823">
        <v>0.89778709999999995</v>
      </c>
      <c r="AB823">
        <v>32</v>
      </c>
      <c r="AC823">
        <v>0.49269999999998398</v>
      </c>
      <c r="AD823">
        <v>-1.092858511035</v>
      </c>
      <c r="AE823">
        <v>-10.260300000000001</v>
      </c>
      <c r="AF823">
        <v>4.5205442793606601</v>
      </c>
      <c r="AG823">
        <v>-1.092858511035</v>
      </c>
      <c r="AH823">
        <v>9.0957386702685401</v>
      </c>
      <c r="AI823">
        <v>96.141111408354206</v>
      </c>
      <c r="AJ823">
        <v>63.5728147844315</v>
      </c>
      <c r="AK823">
        <v>10.2157781037285</v>
      </c>
      <c r="AL823">
        <v>86.921151805103094</v>
      </c>
      <c r="AM823">
        <v>82.004137742985506</v>
      </c>
      <c r="AN823">
        <v>0.99999998358398101</v>
      </c>
    </row>
    <row r="824" spans="1:40" x14ac:dyDescent="0.3">
      <c r="A824" t="str">
        <f>"20200111153846240"</f>
        <v>20200111153846240</v>
      </c>
      <c r="B824" t="str">
        <f>"1578728326231325"</f>
        <v>1578728326231325</v>
      </c>
      <c r="C824" t="s">
        <v>40</v>
      </c>
      <c r="D824">
        <v>5.3929510000000001</v>
      </c>
      <c r="E824">
        <v>0.62405969999999999</v>
      </c>
      <c r="F824" t="s">
        <v>42</v>
      </c>
      <c r="G824">
        <v>-194.15690000000001</v>
      </c>
      <c r="H824" s="1">
        <v>-3.2729259999999999E-6</v>
      </c>
      <c r="I824">
        <v>344.64010000000002</v>
      </c>
      <c r="J824">
        <v>-194.5573</v>
      </c>
      <c r="K824">
        <v>1.0929819999999999</v>
      </c>
      <c r="L824">
        <v>355.1318</v>
      </c>
      <c r="M824">
        <v>0.47570069999999998</v>
      </c>
      <c r="N824">
        <v>0</v>
      </c>
      <c r="O824">
        <v>-0.87947240000000004</v>
      </c>
      <c r="P824">
        <v>0.34993849999999999</v>
      </c>
      <c r="Q824">
        <v>4.2071379999999999E-2</v>
      </c>
      <c r="R824">
        <v>-0.93582770000000004</v>
      </c>
      <c r="S824">
        <v>0.16116329999999901</v>
      </c>
      <c r="T824">
        <v>-0.32175520000000002</v>
      </c>
      <c r="U824">
        <v>-3.1742249999999999</v>
      </c>
      <c r="V824">
        <v>0.13900309999999999</v>
      </c>
      <c r="W824">
        <v>5.3372099999999999E-2</v>
      </c>
      <c r="X824">
        <v>0.98885259999999997</v>
      </c>
      <c r="Y824">
        <v>0.43059150000000002</v>
      </c>
      <c r="Z824">
        <v>7.7776150000000002E-2</v>
      </c>
      <c r="AA824">
        <v>0.89918949999999997</v>
      </c>
      <c r="AB824">
        <v>32</v>
      </c>
      <c r="AC824">
        <v>0.40039999999998999</v>
      </c>
      <c r="AD824">
        <v>-1.0929852729259999</v>
      </c>
      <c r="AE824">
        <v>-10.4916999999999</v>
      </c>
      <c r="AF824">
        <v>4.5895815966233702</v>
      </c>
      <c r="AG824">
        <v>-1.0929852729259999</v>
      </c>
      <c r="AH824">
        <v>9.3177722842111592</v>
      </c>
      <c r="AI824">
        <v>96.007043562539295</v>
      </c>
      <c r="AJ824">
        <v>63.776889769598803</v>
      </c>
      <c r="AK824">
        <v>10.4441254482752</v>
      </c>
      <c r="AL824">
        <v>86.940550095305596</v>
      </c>
      <c r="AM824">
        <v>81.998356210190295</v>
      </c>
      <c r="AN824">
        <v>0.99999995369738803</v>
      </c>
    </row>
    <row r="825" spans="1:40" x14ac:dyDescent="0.3">
      <c r="A825" t="str">
        <f>"20200111153846263"</f>
        <v>20200111153846263</v>
      </c>
      <c r="B825" t="str">
        <f>"1578728326250848"</f>
        <v>1578728326250848</v>
      </c>
      <c r="C825" t="s">
        <v>40</v>
      </c>
      <c r="D825">
        <v>5.3847990000000001</v>
      </c>
      <c r="E825">
        <v>0.62313719999999995</v>
      </c>
      <c r="F825" t="s">
        <v>42</v>
      </c>
      <c r="G825">
        <v>-194.1319</v>
      </c>
      <c r="H825" s="1">
        <v>-3.109144E-6</v>
      </c>
      <c r="I825">
        <v>344.27390000000003</v>
      </c>
      <c r="J825">
        <v>-194.4135</v>
      </c>
      <c r="K825">
        <v>1.0930959999999901</v>
      </c>
      <c r="L825">
        <v>354.83879999999999</v>
      </c>
      <c r="M825">
        <v>0.46390409999999999</v>
      </c>
      <c r="N825">
        <v>0</v>
      </c>
      <c r="O825">
        <v>-0.88575219999999899</v>
      </c>
      <c r="P825">
        <v>0.3374895</v>
      </c>
      <c r="Q825">
        <v>4.1292210000000003E-2</v>
      </c>
      <c r="R825">
        <v>-0.94042320000000001</v>
      </c>
      <c r="S825">
        <v>0.1243134</v>
      </c>
      <c r="T825">
        <v>-0.31945810000000002</v>
      </c>
      <c r="U825">
        <v>-3.1735530000000001</v>
      </c>
      <c r="V825">
        <v>0.1388875</v>
      </c>
      <c r="W825">
        <v>5.2606439999999997E-2</v>
      </c>
      <c r="X825">
        <v>0.98890990000000001</v>
      </c>
      <c r="Y825">
        <v>0.42894389999999999</v>
      </c>
      <c r="Z825">
        <v>7.8220600000000001E-2</v>
      </c>
      <c r="AA825">
        <v>0.89993819999999902</v>
      </c>
      <c r="AB825">
        <v>32</v>
      </c>
      <c r="AC825">
        <v>0.28159999999999702</v>
      </c>
      <c r="AD825">
        <v>-1.0930991091440001</v>
      </c>
      <c r="AE825">
        <v>-10.5648999999999</v>
      </c>
      <c r="AF825">
        <v>4.6029815426924898</v>
      </c>
      <c r="AG825">
        <v>-1.0930991091440001</v>
      </c>
      <c r="AH825">
        <v>9.3891983926393401</v>
      </c>
      <c r="AI825">
        <v>95.967731131664607</v>
      </c>
      <c r="AJ825">
        <v>63.883955493883398</v>
      </c>
      <c r="AK825">
        <v>10.5137695999636</v>
      </c>
      <c r="AL825">
        <v>86.9844809918593</v>
      </c>
      <c r="AM825">
        <v>82.005381851108098</v>
      </c>
      <c r="AN825">
        <v>0.99999998275186597</v>
      </c>
    </row>
    <row r="826" spans="1:40" x14ac:dyDescent="0.3">
      <c r="A826" t="str">
        <f>"20200111153846285"</f>
        <v>20200111153846285</v>
      </c>
      <c r="B826" t="str">
        <f>"1578728326281101"</f>
        <v>1578728326281101</v>
      </c>
      <c r="C826" t="s">
        <v>40</v>
      </c>
      <c r="D826">
        <v>5.3419639999999999</v>
      </c>
      <c r="E826">
        <v>0.62194569999999905</v>
      </c>
      <c r="F826" t="s">
        <v>42</v>
      </c>
      <c r="G826">
        <v>-194.10910000000001</v>
      </c>
      <c r="H826" s="1">
        <v>-2.9510869999999999E-6</v>
      </c>
      <c r="I826">
        <v>343.9196</v>
      </c>
      <c r="J826">
        <v>-194.27860000000001</v>
      </c>
      <c r="K826">
        <v>1.0931930000000001</v>
      </c>
      <c r="L826">
        <v>354.55500000000001</v>
      </c>
      <c r="M826">
        <v>0.45253929999999998</v>
      </c>
      <c r="N826">
        <v>0</v>
      </c>
      <c r="O826">
        <v>-0.89161239999999997</v>
      </c>
      <c r="P826">
        <v>0.32663759999999997</v>
      </c>
      <c r="Q826">
        <v>4.1016829999999997E-2</v>
      </c>
      <c r="R826">
        <v>-0.94425950000000003</v>
      </c>
      <c r="S826">
        <v>8.8424680000000005E-2</v>
      </c>
      <c r="T826">
        <v>-0.31756570000000001</v>
      </c>
      <c r="U826">
        <v>-3.1722410000000001</v>
      </c>
      <c r="V826">
        <v>0.13761209999999999</v>
      </c>
      <c r="W826">
        <v>5.237787E-2</v>
      </c>
      <c r="X826">
        <v>0.98910030000000004</v>
      </c>
      <c r="Y826">
        <v>0.42755199999999999</v>
      </c>
      <c r="Z826">
        <v>7.8695959999999995E-2</v>
      </c>
      <c r="AA826">
        <v>0.90055879999999999</v>
      </c>
      <c r="AB826">
        <v>32</v>
      </c>
      <c r="AC826">
        <v>0.16949999999999901</v>
      </c>
      <c r="AD826">
        <v>-1.093195951087</v>
      </c>
      <c r="AE826">
        <v>-10.635400000000001</v>
      </c>
      <c r="AF826">
        <v>4.61362453474801</v>
      </c>
      <c r="AG826">
        <v>-1.093195951087</v>
      </c>
      <c r="AH826">
        <v>9.4605560563965501</v>
      </c>
      <c r="AI826">
        <v>95.929534857257906</v>
      </c>
      <c r="AJ826">
        <v>64.002920668768894</v>
      </c>
      <c r="AK826">
        <v>10.5821892645767</v>
      </c>
      <c r="AL826">
        <v>86.997595122328505</v>
      </c>
      <c r="AM826">
        <v>82.079365500394204</v>
      </c>
      <c r="AN826">
        <v>0.99999996739611796</v>
      </c>
    </row>
    <row r="827" spans="1:40" x14ac:dyDescent="0.3">
      <c r="A827" t="str">
        <f>"20200111153846307"</f>
        <v>20200111153846307</v>
      </c>
      <c r="B827" t="str">
        <f>"1578728326301597"</f>
        <v>1578728326301597</v>
      </c>
      <c r="C827" t="s">
        <v>40</v>
      </c>
      <c r="D827">
        <v>5.3257159999999999</v>
      </c>
      <c r="E827">
        <v>0.62093350000000003</v>
      </c>
      <c r="F827" t="s">
        <v>42</v>
      </c>
      <c r="G827">
        <v>-194.0702</v>
      </c>
      <c r="H827" s="1">
        <v>-2.7502209999999999E-6</v>
      </c>
      <c r="I827">
        <v>343.47550000000001</v>
      </c>
      <c r="J827">
        <v>-194.143</v>
      </c>
      <c r="K827">
        <v>1.0933079999999999</v>
      </c>
      <c r="L827">
        <v>354.26</v>
      </c>
      <c r="M827">
        <v>0.44080170000000002</v>
      </c>
      <c r="N827">
        <v>0</v>
      </c>
      <c r="O827">
        <v>-0.89747389999999905</v>
      </c>
      <c r="P827">
        <v>0.31576279999999901</v>
      </c>
      <c r="Q827">
        <v>4.1326700000000001E-2</v>
      </c>
      <c r="R827">
        <v>-0.94793799999999995</v>
      </c>
      <c r="S827">
        <v>5.963135E-2</v>
      </c>
      <c r="T827">
        <v>-0.31277949999999999</v>
      </c>
      <c r="U827">
        <v>-3.170013</v>
      </c>
      <c r="V827">
        <v>0.13598969999999999</v>
      </c>
      <c r="W827">
        <v>5.2745E-2</v>
      </c>
      <c r="X827">
        <v>0.9893052</v>
      </c>
      <c r="Y827">
        <v>0.42385210000000001</v>
      </c>
      <c r="Z827">
        <v>7.8516569999999994E-2</v>
      </c>
      <c r="AA827">
        <v>0.90232179999999995</v>
      </c>
      <c r="AB827">
        <v>32</v>
      </c>
      <c r="AC827">
        <v>7.2800000000000795E-2</v>
      </c>
      <c r="AD827">
        <v>-1.093310750221</v>
      </c>
      <c r="AE827">
        <v>-10.7844999999999</v>
      </c>
      <c r="AF827">
        <v>4.64134039054602</v>
      </c>
      <c r="AG827">
        <v>-1.093310750221</v>
      </c>
      <c r="AH827">
        <v>9.6132407311393795</v>
      </c>
      <c r="AI827">
        <v>95.847701394551706</v>
      </c>
      <c r="AJ827">
        <v>64.228422115921802</v>
      </c>
      <c r="AK827">
        <v>10.730879105287601</v>
      </c>
      <c r="AL827">
        <v>86.976531122145801</v>
      </c>
      <c r="AM827">
        <v>82.173183765851903</v>
      </c>
      <c r="AN827">
        <v>1.0000000061390599</v>
      </c>
    </row>
    <row r="828" spans="1:40" x14ac:dyDescent="0.3">
      <c r="A828" t="str">
        <f>"20200111153846330"</f>
        <v>20200111153846330</v>
      </c>
      <c r="B828" t="str">
        <f>"1578728326321117"</f>
        <v>1578728326321117</v>
      </c>
      <c r="C828" t="s">
        <v>40</v>
      </c>
      <c r="D828">
        <v>5.3361890000000001</v>
      </c>
      <c r="E828">
        <v>0.61996099999999998</v>
      </c>
      <c r="F828" t="s">
        <v>42</v>
      </c>
      <c r="G828">
        <v>-194.03479999999999</v>
      </c>
      <c r="H828" s="1">
        <v>-2.5721319999999902E-6</v>
      </c>
      <c r="I828">
        <v>343.08229999999998</v>
      </c>
      <c r="J828">
        <v>-194.0068</v>
      </c>
      <c r="K828">
        <v>1.0934360000000001</v>
      </c>
      <c r="L828">
        <v>353.95330000000001</v>
      </c>
      <c r="M828">
        <v>0.4286838</v>
      </c>
      <c r="N828">
        <v>0</v>
      </c>
      <c r="O828">
        <v>-0.9033253</v>
      </c>
      <c r="P828">
        <v>0.30446620000000002</v>
      </c>
      <c r="Q828">
        <v>4.1511579999999999E-2</v>
      </c>
      <c r="R828">
        <v>-0.95161830000000003</v>
      </c>
      <c r="S828">
        <v>3.067017E-2</v>
      </c>
      <c r="T828">
        <v>-0.3098767</v>
      </c>
      <c r="U828">
        <v>-3.168091</v>
      </c>
      <c r="V828">
        <v>0.1344262</v>
      </c>
      <c r="W828">
        <v>5.2985940000000002E-2</v>
      </c>
      <c r="X828">
        <v>0.989506</v>
      </c>
      <c r="Y828">
        <v>0.4199021</v>
      </c>
      <c r="Z828">
        <v>7.8777089999999994E-2</v>
      </c>
      <c r="AA828">
        <v>0.90414399999999995</v>
      </c>
      <c r="AB828">
        <v>32</v>
      </c>
      <c r="AC828">
        <v>-2.79999999999915E-2</v>
      </c>
      <c r="AD828">
        <v>-1.0934385721319999</v>
      </c>
      <c r="AE828">
        <v>-10.871</v>
      </c>
      <c r="AF828">
        <v>4.6391285269264104</v>
      </c>
      <c r="AG828">
        <v>-1.0934385721319999</v>
      </c>
      <c r="AH828">
        <v>9.7109474206658195</v>
      </c>
      <c r="AI828">
        <v>95.801362551471897</v>
      </c>
      <c r="AJ828">
        <v>64.465190121158997</v>
      </c>
      <c r="AK828">
        <v>10.8175607789974</v>
      </c>
      <c r="AL828">
        <v>86.962706983713801</v>
      </c>
      <c r="AM828">
        <v>82.263625014485299</v>
      </c>
      <c r="AN828">
        <v>1.0000000185600599</v>
      </c>
    </row>
    <row r="829" spans="1:40" x14ac:dyDescent="0.3">
      <c r="A829" t="str">
        <f>"20200111153846353"</f>
        <v>20200111153846353</v>
      </c>
      <c r="B829" t="str">
        <f>"1578728326341617"</f>
        <v>1578728326341617</v>
      </c>
      <c r="C829" t="s">
        <v>40</v>
      </c>
      <c r="D829">
        <v>5.3771190000000004</v>
      </c>
      <c r="E829">
        <v>0.61899729999999997</v>
      </c>
      <c r="F829" t="s">
        <v>42</v>
      </c>
      <c r="G829">
        <v>-194.006</v>
      </c>
      <c r="H829" s="1">
        <v>-2.410422E-6</v>
      </c>
      <c r="I829">
        <v>342.72329999999999</v>
      </c>
      <c r="J829">
        <v>-193.87870000000001</v>
      </c>
      <c r="K829">
        <v>1.0935790000000001</v>
      </c>
      <c r="L829">
        <v>353.65440000000001</v>
      </c>
      <c r="M829">
        <v>0.41697669999999998</v>
      </c>
      <c r="N829">
        <v>0</v>
      </c>
      <c r="O829">
        <v>-0.90878939999999997</v>
      </c>
      <c r="P829">
        <v>0.29420279999999999</v>
      </c>
      <c r="Q829">
        <v>4.1355120000000002E-2</v>
      </c>
      <c r="R829">
        <v>-0.95484829999999998</v>
      </c>
      <c r="S829">
        <v>2.4414059999999999E-4</v>
      </c>
      <c r="T829">
        <v>-0.30825360000000002</v>
      </c>
      <c r="U829">
        <v>-3.1658940000000002</v>
      </c>
      <c r="V829">
        <v>0.1322749</v>
      </c>
      <c r="W829">
        <v>5.2904039999999999E-2</v>
      </c>
      <c r="X829">
        <v>0.98980020000000002</v>
      </c>
      <c r="Y829">
        <v>0.4168615</v>
      </c>
      <c r="Z829">
        <v>7.9274440000000002E-2</v>
      </c>
      <c r="AA829">
        <v>0.90550660000000005</v>
      </c>
      <c r="AB829">
        <v>32</v>
      </c>
      <c r="AC829">
        <v>-0.127299999999962</v>
      </c>
      <c r="AD829">
        <v>-1.0935814104220001</v>
      </c>
      <c r="AE829">
        <v>-10.931100000000001</v>
      </c>
      <c r="AF829">
        <v>4.6279327714708298</v>
      </c>
      <c r="AG829">
        <v>-1.0935814104220001</v>
      </c>
      <c r="AH829">
        <v>9.7842210067636604</v>
      </c>
      <c r="AI829">
        <v>95.769439082619897</v>
      </c>
      <c r="AJ829">
        <v>64.685868777541998</v>
      </c>
      <c r="AK829">
        <v>10.878633312492401</v>
      </c>
      <c r="AL829">
        <v>86.967405924903503</v>
      </c>
      <c r="AM829">
        <v>82.388207200373401</v>
      </c>
      <c r="AN829">
        <v>0.999999961269185</v>
      </c>
    </row>
    <row r="830" spans="1:40" x14ac:dyDescent="0.3">
      <c r="A830" t="str">
        <f>"20200111153846374"</f>
        <v>20200111153846374</v>
      </c>
      <c r="B830" t="str">
        <f>"1578728326370893"</f>
        <v>1578728326370893</v>
      </c>
      <c r="C830" t="s">
        <v>40</v>
      </c>
      <c r="D830">
        <v>5.3579639999999999</v>
      </c>
      <c r="E830">
        <v>0.59924500000000003</v>
      </c>
      <c r="F830" t="s">
        <v>42</v>
      </c>
      <c r="G830">
        <v>-193.9742</v>
      </c>
      <c r="H830" s="1">
        <v>-2.232821E-6</v>
      </c>
      <c r="I830">
        <v>342.32889999999998</v>
      </c>
      <c r="J830">
        <v>-193.76570000000001</v>
      </c>
      <c r="K830">
        <v>1.0937269999999999</v>
      </c>
      <c r="L830">
        <v>353.38150000000002</v>
      </c>
      <c r="M830">
        <v>0.40639380000000003</v>
      </c>
      <c r="N830">
        <v>0</v>
      </c>
      <c r="O830">
        <v>-0.91357109999999997</v>
      </c>
      <c r="P830">
        <v>0.28577900000000001</v>
      </c>
      <c r="Q830">
        <v>4.226854E-2</v>
      </c>
      <c r="R830">
        <v>-0.95736310000000002</v>
      </c>
      <c r="S830">
        <v>-2.6687619999999999E-2</v>
      </c>
      <c r="T830">
        <v>-0.30544270000000001</v>
      </c>
      <c r="U830">
        <v>-3.1632690000000001</v>
      </c>
      <c r="V830">
        <v>0.1294884</v>
      </c>
      <c r="W830">
        <v>5.3909209999999999E-2</v>
      </c>
      <c r="X830">
        <v>0.99011439999999995</v>
      </c>
      <c r="Y830">
        <v>0.41401729999999998</v>
      </c>
      <c r="Z830">
        <v>7.9364199999999996E-2</v>
      </c>
      <c r="AA830">
        <v>0.90680269999999996</v>
      </c>
      <c r="AB830">
        <v>32</v>
      </c>
      <c r="AC830">
        <v>-0.208499999999986</v>
      </c>
      <c r="AD830">
        <v>-1.093729232821</v>
      </c>
      <c r="AE830">
        <v>-11.0526</v>
      </c>
      <c r="AF830">
        <v>4.6373360782220798</v>
      </c>
      <c r="AG830">
        <v>-1.093729232821</v>
      </c>
      <c r="AH830">
        <v>9.9166901124144804</v>
      </c>
      <c r="AI830">
        <v>95.705353915839694</v>
      </c>
      <c r="AJ830">
        <v>64.937826063602202</v>
      </c>
      <c r="AK830">
        <v>11.0019031227677</v>
      </c>
      <c r="AL830">
        <v>86.909731690696503</v>
      </c>
      <c r="AM830">
        <v>82.549073795533801</v>
      </c>
      <c r="AN830">
        <v>0.99999998687237102</v>
      </c>
    </row>
    <row r="831" spans="1:40" x14ac:dyDescent="0.3">
      <c r="A831" t="str">
        <f>"20200111153846397"</f>
        <v>20200111153846397</v>
      </c>
      <c r="B831" t="str">
        <f>"1578728326391389"</f>
        <v>1578728326391389</v>
      </c>
      <c r="C831" t="s">
        <v>40</v>
      </c>
      <c r="D831">
        <v>5.0798199999999998</v>
      </c>
      <c r="E831">
        <v>0.6018116</v>
      </c>
      <c r="F831" t="s">
        <v>42</v>
      </c>
      <c r="G831">
        <v>-193.42679999999999</v>
      </c>
      <c r="H831" s="1">
        <v>-2.1286759999999998E-6</v>
      </c>
      <c r="I831">
        <v>342.42579999999998</v>
      </c>
      <c r="J831">
        <v>-193.64859999999999</v>
      </c>
      <c r="K831">
        <v>1.0939000000000001</v>
      </c>
      <c r="L831">
        <v>353.08890000000002</v>
      </c>
      <c r="M831">
        <v>0.39518530000000002</v>
      </c>
      <c r="N831">
        <v>0</v>
      </c>
      <c r="O831">
        <v>-0.91847579999999995</v>
      </c>
      <c r="P831">
        <v>0.27667330000000001</v>
      </c>
      <c r="Q831">
        <v>4.3221660000000002E-2</v>
      </c>
      <c r="R831">
        <v>-0.95999159999999994</v>
      </c>
      <c r="S831">
        <v>9.6466060000000006E-2</v>
      </c>
      <c r="T831">
        <v>-0.31132949999999998</v>
      </c>
      <c r="U831">
        <v>-3.1185610000000001</v>
      </c>
      <c r="V831">
        <v>0.12676289999999901</v>
      </c>
      <c r="W831">
        <v>5.4953839999999997E-2</v>
      </c>
      <c r="X831">
        <v>0.9904096</v>
      </c>
      <c r="Y831">
        <v>0.36668790000000001</v>
      </c>
      <c r="Z831">
        <v>8.3771910000000005E-2</v>
      </c>
      <c r="AA831">
        <v>0.92656479999999997</v>
      </c>
      <c r="AB831">
        <v>31</v>
      </c>
      <c r="AC831">
        <v>0.221800000000001</v>
      </c>
      <c r="AD831">
        <v>-1.093902128676</v>
      </c>
      <c r="AE831">
        <v>-10.6631</v>
      </c>
      <c r="AF831">
        <v>3.9688938099256399</v>
      </c>
      <c r="AG831">
        <v>-1.093902128676</v>
      </c>
      <c r="AH831">
        <v>9.7797124922427301</v>
      </c>
      <c r="AI831">
        <v>95.917258757295201</v>
      </c>
      <c r="AJ831">
        <v>67.911244740019399</v>
      </c>
      <c r="AK831">
        <v>10.6109149639659</v>
      </c>
      <c r="AL831">
        <v>86.849789869631707</v>
      </c>
      <c r="AM831">
        <v>82.706346052779296</v>
      </c>
      <c r="AN831">
        <v>0.99999996655965695</v>
      </c>
    </row>
    <row r="832" spans="1:40" x14ac:dyDescent="0.3">
      <c r="A832" t="str">
        <f>"20200111153846420"</f>
        <v>20200111153846420</v>
      </c>
      <c r="B832" t="str">
        <f>"1578728326410910"</f>
        <v>1578728326410910</v>
      </c>
      <c r="C832" t="s">
        <v>40</v>
      </c>
      <c r="D832">
        <v>5.3872390000000001</v>
      </c>
      <c r="E832">
        <v>0.59879879999999996</v>
      </c>
      <c r="F832" t="s">
        <v>42</v>
      </c>
      <c r="G832">
        <v>-193.44800000000001</v>
      </c>
      <c r="H832" s="1">
        <v>-1.0149269999999999E-6</v>
      </c>
      <c r="I832">
        <v>339.81639999999999</v>
      </c>
      <c r="J832">
        <v>-193.52350000000001</v>
      </c>
      <c r="K832">
        <v>1.094104</v>
      </c>
      <c r="L832">
        <v>352.7645</v>
      </c>
      <c r="M832">
        <v>0.3829439</v>
      </c>
      <c r="N832">
        <v>0</v>
      </c>
      <c r="O832">
        <v>-0.92364749999999995</v>
      </c>
      <c r="P832">
        <v>0.26598369999999999</v>
      </c>
      <c r="Q832">
        <v>4.4265529999999997E-2</v>
      </c>
      <c r="R832">
        <v>-0.96296079999999995</v>
      </c>
      <c r="S832">
        <v>4.721069E-2</v>
      </c>
      <c r="T832">
        <v>-0.25739269999999997</v>
      </c>
      <c r="U832">
        <v>-3.122986</v>
      </c>
      <c r="V832">
        <v>0.12459249999999999</v>
      </c>
      <c r="W832">
        <v>5.6073619999999998E-2</v>
      </c>
      <c r="X832">
        <v>0.99062229999999996</v>
      </c>
      <c r="Y832">
        <v>0.36897340000000001</v>
      </c>
      <c r="Z832">
        <v>6.9863889999999998E-2</v>
      </c>
      <c r="AA832">
        <v>0.92681049999999998</v>
      </c>
      <c r="AB832">
        <v>31</v>
      </c>
      <c r="AC832">
        <v>7.5500000000033596E-2</v>
      </c>
      <c r="AD832">
        <v>-1.094105014927</v>
      </c>
      <c r="AE832">
        <v>-12.9481</v>
      </c>
      <c r="AF832">
        <v>4.8545600256599002</v>
      </c>
      <c r="AG832">
        <v>-1.094105014927</v>
      </c>
      <c r="AH832">
        <v>11.9047682903504</v>
      </c>
      <c r="AI832">
        <v>94.864216174655198</v>
      </c>
      <c r="AJ832">
        <v>67.815208821405093</v>
      </c>
      <c r="AK832">
        <v>12.902996817536399</v>
      </c>
      <c r="AL832">
        <v>86.785532347165798</v>
      </c>
      <c r="AM832">
        <v>82.831438681161899</v>
      </c>
      <c r="AN832">
        <v>1.0000000415867201</v>
      </c>
    </row>
    <row r="833" spans="1:40" x14ac:dyDescent="0.3">
      <c r="A833" t="str">
        <f>"20200111153846442"</f>
        <v>20200111153846442</v>
      </c>
      <c r="B833" t="str">
        <f>"1578728326431405"</f>
        <v>1578728326431405</v>
      </c>
      <c r="C833" t="s">
        <v>40</v>
      </c>
      <c r="D833">
        <v>5.3942680000000003</v>
      </c>
      <c r="E833">
        <v>0.59633639999999999</v>
      </c>
      <c r="F833" t="s">
        <v>42</v>
      </c>
      <c r="G833">
        <v>-193.3817</v>
      </c>
      <c r="H833" s="1">
        <v>-1.1691529999999999E-6</v>
      </c>
      <c r="I833">
        <v>340.21699999999998</v>
      </c>
      <c r="J833">
        <v>-193.41890000000001</v>
      </c>
      <c r="K833">
        <v>1.0942810000000001</v>
      </c>
      <c r="L833">
        <v>352.48340000000002</v>
      </c>
      <c r="M833">
        <v>0.37246570000000001</v>
      </c>
      <c r="N833">
        <v>0</v>
      </c>
      <c r="O833">
        <v>-0.92792300000000005</v>
      </c>
      <c r="P833">
        <v>0.25689970000000001</v>
      </c>
      <c r="Q833">
        <v>4.540781E-2</v>
      </c>
      <c r="R833">
        <v>-0.96537090000000003</v>
      </c>
      <c r="S833">
        <v>3.5247800000000003E-2</v>
      </c>
      <c r="T833">
        <v>-0.27189530000000001</v>
      </c>
      <c r="U833">
        <v>-3.1181640000000002</v>
      </c>
      <c r="V833">
        <v>0.122699</v>
      </c>
      <c r="W833">
        <v>5.728047E-2</v>
      </c>
      <c r="X833">
        <v>0.99078949999999999</v>
      </c>
      <c r="Y833">
        <v>0.36197879999999999</v>
      </c>
      <c r="Z833">
        <v>7.4560370000000001E-2</v>
      </c>
      <c r="AA833">
        <v>0.92919969999999996</v>
      </c>
      <c r="AB833">
        <v>31</v>
      </c>
      <c r="AC833">
        <v>3.7200000000012702E-2</v>
      </c>
      <c r="AD833">
        <v>-1.094282169153</v>
      </c>
      <c r="AE833">
        <v>-12.266400000000001</v>
      </c>
      <c r="AF833">
        <v>4.4990075376209697</v>
      </c>
      <c r="AG833">
        <v>-1.094282169153</v>
      </c>
      <c r="AH833">
        <v>11.307442936477999</v>
      </c>
      <c r="AI833">
        <v>95.138176161506394</v>
      </c>
      <c r="AJ833">
        <v>68.303370607418799</v>
      </c>
      <c r="AK833">
        <v>12.2187064802705</v>
      </c>
      <c r="AL833">
        <v>86.716273353813406</v>
      </c>
      <c r="AM833">
        <v>82.940454730815105</v>
      </c>
      <c r="AN833">
        <v>0.99999996507733402</v>
      </c>
    </row>
    <row r="834" spans="1:40" x14ac:dyDescent="0.3">
      <c r="A834" t="str">
        <f>"20200111153846464"</f>
        <v>20200111153846464</v>
      </c>
      <c r="B834" t="str">
        <f>"1578728326461662"</f>
        <v>1578728326461662</v>
      </c>
      <c r="C834" t="s">
        <v>40</v>
      </c>
      <c r="D834">
        <v>5.4511830000000003</v>
      </c>
      <c r="E834">
        <v>0.59348199999999995</v>
      </c>
      <c r="F834" t="s">
        <v>42</v>
      </c>
      <c r="G834">
        <v>-193.3237</v>
      </c>
      <c r="H834" s="1">
        <v>-1.3187899999999999E-6</v>
      </c>
      <c r="I834">
        <v>340.60180000000003</v>
      </c>
      <c r="J834">
        <v>-193.30850000000001</v>
      </c>
      <c r="K834">
        <v>1.0944780000000001</v>
      </c>
      <c r="L834">
        <v>352.17630000000003</v>
      </c>
      <c r="M834">
        <v>0.36119810000000002</v>
      </c>
      <c r="N834">
        <v>0</v>
      </c>
      <c r="O834">
        <v>-0.93236739999999996</v>
      </c>
      <c r="P834">
        <v>0.2474074</v>
      </c>
      <c r="Q834">
        <v>4.5855060000000003E-2</v>
      </c>
      <c r="R834">
        <v>-0.96782639999999998</v>
      </c>
      <c r="S834">
        <v>2.4948120000000001E-2</v>
      </c>
      <c r="T834">
        <v>-0.28683760000000003</v>
      </c>
      <c r="U834">
        <v>-3.1144409999999998</v>
      </c>
      <c r="V834">
        <v>0.1204028</v>
      </c>
      <c r="W834">
        <v>5.7803649999999998E-2</v>
      </c>
      <c r="X834">
        <v>0.99104080000000006</v>
      </c>
      <c r="Y834">
        <v>0.3537342</v>
      </c>
      <c r="Z834">
        <v>7.9473100000000005E-2</v>
      </c>
      <c r="AA834">
        <v>0.9319636</v>
      </c>
      <c r="AB834">
        <v>31</v>
      </c>
      <c r="AC834">
        <v>-1.51999999999929E-2</v>
      </c>
      <c r="AD834">
        <v>-1.0944793187899999</v>
      </c>
      <c r="AE834">
        <v>-11.5745</v>
      </c>
      <c r="AF834">
        <v>4.1581554102388099</v>
      </c>
      <c r="AG834">
        <v>-1.0944793187899999</v>
      </c>
      <c r="AH834">
        <v>10.691819709322401</v>
      </c>
      <c r="AI834">
        <v>95.449806260657198</v>
      </c>
      <c r="AJ834">
        <v>68.748444719696707</v>
      </c>
      <c r="AK834">
        <v>11.5240249084949</v>
      </c>
      <c r="AL834">
        <v>86.6862476515564</v>
      </c>
      <c r="AM834">
        <v>83.0730112560301</v>
      </c>
      <c r="AN834">
        <v>0.99999998173290106</v>
      </c>
    </row>
    <row r="835" spans="1:40" x14ac:dyDescent="0.3">
      <c r="A835" t="str">
        <f>"20200111153846487"</f>
        <v>20200111153846487</v>
      </c>
      <c r="B835" t="str">
        <f>"1578728326481181"</f>
        <v>1578728326481181</v>
      </c>
      <c r="C835" t="s">
        <v>40</v>
      </c>
      <c r="D835">
        <v>5.1944350000000004</v>
      </c>
      <c r="E835">
        <v>0.59468279999999996</v>
      </c>
      <c r="F835" t="s">
        <v>42</v>
      </c>
      <c r="G835">
        <v>-193.24879999999999</v>
      </c>
      <c r="H835" s="1">
        <v>-1.4039089999999901E-6</v>
      </c>
      <c r="I835">
        <v>340.8467</v>
      </c>
      <c r="J835">
        <v>-193.20259999999999</v>
      </c>
      <c r="K835">
        <v>1.094687</v>
      </c>
      <c r="L835">
        <v>351.8707</v>
      </c>
      <c r="M835">
        <v>0.35018519999999997</v>
      </c>
      <c r="N835">
        <v>0</v>
      </c>
      <c r="O835">
        <v>-0.93655980000000005</v>
      </c>
      <c r="P835">
        <v>0.2381279</v>
      </c>
      <c r="Q835">
        <v>4.6332169999999999E-2</v>
      </c>
      <c r="R835">
        <v>-0.97012810000000005</v>
      </c>
      <c r="S835">
        <v>1.64032E-2</v>
      </c>
      <c r="T835">
        <v>-0.30041679999999998</v>
      </c>
      <c r="U835">
        <v>-3.1098020000000002</v>
      </c>
      <c r="V835">
        <v>0.1181885</v>
      </c>
      <c r="W835">
        <v>5.835394E-2</v>
      </c>
      <c r="X835">
        <v>0.99127509999999996</v>
      </c>
      <c r="Y835">
        <v>0.34524759999999999</v>
      </c>
      <c r="Z835">
        <v>8.4080559999999999E-2</v>
      </c>
      <c r="AA835">
        <v>0.9347377</v>
      </c>
      <c r="AB835">
        <v>31</v>
      </c>
      <c r="AC835">
        <v>-4.6199999999998902E-2</v>
      </c>
      <c r="AD835">
        <v>-1.0946884039089999</v>
      </c>
      <c r="AE835">
        <v>-11.023999999999999</v>
      </c>
      <c r="AF835">
        <v>3.8660313753030802</v>
      </c>
      <c r="AG835">
        <v>-1.0946884039089999</v>
      </c>
      <c r="AH835">
        <v>10.2089575630264</v>
      </c>
      <c r="AI835">
        <v>95.726404910240205</v>
      </c>
      <c r="AJ835">
        <v>69.258818179994293</v>
      </c>
      <c r="AK835">
        <v>10.971205759630701</v>
      </c>
      <c r="AL835">
        <v>86.654665152301405</v>
      </c>
      <c r="AM835">
        <v>83.200792121427995</v>
      </c>
      <c r="AN835">
        <v>1.0000000138628899</v>
      </c>
    </row>
    <row r="836" spans="1:40" x14ac:dyDescent="0.3">
      <c r="A836" t="str">
        <f>"20200111153846509"</f>
        <v>20200111153846509</v>
      </c>
      <c r="B836" t="str">
        <f>"1578728326501676"</f>
        <v>1578728326501676</v>
      </c>
      <c r="C836" t="s">
        <v>40</v>
      </c>
      <c r="D836">
        <v>5.2012309999999999</v>
      </c>
      <c r="E836">
        <v>0.59514350000000005</v>
      </c>
      <c r="F836" t="s">
        <v>42</v>
      </c>
      <c r="G836">
        <v>-193.29249999999999</v>
      </c>
      <c r="H836" s="1">
        <v>-4.7905649999999996E-6</v>
      </c>
      <c r="I836">
        <v>339.34789999999998</v>
      </c>
      <c r="J836">
        <v>-193.1035</v>
      </c>
      <c r="K836">
        <v>1.094894</v>
      </c>
      <c r="L836">
        <v>351.5745</v>
      </c>
      <c r="M836">
        <v>0.33973320000000001</v>
      </c>
      <c r="N836">
        <v>0</v>
      </c>
      <c r="O836">
        <v>-0.94040230000000002</v>
      </c>
      <c r="P836">
        <v>0.22859309999999999</v>
      </c>
      <c r="Q836">
        <v>4.682074E-2</v>
      </c>
      <c r="R836">
        <v>-0.97239549999999997</v>
      </c>
      <c r="S836">
        <v>-2.2323610000000001E-2</v>
      </c>
      <c r="T836">
        <v>-0.27193610000000001</v>
      </c>
      <c r="U836">
        <v>-3.11084</v>
      </c>
      <c r="V836">
        <v>0.1168525</v>
      </c>
      <c r="W836">
        <v>5.889279E-2</v>
      </c>
      <c r="X836">
        <v>0.99140159999999999</v>
      </c>
      <c r="Y836">
        <v>0.34644789999999998</v>
      </c>
      <c r="Z836">
        <v>7.6620969999999997E-2</v>
      </c>
      <c r="AA836">
        <v>0.93493479999999995</v>
      </c>
      <c r="AB836">
        <v>31</v>
      </c>
      <c r="AC836">
        <v>-0.18899999999999201</v>
      </c>
      <c r="AD836">
        <v>-1.0948987905650001</v>
      </c>
      <c r="AE836">
        <v>-12.226599999999999</v>
      </c>
      <c r="AF836">
        <v>4.2975499518725204</v>
      </c>
      <c r="AG836">
        <v>-1.0948987905650001</v>
      </c>
      <c r="AH836">
        <v>11.3440493160741</v>
      </c>
      <c r="AI836">
        <v>95.157412481906107</v>
      </c>
      <c r="AJ836">
        <v>69.251439298925106</v>
      </c>
      <c r="AK836">
        <v>12.180114688948599</v>
      </c>
      <c r="AL836">
        <v>86.623738085456594</v>
      </c>
      <c r="AM836">
        <v>83.277792692302</v>
      </c>
      <c r="AN836">
        <v>0.99999999997639699</v>
      </c>
    </row>
    <row r="837" spans="1:40" x14ac:dyDescent="0.3">
      <c r="A837" t="str">
        <f>"20200111153846532"</f>
        <v>20200111153846532</v>
      </c>
      <c r="B837" t="str">
        <f>"1578728326521198"</f>
        <v>1578728326521198</v>
      </c>
      <c r="C837" t="s">
        <v>40</v>
      </c>
      <c r="D837">
        <v>5.208094</v>
      </c>
      <c r="E837">
        <v>0.59514429999999996</v>
      </c>
      <c r="F837" t="s">
        <v>42</v>
      </c>
      <c r="G837">
        <v>-193.34889999999999</v>
      </c>
      <c r="H837" s="1">
        <v>-4.3336070000000003E-6</v>
      </c>
      <c r="I837">
        <v>337.97570000000002</v>
      </c>
      <c r="J837">
        <v>-193.001</v>
      </c>
      <c r="K837">
        <v>1.095151</v>
      </c>
      <c r="L837">
        <v>351.25699999999898</v>
      </c>
      <c r="M837">
        <v>0.32877650000000003</v>
      </c>
      <c r="N837">
        <v>0</v>
      </c>
      <c r="O837">
        <v>-0.94428979999999996</v>
      </c>
      <c r="P837">
        <v>0.22028800000000001</v>
      </c>
      <c r="Q837">
        <v>4.703218E-2</v>
      </c>
      <c r="R837">
        <v>-0.97430079999999997</v>
      </c>
      <c r="S837">
        <v>-5.6121829999999998E-2</v>
      </c>
      <c r="T837">
        <v>-0.25043209999999999</v>
      </c>
      <c r="U837">
        <v>-3.1104129999999999</v>
      </c>
      <c r="V837">
        <v>0.1137485</v>
      </c>
      <c r="W837">
        <v>5.9201709999999998E-2</v>
      </c>
      <c r="X837">
        <v>0.99174419999999996</v>
      </c>
      <c r="Y837">
        <v>0.34571489999999999</v>
      </c>
      <c r="Z837">
        <v>7.1080450000000003E-2</v>
      </c>
      <c r="AA837">
        <v>0.93564349999999996</v>
      </c>
      <c r="AB837">
        <v>31</v>
      </c>
      <c r="AC837">
        <v>-0.34790000000000898</v>
      </c>
      <c r="AD837">
        <v>-1.0951553336069999</v>
      </c>
      <c r="AE837">
        <v>-13.2812999999999</v>
      </c>
      <c r="AF837">
        <v>4.6639306785420596</v>
      </c>
      <c r="AG837">
        <v>-1.0951553336069999</v>
      </c>
      <c r="AH837">
        <v>12.344521569877999</v>
      </c>
      <c r="AI837">
        <v>94.744120024652702</v>
      </c>
      <c r="AJ837">
        <v>69.302742828522497</v>
      </c>
      <c r="AK837">
        <v>13.241556833248801</v>
      </c>
      <c r="AL837">
        <v>86.606007543646797</v>
      </c>
      <c r="AM837">
        <v>83.457028564632793</v>
      </c>
      <c r="AN837">
        <v>1.0000000609763999</v>
      </c>
    </row>
    <row r="838" spans="1:40" x14ac:dyDescent="0.3">
      <c r="A838" t="str">
        <f>"20200111153846554"</f>
        <v>20200111153846554</v>
      </c>
      <c r="B838" t="str">
        <f>"1578728326551453"</f>
        <v>1578728326551453</v>
      </c>
      <c r="C838" t="s">
        <v>40</v>
      </c>
      <c r="D838">
        <v>5.0059490000000002</v>
      </c>
      <c r="E838">
        <v>0.59396890000000002</v>
      </c>
      <c r="F838" t="s">
        <v>42</v>
      </c>
      <c r="G838">
        <v>-193.39179999999999</v>
      </c>
      <c r="H838" s="1">
        <v>-3.887898E-6</v>
      </c>
      <c r="I838">
        <v>336.64359999999999</v>
      </c>
      <c r="J838">
        <v>-192.91059999999999</v>
      </c>
      <c r="K838">
        <v>1.0954029999999999</v>
      </c>
      <c r="L838">
        <v>350.96640000000002</v>
      </c>
      <c r="M838">
        <v>0.31900909999999999</v>
      </c>
      <c r="N838">
        <v>0</v>
      </c>
      <c r="O838">
        <v>-0.94763450000000005</v>
      </c>
      <c r="P838">
        <v>0.21396190000000001</v>
      </c>
      <c r="Q838">
        <v>4.6594650000000001E-2</v>
      </c>
      <c r="R838">
        <v>-0.97573010000000004</v>
      </c>
      <c r="S838">
        <v>-8.3145140000000006E-2</v>
      </c>
      <c r="T838">
        <v>-0.23300899999999999</v>
      </c>
      <c r="U838">
        <v>-3.1091920000000002</v>
      </c>
      <c r="V838">
        <v>0.1099017</v>
      </c>
      <c r="W838">
        <v>5.8877560000000002E-2</v>
      </c>
      <c r="X838">
        <v>0.99219710000000005</v>
      </c>
      <c r="Y838">
        <v>0.34417520000000001</v>
      </c>
      <c r="Z838">
        <v>6.6575789999999996E-2</v>
      </c>
      <c r="AA838">
        <v>0.93654210000000004</v>
      </c>
      <c r="AB838">
        <v>31</v>
      </c>
      <c r="AC838">
        <v>-0.48120000000000102</v>
      </c>
      <c r="AD838">
        <v>-1.0954068878979999</v>
      </c>
      <c r="AE838">
        <v>-14.322800000000001</v>
      </c>
      <c r="AF838">
        <v>4.99647094684794</v>
      </c>
      <c r="AG838">
        <v>-1.0954068878979999</v>
      </c>
      <c r="AH838">
        <v>13.3428058536539</v>
      </c>
      <c r="AI838">
        <v>94.396445531235699</v>
      </c>
      <c r="AJ838">
        <v>69.470618341558094</v>
      </c>
      <c r="AK838">
        <v>14.2896853086781</v>
      </c>
      <c r="AL838">
        <v>86.624612277882605</v>
      </c>
      <c r="AM838">
        <v>83.679341491152499</v>
      </c>
      <c r="AN838">
        <v>1.0000000179914199</v>
      </c>
    </row>
    <row r="839" spans="1:40" x14ac:dyDescent="0.3">
      <c r="A839" t="str">
        <f>"20200111153846575"</f>
        <v>20200111153846575</v>
      </c>
      <c r="B839" t="str">
        <f>"1578728326570973"</f>
        <v>1578728326570973</v>
      </c>
      <c r="C839" t="s">
        <v>40</v>
      </c>
      <c r="D839">
        <v>5.1373160000000002</v>
      </c>
      <c r="E839">
        <v>0.54418310000000003</v>
      </c>
      <c r="F839" t="s">
        <v>42</v>
      </c>
      <c r="G839">
        <v>-193.36340000000001</v>
      </c>
      <c r="H839" s="1">
        <v>-3.693987E-6</v>
      </c>
      <c r="I839">
        <v>336.11380000000003</v>
      </c>
      <c r="J839">
        <v>-192.82400000000001</v>
      </c>
      <c r="K839">
        <v>1.0956549999999901</v>
      </c>
      <c r="L839">
        <v>350.678</v>
      </c>
      <c r="M839">
        <v>0.30957449999999997</v>
      </c>
      <c r="N839">
        <v>0</v>
      </c>
      <c r="O839">
        <v>-0.95075920000000003</v>
      </c>
      <c r="P839">
        <v>0.20804300000000001</v>
      </c>
      <c r="Q839">
        <v>4.7023660000000002E-2</v>
      </c>
      <c r="R839">
        <v>-0.97698879999999999</v>
      </c>
      <c r="S839">
        <v>-9.4711299999999998E-2</v>
      </c>
      <c r="T839">
        <v>-0.22909879999999999</v>
      </c>
      <c r="U839">
        <v>-3.1063540000000001</v>
      </c>
      <c r="V839">
        <v>0.1060188</v>
      </c>
      <c r="W839">
        <v>5.9417339999999999E-2</v>
      </c>
      <c r="X839">
        <v>0.99258729999999995</v>
      </c>
      <c r="Y839">
        <v>0.33834769999999997</v>
      </c>
      <c r="Z839">
        <v>6.5942210000000001E-2</v>
      </c>
      <c r="AA839">
        <v>0.93870790000000004</v>
      </c>
      <c r="AB839">
        <v>31</v>
      </c>
      <c r="AC839">
        <v>-0.53939999999999999</v>
      </c>
      <c r="AD839">
        <v>-1.0956586939870001</v>
      </c>
      <c r="AE839">
        <v>-14.5642</v>
      </c>
      <c r="AF839">
        <v>4.9938742761163502</v>
      </c>
      <c r="AG839">
        <v>-1.0956586939870001</v>
      </c>
      <c r="AH839">
        <v>13.604681534386501</v>
      </c>
      <c r="AI839">
        <v>94.323503764268594</v>
      </c>
      <c r="AJ839">
        <v>69.843314444981701</v>
      </c>
      <c r="AK839">
        <v>14.5336371191606</v>
      </c>
      <c r="AL839">
        <v>86.593630782633099</v>
      </c>
      <c r="AM839">
        <v>83.9033205434812</v>
      </c>
      <c r="AN839">
        <v>0.99999997718370204</v>
      </c>
    </row>
    <row r="840" spans="1:40" x14ac:dyDescent="0.3">
      <c r="A840" t="str">
        <f>"20200111153846599"</f>
        <v>20200111153846599</v>
      </c>
      <c r="B840" t="str">
        <f>"1578728326591469"</f>
        <v>1578728326591469</v>
      </c>
      <c r="C840" t="s">
        <v>40</v>
      </c>
      <c r="D840">
        <v>5.1375029999999997</v>
      </c>
      <c r="E840">
        <v>0.54301519999999903</v>
      </c>
      <c r="F840" t="s">
        <v>42</v>
      </c>
      <c r="G840">
        <v>-190.74979999999999</v>
      </c>
      <c r="H840" s="1">
        <v>-3.7939689999999998E-6</v>
      </c>
      <c r="I840">
        <v>327.96789999999999</v>
      </c>
      <c r="J840">
        <v>-192.73269999999999</v>
      </c>
      <c r="K840">
        <v>1.0959319999999999</v>
      </c>
      <c r="L840">
        <v>350.36290000000002</v>
      </c>
      <c r="M840">
        <v>0.29955189999999998</v>
      </c>
      <c r="N840">
        <v>0</v>
      </c>
      <c r="O840">
        <v>-0.95396539999999996</v>
      </c>
      <c r="P840">
        <v>0.20153070000000001</v>
      </c>
      <c r="Q840">
        <v>4.7629699999999997E-2</v>
      </c>
      <c r="R840">
        <v>-0.97832379999999997</v>
      </c>
      <c r="S840">
        <v>0.27572629999999998</v>
      </c>
      <c r="T840">
        <v>-0.14564920000000001</v>
      </c>
      <c r="U840">
        <v>-3.0189210000000002</v>
      </c>
      <c r="V840">
        <v>0.1021463</v>
      </c>
      <c r="W840">
        <v>6.0129420000000003E-2</v>
      </c>
      <c r="X840">
        <v>0.99295040000000001</v>
      </c>
      <c r="Y840">
        <v>0.2116556</v>
      </c>
      <c r="Z840">
        <v>4.4248559999999999E-2</v>
      </c>
      <c r="AA840">
        <v>0.97634209999999999</v>
      </c>
      <c r="AB840">
        <v>31</v>
      </c>
      <c r="AC840">
        <v>1.9829000000000001</v>
      </c>
      <c r="AD840">
        <v>-1.095935793969</v>
      </c>
      <c r="AE840">
        <v>-22.395</v>
      </c>
      <c r="AF840">
        <v>4.8059538166484801</v>
      </c>
      <c r="AG840">
        <v>-1.095935793969</v>
      </c>
      <c r="AH840">
        <v>21.908379894629</v>
      </c>
      <c r="AI840">
        <v>92.7973474532849</v>
      </c>
      <c r="AJ840">
        <v>77.627234232797505</v>
      </c>
      <c r="AK840">
        <v>22.4560766154652</v>
      </c>
      <c r="AL840">
        <v>86.552758445935794</v>
      </c>
      <c r="AM840">
        <v>84.126557561041594</v>
      </c>
      <c r="AN840">
        <v>0.99999995530669195</v>
      </c>
    </row>
    <row r="841" spans="1:40" x14ac:dyDescent="0.3">
      <c r="A841" t="str">
        <f>"20200111153846621"</f>
        <v>20200111153846621</v>
      </c>
      <c r="B841" t="str">
        <f>"1578728326610989"</f>
        <v>1578728326610989</v>
      </c>
      <c r="C841" t="s">
        <v>40</v>
      </c>
      <c r="D841">
        <v>5.0830310000000001</v>
      </c>
      <c r="E841">
        <v>0.5432823</v>
      </c>
      <c r="F841" t="s">
        <v>42</v>
      </c>
      <c r="G841">
        <v>-190.64359999999999</v>
      </c>
      <c r="H841" s="1">
        <v>-3.1477770000000002E-6</v>
      </c>
      <c r="I841">
        <v>326.52749999999997</v>
      </c>
      <c r="J841">
        <v>-192.64609999999999</v>
      </c>
      <c r="K841">
        <v>1.0961749999999999</v>
      </c>
      <c r="L841">
        <v>350.053</v>
      </c>
      <c r="M841">
        <v>0.28993210000000003</v>
      </c>
      <c r="N841">
        <v>0</v>
      </c>
      <c r="O841">
        <v>-0.9569337</v>
      </c>
      <c r="P841">
        <v>0.19586970000000001</v>
      </c>
      <c r="Q841">
        <v>4.7677780000000003E-2</v>
      </c>
      <c r="R841">
        <v>-0.97947059999999997</v>
      </c>
      <c r="S841">
        <v>0.26458739999999997</v>
      </c>
      <c r="T841">
        <v>-0.13879949999999999</v>
      </c>
      <c r="U841">
        <v>-3.0187379999999999</v>
      </c>
      <c r="V841">
        <v>9.7852289999999995E-2</v>
      </c>
      <c r="W841">
        <v>6.0285060000000001E-2</v>
      </c>
      <c r="X841">
        <v>0.99337339999999996</v>
      </c>
      <c r="Y841">
        <v>0.20537250000000001</v>
      </c>
      <c r="Z841">
        <v>4.2414189999999997E-2</v>
      </c>
      <c r="AA841">
        <v>0.97776439999999998</v>
      </c>
      <c r="AB841">
        <v>31</v>
      </c>
      <c r="AC841">
        <v>2.0024999999999902</v>
      </c>
      <c r="AD841">
        <v>-1.0961781477769901</v>
      </c>
      <c r="AE841">
        <v>-23.525500000000001</v>
      </c>
      <c r="AF841">
        <v>4.8945206102157597</v>
      </c>
      <c r="AG841">
        <v>-1.0961781477769901</v>
      </c>
      <c r="AH841">
        <v>23.045766625810501</v>
      </c>
      <c r="AI841">
        <v>92.6639082835393</v>
      </c>
      <c r="AJ841">
        <v>78.009534904754602</v>
      </c>
      <c r="AK841">
        <v>23.585277142887499</v>
      </c>
      <c r="AL841">
        <v>86.543825001129306</v>
      </c>
      <c r="AM841">
        <v>84.374225985568103</v>
      </c>
      <c r="AN841">
        <v>1.0000000354725</v>
      </c>
    </row>
    <row r="842" spans="1:40" x14ac:dyDescent="0.3">
      <c r="A842" t="str">
        <f>"20200111153846645"</f>
        <v>20200111153846645</v>
      </c>
      <c r="B842" t="str">
        <f>"1578728326641245"</f>
        <v>1578728326641245</v>
      </c>
      <c r="C842" t="s">
        <v>40</v>
      </c>
      <c r="D842">
        <v>5.0465400000000002</v>
      </c>
      <c r="E842">
        <v>0.54244829999999999</v>
      </c>
      <c r="F842" t="s">
        <v>42</v>
      </c>
      <c r="G842">
        <v>-190.72970000000001</v>
      </c>
      <c r="H842" s="1">
        <v>-3.1201360000000001E-6</v>
      </c>
      <c r="I842">
        <v>326.40960000000001</v>
      </c>
      <c r="J842">
        <v>-192.5634</v>
      </c>
      <c r="K842">
        <v>1.096393</v>
      </c>
      <c r="L842">
        <v>349.74579999999997</v>
      </c>
      <c r="M842">
        <v>0.28062280000000001</v>
      </c>
      <c r="N842">
        <v>0</v>
      </c>
      <c r="O842">
        <v>-0.95970580000000005</v>
      </c>
      <c r="P842">
        <v>0.19080549999999999</v>
      </c>
      <c r="Q842">
        <v>4.6741390000000001E-2</v>
      </c>
      <c r="R842">
        <v>-0.98051480000000002</v>
      </c>
      <c r="S842">
        <v>0.24484249999999999</v>
      </c>
      <c r="T842">
        <v>-0.14004829999999999</v>
      </c>
      <c r="U842">
        <v>-3.0206909999999998</v>
      </c>
      <c r="V842">
        <v>9.3293000000000001E-2</v>
      </c>
      <c r="W842">
        <v>5.9456380000000003E-2</v>
      </c>
      <c r="X842">
        <v>0.99386189999999996</v>
      </c>
      <c r="Y842">
        <v>0.20226710000000001</v>
      </c>
      <c r="Z842">
        <v>4.2984179999999997E-2</v>
      </c>
      <c r="AA842">
        <v>0.9783866</v>
      </c>
      <c r="AB842">
        <v>31</v>
      </c>
      <c r="AC842">
        <v>1.8336999999999899</v>
      </c>
      <c r="AD842">
        <v>-1.096396120136</v>
      </c>
      <c r="AE842">
        <v>-23.336199999999899</v>
      </c>
      <c r="AF842">
        <v>4.7788895996709</v>
      </c>
      <c r="AG842">
        <v>-1.096396120136</v>
      </c>
      <c r="AH842">
        <v>22.862778042483299</v>
      </c>
      <c r="AI842">
        <v>92.687548992909399</v>
      </c>
      <c r="AJ842">
        <v>78.193741418936597</v>
      </c>
      <c r="AK842">
        <v>23.382610848191199</v>
      </c>
      <c r="AL842">
        <v>86.591390278528493</v>
      </c>
      <c r="AM842">
        <v>84.637406105112206</v>
      </c>
      <c r="AN842">
        <v>1.0000000606216499</v>
      </c>
    </row>
    <row r="843" spans="1:40" x14ac:dyDescent="0.3">
      <c r="A843" t="str">
        <f>"20200111153846666"</f>
        <v>20200111153846666</v>
      </c>
      <c r="B843" t="str">
        <f>"1578728326661740"</f>
        <v>1578728326661740</v>
      </c>
      <c r="C843" t="s">
        <v>40</v>
      </c>
      <c r="D843">
        <v>5.0487549999999999</v>
      </c>
      <c r="E843">
        <v>0.54205709999999996</v>
      </c>
      <c r="F843" t="s">
        <v>42</v>
      </c>
      <c r="G843">
        <v>-190.80619999999999</v>
      </c>
      <c r="H843" s="1">
        <v>-3.4813539999999998E-6</v>
      </c>
      <c r="I843">
        <v>327.20429999999999</v>
      </c>
      <c r="J843">
        <v>-192.48500000000001</v>
      </c>
      <c r="K843">
        <v>1.096595</v>
      </c>
      <c r="L843">
        <v>349.4443</v>
      </c>
      <c r="M843">
        <v>0.2717</v>
      </c>
      <c r="N843">
        <v>0</v>
      </c>
      <c r="O843">
        <v>-0.96227030000000002</v>
      </c>
      <c r="P843">
        <v>0.1861583</v>
      </c>
      <c r="Q843">
        <v>4.5189420000000001E-2</v>
      </c>
      <c r="R843">
        <v>-0.98148020000000002</v>
      </c>
      <c r="S843">
        <v>0.2354889</v>
      </c>
      <c r="T843">
        <v>-0.14692720000000001</v>
      </c>
      <c r="U843">
        <v>-3.0207820000000001</v>
      </c>
      <c r="V843">
        <v>8.8727749999999994E-2</v>
      </c>
      <c r="W843">
        <v>5.8006910000000002E-2</v>
      </c>
      <c r="X843">
        <v>0.99436539999999995</v>
      </c>
      <c r="Y843">
        <v>0.1961909</v>
      </c>
      <c r="Z843">
        <v>4.5309950000000002E-2</v>
      </c>
      <c r="AA843">
        <v>0.97951829999999995</v>
      </c>
      <c r="AB843">
        <v>31</v>
      </c>
      <c r="AC843">
        <v>1.6788000000000201</v>
      </c>
      <c r="AD843">
        <v>-1.096598481354</v>
      </c>
      <c r="AE843">
        <v>-22.24</v>
      </c>
      <c r="AF843">
        <v>4.4169468080584897</v>
      </c>
      <c r="AG843">
        <v>-1.096598481354</v>
      </c>
      <c r="AH843">
        <v>21.806654649847399</v>
      </c>
      <c r="AI843">
        <v>92.821623167942306</v>
      </c>
      <c r="AJ843">
        <v>78.5496293362052</v>
      </c>
      <c r="AK843">
        <v>22.2764928647271</v>
      </c>
      <c r="AL843">
        <v>86.674582138195206</v>
      </c>
      <c r="AM843">
        <v>84.900971677747407</v>
      </c>
      <c r="AN843">
        <v>0.99999998197248496</v>
      </c>
    </row>
    <row r="844" spans="1:40" x14ac:dyDescent="0.3">
      <c r="A844" t="str">
        <f>"20200111153846689"</f>
        <v>20200111153846689</v>
      </c>
      <c r="B844" t="str">
        <f>"1578728326681261"</f>
        <v>1578728326681261</v>
      </c>
      <c r="C844" t="s">
        <v>40</v>
      </c>
      <c r="D844">
        <v>5.0736109999999996</v>
      </c>
      <c r="E844">
        <v>0.54185119999999998</v>
      </c>
      <c r="F844" t="s">
        <v>42</v>
      </c>
      <c r="G844">
        <v>-190.88229999999999</v>
      </c>
      <c r="H844" s="1">
        <v>-3.770841E-6</v>
      </c>
      <c r="I844">
        <v>327.83179999999999</v>
      </c>
      <c r="J844">
        <v>-192.40790000000001</v>
      </c>
      <c r="K844">
        <v>1.0967979999999999</v>
      </c>
      <c r="L844">
        <v>349.13600000000002</v>
      </c>
      <c r="M844">
        <v>0.2627932</v>
      </c>
      <c r="N844">
        <v>0</v>
      </c>
      <c r="O844">
        <v>-0.96474150000000003</v>
      </c>
      <c r="P844">
        <v>0.18146670000000001</v>
      </c>
      <c r="Q844">
        <v>4.355883E-2</v>
      </c>
      <c r="R844">
        <v>-0.98243219999999998</v>
      </c>
      <c r="S844">
        <v>0.22404479999999999</v>
      </c>
      <c r="T844">
        <v>-0.15329200000000001</v>
      </c>
      <c r="U844">
        <v>-3.0211790000000001</v>
      </c>
      <c r="V844">
        <v>8.4240469999999998E-2</v>
      </c>
      <c r="W844">
        <v>5.6471639999999997E-2</v>
      </c>
      <c r="X844">
        <v>0.99484399999999995</v>
      </c>
      <c r="Y844">
        <v>0.19082979999999999</v>
      </c>
      <c r="Z844">
        <v>4.7481290000000002E-2</v>
      </c>
      <c r="AA844">
        <v>0.98047410000000002</v>
      </c>
      <c r="AB844">
        <v>31</v>
      </c>
      <c r="AC844">
        <v>1.5256000000000201</v>
      </c>
      <c r="AD844">
        <v>-1.0968017708409901</v>
      </c>
      <c r="AE844">
        <v>-21.304199999999899</v>
      </c>
      <c r="AF844">
        <v>4.1163752740384298</v>
      </c>
      <c r="AG844">
        <v>-1.0968017708409901</v>
      </c>
      <c r="AH844">
        <v>20.9010856801229</v>
      </c>
      <c r="AI844">
        <v>92.947374001959204</v>
      </c>
      <c r="AJ844">
        <v>78.858443422644996</v>
      </c>
      <c r="AK844">
        <v>21.3307970345478</v>
      </c>
      <c r="AL844">
        <v>86.762691295378005</v>
      </c>
      <c r="AM844">
        <v>85.159907672671196</v>
      </c>
      <c r="AN844">
        <v>1.0000000436230501</v>
      </c>
    </row>
    <row r="845" spans="1:40" x14ac:dyDescent="0.3">
      <c r="A845" t="str">
        <f>"20200111153846712"</f>
        <v>20200111153846712</v>
      </c>
      <c r="B845" t="str">
        <f>"1578728326701758"</f>
        <v>1578728326701758</v>
      </c>
      <c r="C845" t="s">
        <v>40</v>
      </c>
      <c r="D845">
        <v>5.0510190000000001</v>
      </c>
      <c r="E845">
        <v>0.54130540000000005</v>
      </c>
      <c r="F845" t="s">
        <v>42</v>
      </c>
      <c r="G845">
        <v>-190.9572</v>
      </c>
      <c r="H845" s="1">
        <v>-4.0231450000000003E-6</v>
      </c>
      <c r="I845">
        <v>328.37349999999998</v>
      </c>
      <c r="J845">
        <v>-192.33279999999999</v>
      </c>
      <c r="K845">
        <v>1.0970120000000001</v>
      </c>
      <c r="L845">
        <v>348.82530000000003</v>
      </c>
      <c r="M845">
        <v>0.25401869999999999</v>
      </c>
      <c r="N845">
        <v>0</v>
      </c>
      <c r="O845">
        <v>-0.96708939999999999</v>
      </c>
      <c r="P845">
        <v>0.17667939999999999</v>
      </c>
      <c r="Q845">
        <v>4.2516169999999999E-2</v>
      </c>
      <c r="R845">
        <v>-0.9833499</v>
      </c>
      <c r="S845">
        <v>0.21112059999999999</v>
      </c>
      <c r="T845">
        <v>-0.1596243</v>
      </c>
      <c r="U845">
        <v>-3.0216980000000002</v>
      </c>
      <c r="V845">
        <v>8.0007590000000003E-2</v>
      </c>
      <c r="W845">
        <v>5.5515639999999998E-2</v>
      </c>
      <c r="X845">
        <v>0.99524710000000005</v>
      </c>
      <c r="Y845">
        <v>0.18610199999999999</v>
      </c>
      <c r="Z845">
        <v>4.9644559999999997E-2</v>
      </c>
      <c r="AA845">
        <v>0.98127540000000002</v>
      </c>
      <c r="AB845">
        <v>31</v>
      </c>
      <c r="AC845">
        <v>1.3755999999999899</v>
      </c>
      <c r="AD845">
        <v>-1.0970160231449999</v>
      </c>
      <c r="AE845">
        <v>-20.451799999999999</v>
      </c>
      <c r="AF845">
        <v>3.8541832187692799</v>
      </c>
      <c r="AG845">
        <v>-1.0970160231449999</v>
      </c>
      <c r="AH845">
        <v>20.072794607433501</v>
      </c>
      <c r="AI845">
        <v>93.072200411837898</v>
      </c>
      <c r="AJ845">
        <v>79.130905759374897</v>
      </c>
      <c r="AK845">
        <v>20.468885064680201</v>
      </c>
      <c r="AL845">
        <v>86.817551976450304</v>
      </c>
      <c r="AM845">
        <v>85.403894730160005</v>
      </c>
      <c r="AN845">
        <v>0.99999999540031304</v>
      </c>
    </row>
    <row r="846" spans="1:40" x14ac:dyDescent="0.3">
      <c r="A846" t="str">
        <f>"20200111153846735"</f>
        <v>20200111153846735</v>
      </c>
      <c r="B846" t="str">
        <f>"1578728326731037"</f>
        <v>1578728326731037</v>
      </c>
      <c r="C846" t="s">
        <v>40</v>
      </c>
      <c r="D846">
        <v>5.0621029999999996</v>
      </c>
      <c r="E846">
        <v>0.54050909999999996</v>
      </c>
      <c r="F846" t="s">
        <v>42</v>
      </c>
      <c r="G846">
        <v>-190.97710000000001</v>
      </c>
      <c r="H846" s="1">
        <v>-4.049971E-6</v>
      </c>
      <c r="I846">
        <v>328.4237</v>
      </c>
      <c r="J846">
        <v>-192.2595</v>
      </c>
      <c r="K846">
        <v>1.0972219999999999</v>
      </c>
      <c r="L846">
        <v>348.50970000000001</v>
      </c>
      <c r="M846">
        <v>0.24530589999999999</v>
      </c>
      <c r="N846">
        <v>0</v>
      </c>
      <c r="O846">
        <v>-0.9693368</v>
      </c>
      <c r="P846">
        <v>0.17185429999999999</v>
      </c>
      <c r="Q846">
        <v>4.1760400000000003E-2</v>
      </c>
      <c r="R846">
        <v>-0.98423700000000003</v>
      </c>
      <c r="S846">
        <v>0.2008057</v>
      </c>
      <c r="T846">
        <v>-0.16248290000000001</v>
      </c>
      <c r="U846">
        <v>-3.0217589999999999</v>
      </c>
      <c r="V846">
        <v>7.5894359999999994E-2</v>
      </c>
      <c r="W846">
        <v>5.4839569999999997E-2</v>
      </c>
      <c r="X846">
        <v>0.99560669999999996</v>
      </c>
      <c r="Y846">
        <v>0.18059649999999999</v>
      </c>
      <c r="Z846">
        <v>5.0743000000000003E-2</v>
      </c>
      <c r="AA846">
        <v>0.98224750000000005</v>
      </c>
      <c r="AB846">
        <v>31</v>
      </c>
      <c r="AC846">
        <v>1.28239999999999</v>
      </c>
      <c r="AD846">
        <v>-1.09722604997099</v>
      </c>
      <c r="AE846">
        <v>-20.085999999999999</v>
      </c>
      <c r="AF846">
        <v>3.6736081641216498</v>
      </c>
      <c r="AG846">
        <v>-1.09722604997099</v>
      </c>
      <c r="AH846">
        <v>19.7281380316597</v>
      </c>
      <c r="AI846">
        <v>93.129669550789401</v>
      </c>
      <c r="AJ846">
        <v>79.4516740796238</v>
      </c>
      <c r="AK846">
        <v>20.097231952297701</v>
      </c>
      <c r="AL846">
        <v>86.856347104182603</v>
      </c>
      <c r="AM846">
        <v>85.640815791121199</v>
      </c>
      <c r="AN846">
        <v>1.0000000167012399</v>
      </c>
    </row>
    <row r="847" spans="1:40" x14ac:dyDescent="0.3">
      <c r="A847" t="str">
        <f>"20200111153846758"</f>
        <v>20200111153846758</v>
      </c>
      <c r="B847" t="str">
        <f>"1578728326751533"</f>
        <v>1578728326751533</v>
      </c>
      <c r="C847" t="s">
        <v>40</v>
      </c>
      <c r="D847">
        <v>5.068924</v>
      </c>
      <c r="E847">
        <v>0.53997839999999997</v>
      </c>
      <c r="F847" t="s">
        <v>42</v>
      </c>
      <c r="G847">
        <v>-190.98740000000001</v>
      </c>
      <c r="H847" s="1">
        <v>-4.0784200000000003E-6</v>
      </c>
      <c r="I847">
        <v>328.48360000000002</v>
      </c>
      <c r="J847">
        <v>-192.18989999999999</v>
      </c>
      <c r="K847">
        <v>1.0974280000000001</v>
      </c>
      <c r="L847">
        <v>348.19749999999999</v>
      </c>
      <c r="M847">
        <v>0.23689760000000001</v>
      </c>
      <c r="N847">
        <v>0</v>
      </c>
      <c r="O847">
        <v>-0.97142649999999997</v>
      </c>
      <c r="P847">
        <v>0.16781989999999999</v>
      </c>
      <c r="Q847">
        <v>4.0979210000000002E-2</v>
      </c>
      <c r="R847">
        <v>-0.98496570000000006</v>
      </c>
      <c r="S847">
        <v>0.19192500000000001</v>
      </c>
      <c r="T847">
        <v>-0.1655462</v>
      </c>
      <c r="U847">
        <v>-3.0214840000000001</v>
      </c>
      <c r="V847">
        <v>7.1309689999999995E-2</v>
      </c>
      <c r="W847">
        <v>5.4143940000000002E-2</v>
      </c>
      <c r="X847">
        <v>0.99598359999999997</v>
      </c>
      <c r="Y847">
        <v>0.17494370000000001</v>
      </c>
      <c r="Z847">
        <v>5.1904600000000002E-2</v>
      </c>
      <c r="AA847">
        <v>0.98320940000000001</v>
      </c>
      <c r="AB847">
        <v>31</v>
      </c>
      <c r="AC847">
        <v>1.2024999999999799</v>
      </c>
      <c r="AD847">
        <v>-1.09743207842</v>
      </c>
      <c r="AE847">
        <v>-19.713899999999899</v>
      </c>
      <c r="AF847">
        <v>3.4916229994356001</v>
      </c>
      <c r="AG847">
        <v>-1.09743207842</v>
      </c>
      <c r="AH847">
        <v>19.377688802396701</v>
      </c>
      <c r="AI847">
        <v>93.190149016637207</v>
      </c>
      <c r="AJ847">
        <v>79.785604489140894</v>
      </c>
      <c r="AK847">
        <v>19.7203096238235</v>
      </c>
      <c r="AL847">
        <v>86.896262974641303</v>
      </c>
      <c r="AM847">
        <v>85.904767641017997</v>
      </c>
      <c r="AN847">
        <v>0.99999998479778895</v>
      </c>
    </row>
    <row r="848" spans="1:40" x14ac:dyDescent="0.3">
      <c r="A848" t="str">
        <f>"20200111153846778"</f>
        <v>20200111153846778</v>
      </c>
      <c r="B848" t="str">
        <f>"1578728326771054"</f>
        <v>1578728326771054</v>
      </c>
      <c r="C848" t="s">
        <v>40</v>
      </c>
      <c r="D848">
        <v>5.0500369999999997</v>
      </c>
      <c r="E848">
        <v>0.53942769999999995</v>
      </c>
      <c r="F848" t="s">
        <v>42</v>
      </c>
      <c r="G848">
        <v>-190.98269999999999</v>
      </c>
      <c r="H848" s="1">
        <v>-4.007524E-6</v>
      </c>
      <c r="I848">
        <v>328.32119999999998</v>
      </c>
      <c r="J848">
        <v>-192.12880000000001</v>
      </c>
      <c r="K848">
        <v>1.0975820000000001</v>
      </c>
      <c r="L848">
        <v>347.91329999999999</v>
      </c>
      <c r="M848">
        <v>0.22937550000000001</v>
      </c>
      <c r="N848">
        <v>0</v>
      </c>
      <c r="O848">
        <v>-0.9732307</v>
      </c>
      <c r="P848">
        <v>0.16425519999999999</v>
      </c>
      <c r="Q848">
        <v>3.9107599999999999E-2</v>
      </c>
      <c r="R848">
        <v>-0.98564260000000004</v>
      </c>
      <c r="S848">
        <v>0.1835022</v>
      </c>
      <c r="T848">
        <v>-0.16682739999999999</v>
      </c>
      <c r="U848">
        <v>-3.021515</v>
      </c>
      <c r="V848">
        <v>6.7167060000000001E-2</v>
      </c>
      <c r="W848">
        <v>5.2344540000000002E-2</v>
      </c>
      <c r="X848">
        <v>0.99636769999999997</v>
      </c>
      <c r="Y848">
        <v>0.17005729999999999</v>
      </c>
      <c r="Z848">
        <v>5.2480779999999998E-2</v>
      </c>
      <c r="AA848">
        <v>0.98403569999999996</v>
      </c>
      <c r="AB848">
        <v>31</v>
      </c>
      <c r="AC848">
        <v>1.1461000000000101</v>
      </c>
      <c r="AD848">
        <v>-1.097586007524</v>
      </c>
      <c r="AE848">
        <v>-19.592099999999999</v>
      </c>
      <c r="AF848">
        <v>3.36834561428625</v>
      </c>
      <c r="AG848">
        <v>-1.097586007524</v>
      </c>
      <c r="AH848">
        <v>19.2722609555472</v>
      </c>
      <c r="AI848">
        <v>93.210995002821804</v>
      </c>
      <c r="AJ848">
        <v>80.086159001273202</v>
      </c>
      <c r="AK848">
        <v>19.595164953628299</v>
      </c>
      <c r="AL848">
        <v>86.999507449462598</v>
      </c>
      <c r="AM848">
        <v>86.143416324819299</v>
      </c>
      <c r="AN848">
        <v>0.999999979210072</v>
      </c>
    </row>
    <row r="849" spans="1:40" x14ac:dyDescent="0.3">
      <c r="A849" t="str">
        <f>"20200111153846801"</f>
        <v>20200111153846801</v>
      </c>
      <c r="B849" t="str">
        <f>"1578728326791549"</f>
        <v>1578728326791549</v>
      </c>
      <c r="C849" t="s">
        <v>40</v>
      </c>
      <c r="D849">
        <v>5.0534619999999997</v>
      </c>
      <c r="E849">
        <v>0.53895729999999997</v>
      </c>
      <c r="F849" t="s">
        <v>42</v>
      </c>
      <c r="G849">
        <v>-191.00229999999999</v>
      </c>
      <c r="H849" s="1">
        <v>-4.157017E-6</v>
      </c>
      <c r="I849">
        <v>328.67989999999998</v>
      </c>
      <c r="J849">
        <v>-192.0652</v>
      </c>
      <c r="K849">
        <v>1.0977399999999999</v>
      </c>
      <c r="L849">
        <v>347.60660000000001</v>
      </c>
      <c r="M849">
        <v>0.22140409999999999</v>
      </c>
      <c r="N849">
        <v>0</v>
      </c>
      <c r="O849">
        <v>-0.97507569999999999</v>
      </c>
      <c r="P849">
        <v>0.1593107</v>
      </c>
      <c r="Q849">
        <v>3.7321739999999999E-2</v>
      </c>
      <c r="R849">
        <v>-0.98652300000000004</v>
      </c>
      <c r="S849">
        <v>0.17694089999999901</v>
      </c>
      <c r="T849">
        <v>-0.17240349999999999</v>
      </c>
      <c r="U849">
        <v>-3.0210880000000002</v>
      </c>
      <c r="V849">
        <v>6.3971200000000006E-2</v>
      </c>
      <c r="W849">
        <v>5.0609719999999997E-2</v>
      </c>
      <c r="X849">
        <v>0.99666759999999999</v>
      </c>
      <c r="Y849">
        <v>0.1641176</v>
      </c>
      <c r="Z849">
        <v>5.4425899999999999E-2</v>
      </c>
      <c r="AA849">
        <v>0.98493819999999999</v>
      </c>
      <c r="AB849">
        <v>31</v>
      </c>
      <c r="AC849">
        <v>1.0629000000000099</v>
      </c>
      <c r="AD849">
        <v>-1.0977441570169999</v>
      </c>
      <c r="AE849">
        <v>-18.9267</v>
      </c>
      <c r="AF849">
        <v>3.1438259683733301</v>
      </c>
      <c r="AG849">
        <v>-1.0977441570169999</v>
      </c>
      <c r="AH849">
        <v>18.6297630711876</v>
      </c>
      <c r="AI849">
        <v>93.325301506570696</v>
      </c>
      <c r="AJ849">
        <v>80.421417246489298</v>
      </c>
      <c r="AK849">
        <v>18.9250298822028</v>
      </c>
      <c r="AL849">
        <v>87.099037294391593</v>
      </c>
      <c r="AM849">
        <v>86.327502911192894</v>
      </c>
      <c r="AN849">
        <v>0.99999998153883896</v>
      </c>
    </row>
    <row r="850" spans="1:40" x14ac:dyDescent="0.3">
      <c r="A850" t="str">
        <f>"20200111153846823"</f>
        <v>20200111153846823</v>
      </c>
      <c r="B850" t="str">
        <f>"1578728326811068"</f>
        <v>1578728326811068</v>
      </c>
      <c r="C850" t="s">
        <v>40</v>
      </c>
      <c r="D850">
        <v>5.0196519999999998</v>
      </c>
      <c r="E850">
        <v>0.53825889999999998</v>
      </c>
      <c r="F850" t="s">
        <v>42</v>
      </c>
      <c r="G850">
        <v>-191.0454</v>
      </c>
      <c r="H850" s="1">
        <v>-4.2786479999999996E-6</v>
      </c>
      <c r="I850">
        <v>329.01490000000001</v>
      </c>
      <c r="J850">
        <v>-192.0052</v>
      </c>
      <c r="K850">
        <v>1.097891</v>
      </c>
      <c r="L850">
        <v>347.30540000000002</v>
      </c>
      <c r="M850">
        <v>0.21372869999999999</v>
      </c>
      <c r="N850">
        <v>0</v>
      </c>
      <c r="O850">
        <v>-0.97678699999999996</v>
      </c>
      <c r="P850">
        <v>0.1542557</v>
      </c>
      <c r="Q850">
        <v>3.5822560000000003E-2</v>
      </c>
      <c r="R850">
        <v>-0.98738139999999996</v>
      </c>
      <c r="S850">
        <v>0.16571040000000001</v>
      </c>
      <c r="T850">
        <v>-0.17837439999999999</v>
      </c>
      <c r="U850">
        <v>-3.0209959999999998</v>
      </c>
      <c r="V850">
        <v>6.1202949999999999E-2</v>
      </c>
      <c r="W850">
        <v>4.9151930000000003E-2</v>
      </c>
      <c r="X850">
        <v>0.99691439999999998</v>
      </c>
      <c r="Y850">
        <v>0.1600124</v>
      </c>
      <c r="Z850">
        <v>5.6482289999999997E-2</v>
      </c>
      <c r="AA850">
        <v>0.98549770000000003</v>
      </c>
      <c r="AB850">
        <v>31</v>
      </c>
      <c r="AC850">
        <v>0.95980000000000099</v>
      </c>
      <c r="AD850">
        <v>-1.0978952786480001</v>
      </c>
      <c r="AE850">
        <v>-18.290500000000002</v>
      </c>
      <c r="AF850">
        <v>2.9613519302297702</v>
      </c>
      <c r="AG850">
        <v>-1.0978952786480001</v>
      </c>
      <c r="AH850">
        <v>18.008225461717299</v>
      </c>
      <c r="AI850">
        <v>93.442670422999001</v>
      </c>
      <c r="AJ850">
        <v>80.661607196155103</v>
      </c>
      <c r="AK850">
        <v>18.283084082768799</v>
      </c>
      <c r="AL850">
        <v>87.182666721868799</v>
      </c>
      <c r="AM850">
        <v>86.486884843120507</v>
      </c>
      <c r="AN850">
        <v>1.0000000171193899</v>
      </c>
    </row>
    <row r="851" spans="1:40" x14ac:dyDescent="0.3">
      <c r="A851" t="str">
        <f>"20200111153846845"</f>
        <v>20200111153846845</v>
      </c>
      <c r="B851" t="str">
        <f>"1578728326841325"</f>
        <v>1578728326841325</v>
      </c>
      <c r="C851" t="s">
        <v>40</v>
      </c>
      <c r="D851">
        <v>5.0143180000000003</v>
      </c>
      <c r="E851">
        <v>0.52558680000000002</v>
      </c>
      <c r="F851" t="s">
        <v>42</v>
      </c>
      <c r="G851">
        <v>-191.06270000000001</v>
      </c>
      <c r="H851" s="1">
        <v>-4.2961509999999998E-6</v>
      </c>
      <c r="I851">
        <v>329.0573</v>
      </c>
      <c r="J851">
        <v>-191.94800000000001</v>
      </c>
      <c r="K851">
        <v>1.098047</v>
      </c>
      <c r="L851">
        <v>347.00619999999998</v>
      </c>
      <c r="M851">
        <v>0.20625560000000001</v>
      </c>
      <c r="N851">
        <v>0</v>
      </c>
      <c r="O851">
        <v>-0.9783927</v>
      </c>
      <c r="P851">
        <v>0.14959349999999999</v>
      </c>
      <c r="Q851">
        <v>3.4867759999999998E-2</v>
      </c>
      <c r="R851">
        <v>-0.98813249999999997</v>
      </c>
      <c r="S851">
        <v>0.1560059</v>
      </c>
      <c r="T851">
        <v>-0.18173059999999999</v>
      </c>
      <c r="U851">
        <v>-3.0205380000000002</v>
      </c>
      <c r="V851">
        <v>5.8258020000000001E-2</v>
      </c>
      <c r="W851">
        <v>4.8239400000000002E-2</v>
      </c>
      <c r="X851">
        <v>0.99713540000000001</v>
      </c>
      <c r="Y851">
        <v>0.15561759999999999</v>
      </c>
      <c r="Z851">
        <v>5.7719729999999997E-2</v>
      </c>
      <c r="AA851">
        <v>0.98612960000000005</v>
      </c>
      <c r="AB851">
        <v>31</v>
      </c>
      <c r="AC851">
        <v>0.885299999999972</v>
      </c>
      <c r="AD851">
        <v>-1.0980512961510001</v>
      </c>
      <c r="AE851">
        <v>-17.948899999999899</v>
      </c>
      <c r="AF851">
        <v>2.8256332655791701</v>
      </c>
      <c r="AG851">
        <v>-1.0980512961510001</v>
      </c>
      <c r="AH851">
        <v>17.6794957029175</v>
      </c>
      <c r="AI851">
        <v>93.509575324098904</v>
      </c>
      <c r="AJ851">
        <v>80.919474975829999</v>
      </c>
      <c r="AK851">
        <v>17.937516224661799</v>
      </c>
      <c r="AL851">
        <v>87.235012952254394</v>
      </c>
      <c r="AM851">
        <v>86.656273177861706</v>
      </c>
      <c r="AN851">
        <v>1.0000000212699101</v>
      </c>
    </row>
    <row r="852" spans="1:40" x14ac:dyDescent="0.3">
      <c r="A852" t="str">
        <f>"20200111153846868"</f>
        <v>20200111153846868</v>
      </c>
      <c r="B852" t="str">
        <f>"1578728326860845"</f>
        <v>1578728326860845</v>
      </c>
      <c r="C852" t="s">
        <v>40</v>
      </c>
      <c r="D852">
        <v>5.0103479999999996</v>
      </c>
      <c r="E852">
        <v>0.52473970000000003</v>
      </c>
      <c r="F852" t="s">
        <v>42</v>
      </c>
      <c r="G852">
        <v>-190.11619999999999</v>
      </c>
      <c r="H852" s="1">
        <v>-2.0535529999999999E-6</v>
      </c>
      <c r="I852">
        <v>324.30399999999997</v>
      </c>
      <c r="J852">
        <v>-191.88910000000001</v>
      </c>
      <c r="K852">
        <v>1.0982229999999999</v>
      </c>
      <c r="L852">
        <v>346.68650000000002</v>
      </c>
      <c r="M852">
        <v>0.19843820000000001</v>
      </c>
      <c r="N852">
        <v>0</v>
      </c>
      <c r="O852">
        <v>-0.98000889999999996</v>
      </c>
      <c r="P852">
        <v>0.1437157</v>
      </c>
      <c r="Q852">
        <v>3.4356009999999999E-2</v>
      </c>
      <c r="R852">
        <v>-0.98902270000000003</v>
      </c>
      <c r="S852">
        <v>0.2424164</v>
      </c>
      <c r="T852">
        <v>-0.145316</v>
      </c>
      <c r="U852">
        <v>-3.0044249999999999</v>
      </c>
      <c r="V852">
        <v>5.6199409999999998E-2</v>
      </c>
      <c r="W852">
        <v>4.7752639999999999E-2</v>
      </c>
      <c r="X852">
        <v>0.99727699999999997</v>
      </c>
      <c r="Y852">
        <v>0.1190787</v>
      </c>
      <c r="Z852">
        <v>4.6626609999999999E-2</v>
      </c>
      <c r="AA852">
        <v>0.99178940000000004</v>
      </c>
      <c r="AB852">
        <v>31</v>
      </c>
      <c r="AC852">
        <v>1.7729000000000199</v>
      </c>
      <c r="AD852">
        <v>-1.098225053553</v>
      </c>
      <c r="AE852">
        <v>-22.3825</v>
      </c>
      <c r="AF852">
        <v>2.6979075200676301</v>
      </c>
      <c r="AG852">
        <v>-1.098225053553</v>
      </c>
      <c r="AH852">
        <v>22.235944061813601</v>
      </c>
      <c r="AI852">
        <v>92.806967578347596</v>
      </c>
      <c r="AJ852">
        <v>83.082064941383194</v>
      </c>
      <c r="AK852">
        <v>22.4259227586112</v>
      </c>
      <c r="AL852">
        <v>87.262934507177903</v>
      </c>
      <c r="AM852">
        <v>86.7746303481414</v>
      </c>
      <c r="AN852">
        <v>1.0000000515201499</v>
      </c>
    </row>
    <row r="853" spans="1:40" x14ac:dyDescent="0.3">
      <c r="A853" t="str">
        <f>"20200111153846891"</f>
        <v>20200111153846891</v>
      </c>
      <c r="B853" t="str">
        <f>"1578728326881341"</f>
        <v>1578728326881341</v>
      </c>
      <c r="C853" t="s">
        <v>40</v>
      </c>
      <c r="D853">
        <v>5.0141080000000002</v>
      </c>
      <c r="E853">
        <v>0.5247368</v>
      </c>
      <c r="F853" t="s">
        <v>42</v>
      </c>
      <c r="G853">
        <v>-190.2543</v>
      </c>
      <c r="H853" s="1">
        <v>-2.5790510000000001E-6</v>
      </c>
      <c r="I853">
        <v>325.44319999999999</v>
      </c>
      <c r="J853">
        <v>-191.83519999999999</v>
      </c>
      <c r="K853">
        <v>1.0983989999999999</v>
      </c>
      <c r="L853">
        <v>346.38130000000001</v>
      </c>
      <c r="M853">
        <v>0.1911505</v>
      </c>
      <c r="N853">
        <v>0</v>
      </c>
      <c r="O853">
        <v>-0.98145680000000002</v>
      </c>
      <c r="P853">
        <v>0.13763909999999999</v>
      </c>
      <c r="Q853">
        <v>3.518338E-2</v>
      </c>
      <c r="R853">
        <v>-0.9898576</v>
      </c>
      <c r="S853">
        <v>0.2312622</v>
      </c>
      <c r="T853">
        <v>-0.15535460000000001</v>
      </c>
      <c r="U853">
        <v>-3.0050659999999998</v>
      </c>
      <c r="V853">
        <v>5.4899389999999999E-2</v>
      </c>
      <c r="W853">
        <v>4.8592799999999998E-2</v>
      </c>
      <c r="X853">
        <v>0.9973088</v>
      </c>
      <c r="Y853">
        <v>0.1153878</v>
      </c>
      <c r="Z853">
        <v>4.9958610000000001E-2</v>
      </c>
      <c r="AA853">
        <v>0.99206340000000004</v>
      </c>
      <c r="AB853">
        <v>31</v>
      </c>
      <c r="AC853">
        <v>1.58089999999998</v>
      </c>
      <c r="AD853">
        <v>-1.098401579051</v>
      </c>
      <c r="AE853">
        <v>-20.938099999999999</v>
      </c>
      <c r="AF853">
        <v>2.4443047012433801</v>
      </c>
      <c r="AG853">
        <v>-1.098401579051</v>
      </c>
      <c r="AH853">
        <v>20.797248547539201</v>
      </c>
      <c r="AI853">
        <v>93.002624790191504</v>
      </c>
      <c r="AJ853">
        <v>83.296767610166697</v>
      </c>
      <c r="AK853">
        <v>20.969183547518099</v>
      </c>
      <c r="AL853">
        <v>87.214740854584093</v>
      </c>
      <c r="AM853">
        <v>86.849188628048495</v>
      </c>
      <c r="AN853">
        <v>1.0000000228958199</v>
      </c>
    </row>
    <row r="854" spans="1:40" x14ac:dyDescent="0.3">
      <c r="A854" t="str">
        <f>"20200111153846912"</f>
        <v>20200111153846912</v>
      </c>
      <c r="B854" t="str">
        <f>"1578728326900861"</f>
        <v>1578728326900861</v>
      </c>
      <c r="C854" t="s">
        <v>40</v>
      </c>
      <c r="D854">
        <v>5.1413070000000003</v>
      </c>
      <c r="E854">
        <v>0.52505109999999999</v>
      </c>
      <c r="F854" t="s">
        <v>42</v>
      </c>
      <c r="G854">
        <v>-190.2774</v>
      </c>
      <c r="H854" s="1">
        <v>-2.1472989999999999E-6</v>
      </c>
      <c r="I854">
        <v>324.42250000000001</v>
      </c>
      <c r="J854">
        <v>-191.78579999999999</v>
      </c>
      <c r="K854">
        <v>1.098581</v>
      </c>
      <c r="L854">
        <v>346.0899</v>
      </c>
      <c r="M854">
        <v>0.18436749999999999</v>
      </c>
      <c r="N854">
        <v>0</v>
      </c>
      <c r="O854">
        <v>-0.98275380000000001</v>
      </c>
      <c r="P854">
        <v>0.13161439999999999</v>
      </c>
      <c r="Q854">
        <v>3.546502E-2</v>
      </c>
      <c r="R854">
        <v>-0.99066659999999995</v>
      </c>
      <c r="S854">
        <v>0.21328739999999999</v>
      </c>
      <c r="T854">
        <v>-0.15038489999999999</v>
      </c>
      <c r="U854">
        <v>-3.0064389999999999</v>
      </c>
      <c r="V854">
        <v>5.4059990000000002E-2</v>
      </c>
      <c r="W854">
        <v>4.8879989999999998E-2</v>
      </c>
      <c r="X854">
        <v>0.99734060000000002</v>
      </c>
      <c r="Y854">
        <v>0.1144555</v>
      </c>
      <c r="Z854">
        <v>4.8452229999999999E-2</v>
      </c>
      <c r="AA854">
        <v>0.99224610000000002</v>
      </c>
      <c r="AB854">
        <v>31</v>
      </c>
      <c r="AC854">
        <v>1.50839999999999</v>
      </c>
      <c r="AD854">
        <v>-1.098583147299</v>
      </c>
      <c r="AE854">
        <v>-21.667399999999901</v>
      </c>
      <c r="AF854">
        <v>2.5062226428626402</v>
      </c>
      <c r="AG854">
        <v>-1.098583147299</v>
      </c>
      <c r="AH854">
        <v>21.518963794081699</v>
      </c>
      <c r="AI854">
        <v>92.902931090264502</v>
      </c>
      <c r="AJ854">
        <v>83.3569312985273</v>
      </c>
      <c r="AK854">
        <v>21.6922529866799</v>
      </c>
      <c r="AL854">
        <v>87.198266450623294</v>
      </c>
      <c r="AM854">
        <v>86.897367743735003</v>
      </c>
      <c r="AN854">
        <v>1.0000000041747801</v>
      </c>
    </row>
    <row r="855" spans="1:40" x14ac:dyDescent="0.3">
      <c r="A855" t="str">
        <f>"20200111153846936"</f>
        <v>20200111153846936</v>
      </c>
      <c r="B855" t="str">
        <f>"1578728326931116"</f>
        <v>1578728326931116</v>
      </c>
      <c r="C855" t="s">
        <v>40</v>
      </c>
      <c r="D855">
        <v>5.2242920000000002</v>
      </c>
      <c r="E855">
        <v>0.56334580000000001</v>
      </c>
      <c r="F855" t="s">
        <v>42</v>
      </c>
      <c r="G855">
        <v>-190.298</v>
      </c>
      <c r="H855" s="1">
        <v>-1.4819360000000001E-6</v>
      </c>
      <c r="I855">
        <v>322.8587</v>
      </c>
      <c r="J855">
        <v>-191.7321</v>
      </c>
      <c r="K855">
        <v>1.0988</v>
      </c>
      <c r="L855">
        <v>345.7602</v>
      </c>
      <c r="M855">
        <v>0.17691689999999999</v>
      </c>
      <c r="N855">
        <v>0</v>
      </c>
      <c r="O855">
        <v>-0.98412299999999997</v>
      </c>
      <c r="P855">
        <v>0.1239522</v>
      </c>
      <c r="Q855">
        <v>3.616859E-2</v>
      </c>
      <c r="R855">
        <v>-0.99162899999999998</v>
      </c>
      <c r="S855">
        <v>0.19262699999999999</v>
      </c>
      <c r="T855">
        <v>-0.14223549999999999</v>
      </c>
      <c r="U855">
        <v>-3.0077820000000002</v>
      </c>
      <c r="V855">
        <v>5.4195090000000001E-2</v>
      </c>
      <c r="W855">
        <v>4.9573430000000002E-2</v>
      </c>
      <c r="X855">
        <v>0.99729900000000005</v>
      </c>
      <c r="Y855">
        <v>0.1137374</v>
      </c>
      <c r="Z855">
        <v>4.5920950000000002E-2</v>
      </c>
      <c r="AA855">
        <v>0.99244900000000003</v>
      </c>
      <c r="AB855">
        <v>31</v>
      </c>
      <c r="AC855">
        <v>1.4340999999999999</v>
      </c>
      <c r="AD855">
        <v>-1.0988014819359999</v>
      </c>
      <c r="AE855">
        <v>-22.901499999999999</v>
      </c>
      <c r="AF855">
        <v>2.6345576061267999</v>
      </c>
      <c r="AG855">
        <v>-1.0988014819359999</v>
      </c>
      <c r="AH855">
        <v>22.741767788790899</v>
      </c>
      <c r="AI855">
        <v>92.747828820983898</v>
      </c>
      <c r="AJ855">
        <v>83.391931921295097</v>
      </c>
      <c r="AK855">
        <v>22.920215108850801</v>
      </c>
      <c r="AL855">
        <v>87.158486923249001</v>
      </c>
      <c r="AM855">
        <v>86.889499749717203</v>
      </c>
      <c r="AN855">
        <v>0.99999996407153502</v>
      </c>
    </row>
    <row r="856" spans="1:40" x14ac:dyDescent="0.3">
      <c r="A856" t="str">
        <f>"20200111153846957"</f>
        <v>20200111153846957</v>
      </c>
      <c r="B856" t="str">
        <f>"1578728326951613"</f>
        <v>1578728326951613</v>
      </c>
      <c r="C856" t="s">
        <v>40</v>
      </c>
      <c r="D856">
        <v>5.1649000000000003</v>
      </c>
      <c r="E856">
        <v>0.56405969999999905</v>
      </c>
      <c r="F856" t="s">
        <v>42</v>
      </c>
      <c r="G856">
        <v>-192.50389999999999</v>
      </c>
      <c r="H856" s="1">
        <v>-4.278179E-6</v>
      </c>
      <c r="I856">
        <v>328.25330000000002</v>
      </c>
      <c r="J856">
        <v>-191.68680000000001</v>
      </c>
      <c r="K856">
        <v>1.0989910000000001</v>
      </c>
      <c r="L856">
        <v>345.47</v>
      </c>
      <c r="M856">
        <v>0.170563299999999</v>
      </c>
      <c r="N856">
        <v>0</v>
      </c>
      <c r="O856">
        <v>-0.98524420000000001</v>
      </c>
      <c r="P856">
        <v>0.1167055</v>
      </c>
      <c r="Q856">
        <v>3.7686749999999998E-2</v>
      </c>
      <c r="R856">
        <v>-0.99245130000000004</v>
      </c>
      <c r="S856">
        <v>-0.13442989999999999</v>
      </c>
      <c r="T856">
        <v>-0.1913714</v>
      </c>
      <c r="U856">
        <v>-3.0490719999999998</v>
      </c>
      <c r="V856">
        <v>5.5035290000000001E-2</v>
      </c>
      <c r="W856">
        <v>5.1071650000000003E-2</v>
      </c>
      <c r="X856">
        <v>0.99717739999999999</v>
      </c>
      <c r="Y856">
        <v>0.21372969999999999</v>
      </c>
      <c r="Z856">
        <v>6.050937E-2</v>
      </c>
      <c r="AA856">
        <v>0.97501700000000002</v>
      </c>
      <c r="AB856">
        <v>31</v>
      </c>
      <c r="AC856">
        <v>-0.81709999999998195</v>
      </c>
      <c r="AD856">
        <v>-1.098995278179</v>
      </c>
      <c r="AE856">
        <v>-17.216699999999999</v>
      </c>
      <c r="AF856">
        <v>3.72680685110479</v>
      </c>
      <c r="AG856">
        <v>-1.098995278179</v>
      </c>
      <c r="AH856">
        <v>16.7568610469859</v>
      </c>
      <c r="AI856">
        <v>93.663108227631</v>
      </c>
      <c r="AJ856">
        <v>77.461222321091995</v>
      </c>
      <c r="AK856">
        <v>17.2014322681251</v>
      </c>
      <c r="AL856">
        <v>87.0725363834608</v>
      </c>
      <c r="AM856">
        <v>86.840989394091906</v>
      </c>
      <c r="AN856">
        <v>0.99999998182493299</v>
      </c>
    </row>
    <row r="857" spans="1:40" x14ac:dyDescent="0.3">
      <c r="A857" t="str">
        <f>"20200111153846979"</f>
        <v>20200111153846979</v>
      </c>
      <c r="B857" t="str">
        <f>"1578728326971133"</f>
        <v>1578728326971133</v>
      </c>
      <c r="C857" t="s">
        <v>40</v>
      </c>
      <c r="D857">
        <v>5.1942839999999997</v>
      </c>
      <c r="E857">
        <v>0.56234479999999998</v>
      </c>
      <c r="F857" t="s">
        <v>42</v>
      </c>
      <c r="G857">
        <v>-192.6611</v>
      </c>
      <c r="H857" s="1">
        <v>-3.9359730000000004E-6</v>
      </c>
      <c r="I857">
        <v>327.16570000000002</v>
      </c>
      <c r="J857">
        <v>-191.64160000000001</v>
      </c>
      <c r="K857">
        <v>1.099167</v>
      </c>
      <c r="L857">
        <v>345.16860000000003</v>
      </c>
      <c r="M857">
        <v>0.16412950000000001</v>
      </c>
      <c r="N857">
        <v>0</v>
      </c>
      <c r="O857">
        <v>-0.98633689999999996</v>
      </c>
      <c r="P857">
        <v>0.1094676</v>
      </c>
      <c r="Q857">
        <v>3.9822959999999998E-2</v>
      </c>
      <c r="R857">
        <v>-0.99319270000000004</v>
      </c>
      <c r="S857">
        <v>-0.16227720000000001</v>
      </c>
      <c r="T857">
        <v>-0.1830552</v>
      </c>
      <c r="U857">
        <v>-3.0488590000000002</v>
      </c>
      <c r="V857">
        <v>5.5791340000000002E-2</v>
      </c>
      <c r="W857">
        <v>5.318879E-2</v>
      </c>
      <c r="X857">
        <v>0.99702469999999999</v>
      </c>
      <c r="Y857">
        <v>0.21624930000000001</v>
      </c>
      <c r="Z857">
        <v>5.7962020000000003E-2</v>
      </c>
      <c r="AA857">
        <v>0.97461620000000004</v>
      </c>
      <c r="AB857">
        <v>31</v>
      </c>
      <c r="AC857">
        <v>-1.0194999999999901</v>
      </c>
      <c r="AD857">
        <v>-1.099170935973</v>
      </c>
      <c r="AE857">
        <v>-18.0029</v>
      </c>
      <c r="AF857">
        <v>3.94611252098094</v>
      </c>
      <c r="AG857">
        <v>-1.099170935973</v>
      </c>
      <c r="AH857">
        <v>17.5262384108254</v>
      </c>
      <c r="AI857">
        <v>93.501223702886804</v>
      </c>
      <c r="AJ857">
        <v>77.311187793715405</v>
      </c>
      <c r="AK857">
        <v>17.998583655605302</v>
      </c>
      <c r="AL857">
        <v>86.951068025532905</v>
      </c>
      <c r="AM857">
        <v>86.797192607993694</v>
      </c>
      <c r="AN857">
        <v>0.99999998670537404</v>
      </c>
    </row>
    <row r="858" spans="1:40" x14ac:dyDescent="0.3">
      <c r="A858" t="str">
        <f>"20200111153847001"</f>
        <v>20200111153847001</v>
      </c>
      <c r="B858" t="str">
        <f>"1578728326991629"</f>
        <v>1578728326991629</v>
      </c>
      <c r="C858" t="s">
        <v>40</v>
      </c>
      <c r="D858">
        <v>5.0500530000000001</v>
      </c>
      <c r="E858">
        <v>0.56020389999999998</v>
      </c>
      <c r="F858" t="s">
        <v>42</v>
      </c>
      <c r="G858">
        <v>-192.7088</v>
      </c>
      <c r="H858" s="1">
        <v>-3.5303779999999999E-6</v>
      </c>
      <c r="I858">
        <v>326.13839999999999</v>
      </c>
      <c r="J858">
        <v>-191.59819999999999</v>
      </c>
      <c r="K858">
        <v>1.099318</v>
      </c>
      <c r="L858">
        <v>344.86599999999999</v>
      </c>
      <c r="M858">
        <v>0.157835999999999</v>
      </c>
      <c r="N858">
        <v>0</v>
      </c>
      <c r="O858">
        <v>-0.98736420000000003</v>
      </c>
      <c r="P858">
        <v>0.1028676</v>
      </c>
      <c r="Q858">
        <v>4.0957500000000001E-2</v>
      </c>
      <c r="R858">
        <v>-0.99385159999999995</v>
      </c>
      <c r="S858">
        <v>-0.1708374</v>
      </c>
      <c r="T858">
        <v>-0.17595930000000001</v>
      </c>
      <c r="U858">
        <v>-3.0464169999999999</v>
      </c>
      <c r="V858">
        <v>5.6043669999999997E-2</v>
      </c>
      <c r="W858">
        <v>5.43125E-2</v>
      </c>
      <c r="X858">
        <v>0.99695</v>
      </c>
      <c r="Y858">
        <v>0.21280070000000001</v>
      </c>
      <c r="Z858">
        <v>5.5873569999999997E-2</v>
      </c>
      <c r="AA858">
        <v>0.97549680000000005</v>
      </c>
      <c r="AB858">
        <v>31</v>
      </c>
      <c r="AC858">
        <v>-1.1106</v>
      </c>
      <c r="AD858">
        <v>-1.099321530378</v>
      </c>
      <c r="AE858">
        <v>-18.727599999999899</v>
      </c>
      <c r="AF858">
        <v>4.0389922900409401</v>
      </c>
      <c r="AG858">
        <v>-1.099321530378</v>
      </c>
      <c r="AH858">
        <v>18.254817224633801</v>
      </c>
      <c r="AI858">
        <v>93.365052466801103</v>
      </c>
      <c r="AJ858">
        <v>77.523945014201701</v>
      </c>
      <c r="AK858">
        <v>18.7285962755074</v>
      </c>
      <c r="AL858">
        <v>86.886591080722994</v>
      </c>
      <c r="AM858">
        <v>86.782496930085102</v>
      </c>
      <c r="AN858">
        <v>1.00000002155165</v>
      </c>
    </row>
    <row r="859" spans="1:40" x14ac:dyDescent="0.3">
      <c r="A859" t="str">
        <f>"20200111153847025"</f>
        <v>20200111153847025</v>
      </c>
      <c r="B859" t="str">
        <f>"1578728327020909"</f>
        <v>1578728327020909</v>
      </c>
      <c r="C859" t="s">
        <v>40</v>
      </c>
      <c r="D859">
        <v>5.0557800000000004</v>
      </c>
      <c r="E859">
        <v>0.55832869999999901</v>
      </c>
      <c r="F859" t="s">
        <v>42</v>
      </c>
      <c r="G859">
        <v>-192.76259999999999</v>
      </c>
      <c r="H859" s="1">
        <v>-2.835862E-6</v>
      </c>
      <c r="I859">
        <v>324.48610000000002</v>
      </c>
      <c r="J859">
        <v>-191.55420000000001</v>
      </c>
      <c r="K859">
        <v>1.0994569999999999</v>
      </c>
      <c r="L859">
        <v>344.54649999999998</v>
      </c>
      <c r="M859">
        <v>0.1513611</v>
      </c>
      <c r="N859">
        <v>0</v>
      </c>
      <c r="O859">
        <v>-0.98837790000000003</v>
      </c>
      <c r="P859">
        <v>9.6742049999999996E-2</v>
      </c>
      <c r="Q859">
        <v>3.9910880000000003E-2</v>
      </c>
      <c r="R859">
        <v>-0.99450939999999999</v>
      </c>
      <c r="S859">
        <v>-0.17388919999999999</v>
      </c>
      <c r="T859">
        <v>-0.16416040000000001</v>
      </c>
      <c r="U859">
        <v>-3.043304</v>
      </c>
      <c r="V859">
        <v>5.5624E-2</v>
      </c>
      <c r="W859">
        <v>5.3265449999999999E-2</v>
      </c>
      <c r="X859">
        <v>0.99702999999999997</v>
      </c>
      <c r="Y859">
        <v>0.20743619999999999</v>
      </c>
      <c r="Z859">
        <v>5.230274E-2</v>
      </c>
      <c r="AA859">
        <v>0.97684939999999998</v>
      </c>
      <c r="AB859">
        <v>31</v>
      </c>
      <c r="AC859">
        <v>-1.2083999999999799</v>
      </c>
      <c r="AD859">
        <v>-1.09945983586199</v>
      </c>
      <c r="AE859">
        <v>-20.060399999999898</v>
      </c>
      <c r="AF859">
        <v>4.2185149566500701</v>
      </c>
      <c r="AG859">
        <v>-1.09945983586199</v>
      </c>
      <c r="AH859">
        <v>19.5876797294552</v>
      </c>
      <c r="AI859">
        <v>93.140786990572394</v>
      </c>
      <c r="AJ859">
        <v>77.846092352521097</v>
      </c>
      <c r="AK859">
        <v>20.066934931719501</v>
      </c>
      <c r="AL859">
        <v>86.946669625734998</v>
      </c>
      <c r="AM859">
        <v>86.806796106785896</v>
      </c>
      <c r="AN859">
        <v>1.0000000292198501</v>
      </c>
    </row>
    <row r="860" spans="1:40" x14ac:dyDescent="0.3">
      <c r="A860" t="str">
        <f>"20200111153847057"</f>
        <v>20200111153847057</v>
      </c>
      <c r="B860" t="str">
        <f>"1578728327051164"</f>
        <v>1578728327051164</v>
      </c>
      <c r="C860" t="s">
        <v>40</v>
      </c>
      <c r="D860">
        <v>5.16275</v>
      </c>
      <c r="E860">
        <v>0.55688839999999995</v>
      </c>
      <c r="F860" t="s">
        <v>42</v>
      </c>
      <c r="G860">
        <v>-192.74440000000001</v>
      </c>
      <c r="H860" s="1">
        <v>-2.6952110000000001E-6</v>
      </c>
      <c r="I860">
        <v>324.1696</v>
      </c>
      <c r="J860">
        <v>-191.49680000000001</v>
      </c>
      <c r="K860">
        <v>1.0996239999999999</v>
      </c>
      <c r="L860">
        <v>344.1071</v>
      </c>
      <c r="M860">
        <v>0.14269870000000001</v>
      </c>
      <c r="N860">
        <v>0</v>
      </c>
      <c r="O860">
        <v>-0.98966600000000005</v>
      </c>
      <c r="P860">
        <v>8.9929019999999998E-2</v>
      </c>
      <c r="Q860">
        <v>3.6865099999999998E-2</v>
      </c>
      <c r="R860">
        <v>-0.99526579999999998</v>
      </c>
      <c r="S860">
        <v>-0.177597</v>
      </c>
      <c r="T860">
        <v>-0.16404839999999901</v>
      </c>
      <c r="U860">
        <v>-3.0404049999999998</v>
      </c>
      <c r="V860">
        <v>5.3670830000000003E-2</v>
      </c>
      <c r="W860">
        <v>5.0238270000000002E-2</v>
      </c>
      <c r="X860">
        <v>0.99729409999999996</v>
      </c>
      <c r="Y860">
        <v>0.2001028</v>
      </c>
      <c r="Z860">
        <v>5.2460149999999997E-2</v>
      </c>
      <c r="AA860">
        <v>0.9783695</v>
      </c>
      <c r="AB860">
        <v>31</v>
      </c>
      <c r="AC860">
        <v>-1.2476</v>
      </c>
      <c r="AD860">
        <v>-1.0996266952110001</v>
      </c>
      <c r="AE860">
        <v>-19.9375</v>
      </c>
      <c r="AF860">
        <v>4.0678413574685601</v>
      </c>
      <c r="AG860">
        <v>-1.0996266952110001</v>
      </c>
      <c r="AH860">
        <v>19.496298838337101</v>
      </c>
      <c r="AI860">
        <v>93.160252671402702</v>
      </c>
      <c r="AJ860">
        <v>78.2144961336368</v>
      </c>
      <c r="AK860">
        <v>19.9464829123356</v>
      </c>
      <c r="AL860">
        <v>87.120346920997093</v>
      </c>
      <c r="AM860">
        <v>86.919516052267497</v>
      </c>
      <c r="AN860">
        <v>0.99999998183014505</v>
      </c>
    </row>
    <row r="861" spans="1:40" x14ac:dyDescent="0.3">
      <c r="A861" t="str">
        <f>"20200111153847079"</f>
        <v>20200111153847079</v>
      </c>
      <c r="B861" t="str">
        <f>"1578728327071661"</f>
        <v>1578728327071661</v>
      </c>
      <c r="C861" t="s">
        <v>40</v>
      </c>
      <c r="D861">
        <v>5.1292960000000001</v>
      </c>
      <c r="E861">
        <v>0.55564709999999995</v>
      </c>
      <c r="F861" t="s">
        <v>42</v>
      </c>
      <c r="G861">
        <v>-192.6627</v>
      </c>
      <c r="H861" s="1">
        <v>-3.1045940000000001E-6</v>
      </c>
      <c r="I861">
        <v>325.17450000000002</v>
      </c>
      <c r="J861">
        <v>-191.4588</v>
      </c>
      <c r="K861">
        <v>1.099729</v>
      </c>
      <c r="L861">
        <v>343.79820000000001</v>
      </c>
      <c r="M861">
        <v>0.1367419</v>
      </c>
      <c r="N861">
        <v>0</v>
      </c>
      <c r="O861">
        <v>-0.99050689999999997</v>
      </c>
      <c r="P861">
        <v>8.6199289999999998E-2</v>
      </c>
      <c r="Q861">
        <v>3.6584249999999999E-2</v>
      </c>
      <c r="R861">
        <v>-0.99560590000000004</v>
      </c>
      <c r="S861">
        <v>-0.18707280000000001</v>
      </c>
      <c r="T861">
        <v>-0.17643200000000001</v>
      </c>
      <c r="U861">
        <v>-3.0376889999999999</v>
      </c>
      <c r="V861">
        <v>5.1389570000000002E-2</v>
      </c>
      <c r="W861">
        <v>4.9979669999999997E-2</v>
      </c>
      <c r="X861">
        <v>0.99742730000000002</v>
      </c>
      <c r="Y861">
        <v>0.1972853</v>
      </c>
      <c r="Z861">
        <v>5.654207E-2</v>
      </c>
      <c r="AA861">
        <v>0.97871419999999998</v>
      </c>
      <c r="AB861">
        <v>31</v>
      </c>
      <c r="AC861">
        <v>-1.2039</v>
      </c>
      <c r="AD861">
        <v>-1.0997321045940001</v>
      </c>
      <c r="AE861">
        <v>-18.6236999999999</v>
      </c>
      <c r="AF861">
        <v>3.72654103567716</v>
      </c>
      <c r="AG861">
        <v>-1.0997321045940001</v>
      </c>
      <c r="AH861">
        <v>18.220817435890599</v>
      </c>
      <c r="AI861">
        <v>93.384060132262405</v>
      </c>
      <c r="AJ861">
        <v>78.441210365359098</v>
      </c>
      <c r="AK861">
        <v>18.6304779011306</v>
      </c>
      <c r="AL861">
        <v>87.135182405004102</v>
      </c>
      <c r="AM861">
        <v>87.050607821557705</v>
      </c>
      <c r="AN861">
        <v>1.0000000370516899</v>
      </c>
    </row>
    <row r="862" spans="1:40" x14ac:dyDescent="0.3">
      <c r="A862" t="str">
        <f>"20200111153847101"</f>
        <v>20200111153847101</v>
      </c>
      <c r="B862" t="str">
        <f>"1578728327091181"</f>
        <v>1578728327091181</v>
      </c>
      <c r="C862" t="s">
        <v>40</v>
      </c>
      <c r="D862">
        <v>5.1029999999999998</v>
      </c>
      <c r="E862">
        <v>0.55515999999999999</v>
      </c>
      <c r="F862" t="s">
        <v>42</v>
      </c>
      <c r="G862">
        <v>-192.63030000000001</v>
      </c>
      <c r="H862" s="1">
        <v>-3.0088720000000002E-6</v>
      </c>
      <c r="I862">
        <v>324.97149999999999</v>
      </c>
      <c r="J862">
        <v>-191.42339999999999</v>
      </c>
      <c r="K862">
        <v>1.0998239999999999</v>
      </c>
      <c r="L862">
        <v>343.49689999999998</v>
      </c>
      <c r="M862">
        <v>0.130999</v>
      </c>
      <c r="N862">
        <v>0</v>
      </c>
      <c r="O862">
        <v>-0.99128320000000003</v>
      </c>
      <c r="P862">
        <v>8.387066E-2</v>
      </c>
      <c r="Q862">
        <v>3.7497620000000002E-2</v>
      </c>
      <c r="R862">
        <v>-0.99577119999999997</v>
      </c>
      <c r="S862">
        <v>-0.1889343</v>
      </c>
      <c r="T862">
        <v>-0.17734900000000001</v>
      </c>
      <c r="U862">
        <v>-3.0361020000000001</v>
      </c>
      <c r="V862">
        <v>4.79348E-2</v>
      </c>
      <c r="W862">
        <v>5.0928309999999997E-2</v>
      </c>
      <c r="X862">
        <v>0.99755130000000003</v>
      </c>
      <c r="Y862">
        <v>0.19222890000000001</v>
      </c>
      <c r="Z862">
        <v>5.6960579999999997E-2</v>
      </c>
      <c r="AA862">
        <v>0.9796956</v>
      </c>
      <c r="AB862">
        <v>31</v>
      </c>
      <c r="AC862">
        <v>-1.2069000000000101</v>
      </c>
      <c r="AD862">
        <v>-1.0998270088719999</v>
      </c>
      <c r="AE862">
        <v>-18.525399999999902</v>
      </c>
      <c r="AF862">
        <v>3.6108720867219599</v>
      </c>
      <c r="AG862">
        <v>-1.0998270088719999</v>
      </c>
      <c r="AH862">
        <v>18.143927183235402</v>
      </c>
      <c r="AI862">
        <v>93.402283046923699</v>
      </c>
      <c r="AJ862">
        <v>78.744469811144</v>
      </c>
      <c r="AK862">
        <v>18.5324070294892</v>
      </c>
      <c r="AL862">
        <v>87.080759964931005</v>
      </c>
      <c r="AM862">
        <v>87.248912652993496</v>
      </c>
      <c r="AN862">
        <v>1.0000000169710901</v>
      </c>
    </row>
    <row r="863" spans="1:40" x14ac:dyDescent="0.3">
      <c r="A863" t="str">
        <f>"20200111153847127"</f>
        <v>20200111153847127</v>
      </c>
      <c r="B863" t="str">
        <f>"1578728327121437"</f>
        <v>1578728327121437</v>
      </c>
      <c r="C863" t="s">
        <v>40</v>
      </c>
      <c r="D863">
        <v>5.2054080000000003</v>
      </c>
      <c r="E863">
        <v>0.5538168</v>
      </c>
      <c r="F863" t="s">
        <v>42</v>
      </c>
      <c r="G863">
        <v>-192.6438</v>
      </c>
      <c r="H863" s="1">
        <v>-2.7024379999999999E-6</v>
      </c>
      <c r="I863">
        <v>324.24880000000002</v>
      </c>
      <c r="J863">
        <v>-191.38509999999999</v>
      </c>
      <c r="K863">
        <v>1.0999000000000001</v>
      </c>
      <c r="L863">
        <v>343.15289999999999</v>
      </c>
      <c r="M863">
        <v>0.1244912</v>
      </c>
      <c r="N863">
        <v>0</v>
      </c>
      <c r="O863">
        <v>-0.99212160000000005</v>
      </c>
      <c r="P863">
        <v>8.1228659999999994E-2</v>
      </c>
      <c r="Q863">
        <v>3.8969579999999997E-2</v>
      </c>
      <c r="R863">
        <v>-0.99593350000000003</v>
      </c>
      <c r="S863">
        <v>-0.19245909999999999</v>
      </c>
      <c r="T863">
        <v>-0.17344270000000001</v>
      </c>
      <c r="U863">
        <v>-3.035431</v>
      </c>
      <c r="V863">
        <v>4.403381E-2</v>
      </c>
      <c r="W863">
        <v>5.2438350000000002E-2</v>
      </c>
      <c r="X863">
        <v>0.99765289999999995</v>
      </c>
      <c r="Y863">
        <v>0.18693760000000001</v>
      </c>
      <c r="Z863">
        <v>5.5821170000000003E-2</v>
      </c>
      <c r="AA863">
        <v>0.98078449999999995</v>
      </c>
      <c r="AB863">
        <v>30</v>
      </c>
      <c r="AC863">
        <v>-1.2586999999999999</v>
      </c>
      <c r="AD863">
        <v>-1.0999027024379999</v>
      </c>
      <c r="AE863">
        <v>-18.9040999999999</v>
      </c>
      <c r="AF863">
        <v>3.5904308081797498</v>
      </c>
      <c r="AG863">
        <v>-1.0999027024379999</v>
      </c>
      <c r="AH863">
        <v>18.537819037873099</v>
      </c>
      <c r="AI863">
        <v>93.333735309526702</v>
      </c>
      <c r="AJ863">
        <v>79.038591454719096</v>
      </c>
      <c r="AK863">
        <v>18.9143256296408</v>
      </c>
      <c r="AL863">
        <v>86.994125301956501</v>
      </c>
      <c r="AM863">
        <v>87.472753247364096</v>
      </c>
      <c r="AN863">
        <v>1.0000000329261201</v>
      </c>
    </row>
    <row r="864" spans="1:40" x14ac:dyDescent="0.3">
      <c r="A864" t="str">
        <f>"20200111153847169"</f>
        <v>20200111153847169</v>
      </c>
      <c r="B864" t="str">
        <f>"1578728327161452"</f>
        <v>1578728327161452</v>
      </c>
      <c r="C864" t="s">
        <v>40</v>
      </c>
      <c r="D864">
        <v>5.1903240000000004</v>
      </c>
      <c r="E864">
        <v>0.55218819999999902</v>
      </c>
      <c r="F864" t="s">
        <v>42</v>
      </c>
      <c r="G864">
        <v>-192.62970000000001</v>
      </c>
      <c r="H864" s="1">
        <v>-2.2881179999999998E-6</v>
      </c>
      <c r="I864">
        <v>323.29169999999999</v>
      </c>
      <c r="J864">
        <v>-191.32599999999999</v>
      </c>
      <c r="K864">
        <v>1.0999749999999999</v>
      </c>
      <c r="L864">
        <v>342.57749999999999</v>
      </c>
      <c r="M864">
        <v>0.11365790000000001</v>
      </c>
      <c r="N864">
        <v>0</v>
      </c>
      <c r="O864">
        <v>-0.99342129999999995</v>
      </c>
      <c r="P864">
        <v>7.5022240000000004E-2</v>
      </c>
      <c r="Q864">
        <v>4.0383910000000002E-2</v>
      </c>
      <c r="R864">
        <v>-0.99636349999999996</v>
      </c>
      <c r="S864">
        <v>-0.19015499999999999</v>
      </c>
      <c r="T864">
        <v>-0.16803979999999999</v>
      </c>
      <c r="U864">
        <v>-3.034332</v>
      </c>
      <c r="V864">
        <v>3.936013E-2</v>
      </c>
      <c r="W864">
        <v>5.3890159999999999E-2</v>
      </c>
      <c r="X864">
        <v>0.99777079999999996</v>
      </c>
      <c r="Y864">
        <v>0.17549210000000001</v>
      </c>
      <c r="Z864">
        <v>5.4274540000000003E-2</v>
      </c>
      <c r="AA864">
        <v>0.98298359999999996</v>
      </c>
      <c r="AB864">
        <v>30</v>
      </c>
      <c r="AC864">
        <v>-1.3037000000000201</v>
      </c>
      <c r="AD864">
        <v>-1.0999772881180001</v>
      </c>
      <c r="AE864">
        <v>-19.285799999999899</v>
      </c>
      <c r="AF864">
        <v>3.4761918452301099</v>
      </c>
      <c r="AG864">
        <v>-1.0999772881180001</v>
      </c>
      <c r="AH864">
        <v>18.951242950726598</v>
      </c>
      <c r="AI864">
        <v>93.267469910006</v>
      </c>
      <c r="AJ864">
        <v>79.605885135085202</v>
      </c>
      <c r="AK864">
        <v>19.2987945000895</v>
      </c>
      <c r="AL864">
        <v>86.910824709776705</v>
      </c>
      <c r="AM864">
        <v>87.740963528747301</v>
      </c>
      <c r="AN864">
        <v>0.99999996925554002</v>
      </c>
    </row>
    <row r="865" spans="1:40" x14ac:dyDescent="0.3">
      <c r="A865" t="str">
        <f>"20200111153847190"</f>
        <v>20200111153847190</v>
      </c>
      <c r="B865" t="str">
        <f>"1578728327180973"</f>
        <v>1578728327180973</v>
      </c>
      <c r="C865" t="s">
        <v>40</v>
      </c>
      <c r="D865">
        <v>5.1788550000000004</v>
      </c>
      <c r="E865">
        <v>0.55146340000000005</v>
      </c>
      <c r="F865" t="s">
        <v>42</v>
      </c>
      <c r="G865">
        <v>-192.6696</v>
      </c>
      <c r="H865" s="1">
        <v>-1.6875810000000001E-6</v>
      </c>
      <c r="I865">
        <v>321.86720000000003</v>
      </c>
      <c r="J865">
        <v>-191.29820000000001</v>
      </c>
      <c r="K865">
        <v>1.0999989999999999</v>
      </c>
      <c r="L865">
        <v>342.28289999999998</v>
      </c>
      <c r="M865">
        <v>0.1081115</v>
      </c>
      <c r="N865">
        <v>0</v>
      </c>
      <c r="O865">
        <v>-0.99404049999999999</v>
      </c>
      <c r="P865">
        <v>7.0810139999999994E-2</v>
      </c>
      <c r="Q865">
        <v>4.0919400000000002E-2</v>
      </c>
      <c r="R865">
        <v>-0.99665040000000005</v>
      </c>
      <c r="S865">
        <v>-0.19671630000000001</v>
      </c>
      <c r="T865">
        <v>-0.161052</v>
      </c>
      <c r="U865">
        <v>-3.0322879999999999</v>
      </c>
      <c r="V865">
        <v>3.800829E-2</v>
      </c>
      <c r="W865">
        <v>5.4432479999999998E-2</v>
      </c>
      <c r="X865">
        <v>0.99779379999999995</v>
      </c>
      <c r="Y865">
        <v>0.17216389999999901</v>
      </c>
      <c r="Z865">
        <v>5.2120159999999999E-2</v>
      </c>
      <c r="AA865">
        <v>0.98368849999999997</v>
      </c>
      <c r="AB865">
        <v>30</v>
      </c>
      <c r="AC865">
        <v>-1.37139999999999</v>
      </c>
      <c r="AD865">
        <v>-1.100000687581</v>
      </c>
      <c r="AE865">
        <v>-20.415699999999902</v>
      </c>
      <c r="AF865">
        <v>3.5604581250653098</v>
      </c>
      <c r="AG865">
        <v>-1.100000687581</v>
      </c>
      <c r="AH865">
        <v>20.089677197522899</v>
      </c>
      <c r="AI865">
        <v>93.086076776143202</v>
      </c>
      <c r="AJ865">
        <v>79.949926482398695</v>
      </c>
      <c r="AK865">
        <v>20.432376109343998</v>
      </c>
      <c r="AL865">
        <v>86.879706469775996</v>
      </c>
      <c r="AM865">
        <v>87.818525016818398</v>
      </c>
      <c r="AN865">
        <v>0.99999999615305701</v>
      </c>
    </row>
    <row r="866" spans="1:40" x14ac:dyDescent="0.3">
      <c r="A866" t="str">
        <f>"20200111153847214"</f>
        <v>20200111153847214</v>
      </c>
      <c r="B866" t="str">
        <f>"1578728327211229"</f>
        <v>1578728327211229</v>
      </c>
      <c r="C866" t="s">
        <v>40</v>
      </c>
      <c r="D866">
        <v>5.198283</v>
      </c>
      <c r="E866">
        <v>0.55050969999999999</v>
      </c>
      <c r="F866" t="s">
        <v>42</v>
      </c>
      <c r="G866">
        <v>-192.70230000000001</v>
      </c>
      <c r="H866" s="1">
        <v>-1.4961200000000001E-6</v>
      </c>
      <c r="I866">
        <v>321.4006</v>
      </c>
      <c r="J866">
        <v>-191.2698</v>
      </c>
      <c r="K866">
        <v>1.100023</v>
      </c>
      <c r="L866">
        <v>341.96289999999999</v>
      </c>
      <c r="M866">
        <v>0.1020793</v>
      </c>
      <c r="N866">
        <v>0</v>
      </c>
      <c r="O866">
        <v>-0.99467819999999996</v>
      </c>
      <c r="P866">
        <v>6.554778E-2</v>
      </c>
      <c r="Q866">
        <v>4.2047660000000001E-2</v>
      </c>
      <c r="R866">
        <v>-0.99696320000000005</v>
      </c>
      <c r="S866">
        <v>-0.20381160000000001</v>
      </c>
      <c r="T866">
        <v>-0.159669799999999</v>
      </c>
      <c r="U866">
        <v>-3.031158</v>
      </c>
      <c r="V866">
        <v>3.7227509999999998E-2</v>
      </c>
      <c r="W866">
        <v>5.555993E-2</v>
      </c>
      <c r="X866">
        <v>0.99776109999999896</v>
      </c>
      <c r="Y866">
        <v>0.16850470000000001</v>
      </c>
      <c r="Z866">
        <v>5.1756200000000002E-2</v>
      </c>
      <c r="AA866">
        <v>0.98434109999999997</v>
      </c>
      <c r="AB866">
        <v>30</v>
      </c>
      <c r="AC866">
        <v>-1.4325000000000001</v>
      </c>
      <c r="AD866">
        <v>-1.1000244961200001</v>
      </c>
      <c r="AE866">
        <v>-20.5623</v>
      </c>
      <c r="AF866">
        <v>3.5141966443946</v>
      </c>
      <c r="AG866">
        <v>-1.1000244961200001</v>
      </c>
      <c r="AH866">
        <v>20.250946933935001</v>
      </c>
      <c r="AI866">
        <v>93.0635358340556</v>
      </c>
      <c r="AJ866">
        <v>80.155360056386598</v>
      </c>
      <c r="AK866">
        <v>20.5830144456197</v>
      </c>
      <c r="AL866">
        <v>86.815010447918993</v>
      </c>
      <c r="AM866">
        <v>87.863225728887102</v>
      </c>
      <c r="AN866">
        <v>1.0000000029978</v>
      </c>
    </row>
    <row r="867" spans="1:40" x14ac:dyDescent="0.3">
      <c r="A867" t="str">
        <f>"20200111153847236"</f>
        <v>20200111153847236</v>
      </c>
      <c r="B867" t="str">
        <f>"1578728327231725"</f>
        <v>1578728327231725</v>
      </c>
      <c r="C867" t="s">
        <v>40</v>
      </c>
      <c r="D867">
        <v>5.1771909999999997</v>
      </c>
      <c r="E867">
        <v>0.54987129999999995</v>
      </c>
      <c r="F867" t="s">
        <v>42</v>
      </c>
      <c r="G867">
        <v>-192.7458</v>
      </c>
      <c r="H867" s="1">
        <v>-1.283488E-6</v>
      </c>
      <c r="I867">
        <v>320.87790000000001</v>
      </c>
      <c r="J867">
        <v>-191.24529999999999</v>
      </c>
      <c r="K867">
        <v>1.1000399999999999</v>
      </c>
      <c r="L867">
        <v>341.66590000000002</v>
      </c>
      <c r="M867">
        <v>9.6472379999999996E-2</v>
      </c>
      <c r="N867">
        <v>0</v>
      </c>
      <c r="O867">
        <v>-0.99523790000000001</v>
      </c>
      <c r="P867">
        <v>6.0102099999999999E-2</v>
      </c>
      <c r="Q867">
        <v>4.3265060000000001E-2</v>
      </c>
      <c r="R867">
        <v>-0.99725439999999999</v>
      </c>
      <c r="S867">
        <v>-0.21209720000000001</v>
      </c>
      <c r="T867">
        <v>-0.1580656</v>
      </c>
      <c r="U867">
        <v>-3.0297550000000002</v>
      </c>
      <c r="V867">
        <v>3.7060469999999998E-2</v>
      </c>
      <c r="W867">
        <v>5.6771090000000003E-2</v>
      </c>
      <c r="X867">
        <v>0.99769909999999995</v>
      </c>
      <c r="Y867">
        <v>0.165661</v>
      </c>
      <c r="Z867">
        <v>5.1312709999999997E-2</v>
      </c>
      <c r="AA867">
        <v>0.98484689999999997</v>
      </c>
      <c r="AB867">
        <v>30</v>
      </c>
      <c r="AC867">
        <v>-1.5005000000000099</v>
      </c>
      <c r="AD867">
        <v>-1.100041283488</v>
      </c>
      <c r="AE867">
        <v>-20.788</v>
      </c>
      <c r="AF867">
        <v>3.4894422238456202</v>
      </c>
      <c r="AG867">
        <v>-1.100041283488</v>
      </c>
      <c r="AH867">
        <v>20.489171067071702</v>
      </c>
      <c r="AI867">
        <v>93.029657885997196</v>
      </c>
      <c r="AJ867">
        <v>80.334878926916801</v>
      </c>
      <c r="AK867">
        <v>20.813275303869499</v>
      </c>
      <c r="AL867">
        <v>86.745506248340902</v>
      </c>
      <c r="AM867">
        <v>87.872672547809799</v>
      </c>
      <c r="AN867">
        <v>0.99999996461860796</v>
      </c>
    </row>
    <row r="868" spans="1:40" x14ac:dyDescent="0.3">
      <c r="A868" t="str">
        <f>"20200111153847258"</f>
        <v>20200111153847258</v>
      </c>
      <c r="B868" t="str">
        <f>"1578728327251245"</f>
        <v>1578728327251245</v>
      </c>
      <c r="C868" t="s">
        <v>40</v>
      </c>
      <c r="D868">
        <v>5.1805250000000003</v>
      </c>
      <c r="E868">
        <v>0.54937979999999997</v>
      </c>
      <c r="F868" t="s">
        <v>42</v>
      </c>
      <c r="G868">
        <v>-192.82640000000001</v>
      </c>
      <c r="H868" s="1">
        <v>-1.036127E-6</v>
      </c>
      <c r="I868">
        <v>320.25130000000001</v>
      </c>
      <c r="J868">
        <v>-191.22239999999999</v>
      </c>
      <c r="K868">
        <v>1.100061</v>
      </c>
      <c r="L868">
        <v>341.36619999999999</v>
      </c>
      <c r="M868">
        <v>9.0804109999999993E-2</v>
      </c>
      <c r="N868">
        <v>0</v>
      </c>
      <c r="O868">
        <v>-0.99577110000000002</v>
      </c>
      <c r="P868">
        <v>5.665506E-2</v>
      </c>
      <c r="Q868">
        <v>4.459772E-2</v>
      </c>
      <c r="R868">
        <v>-0.99739739999999999</v>
      </c>
      <c r="S868">
        <v>-0.2236023</v>
      </c>
      <c r="T868">
        <v>-0.1555704</v>
      </c>
      <c r="U868">
        <v>-3.0285030000000002</v>
      </c>
      <c r="V868">
        <v>3.4834410000000003E-2</v>
      </c>
      <c r="W868">
        <v>5.8122109999999998E-2</v>
      </c>
      <c r="X868">
        <v>0.99770150000000002</v>
      </c>
      <c r="Y868">
        <v>0.163799</v>
      </c>
      <c r="Z868">
        <v>5.0567719999999997E-2</v>
      </c>
      <c r="AA868">
        <v>0.98519679999999998</v>
      </c>
      <c r="AB868">
        <v>30</v>
      </c>
      <c r="AC868">
        <v>-1.6040000000000101</v>
      </c>
      <c r="AD868">
        <v>-1.1000620361269999</v>
      </c>
      <c r="AE868">
        <v>-21.114899999999899</v>
      </c>
      <c r="AF868">
        <v>3.5054183068451001</v>
      </c>
      <c r="AG868">
        <v>-1.1000620361269999</v>
      </c>
      <c r="AH868">
        <v>20.825785695830501</v>
      </c>
      <c r="AI868">
        <v>92.981806203712097</v>
      </c>
      <c r="AJ868">
        <v>80.445474782429798</v>
      </c>
      <c r="AK868">
        <v>21.147374395842899</v>
      </c>
      <c r="AL868">
        <v>86.667970400851004</v>
      </c>
      <c r="AM868">
        <v>88.000349544612504</v>
      </c>
      <c r="AN868">
        <v>0.999999949446573</v>
      </c>
    </row>
    <row r="869" spans="1:40" x14ac:dyDescent="0.3">
      <c r="A869" t="str">
        <f>"20200111153847280"</f>
        <v>20200111153847280</v>
      </c>
      <c r="B869" t="str">
        <f>"1578728327271741"</f>
        <v>1578728327271741</v>
      </c>
      <c r="C869" t="s">
        <v>40</v>
      </c>
      <c r="D869">
        <v>5.1531699999999896</v>
      </c>
      <c r="E869">
        <v>0.54910389999999998</v>
      </c>
      <c r="F869" t="s">
        <v>42</v>
      </c>
      <c r="G869">
        <v>-192.90450000000001</v>
      </c>
      <c r="H869" s="1">
        <v>-5.1342139999999999E-6</v>
      </c>
      <c r="I869">
        <v>319.3143</v>
      </c>
      <c r="J869">
        <v>-191.20079999999999</v>
      </c>
      <c r="K869">
        <v>1.1000829999999999</v>
      </c>
      <c r="L869">
        <v>341.06240000000003</v>
      </c>
      <c r="M869">
        <v>8.5055350000000002E-2</v>
      </c>
      <c r="N869">
        <v>0</v>
      </c>
      <c r="O869">
        <v>-0.99627880000000002</v>
      </c>
      <c r="P869">
        <v>5.4441730000000001E-2</v>
      </c>
      <c r="Q869">
        <v>4.6689420000000002E-2</v>
      </c>
      <c r="R869">
        <v>-0.99742500000000001</v>
      </c>
      <c r="S869">
        <v>-0.230957</v>
      </c>
      <c r="T869">
        <v>-0.15103810000000001</v>
      </c>
      <c r="U869">
        <v>-3.0277099999999999</v>
      </c>
      <c r="V869">
        <v>3.1301490000000001E-2</v>
      </c>
      <c r="W869">
        <v>6.0248410000000002E-2</v>
      </c>
      <c r="X869">
        <v>0.99769249999999998</v>
      </c>
      <c r="Y869">
        <v>0.1605087</v>
      </c>
      <c r="Z869">
        <v>4.9157939999999997E-2</v>
      </c>
      <c r="AA869">
        <v>0.98580959999999995</v>
      </c>
      <c r="AB869">
        <v>30</v>
      </c>
      <c r="AC869">
        <v>-1.70370000000002</v>
      </c>
      <c r="AD869">
        <v>-1.1000881342140001</v>
      </c>
      <c r="AE869">
        <v>-21.748100000000001</v>
      </c>
      <c r="AF869">
        <v>3.53849823560456</v>
      </c>
      <c r="AG869">
        <v>-1.1000881342140001</v>
      </c>
      <c r="AH869">
        <v>21.469752939489101</v>
      </c>
      <c r="AI869">
        <v>92.894234332775198</v>
      </c>
      <c r="AJ869">
        <v>80.641035573230994</v>
      </c>
      <c r="AK869">
        <v>21.787185567418199</v>
      </c>
      <c r="AL869">
        <v>86.545928555843005</v>
      </c>
      <c r="AM869">
        <v>88.202998242786094</v>
      </c>
      <c r="AN869">
        <v>0.99999998936999901</v>
      </c>
    </row>
    <row r="870" spans="1:40" x14ac:dyDescent="0.3">
      <c r="A870" t="str">
        <f>"20200111153847302"</f>
        <v>20200111153847302</v>
      </c>
      <c r="B870" t="str">
        <f>"1578728327291263"</f>
        <v>1578728327291263</v>
      </c>
      <c r="C870" t="s">
        <v>40</v>
      </c>
      <c r="D870">
        <v>5.2034960000000003</v>
      </c>
      <c r="E870">
        <v>0.5379623</v>
      </c>
      <c r="F870" t="s">
        <v>42</v>
      </c>
      <c r="G870">
        <v>-193.00319999999999</v>
      </c>
      <c r="H870" s="1">
        <v>-4.6204400000000001E-6</v>
      </c>
      <c r="I870">
        <v>317.93079999999998</v>
      </c>
      <c r="J870">
        <v>-191.18119999999999</v>
      </c>
      <c r="K870">
        <v>1.1001019999999999</v>
      </c>
      <c r="L870">
        <v>340.76080000000002</v>
      </c>
      <c r="M870">
        <v>7.9345830000000006E-2</v>
      </c>
      <c r="N870">
        <v>0</v>
      </c>
      <c r="O870">
        <v>-0.99674969999999996</v>
      </c>
      <c r="P870">
        <v>5.2754929999999998E-2</v>
      </c>
      <c r="Q870">
        <v>4.8283060000000003E-2</v>
      </c>
      <c r="R870">
        <v>-0.99743970000000004</v>
      </c>
      <c r="S870">
        <v>-0.2358856</v>
      </c>
      <c r="T870">
        <v>-0.1439723</v>
      </c>
      <c r="U870">
        <v>-3.0273129999999999</v>
      </c>
      <c r="V870">
        <v>2.728011E-2</v>
      </c>
      <c r="W870">
        <v>6.1882819999999998E-2</v>
      </c>
      <c r="X870">
        <v>0.99771049999999994</v>
      </c>
      <c r="Y870">
        <v>0.1564661</v>
      </c>
      <c r="Z870">
        <v>4.6915680000000001E-2</v>
      </c>
      <c r="AA870">
        <v>0.98656849999999996</v>
      </c>
      <c r="AB870">
        <v>30</v>
      </c>
      <c r="AC870">
        <v>-1.8220000000000001</v>
      </c>
      <c r="AD870">
        <v>-1.1001066204400001</v>
      </c>
      <c r="AE870">
        <v>-22.83</v>
      </c>
      <c r="AF870">
        <v>3.61954436962949</v>
      </c>
      <c r="AG870">
        <v>-1.1001066204400001</v>
      </c>
      <c r="AH870">
        <v>22.561368858265698</v>
      </c>
      <c r="AI870">
        <v>92.756376230310195</v>
      </c>
      <c r="AJ870">
        <v>80.885643145468094</v>
      </c>
      <c r="AK870">
        <v>22.876334950747101</v>
      </c>
      <c r="AL870">
        <v>86.452108571009504</v>
      </c>
      <c r="AM870">
        <v>88.433768291004895</v>
      </c>
      <c r="AN870">
        <v>0.99999996481150599</v>
      </c>
    </row>
    <row r="871" spans="1:40" x14ac:dyDescent="0.3">
      <c r="A871" t="str">
        <f>"20200111153847330"</f>
        <v>20200111153847330</v>
      </c>
      <c r="B871" t="str">
        <f>"1578728327321518"</f>
        <v>1578728327321518</v>
      </c>
      <c r="C871" t="s">
        <v>40</v>
      </c>
      <c r="D871">
        <v>5.417535</v>
      </c>
      <c r="E871">
        <v>0.55797390000000002</v>
      </c>
      <c r="F871" t="s">
        <v>42</v>
      </c>
      <c r="G871">
        <v>-192.1618</v>
      </c>
      <c r="H871" s="1">
        <v>-1.379703E-6</v>
      </c>
      <c r="I871">
        <v>321.46440000000001</v>
      </c>
      <c r="J871">
        <v>-191.1602</v>
      </c>
      <c r="K871">
        <v>1.100115</v>
      </c>
      <c r="L871">
        <v>340.40609999999998</v>
      </c>
      <c r="M871">
        <v>7.2628940000000003E-2</v>
      </c>
      <c r="N871">
        <v>0</v>
      </c>
      <c r="O871">
        <v>-0.99726190000000003</v>
      </c>
      <c r="P871">
        <v>5.0510579999999999E-2</v>
      </c>
      <c r="Q871">
        <v>4.9498300000000002E-2</v>
      </c>
      <c r="R871">
        <v>-0.99749600000000005</v>
      </c>
      <c r="S871">
        <v>-0.1536865</v>
      </c>
      <c r="T871">
        <v>-0.17241110000000001</v>
      </c>
      <c r="U871">
        <v>-3.0241699999999998</v>
      </c>
      <c r="V871">
        <v>2.280774E-2</v>
      </c>
      <c r="W871">
        <v>6.3143009999999999E-2</v>
      </c>
      <c r="X871">
        <v>0.99774379999999996</v>
      </c>
      <c r="Y871">
        <v>0.1230807</v>
      </c>
      <c r="Z871">
        <v>5.6440320000000002E-2</v>
      </c>
      <c r="AA871">
        <v>0.99079039999999996</v>
      </c>
      <c r="AB871">
        <v>30</v>
      </c>
      <c r="AC871">
        <v>-1.0015999999999901</v>
      </c>
      <c r="AD871">
        <v>-1.100116379703</v>
      </c>
      <c r="AE871">
        <v>-18.941699999999901</v>
      </c>
      <c r="AF871">
        <v>2.3668416511956298</v>
      </c>
      <c r="AG871">
        <v>-1.100116379703</v>
      </c>
      <c r="AH871">
        <v>18.7558233219657</v>
      </c>
      <c r="AI871">
        <v>93.330465130781704</v>
      </c>
      <c r="AJ871">
        <v>82.807727262447798</v>
      </c>
      <c r="AK871">
        <v>18.936554700776998</v>
      </c>
      <c r="AL871">
        <v>86.379763487754602</v>
      </c>
      <c r="AM871">
        <v>88.690485780260204</v>
      </c>
      <c r="AN871">
        <v>0.99999996157710302</v>
      </c>
    </row>
    <row r="872" spans="1:40" x14ac:dyDescent="0.3">
      <c r="A872" t="str">
        <f>"20200111153847350"</f>
        <v>20200111153847350</v>
      </c>
      <c r="B872" t="str">
        <f>"1578728327341037"</f>
        <v>1578728327341037</v>
      </c>
      <c r="C872" t="s">
        <v>40</v>
      </c>
      <c r="D872">
        <v>5.373132</v>
      </c>
      <c r="E872">
        <v>0.57359830000000001</v>
      </c>
      <c r="F872" t="s">
        <v>42</v>
      </c>
      <c r="G872">
        <v>-192.9666</v>
      </c>
      <c r="H872" s="1">
        <v>-2.3946119999999998E-6</v>
      </c>
      <c r="I872">
        <v>323.33109999999999</v>
      </c>
      <c r="J872">
        <v>-191.1447</v>
      </c>
      <c r="K872">
        <v>1.1001190000000001</v>
      </c>
      <c r="L872">
        <v>340.11329999999998</v>
      </c>
      <c r="M872">
        <v>6.708182E-2</v>
      </c>
      <c r="N872">
        <v>0</v>
      </c>
      <c r="O872">
        <v>-0.99765029999999999</v>
      </c>
      <c r="P872">
        <v>4.9738539999999998E-2</v>
      </c>
      <c r="Q872">
        <v>4.9804910000000001E-2</v>
      </c>
      <c r="R872">
        <v>-0.99751970000000001</v>
      </c>
      <c r="S872">
        <v>-0.32090760000000002</v>
      </c>
      <c r="T872">
        <v>-0.19544239999999999</v>
      </c>
      <c r="U872">
        <v>-3.0334780000000001</v>
      </c>
      <c r="V872">
        <v>1.8028639999999999E-2</v>
      </c>
      <c r="W872">
        <v>6.3500399999999999E-2</v>
      </c>
      <c r="X872">
        <v>0.99781889999999995</v>
      </c>
      <c r="Y872">
        <v>0.17146739999999999</v>
      </c>
      <c r="Z872">
        <v>6.3425229999999999E-2</v>
      </c>
      <c r="AA872">
        <v>0.98314610000000002</v>
      </c>
      <c r="AB872">
        <v>30</v>
      </c>
      <c r="AC872">
        <v>-1.8219000000000001</v>
      </c>
      <c r="AD872">
        <v>-1.1001213946120001</v>
      </c>
      <c r="AE872">
        <v>-16.7821999999999</v>
      </c>
      <c r="AF872">
        <v>2.9312356958889398</v>
      </c>
      <c r="AG872">
        <v>-1.1001213946120001</v>
      </c>
      <c r="AH872">
        <v>16.551864341531701</v>
      </c>
      <c r="AI872">
        <v>93.744482306108296</v>
      </c>
      <c r="AJ872">
        <v>79.957384355998499</v>
      </c>
      <c r="AK872">
        <v>16.845373933760101</v>
      </c>
      <c r="AL872">
        <v>86.359245311090504</v>
      </c>
      <c r="AM872">
        <v>88.964889721909302</v>
      </c>
      <c r="AN872">
        <v>0.99999994492880795</v>
      </c>
    </row>
    <row r="873" spans="1:40" x14ac:dyDescent="0.3">
      <c r="A873" t="str">
        <f>"20200111153847371"</f>
        <v>20200111153847371</v>
      </c>
      <c r="B873" t="str">
        <f>"1578728327361066"</f>
        <v>1578728327361066</v>
      </c>
      <c r="C873" t="s">
        <v>40</v>
      </c>
      <c r="D873">
        <v>5.3272690000000003</v>
      </c>
      <c r="E873">
        <v>0.57662559999999996</v>
      </c>
      <c r="F873" t="s">
        <v>42</v>
      </c>
      <c r="G873">
        <v>-193.76820000000001</v>
      </c>
      <c r="H873" s="1">
        <v>-2.1781700000000002E-6</v>
      </c>
      <c r="I873">
        <v>322.32929999999999</v>
      </c>
      <c r="J873">
        <v>-191.131</v>
      </c>
      <c r="K873">
        <v>1.1001289999999999</v>
      </c>
      <c r="L873">
        <v>339.82330000000002</v>
      </c>
      <c r="M873">
        <v>6.1586750000000003E-2</v>
      </c>
      <c r="N873">
        <v>0</v>
      </c>
      <c r="O873">
        <v>-0.99800480000000003</v>
      </c>
      <c r="P873">
        <v>4.8615449999999998E-2</v>
      </c>
      <c r="Q873">
        <v>4.9323470000000001E-2</v>
      </c>
      <c r="R873">
        <v>-0.99759909999999996</v>
      </c>
      <c r="S873">
        <v>-0.448349</v>
      </c>
      <c r="T873">
        <v>-0.18800639999999999</v>
      </c>
      <c r="U873">
        <v>-3.039215</v>
      </c>
      <c r="V873">
        <v>1.3648230000000001E-2</v>
      </c>
      <c r="W873">
        <v>6.306544E-2</v>
      </c>
      <c r="X873">
        <v>0.99791600000000003</v>
      </c>
      <c r="Y873">
        <v>0.20632819999999999</v>
      </c>
      <c r="Z873">
        <v>6.05751E-2</v>
      </c>
      <c r="AA873">
        <v>0.97660599999999997</v>
      </c>
      <c r="AB873">
        <v>30</v>
      </c>
      <c r="AC873">
        <v>-2.6372000000000302</v>
      </c>
      <c r="AD873">
        <v>-1.1001311781700001</v>
      </c>
      <c r="AE873">
        <v>-17.494</v>
      </c>
      <c r="AF873">
        <v>3.6954063791477201</v>
      </c>
      <c r="AG873">
        <v>-1.1001311781700001</v>
      </c>
      <c r="AH873">
        <v>17.2317213913811</v>
      </c>
      <c r="AI873">
        <v>93.571999836657795</v>
      </c>
      <c r="AJ873">
        <v>77.896041019978895</v>
      </c>
      <c r="AK873">
        <v>17.6578180709398</v>
      </c>
      <c r="AL873">
        <v>86.384216695519797</v>
      </c>
      <c r="AM873">
        <v>89.216429815048699</v>
      </c>
      <c r="AN873">
        <v>0.99999993348026095</v>
      </c>
    </row>
    <row r="874" spans="1:40" x14ac:dyDescent="0.3">
      <c r="A874" t="str">
        <f>"20200111153847393"</f>
        <v>20200111153847393</v>
      </c>
      <c r="B874" t="str">
        <f>"1578728327381561"</f>
        <v>1578728327381561</v>
      </c>
      <c r="C874" t="s">
        <v>40</v>
      </c>
      <c r="D874">
        <v>5.3789110000000004</v>
      </c>
      <c r="E874">
        <v>0.57845719999999901</v>
      </c>
      <c r="F874" t="s">
        <v>42</v>
      </c>
      <c r="G874">
        <v>-193.9256</v>
      </c>
      <c r="H874" s="1">
        <v>-2.0722050000000002E-6</v>
      </c>
      <c r="I874">
        <v>321.98469999999998</v>
      </c>
      <c r="J874">
        <v>-191.119</v>
      </c>
      <c r="K874">
        <v>1.100136</v>
      </c>
      <c r="L874">
        <v>339.5385</v>
      </c>
      <c r="M874">
        <v>5.6189999999999997E-2</v>
      </c>
      <c r="N874">
        <v>0</v>
      </c>
      <c r="O874">
        <v>-0.99832330000000002</v>
      </c>
      <c r="P874">
        <v>4.6312489999999998E-2</v>
      </c>
      <c r="Q874">
        <v>4.8521259999999997E-2</v>
      </c>
      <c r="R874">
        <v>-0.99774810000000003</v>
      </c>
      <c r="S874">
        <v>-0.47621150000000001</v>
      </c>
      <c r="T874">
        <v>-0.1874625</v>
      </c>
      <c r="U874">
        <v>-3.0397029999999998</v>
      </c>
      <c r="V874">
        <v>1.0545819999999999E-2</v>
      </c>
      <c r="W874">
        <v>6.2295910000000003E-2</v>
      </c>
      <c r="X874">
        <v>0.99800199999999994</v>
      </c>
      <c r="Y874">
        <v>0.20976590000000001</v>
      </c>
      <c r="Z874">
        <v>6.0356640000000003E-2</v>
      </c>
      <c r="AA874">
        <v>0.9758869</v>
      </c>
      <c r="AB874">
        <v>30</v>
      </c>
      <c r="AC874">
        <v>-2.8065999999999698</v>
      </c>
      <c r="AD874">
        <v>-1.100138072205</v>
      </c>
      <c r="AE874">
        <v>-17.553799999999999</v>
      </c>
      <c r="AF874">
        <v>3.7741536281215402</v>
      </c>
      <c r="AG874">
        <v>-1.100138072205</v>
      </c>
      <c r="AH874">
        <v>17.302077628355601</v>
      </c>
      <c r="AI874">
        <v>93.554837866731901</v>
      </c>
      <c r="AJ874">
        <v>77.694655675264997</v>
      </c>
      <c r="AK874">
        <v>17.743067086730601</v>
      </c>
      <c r="AL874">
        <v>86.428394604486201</v>
      </c>
      <c r="AM874">
        <v>89.394581885085699</v>
      </c>
      <c r="AN874">
        <v>0.99999999336309997</v>
      </c>
    </row>
    <row r="875" spans="1:40" x14ac:dyDescent="0.3">
      <c r="A875" t="str">
        <f>"20200111153847416"</f>
        <v>20200111153847416</v>
      </c>
      <c r="B875" t="str">
        <f>"1578728327410842"</f>
        <v>1578728327410842</v>
      </c>
      <c r="C875" t="s">
        <v>40</v>
      </c>
      <c r="D875">
        <v>5.3595759999999997</v>
      </c>
      <c r="E875">
        <v>0.5793893</v>
      </c>
      <c r="F875" t="s">
        <v>42</v>
      </c>
      <c r="G875">
        <v>-194.05289999999999</v>
      </c>
      <c r="H875" s="1">
        <v>-1.9511100000000001E-6</v>
      </c>
      <c r="I875">
        <v>321.62349999999998</v>
      </c>
      <c r="J875">
        <v>-191.10769999999999</v>
      </c>
      <c r="K875">
        <v>1.1001479999999999</v>
      </c>
      <c r="L875">
        <v>339.22269999999997</v>
      </c>
      <c r="M875">
        <v>5.0201740000000002E-2</v>
      </c>
      <c r="N875">
        <v>0</v>
      </c>
      <c r="O875">
        <v>-0.99864229999999998</v>
      </c>
      <c r="P875">
        <v>4.2695940000000002E-2</v>
      </c>
      <c r="Q875">
        <v>4.7960339999999997E-2</v>
      </c>
      <c r="R875">
        <v>-0.99793639999999995</v>
      </c>
      <c r="S875">
        <v>-0.49766539999999998</v>
      </c>
      <c r="T875">
        <v>-0.18661710000000001</v>
      </c>
      <c r="U875">
        <v>-3.0389400000000002</v>
      </c>
      <c r="V875">
        <v>8.1694790000000003E-3</v>
      </c>
      <c r="W875">
        <v>6.175812E-2</v>
      </c>
      <c r="X875">
        <v>0.99805770000000005</v>
      </c>
      <c r="Y875">
        <v>0.2106595</v>
      </c>
      <c r="Z875">
        <v>6.0090440000000002E-2</v>
      </c>
      <c r="AA875">
        <v>0.97571090000000005</v>
      </c>
      <c r="AB875">
        <v>30</v>
      </c>
      <c r="AC875">
        <v>-2.9451999999999998</v>
      </c>
      <c r="AD875">
        <v>-1.1001499511099999</v>
      </c>
      <c r="AE875">
        <v>-17.5991999999999</v>
      </c>
      <c r="AF875">
        <v>3.8105966586076301</v>
      </c>
      <c r="AG875">
        <v>-1.1001499511099999</v>
      </c>
      <c r="AH875">
        <v>17.363135359338401</v>
      </c>
      <c r="AI875">
        <v>93.5414248183599</v>
      </c>
      <c r="AJ875">
        <v>77.621834968750704</v>
      </c>
      <c r="AK875">
        <v>17.810374682084198</v>
      </c>
      <c r="AL875">
        <v>86.459267133382895</v>
      </c>
      <c r="AM875">
        <v>89.531022891596606</v>
      </c>
      <c r="AN875">
        <v>0.99999998915117705</v>
      </c>
    </row>
    <row r="876" spans="1:40" x14ac:dyDescent="0.3">
      <c r="A876" t="str">
        <f>"20200111153847438"</f>
        <v>20200111153847438</v>
      </c>
      <c r="B876" t="str">
        <f>"1578728327431338"</f>
        <v>1578728327431338</v>
      </c>
      <c r="C876" t="s">
        <v>40</v>
      </c>
      <c r="D876">
        <v>5.3385749999999996</v>
      </c>
      <c r="E876">
        <v>0.57965080000000002</v>
      </c>
      <c r="F876" t="s">
        <v>42</v>
      </c>
      <c r="G876">
        <v>-194.1677</v>
      </c>
      <c r="H876" s="1">
        <v>-1.803916E-6</v>
      </c>
      <c r="I876">
        <v>321.20920000000001</v>
      </c>
      <c r="J876">
        <v>-191.0986</v>
      </c>
      <c r="K876">
        <v>1.100163</v>
      </c>
      <c r="L876">
        <v>338.9196</v>
      </c>
      <c r="M876">
        <v>4.4455000000000001E-2</v>
      </c>
      <c r="N876">
        <v>0</v>
      </c>
      <c r="O876">
        <v>-0.99891470000000004</v>
      </c>
      <c r="P876">
        <v>3.8686350000000001E-2</v>
      </c>
      <c r="Q876">
        <v>4.801325E-2</v>
      </c>
      <c r="R876">
        <v>-0.99809769999999998</v>
      </c>
      <c r="S876">
        <v>-0.5159454</v>
      </c>
      <c r="T876">
        <v>-0.18549289999999999</v>
      </c>
      <c r="U876">
        <v>-3.037201</v>
      </c>
      <c r="V876">
        <v>6.4346100000000003E-3</v>
      </c>
      <c r="W876">
        <v>6.1826649999999997E-2</v>
      </c>
      <c r="X876">
        <v>0.99806620000000001</v>
      </c>
      <c r="Y876">
        <v>0.21084130000000001</v>
      </c>
      <c r="Z876">
        <v>5.975772E-2</v>
      </c>
      <c r="AA876">
        <v>0.975692</v>
      </c>
      <c r="AB876">
        <v>30</v>
      </c>
      <c r="AC876">
        <v>-3.0690999999999899</v>
      </c>
      <c r="AD876">
        <v>-1.1001648039159999</v>
      </c>
      <c r="AE876">
        <v>-17.7103999999999</v>
      </c>
      <c r="AF876">
        <v>3.8390746265643201</v>
      </c>
      <c r="AG876">
        <v>-1.1001648039159999</v>
      </c>
      <c r="AH876">
        <v>17.490910767871402</v>
      </c>
      <c r="AI876">
        <v>93.515648012473605</v>
      </c>
      <c r="AJ876">
        <v>77.620473110452295</v>
      </c>
      <c r="AK876">
        <v>17.941037207300599</v>
      </c>
      <c r="AL876">
        <v>86.4553333134984</v>
      </c>
      <c r="AM876">
        <v>89.630614794932498</v>
      </c>
      <c r="AN876">
        <v>1.0000000392192501</v>
      </c>
    </row>
    <row r="877" spans="1:40" x14ac:dyDescent="0.3">
      <c r="A877" t="str">
        <f>"20200111153847460"</f>
        <v>20200111153847460</v>
      </c>
      <c r="B877" t="str">
        <f>"1578728327450857"</f>
        <v>1578728327450857</v>
      </c>
      <c r="C877" t="s">
        <v>40</v>
      </c>
      <c r="D877">
        <v>5.3681739999999998</v>
      </c>
      <c r="E877">
        <v>0.57984080000000005</v>
      </c>
      <c r="F877" t="s">
        <v>42</v>
      </c>
      <c r="G877">
        <v>-194.267</v>
      </c>
      <c r="H877" s="1">
        <v>-1.6466780000000001E-6</v>
      </c>
      <c r="I877">
        <v>320.78109999999998</v>
      </c>
      <c r="J877">
        <v>-191.0916</v>
      </c>
      <c r="K877">
        <v>1.1001780000000001</v>
      </c>
      <c r="L877">
        <v>338.63029999999998</v>
      </c>
      <c r="M877">
        <v>3.8969030000000002E-2</v>
      </c>
      <c r="N877">
        <v>0</v>
      </c>
      <c r="O877">
        <v>-0.99914389999999997</v>
      </c>
      <c r="P877">
        <v>3.444941E-2</v>
      </c>
      <c r="Q877">
        <v>4.8579030000000002E-2</v>
      </c>
      <c r="R877">
        <v>-0.99822529999999998</v>
      </c>
      <c r="S877">
        <v>-0.53016660000000004</v>
      </c>
      <c r="T877">
        <v>-0.1840926</v>
      </c>
      <c r="U877">
        <v>-3.0351560000000002</v>
      </c>
      <c r="V877">
        <v>5.1936760000000004E-3</v>
      </c>
      <c r="W877">
        <v>6.2402510000000001E-2</v>
      </c>
      <c r="X877">
        <v>0.99803759999999997</v>
      </c>
      <c r="Y877">
        <v>0.2100264</v>
      </c>
      <c r="Z877">
        <v>5.9350100000000003E-2</v>
      </c>
      <c r="AA877">
        <v>0.97589269999999995</v>
      </c>
      <c r="AB877">
        <v>30</v>
      </c>
      <c r="AC877">
        <v>-3.17539999999999</v>
      </c>
      <c r="AD877">
        <v>-1.1001796466779901</v>
      </c>
      <c r="AE877">
        <v>-17.8491999999999</v>
      </c>
      <c r="AF877">
        <v>3.8544262465783401</v>
      </c>
      <c r="AG877">
        <v>-1.1001796466779901</v>
      </c>
      <c r="AH877">
        <v>17.646898326445999</v>
      </c>
      <c r="AI877">
        <v>93.485473068116207</v>
      </c>
      <c r="AJ877">
        <v>77.678986906432698</v>
      </c>
      <c r="AK877">
        <v>18.096408966676201</v>
      </c>
      <c r="AL877">
        <v>86.422275168230101</v>
      </c>
      <c r="AM877">
        <v>89.701841865636595</v>
      </c>
      <c r="AN877">
        <v>1.00000004926922</v>
      </c>
    </row>
    <row r="878" spans="1:40" x14ac:dyDescent="0.3">
      <c r="A878" t="str">
        <f>"20200111153847483"</f>
        <v>20200111153847483</v>
      </c>
      <c r="B878" t="str">
        <f>"1578728327470884"</f>
        <v>1578728327470884</v>
      </c>
      <c r="C878" t="s">
        <v>40</v>
      </c>
      <c r="D878">
        <v>5.3055260000000004</v>
      </c>
      <c r="E878">
        <v>0.57981660000000002</v>
      </c>
      <c r="F878" t="s">
        <v>42</v>
      </c>
      <c r="G878">
        <v>-194.37180000000001</v>
      </c>
      <c r="H878" s="1">
        <v>-1.4894549999999999E-6</v>
      </c>
      <c r="I878">
        <v>320.34949999999998</v>
      </c>
      <c r="J878">
        <v>-191.0857</v>
      </c>
      <c r="K878">
        <v>1.1001939999999999</v>
      </c>
      <c r="L878">
        <v>338.31779999999998</v>
      </c>
      <c r="M878">
        <v>3.3039899999999997E-2</v>
      </c>
      <c r="N878">
        <v>0</v>
      </c>
      <c r="O878">
        <v>-0.99935750000000001</v>
      </c>
      <c r="P878">
        <v>2.919938E-2</v>
      </c>
      <c r="Q878">
        <v>5.0787569999999997E-2</v>
      </c>
      <c r="R878">
        <v>-0.99828280000000003</v>
      </c>
      <c r="S878">
        <v>-0.54423520000000003</v>
      </c>
      <c r="T878">
        <v>-0.18253259999999999</v>
      </c>
      <c r="U878">
        <v>-3.0329899999999999</v>
      </c>
      <c r="V878">
        <v>4.5400500000000003E-3</v>
      </c>
      <c r="W878">
        <v>6.4613420000000005E-2</v>
      </c>
      <c r="X878">
        <v>0.99790009999999996</v>
      </c>
      <c r="Y878">
        <v>0.20873749999999999</v>
      </c>
      <c r="Z878">
        <v>5.8894040000000002E-2</v>
      </c>
      <c r="AA878">
        <v>0.97619679999999998</v>
      </c>
      <c r="AB878">
        <v>30</v>
      </c>
      <c r="AC878">
        <v>-3.2860999999999998</v>
      </c>
      <c r="AD878">
        <v>-1.1001954894549999</v>
      </c>
      <c r="AE878">
        <v>-17.968299999999999</v>
      </c>
      <c r="AF878">
        <v>3.8640159717392901</v>
      </c>
      <c r="AG878">
        <v>-1.1001954894549999</v>
      </c>
      <c r="AH878">
        <v>17.785384123945999</v>
      </c>
      <c r="AI878">
        <v>93.459282767281394</v>
      </c>
      <c r="AJ878">
        <v>77.742522699423702</v>
      </c>
      <c r="AK878">
        <v>18.2335114001989</v>
      </c>
      <c r="AL878">
        <v>86.295343134446796</v>
      </c>
      <c r="AM878">
        <v>89.739328707323295</v>
      </c>
      <c r="AN878">
        <v>1.00000005783905</v>
      </c>
    </row>
    <row r="879" spans="1:40" x14ac:dyDescent="0.3">
      <c r="A879" t="str">
        <f>"20200111153847506"</f>
        <v>20200111153847506</v>
      </c>
      <c r="B879" t="str">
        <f>"1578728327501139"</f>
        <v>1578728327501139</v>
      </c>
      <c r="C879" t="s">
        <v>40</v>
      </c>
      <c r="D879">
        <v>5.3329440000000004</v>
      </c>
      <c r="E879">
        <v>0.57928679999999999</v>
      </c>
      <c r="F879" t="s">
        <v>42</v>
      </c>
      <c r="G879">
        <v>-194.5728</v>
      </c>
      <c r="H879" s="1">
        <v>-5.4732140000000003E-6</v>
      </c>
      <c r="I879">
        <v>319.42649999999998</v>
      </c>
      <c r="J879">
        <v>-191.08189999999999</v>
      </c>
      <c r="K879">
        <v>1.1002050000000001</v>
      </c>
      <c r="L879">
        <v>338.01799999999997</v>
      </c>
      <c r="M879">
        <v>2.7355669999999999E-2</v>
      </c>
      <c r="N879">
        <v>0</v>
      </c>
      <c r="O879">
        <v>-0.99952929999999995</v>
      </c>
      <c r="P879">
        <v>2.464854E-2</v>
      </c>
      <c r="Q879">
        <v>5.2637099999999999E-2</v>
      </c>
      <c r="R879">
        <v>-0.99830960000000002</v>
      </c>
      <c r="S879">
        <v>-0.55937190000000003</v>
      </c>
      <c r="T879">
        <v>-0.17648839999999999</v>
      </c>
      <c r="U879">
        <v>-3.0304570000000002</v>
      </c>
      <c r="V879">
        <v>3.429339E-3</v>
      </c>
      <c r="W879">
        <v>6.647053E-2</v>
      </c>
      <c r="X879">
        <v>0.99778250000000002</v>
      </c>
      <c r="Y879">
        <v>0.2080573</v>
      </c>
      <c r="Z879">
        <v>5.6991029999999998E-2</v>
      </c>
      <c r="AA879">
        <v>0.97645490000000001</v>
      </c>
      <c r="AB879">
        <v>30</v>
      </c>
      <c r="AC879">
        <v>-3.4909000000000101</v>
      </c>
      <c r="AD879">
        <v>-1.1002104732139999</v>
      </c>
      <c r="AE879">
        <v>-18.5915</v>
      </c>
      <c r="AF879">
        <v>3.9847457699816902</v>
      </c>
      <c r="AG879">
        <v>-1.1002104732139999</v>
      </c>
      <c r="AH879">
        <v>18.426702338631799</v>
      </c>
      <c r="AI879">
        <v>93.339905839108297</v>
      </c>
      <c r="AJ879">
        <v>77.797767054836498</v>
      </c>
      <c r="AK879">
        <v>18.8847033604793</v>
      </c>
      <c r="AL879">
        <v>86.188709073726102</v>
      </c>
      <c r="AM879">
        <v>89.803077446692001</v>
      </c>
      <c r="AN879">
        <v>1.0000000045153501</v>
      </c>
    </row>
    <row r="880" spans="1:40" x14ac:dyDescent="0.3">
      <c r="A880" t="str">
        <f>"20200111153847527"</f>
        <v>20200111153847527</v>
      </c>
      <c r="B880" t="str">
        <f>"1578728327521635"</f>
        <v>1578728327521635</v>
      </c>
      <c r="C880" t="s">
        <v>40</v>
      </c>
      <c r="D880">
        <v>5.3423629999999998</v>
      </c>
      <c r="E880">
        <v>0.57889499999999905</v>
      </c>
      <c r="F880" t="s">
        <v>42</v>
      </c>
      <c r="G880">
        <v>-194.75470000000001</v>
      </c>
      <c r="H880" s="1">
        <v>-5.1412029999999999E-6</v>
      </c>
      <c r="I880">
        <v>318.4778</v>
      </c>
      <c r="J880">
        <v>-191.0797</v>
      </c>
      <c r="K880">
        <v>1.100217</v>
      </c>
      <c r="L880">
        <v>337.72149999999999</v>
      </c>
      <c r="M880">
        <v>2.1752520000000001E-2</v>
      </c>
      <c r="N880">
        <v>0</v>
      </c>
      <c r="O880">
        <v>-0.99966710000000003</v>
      </c>
      <c r="P880">
        <v>2.1291629999999999E-2</v>
      </c>
      <c r="Q880">
        <v>5.3793559999999997E-2</v>
      </c>
      <c r="R880">
        <v>-0.99832529999999997</v>
      </c>
      <c r="S880">
        <v>-0.56918329999999995</v>
      </c>
      <c r="T880">
        <v>-0.1705015</v>
      </c>
      <c r="U880">
        <v>-3.028168</v>
      </c>
      <c r="V880">
        <v>1.1984369999999999E-3</v>
      </c>
      <c r="W880">
        <v>6.7647550000000001E-2</v>
      </c>
      <c r="X880">
        <v>0.99770859999999995</v>
      </c>
      <c r="Y880">
        <v>0.20578340000000001</v>
      </c>
      <c r="Z880">
        <v>5.511344E-2</v>
      </c>
      <c r="AA880">
        <v>0.97704440000000004</v>
      </c>
      <c r="AB880">
        <v>30</v>
      </c>
      <c r="AC880">
        <v>-3.67500000000001</v>
      </c>
      <c r="AD880">
        <v>-1.100222141203</v>
      </c>
      <c r="AE880">
        <v>-19.243699999999901</v>
      </c>
      <c r="AF880">
        <v>4.0799025653579699</v>
      </c>
      <c r="AG880">
        <v>-1.100222141203</v>
      </c>
      <c r="AH880">
        <v>19.098964290830398</v>
      </c>
      <c r="AI880">
        <v>93.224368949406994</v>
      </c>
      <c r="AJ880">
        <v>77.941768134825693</v>
      </c>
      <c r="AK880">
        <v>19.5608417683193</v>
      </c>
      <c r="AL880">
        <v>86.121118779780005</v>
      </c>
      <c r="AM880">
        <v>89.931176949775093</v>
      </c>
      <c r="AN880">
        <v>1.0000000388931001</v>
      </c>
    </row>
    <row r="881" spans="1:40" x14ac:dyDescent="0.3">
      <c r="A881" t="str">
        <f>"20200111153847550"</f>
        <v>20200111153847550</v>
      </c>
      <c r="B881" t="str">
        <f>"1578728327541156"</f>
        <v>1578728327541156</v>
      </c>
      <c r="C881" t="s">
        <v>40</v>
      </c>
      <c r="D881">
        <v>5.2936589999999999</v>
      </c>
      <c r="E881">
        <v>0.57864490000000002</v>
      </c>
      <c r="F881" t="s">
        <v>42</v>
      </c>
      <c r="G881">
        <v>-194.87119999999999</v>
      </c>
      <c r="H881" s="1">
        <v>-4.914188E-6</v>
      </c>
      <c r="I881">
        <v>317.8329</v>
      </c>
      <c r="J881">
        <v>-191.07910000000001</v>
      </c>
      <c r="K881">
        <v>1.1002400000000001</v>
      </c>
      <c r="L881">
        <v>337.40809999999999</v>
      </c>
      <c r="M881">
        <v>1.587243E-2</v>
      </c>
      <c r="N881">
        <v>0</v>
      </c>
      <c r="O881">
        <v>-0.99977769999999999</v>
      </c>
      <c r="P881">
        <v>1.7913459999999999E-2</v>
      </c>
      <c r="Q881">
        <v>5.3725990000000001E-2</v>
      </c>
      <c r="R881">
        <v>-0.99839520000000004</v>
      </c>
      <c r="S881">
        <v>-0.57693479999999997</v>
      </c>
      <c r="T881">
        <v>-0.16741449999999999</v>
      </c>
      <c r="U881">
        <v>-3.0263369999999998</v>
      </c>
      <c r="V881">
        <v>-1.302419E-3</v>
      </c>
      <c r="W881">
        <v>6.7602839999999997E-2</v>
      </c>
      <c r="X881">
        <v>0.99771149999999997</v>
      </c>
      <c r="Y881">
        <v>0.20255989999999999</v>
      </c>
      <c r="Z881">
        <v>5.4165480000000002E-2</v>
      </c>
      <c r="AA881">
        <v>0.97777069999999999</v>
      </c>
      <c r="AB881">
        <v>30</v>
      </c>
      <c r="AC881">
        <v>-3.7920999999999698</v>
      </c>
      <c r="AD881">
        <v>-1.100244914188</v>
      </c>
      <c r="AE881">
        <v>-19.575199999999899</v>
      </c>
      <c r="AF881">
        <v>4.08990494524899</v>
      </c>
      <c r="AG881">
        <v>-1.100244914188</v>
      </c>
      <c r="AH881">
        <v>19.453305381732399</v>
      </c>
      <c r="AI881">
        <v>93.167987776024006</v>
      </c>
      <c r="AJ881">
        <v>78.126932805315803</v>
      </c>
      <c r="AK881">
        <v>19.909016841805901</v>
      </c>
      <c r="AL881">
        <v>86.123686351128697</v>
      </c>
      <c r="AM881">
        <v>90.074794236078901</v>
      </c>
      <c r="AN881">
        <v>1.00000003875178</v>
      </c>
    </row>
    <row r="882" spans="1:40" x14ac:dyDescent="0.3">
      <c r="A882" t="str">
        <f>"20200111153847574"</f>
        <v>20200111153847574</v>
      </c>
      <c r="B882" t="str">
        <f>"1578728327571813"</f>
        <v>1578728327571813</v>
      </c>
      <c r="C882" t="s">
        <v>40</v>
      </c>
      <c r="D882">
        <v>5.2861529999999997</v>
      </c>
      <c r="E882">
        <v>0.52489919999999901</v>
      </c>
      <c r="F882" t="s">
        <v>42</v>
      </c>
      <c r="G882">
        <v>-194.9237</v>
      </c>
      <c r="H882" s="1">
        <v>-4.813625E-6</v>
      </c>
      <c r="I882">
        <v>317.54669999999999</v>
      </c>
      <c r="J882">
        <v>-191.08029999999999</v>
      </c>
      <c r="K882">
        <v>1.1002829999999999</v>
      </c>
      <c r="L882">
        <v>337.09050000000002</v>
      </c>
      <c r="M882">
        <v>9.9904160000000002E-3</v>
      </c>
      <c r="N882">
        <v>0</v>
      </c>
      <c r="O882">
        <v>-0.99985380000000001</v>
      </c>
      <c r="P882">
        <v>1.3280800000000001E-2</v>
      </c>
      <c r="Q882">
        <v>5.1524140000000003E-2</v>
      </c>
      <c r="R882">
        <v>-0.99858360000000002</v>
      </c>
      <c r="S882">
        <v>-0.58543400000000001</v>
      </c>
      <c r="T882">
        <v>-0.16753970000000001</v>
      </c>
      <c r="U882">
        <v>-3.024384</v>
      </c>
      <c r="V882">
        <v>-2.5768420000000002E-3</v>
      </c>
      <c r="W882">
        <v>6.5409969999999998E-2</v>
      </c>
      <c r="X882">
        <v>0.99785509999999999</v>
      </c>
      <c r="Y882">
        <v>0.1995634</v>
      </c>
      <c r="Z882">
        <v>5.4249039999999998E-2</v>
      </c>
      <c r="AA882">
        <v>0.97838210000000003</v>
      </c>
      <c r="AB882">
        <v>30</v>
      </c>
      <c r="AC882">
        <v>-3.8433999999999999</v>
      </c>
      <c r="AD882">
        <v>-1.1002878136249901</v>
      </c>
      <c r="AE882">
        <v>-19.543800000000001</v>
      </c>
      <c r="AF882">
        <v>4.0261916657783301</v>
      </c>
      <c r="AG882">
        <v>-1.1002878136249901</v>
      </c>
      <c r="AH882">
        <v>19.4450866287984</v>
      </c>
      <c r="AI882">
        <v>93.1714639728539</v>
      </c>
      <c r="AJ882">
        <v>78.301955703361301</v>
      </c>
      <c r="AK882">
        <v>19.8879925232254</v>
      </c>
      <c r="AL882">
        <v>86.249607033068102</v>
      </c>
      <c r="AM882">
        <v>90.147959200569304</v>
      </c>
      <c r="AN882">
        <v>0.99999995244304996</v>
      </c>
    </row>
    <row r="883" spans="1:40" x14ac:dyDescent="0.3">
      <c r="A883" t="str">
        <f>"20200111153847594"</f>
        <v>20200111153847594</v>
      </c>
      <c r="B883" t="str">
        <f>"1578728327591333"</f>
        <v>1578728327591333</v>
      </c>
      <c r="C883" t="s">
        <v>40</v>
      </c>
      <c r="D883">
        <v>5.1768729999999996</v>
      </c>
      <c r="E883">
        <v>0.51611039999999997</v>
      </c>
      <c r="F883" t="s">
        <v>42</v>
      </c>
      <c r="G883">
        <v>-192.38399999999999</v>
      </c>
      <c r="H883" s="1">
        <v>-2.6722509999999999E-6</v>
      </c>
      <c r="I883">
        <v>313.90280000000001</v>
      </c>
      <c r="J883">
        <v>-191.0829</v>
      </c>
      <c r="K883">
        <v>1.100352</v>
      </c>
      <c r="L883">
        <v>336.81810000000002</v>
      </c>
      <c r="M883">
        <v>5.0488800000000004E-3</v>
      </c>
      <c r="N883">
        <v>0</v>
      </c>
      <c r="O883">
        <v>-0.99989110000000003</v>
      </c>
      <c r="P883">
        <v>9.0626439999999999E-3</v>
      </c>
      <c r="Q883">
        <v>4.8450010000000002E-2</v>
      </c>
      <c r="R883">
        <v>-0.99878480000000003</v>
      </c>
      <c r="S883">
        <v>-0.16944890000000001</v>
      </c>
      <c r="T883">
        <v>-0.143014</v>
      </c>
      <c r="U883">
        <v>-3.013916</v>
      </c>
      <c r="V883">
        <v>-3.3388020000000001E-3</v>
      </c>
      <c r="W883">
        <v>6.2338270000000001E-2</v>
      </c>
      <c r="X883">
        <v>0.99804950000000003</v>
      </c>
      <c r="Y883">
        <v>6.1111329999999998E-2</v>
      </c>
      <c r="Z883">
        <v>4.7315419999999997E-2</v>
      </c>
      <c r="AA883">
        <v>0.99700889999999998</v>
      </c>
      <c r="AB883">
        <v>30</v>
      </c>
      <c r="AC883">
        <v>-1.3011000000000099</v>
      </c>
      <c r="AD883">
        <v>-1.100354672251</v>
      </c>
      <c r="AE883">
        <v>-22.915299999999998</v>
      </c>
      <c r="AF883">
        <v>1.4135423217635801</v>
      </c>
      <c r="AG883">
        <v>-1.100354672251</v>
      </c>
      <c r="AH883">
        <v>22.855907233842199</v>
      </c>
      <c r="AI883">
        <v>92.751021335849899</v>
      </c>
      <c r="AJ883">
        <v>86.461003057394905</v>
      </c>
      <c r="AK883">
        <v>22.925997857937698</v>
      </c>
      <c r="AL883">
        <v>86.425962873997904</v>
      </c>
      <c r="AM883">
        <v>90.191672406640095</v>
      </c>
      <c r="AN883">
        <v>1.00000000597781</v>
      </c>
    </row>
    <row r="884" spans="1:40" x14ac:dyDescent="0.3">
      <c r="A884" t="str">
        <f>"20200111153847617"</f>
        <v>20200111153847617</v>
      </c>
      <c r="B884" t="str">
        <f>"1578728327611828"</f>
        <v>1578728327611828</v>
      </c>
      <c r="C884" t="s">
        <v>40</v>
      </c>
      <c r="D884">
        <v>5.1200650000000003</v>
      </c>
      <c r="E884">
        <v>0.51257749999999902</v>
      </c>
      <c r="F884" t="s">
        <v>42</v>
      </c>
      <c r="G884">
        <v>-191.85220000000001</v>
      </c>
      <c r="H884" s="1">
        <v>-3.5961830000000001E-6</v>
      </c>
      <c r="I884">
        <v>316.1567</v>
      </c>
      <c r="J884">
        <v>-191.0872</v>
      </c>
      <c r="K884">
        <v>1.100468</v>
      </c>
      <c r="L884">
        <v>336.51249999999999</v>
      </c>
      <c r="M884">
        <v>-3.1991160000000002E-4</v>
      </c>
      <c r="N884">
        <v>0</v>
      </c>
      <c r="O884">
        <v>-0.99990409999999996</v>
      </c>
      <c r="P884">
        <v>4.8150229999999999E-3</v>
      </c>
      <c r="Q884">
        <v>4.6439029999999999E-2</v>
      </c>
      <c r="R884">
        <v>-0.99890970000000001</v>
      </c>
      <c r="S884">
        <v>-0.1121674</v>
      </c>
      <c r="T884">
        <v>-0.1604294</v>
      </c>
      <c r="U884">
        <v>-3.0123899999999999</v>
      </c>
      <c r="V884">
        <v>-4.4953340000000001E-3</v>
      </c>
      <c r="W884">
        <v>6.0328850000000003E-2</v>
      </c>
      <c r="X884">
        <v>0.99816839999999996</v>
      </c>
      <c r="Y884">
        <v>3.683724E-2</v>
      </c>
      <c r="Z884">
        <v>5.3144730000000001E-2</v>
      </c>
      <c r="AA884">
        <v>0.99790719999999999</v>
      </c>
      <c r="AB884">
        <v>30</v>
      </c>
      <c r="AC884">
        <v>-0.765000000000014</v>
      </c>
      <c r="AD884">
        <v>-1.1004715961830001</v>
      </c>
      <c r="AE884">
        <v>-20.355799999999899</v>
      </c>
      <c r="AF884">
        <v>0.75628003268483202</v>
      </c>
      <c r="AG884">
        <v>-1.1004715961830001</v>
      </c>
      <c r="AH884">
        <v>20.2968063011037</v>
      </c>
      <c r="AI884">
        <v>93.101330522052393</v>
      </c>
      <c r="AJ884">
        <v>87.866087088825793</v>
      </c>
      <c r="AK884">
        <v>20.3406819759409</v>
      </c>
      <c r="AL884">
        <v>86.541311205087794</v>
      </c>
      <c r="AM884">
        <v>90.258034540462901</v>
      </c>
      <c r="AN884">
        <v>0.99999996646432598</v>
      </c>
    </row>
    <row r="885" spans="1:40" x14ac:dyDescent="0.3">
      <c r="A885" t="str">
        <f>"20200111153847639"</f>
        <v>20200111153847639</v>
      </c>
      <c r="B885" t="str">
        <f>"1578728327631348"</f>
        <v>1578728327631348</v>
      </c>
      <c r="C885" t="s">
        <v>40</v>
      </c>
      <c r="D885">
        <v>5.1162539999999996</v>
      </c>
      <c r="E885">
        <v>0.51094430000000002</v>
      </c>
      <c r="F885" t="s">
        <v>41</v>
      </c>
      <c r="G885">
        <v>-191.1182</v>
      </c>
      <c r="H885">
        <v>1.0453190000000001</v>
      </c>
      <c r="I885">
        <v>335.5453</v>
      </c>
      <c r="J885">
        <v>-191.0926</v>
      </c>
      <c r="K885">
        <v>1.100617</v>
      </c>
      <c r="L885">
        <v>336.22</v>
      </c>
      <c r="M885">
        <v>-5.2645640000000002E-3</v>
      </c>
      <c r="N885">
        <v>0</v>
      </c>
      <c r="O885">
        <v>-0.99989039999999996</v>
      </c>
      <c r="P885">
        <v>1.766943E-3</v>
      </c>
      <c r="Q885">
        <v>4.5075160000000003E-2</v>
      </c>
      <c r="R885">
        <v>-0.99898209999999998</v>
      </c>
      <c r="S885">
        <v>-9.6786499999999998E-2</v>
      </c>
      <c r="T885">
        <v>-0.1717264</v>
      </c>
      <c r="U885">
        <v>-3.011749</v>
      </c>
      <c r="V885">
        <v>-6.4235009999999999E-3</v>
      </c>
      <c r="W885">
        <v>5.8971330000000002E-2</v>
      </c>
      <c r="X885">
        <v>0.99823899999999999</v>
      </c>
      <c r="Y885">
        <v>2.6804890000000001E-2</v>
      </c>
      <c r="Z885">
        <v>5.6900319999999997E-2</v>
      </c>
      <c r="AA885">
        <v>0.99802000000000002</v>
      </c>
      <c r="AB885">
        <v>30</v>
      </c>
      <c r="AC885">
        <v>-2.5599999999997101E-2</v>
      </c>
      <c r="AD885">
        <v>-5.5297999999999799E-2</v>
      </c>
      <c r="AE885">
        <v>-0.67470000000002905</v>
      </c>
      <c r="AF885">
        <v>2.19004027373461E-2</v>
      </c>
      <c r="AG885">
        <v>-5.5297999999999799E-2</v>
      </c>
      <c r="AH885">
        <v>0.670329077884948</v>
      </c>
      <c r="AI885">
        <v>94.713365488003404</v>
      </c>
      <c r="AJ885">
        <v>88.128748230382499</v>
      </c>
      <c r="AK885">
        <v>0.672962531722341</v>
      </c>
      <c r="AL885">
        <v>86.619230206931306</v>
      </c>
      <c r="AM885">
        <v>90.368683669253102</v>
      </c>
      <c r="AN885">
        <v>0.99999999012403296</v>
      </c>
    </row>
    <row r="886" spans="1:40" x14ac:dyDescent="0.3">
      <c r="A886" t="str">
        <f>"20200111153847661"</f>
        <v>20200111153847661</v>
      </c>
      <c r="B886" t="str">
        <f>"1578728327651844"</f>
        <v>1578728327651844</v>
      </c>
      <c r="C886" t="s">
        <v>40</v>
      </c>
      <c r="D886">
        <v>5.0683160000000003</v>
      </c>
      <c r="E886">
        <v>0.50955499999999998</v>
      </c>
      <c r="F886" t="s">
        <v>41</v>
      </c>
      <c r="G886">
        <v>-191.12200000000001</v>
      </c>
      <c r="H886">
        <v>1.0446249999999999</v>
      </c>
      <c r="I886">
        <v>335.27339999999998</v>
      </c>
      <c r="J886">
        <v>-191.09960000000001</v>
      </c>
      <c r="K886">
        <v>1.100781</v>
      </c>
      <c r="L886">
        <v>335.91699999999997</v>
      </c>
      <c r="M886">
        <v>-1.019581E-2</v>
      </c>
      <c r="N886">
        <v>0</v>
      </c>
      <c r="O886">
        <v>-0.99985239999999997</v>
      </c>
      <c r="P886">
        <v>-1.781882E-3</v>
      </c>
      <c r="Q886">
        <v>4.4983339999999997E-2</v>
      </c>
      <c r="R886">
        <v>-0.99898609999999999</v>
      </c>
      <c r="S886">
        <v>-9.2910770000000004E-2</v>
      </c>
      <c r="T886">
        <v>-0.17815259999999999</v>
      </c>
      <c r="U886">
        <v>-3.0112610000000002</v>
      </c>
      <c r="V886">
        <v>-7.8258259999999993E-3</v>
      </c>
      <c r="W886">
        <v>5.8877079999999998E-2</v>
      </c>
      <c r="X886">
        <v>0.99823459999999997</v>
      </c>
      <c r="Y886">
        <v>2.059244E-2</v>
      </c>
      <c r="Z886">
        <v>5.903402E-2</v>
      </c>
      <c r="AA886">
        <v>0.99804349999999997</v>
      </c>
      <c r="AB886">
        <v>30</v>
      </c>
      <c r="AC886">
        <v>-2.24000000000046E-2</v>
      </c>
      <c r="AD886">
        <v>-5.6155999999999998E-2</v>
      </c>
      <c r="AE886">
        <v>-0.64359999999999196</v>
      </c>
      <c r="AF886">
        <v>1.57166771231694E-2</v>
      </c>
      <c r="AG886">
        <v>-5.6155999999999998E-2</v>
      </c>
      <c r="AH886">
        <v>0.63893655962923102</v>
      </c>
      <c r="AI886">
        <v>95.021296352803702</v>
      </c>
      <c r="AJ886">
        <v>88.590912199939794</v>
      </c>
      <c r="AK886">
        <v>0.64159211147475304</v>
      </c>
      <c r="AL886">
        <v>86.624639886374197</v>
      </c>
      <c r="AM886">
        <v>90.449170581080693</v>
      </c>
      <c r="AN886">
        <v>1.00000003536953</v>
      </c>
    </row>
    <row r="887" spans="1:40" x14ac:dyDescent="0.3">
      <c r="A887" t="str">
        <f>"20200111153847683"</f>
        <v>20200111153847683</v>
      </c>
      <c r="B887" t="str">
        <f>"1578728327671871"</f>
        <v>1578728327671871</v>
      </c>
      <c r="C887" t="s">
        <v>40</v>
      </c>
      <c r="D887">
        <v>5.1091530000000001</v>
      </c>
      <c r="E887">
        <v>0.50854009999999905</v>
      </c>
      <c r="F887" t="s">
        <v>42</v>
      </c>
      <c r="G887">
        <v>-191.6651</v>
      </c>
      <c r="H887" s="1">
        <v>-4.0768749999999998E-6</v>
      </c>
      <c r="I887">
        <v>317.27890000000002</v>
      </c>
      <c r="J887">
        <v>-191.10759999999999</v>
      </c>
      <c r="K887">
        <v>1.1009409999999999</v>
      </c>
      <c r="L887">
        <v>335.62290000000002</v>
      </c>
      <c r="M887">
        <v>-1.475864E-2</v>
      </c>
      <c r="N887">
        <v>0</v>
      </c>
      <c r="O887">
        <v>-0.99979560000000001</v>
      </c>
      <c r="P887">
        <v>-5.9336359999999999E-3</v>
      </c>
      <c r="Q887">
        <v>4.5421299999999998E-2</v>
      </c>
      <c r="R887">
        <v>-0.99895040000000002</v>
      </c>
      <c r="S887">
        <v>-9.1354370000000004E-2</v>
      </c>
      <c r="T887">
        <v>-0.1778286</v>
      </c>
      <c r="U887">
        <v>-3.0109249999999999</v>
      </c>
      <c r="V887">
        <v>-8.2525830000000008E-3</v>
      </c>
      <c r="W887">
        <v>5.9303099999999997E-2</v>
      </c>
      <c r="X887">
        <v>0.99820589999999998</v>
      </c>
      <c r="Y887">
        <v>1.551773E-2</v>
      </c>
      <c r="Z887">
        <v>5.893168E-2</v>
      </c>
      <c r="AA887">
        <v>0.99814139999999996</v>
      </c>
      <c r="AB887">
        <v>30</v>
      </c>
      <c r="AC887">
        <v>-0.55750000000000399</v>
      </c>
      <c r="AD887">
        <v>-1.100945076875</v>
      </c>
      <c r="AE887">
        <v>-18.343999999999902</v>
      </c>
      <c r="AF887">
        <v>0.28565295436353699</v>
      </c>
      <c r="AG887">
        <v>-1.100945076875</v>
      </c>
      <c r="AH887">
        <v>18.284430744340099</v>
      </c>
      <c r="AI887">
        <v>93.445323088548193</v>
      </c>
      <c r="AJ887">
        <v>89.104955600043894</v>
      </c>
      <c r="AK887">
        <v>18.319773069478799</v>
      </c>
      <c r="AL887">
        <v>86.600187861460796</v>
      </c>
      <c r="AM887">
        <v>90.473677227882703</v>
      </c>
      <c r="AN887">
        <v>0.999999990795295</v>
      </c>
    </row>
    <row r="888" spans="1:40" x14ac:dyDescent="0.3">
      <c r="A888" t="str">
        <f>"20200111153847709"</f>
        <v>20200111153847709</v>
      </c>
      <c r="B888" t="str">
        <f>"1578728327701151"</f>
        <v>1578728327701151</v>
      </c>
      <c r="C888" t="s">
        <v>40</v>
      </c>
      <c r="D888">
        <v>5.1284429999999999</v>
      </c>
      <c r="E888">
        <v>0.50723320000000005</v>
      </c>
      <c r="F888" t="s">
        <v>42</v>
      </c>
      <c r="G888">
        <v>-191.70599999999999</v>
      </c>
      <c r="H888" s="1">
        <v>-3.734224E-6</v>
      </c>
      <c r="I888">
        <v>316.53100000000001</v>
      </c>
      <c r="J888">
        <v>-191.1181</v>
      </c>
      <c r="K888">
        <v>1.1011599999999999</v>
      </c>
      <c r="L888">
        <v>335.28230000000002</v>
      </c>
      <c r="M888">
        <v>-1.9713439999999999E-2</v>
      </c>
      <c r="N888">
        <v>0</v>
      </c>
      <c r="O888">
        <v>-0.99971049999999995</v>
      </c>
      <c r="P888">
        <v>-9.7622490000000006E-3</v>
      </c>
      <c r="Q888">
        <v>4.4677969999999997E-2</v>
      </c>
      <c r="R888">
        <v>-0.99895400000000001</v>
      </c>
      <c r="S888">
        <v>-9.4360349999999996E-2</v>
      </c>
      <c r="T888">
        <v>-0.17360210000000001</v>
      </c>
      <c r="U888">
        <v>-3.0104980000000001</v>
      </c>
      <c r="V888">
        <v>-9.4139159999999996E-3</v>
      </c>
      <c r="W888">
        <v>5.8549110000000001E-2</v>
      </c>
      <c r="X888">
        <v>0.99824009999999996</v>
      </c>
      <c r="Y888">
        <v>1.156475E-2</v>
      </c>
      <c r="Z888">
        <v>5.753718E-2</v>
      </c>
      <c r="AA888">
        <v>0.99827639999999995</v>
      </c>
      <c r="AB888">
        <v>30</v>
      </c>
      <c r="AC888">
        <v>-0.58789999999998999</v>
      </c>
      <c r="AD888">
        <v>-1.1011637342239999</v>
      </c>
      <c r="AE888">
        <v>-18.751300000000001</v>
      </c>
      <c r="AF888">
        <v>0.217349117085196</v>
      </c>
      <c r="AG888">
        <v>-1.1011637342239999</v>
      </c>
      <c r="AH888">
        <v>18.694838580425401</v>
      </c>
      <c r="AI888">
        <v>93.3707149757427</v>
      </c>
      <c r="AJ888">
        <v>89.333900317297093</v>
      </c>
      <c r="AK888">
        <v>18.7285021226052</v>
      </c>
      <c r="AL888">
        <v>86.643463397784103</v>
      </c>
      <c r="AM888">
        <v>90.540312562649405</v>
      </c>
      <c r="AN888">
        <v>0.99999995867212699</v>
      </c>
    </row>
    <row r="889" spans="1:40" x14ac:dyDescent="0.3">
      <c r="A889" t="str">
        <f>"20200111153847731"</f>
        <v>20200111153847731</v>
      </c>
      <c r="B889" t="str">
        <f>"1578728327721647"</f>
        <v>1578728327721647</v>
      </c>
      <c r="C889" t="s">
        <v>40</v>
      </c>
      <c r="D889">
        <v>5.1893849999999997</v>
      </c>
      <c r="E889">
        <v>0.50655559999999999</v>
      </c>
      <c r="F889" t="s">
        <v>42</v>
      </c>
      <c r="G889">
        <v>-191.72309999999999</v>
      </c>
      <c r="H889" s="1">
        <v>-3.5213270000000002E-6</v>
      </c>
      <c r="I889">
        <v>316.07100000000003</v>
      </c>
      <c r="J889">
        <v>-191.1284</v>
      </c>
      <c r="K889">
        <v>1.10138799999999</v>
      </c>
      <c r="L889">
        <v>334.98489999999998</v>
      </c>
      <c r="M889">
        <v>-2.3700010000000001E-2</v>
      </c>
      <c r="N889">
        <v>0</v>
      </c>
      <c r="O889">
        <v>-0.99962399999999996</v>
      </c>
      <c r="P889">
        <v>-1.1016150000000001E-2</v>
      </c>
      <c r="Q889">
        <v>4.3812759999999999E-2</v>
      </c>
      <c r="R889">
        <v>-0.9989789</v>
      </c>
      <c r="S889">
        <v>-9.47876E-2</v>
      </c>
      <c r="T889">
        <v>-0.17252619999999999</v>
      </c>
      <c r="U889">
        <v>-3.0099490000000002</v>
      </c>
      <c r="V889">
        <v>-1.218527E-2</v>
      </c>
      <c r="W889">
        <v>5.7684630000000001E-2</v>
      </c>
      <c r="X889">
        <v>0.9982605</v>
      </c>
      <c r="Y889">
        <v>7.7249419999999899E-3</v>
      </c>
      <c r="Z889">
        <v>5.7185680000000003E-2</v>
      </c>
      <c r="AA889">
        <v>0.99833369999999999</v>
      </c>
      <c r="AB889">
        <v>30</v>
      </c>
      <c r="AC889">
        <v>-0.59469999999998802</v>
      </c>
      <c r="AD889">
        <v>-1.10139152132699</v>
      </c>
      <c r="AE889">
        <v>-18.913900000000002</v>
      </c>
      <c r="AF889">
        <v>0.145736979923895</v>
      </c>
      <c r="AG889">
        <v>-1.10139152132699</v>
      </c>
      <c r="AH889">
        <v>18.858796041562201</v>
      </c>
      <c r="AI889">
        <v>93.342292272815499</v>
      </c>
      <c r="AJ889">
        <v>89.557238561974998</v>
      </c>
      <c r="AK889">
        <v>18.891492547911898</v>
      </c>
      <c r="AL889">
        <v>86.693078491919096</v>
      </c>
      <c r="AM889">
        <v>90.699346384154296</v>
      </c>
      <c r="AN889">
        <v>1.00000001160172</v>
      </c>
    </row>
    <row r="890" spans="1:40" x14ac:dyDescent="0.3">
      <c r="A890" t="str">
        <f>"20200111153847752"</f>
        <v>20200111153847752</v>
      </c>
      <c r="B890" t="str">
        <f>"1578728327741168"</f>
        <v>1578728327741168</v>
      </c>
      <c r="C890" t="s">
        <v>40</v>
      </c>
      <c r="D890">
        <v>5.1886669999999997</v>
      </c>
      <c r="E890">
        <v>0.50577829999999901</v>
      </c>
      <c r="F890" t="s">
        <v>42</v>
      </c>
      <c r="G890">
        <v>-191.7296</v>
      </c>
      <c r="H890" s="1">
        <v>-3.2908470000000001E-6</v>
      </c>
      <c r="I890">
        <v>315.57979999999998</v>
      </c>
      <c r="J890">
        <v>-191.13910000000001</v>
      </c>
      <c r="K890">
        <v>1.1016549999999901</v>
      </c>
      <c r="L890">
        <v>334.69900000000001</v>
      </c>
      <c r="M890">
        <v>-2.7196950000000001E-2</v>
      </c>
      <c r="N890">
        <v>0</v>
      </c>
      <c r="O890">
        <v>-0.99953530000000002</v>
      </c>
      <c r="P890">
        <v>-1.103853E-2</v>
      </c>
      <c r="Q890">
        <v>4.379094E-2</v>
      </c>
      <c r="R890">
        <v>-0.99897999999999998</v>
      </c>
      <c r="S890">
        <v>-9.32312E-2</v>
      </c>
      <c r="T890">
        <v>-0.1708161</v>
      </c>
      <c r="U890">
        <v>-3.0095519999999998</v>
      </c>
      <c r="V890">
        <v>-1.5694340000000001E-2</v>
      </c>
      <c r="W890">
        <v>5.7664170000000001E-2</v>
      </c>
      <c r="X890">
        <v>0.99821269999999995</v>
      </c>
      <c r="Y890">
        <v>3.7159430000000002E-3</v>
      </c>
      <c r="Z890">
        <v>5.6621619999999998E-2</v>
      </c>
      <c r="AA890">
        <v>0.99838879999999997</v>
      </c>
      <c r="AB890">
        <v>30</v>
      </c>
      <c r="AC890">
        <v>-0.59049999999999103</v>
      </c>
      <c r="AD890">
        <v>-1.1016582908469901</v>
      </c>
      <c r="AE890">
        <v>-19.119199999999999</v>
      </c>
      <c r="AF890">
        <v>7.0016084313592797E-2</v>
      </c>
      <c r="AG890">
        <v>-1.1016582908469901</v>
      </c>
      <c r="AH890">
        <v>19.064949996391</v>
      </c>
      <c r="AI890">
        <v>93.307107166033802</v>
      </c>
      <c r="AJ890">
        <v>89.789582029074197</v>
      </c>
      <c r="AK890">
        <v>19.096881201042901</v>
      </c>
      <c r="AL890">
        <v>86.694252784384005</v>
      </c>
      <c r="AM890">
        <v>90.900755280918304</v>
      </c>
      <c r="AN890">
        <v>1.00000003162555</v>
      </c>
    </row>
    <row r="891" spans="1:40" x14ac:dyDescent="0.3">
      <c r="A891" t="str">
        <f>"20200111153847773"</f>
        <v>20200111153847773</v>
      </c>
      <c r="B891" t="str">
        <f>"1578728327771931"</f>
        <v>1578728327771931</v>
      </c>
      <c r="C891" t="s">
        <v>40</v>
      </c>
      <c r="D891">
        <v>5.1384660000000002</v>
      </c>
      <c r="E891">
        <v>0.50500400000000001</v>
      </c>
      <c r="F891" t="s">
        <v>42</v>
      </c>
      <c r="G891">
        <v>-191.70580000000001</v>
      </c>
      <c r="H891" s="1">
        <v>-3.0666769999999998E-6</v>
      </c>
      <c r="I891">
        <v>315.1189</v>
      </c>
      <c r="J891">
        <v>-191.15020000000001</v>
      </c>
      <c r="K891">
        <v>1.101953</v>
      </c>
      <c r="L891">
        <v>334.41759999999999</v>
      </c>
      <c r="M891">
        <v>-3.0287749999999999E-2</v>
      </c>
      <c r="N891">
        <v>0</v>
      </c>
      <c r="O891">
        <v>-0.99944690000000003</v>
      </c>
      <c r="P891">
        <v>-1.220805E-2</v>
      </c>
      <c r="Q891">
        <v>4.4852110000000001E-2</v>
      </c>
      <c r="R891">
        <v>-0.99891960000000002</v>
      </c>
      <c r="S891">
        <v>-8.7112430000000005E-2</v>
      </c>
      <c r="T891">
        <v>-0.16932990000000001</v>
      </c>
      <c r="U891">
        <v>-3.0095519999999998</v>
      </c>
      <c r="V891">
        <v>-1.7646200000000001E-2</v>
      </c>
      <c r="W891">
        <v>5.8709049999999999E-2</v>
      </c>
      <c r="X891">
        <v>0.99811919999999998</v>
      </c>
      <c r="Y891">
        <v>-1.403634E-3</v>
      </c>
      <c r="Z891">
        <v>5.6124939999999998E-2</v>
      </c>
      <c r="AA891">
        <v>0.9984227</v>
      </c>
      <c r="AB891">
        <v>30</v>
      </c>
      <c r="AC891">
        <v>-0.55559999999999798</v>
      </c>
      <c r="AD891">
        <v>-1.1019560666770001</v>
      </c>
      <c r="AE891">
        <v>-19.2987</v>
      </c>
      <c r="AF891">
        <v>-2.9129363410999101E-2</v>
      </c>
      <c r="AG891">
        <v>-1.1019560666770001</v>
      </c>
      <c r="AH891">
        <v>19.243982603222602</v>
      </c>
      <c r="AI891">
        <v>93.277309469206401</v>
      </c>
      <c r="AJ891">
        <v>90.086727801779702</v>
      </c>
      <c r="AK891">
        <v>19.275529101060599</v>
      </c>
      <c r="AL891">
        <v>86.634283991103999</v>
      </c>
      <c r="AM891">
        <v>91.012852437826993</v>
      </c>
      <c r="AN891">
        <v>1.0000000391674899</v>
      </c>
    </row>
    <row r="892" spans="1:40" x14ac:dyDescent="0.3">
      <c r="A892" t="str">
        <f>"20200111153847798"</f>
        <v>20200111153847798</v>
      </c>
      <c r="B892" t="str">
        <f>"1578728327791450"</f>
        <v>1578728327791450</v>
      </c>
      <c r="C892" t="s">
        <v>40</v>
      </c>
      <c r="D892">
        <v>5.1514430000000004</v>
      </c>
      <c r="E892">
        <v>0.46829029999999999</v>
      </c>
      <c r="F892" t="s">
        <v>42</v>
      </c>
      <c r="G892">
        <v>-191.70910000000001</v>
      </c>
      <c r="H892" s="1">
        <v>-2.7479399999999998E-6</v>
      </c>
      <c r="I892">
        <v>314.44279999999998</v>
      </c>
      <c r="J892">
        <v>-191.16319999999999</v>
      </c>
      <c r="K892">
        <v>1.1023069999999999</v>
      </c>
      <c r="L892">
        <v>334.10509999999999</v>
      </c>
      <c r="M892">
        <v>-3.3249679999999997E-2</v>
      </c>
      <c r="N892">
        <v>0</v>
      </c>
      <c r="O892">
        <v>-0.99935289999999999</v>
      </c>
      <c r="P892">
        <v>-1.3929830000000001E-2</v>
      </c>
      <c r="Q892">
        <v>4.6323169999999997E-2</v>
      </c>
      <c r="R892">
        <v>-0.99882959999999998</v>
      </c>
      <c r="S892">
        <v>-8.4213259999999998E-2</v>
      </c>
      <c r="T892">
        <v>-0.16603409999999999</v>
      </c>
      <c r="U892">
        <v>-3.0096440000000002</v>
      </c>
      <c r="V892">
        <v>-1.8923410000000002E-2</v>
      </c>
      <c r="W892">
        <v>6.0152740000000003E-2</v>
      </c>
      <c r="X892">
        <v>0.99800979999999995</v>
      </c>
      <c r="Y892">
        <v>-5.327483E-3</v>
      </c>
      <c r="Z892">
        <v>5.5026829999999999E-2</v>
      </c>
      <c r="AA892">
        <v>0.99847070000000004</v>
      </c>
      <c r="AB892">
        <v>30</v>
      </c>
      <c r="AC892">
        <v>-0.54590000000001704</v>
      </c>
      <c r="AD892">
        <v>-1.1023097479399999</v>
      </c>
      <c r="AE892">
        <v>-19.662299999999998</v>
      </c>
      <c r="AF892">
        <v>-0.107889789952092</v>
      </c>
      <c r="AG892">
        <v>-1.1023097479399999</v>
      </c>
      <c r="AH892">
        <v>19.607999251841601</v>
      </c>
      <c r="AI892">
        <v>93.217581456420007</v>
      </c>
      <c r="AJ892">
        <v>90.315257418881203</v>
      </c>
      <c r="AK892">
        <v>19.639255628648499</v>
      </c>
      <c r="AL892">
        <v>86.551420054291597</v>
      </c>
      <c r="AM892">
        <v>91.086263500495704</v>
      </c>
      <c r="AN892">
        <v>1.0000000042357799</v>
      </c>
    </row>
    <row r="893" spans="1:40" x14ac:dyDescent="0.3">
      <c r="A893" t="str">
        <f>"20200111153847818"</f>
        <v>20200111153847818</v>
      </c>
      <c r="B893" t="str">
        <f>"1578728327810970"</f>
        <v>1578728327810970</v>
      </c>
      <c r="C893" t="s">
        <v>40</v>
      </c>
      <c r="D893">
        <v>5.3102939999999998</v>
      </c>
      <c r="E893">
        <v>0.45118829999999999</v>
      </c>
      <c r="F893" t="s">
        <v>42</v>
      </c>
      <c r="G893">
        <v>-190.1259</v>
      </c>
      <c r="H893" s="1">
        <v>-4.34402E-6</v>
      </c>
      <c r="I893">
        <v>318.71039999999999</v>
      </c>
      <c r="J893">
        <v>-191.1754</v>
      </c>
      <c r="K893">
        <v>1.1026229999999999</v>
      </c>
      <c r="L893">
        <v>333.8193</v>
      </c>
      <c r="M893">
        <v>-3.554541E-2</v>
      </c>
      <c r="N893">
        <v>0</v>
      </c>
      <c r="O893">
        <v>-0.999274</v>
      </c>
      <c r="P893">
        <v>-1.388675E-2</v>
      </c>
      <c r="Q893">
        <v>4.5787580000000001E-2</v>
      </c>
      <c r="R893">
        <v>-0.99885469999999998</v>
      </c>
      <c r="S893">
        <v>0.20323179999999999</v>
      </c>
      <c r="T893">
        <v>-0.21597920000000001</v>
      </c>
      <c r="U893">
        <v>-3.016327</v>
      </c>
      <c r="V893">
        <v>-2.1312540000000001E-2</v>
      </c>
      <c r="W893">
        <v>5.9597740000000003E-2</v>
      </c>
      <c r="X893">
        <v>0.99799499999999997</v>
      </c>
      <c r="Y893">
        <v>-0.1024803</v>
      </c>
      <c r="Z893">
        <v>7.1084549999999996E-2</v>
      </c>
      <c r="AA893">
        <v>0.99219190000000002</v>
      </c>
      <c r="AB893">
        <v>30</v>
      </c>
      <c r="AC893">
        <v>1.0494999999999901</v>
      </c>
      <c r="AD893">
        <v>-1.1026273440199901</v>
      </c>
      <c r="AE893">
        <v>-15.1089</v>
      </c>
      <c r="AF893">
        <v>-1.5775775387161199</v>
      </c>
      <c r="AG893">
        <v>-1.1026273440199901</v>
      </c>
      <c r="AH893">
        <v>14.982629304539</v>
      </c>
      <c r="AI893">
        <v>94.185963919835203</v>
      </c>
      <c r="AJ893">
        <v>96.010740730797295</v>
      </c>
      <c r="AK893">
        <v>15.105751183826399</v>
      </c>
      <c r="AL893">
        <v>86.5832765830298</v>
      </c>
      <c r="AM893">
        <v>91.223385901309001</v>
      </c>
      <c r="AN893">
        <v>1.0000000674996701</v>
      </c>
    </row>
    <row r="894" spans="1:40" x14ac:dyDescent="0.3">
      <c r="A894" t="str">
        <f>"20200111153847841"</f>
        <v>20200111153847841</v>
      </c>
      <c r="B894" t="str">
        <f>"1578728327831466"</f>
        <v>1578728327831466</v>
      </c>
      <c r="C894" t="s">
        <v>40</v>
      </c>
      <c r="D894">
        <v>5.1774690000000003</v>
      </c>
      <c r="E894">
        <v>0.44474019999999997</v>
      </c>
      <c r="F894" t="s">
        <v>42</v>
      </c>
      <c r="G894">
        <v>-189.51650000000001</v>
      </c>
      <c r="H894" s="1">
        <v>-4.5506390000000001E-6</v>
      </c>
      <c r="I894">
        <v>319.07659999999998</v>
      </c>
      <c r="J894">
        <v>-191.18790000000001</v>
      </c>
      <c r="K894">
        <v>1.1028990000000001</v>
      </c>
      <c r="L894">
        <v>333.5326</v>
      </c>
      <c r="M894">
        <v>-3.7511540000000003E-2</v>
      </c>
      <c r="N894">
        <v>0</v>
      </c>
      <c r="O894">
        <v>-0.99920249999999999</v>
      </c>
      <c r="P894">
        <v>-1.196995E-2</v>
      </c>
      <c r="Q894">
        <v>4.416262E-2</v>
      </c>
      <c r="R894">
        <v>-0.99895299999999998</v>
      </c>
      <c r="S894">
        <v>0.33964539999999999</v>
      </c>
      <c r="T894">
        <v>-0.2257614</v>
      </c>
      <c r="U894">
        <v>-3.0185550000000001</v>
      </c>
      <c r="V894">
        <v>-2.5247490000000001E-2</v>
      </c>
      <c r="W894">
        <v>5.795931E-2</v>
      </c>
      <c r="X894">
        <v>0.99799970000000005</v>
      </c>
      <c r="Y894">
        <v>-0.1487086</v>
      </c>
      <c r="Z894">
        <v>7.3857580000000006E-2</v>
      </c>
      <c r="AA894">
        <v>0.98611910000000003</v>
      </c>
      <c r="AB894">
        <v>30</v>
      </c>
      <c r="AC894">
        <v>1.6714</v>
      </c>
      <c r="AD894">
        <v>-1.1029035506389999</v>
      </c>
      <c r="AE894">
        <v>-14.456</v>
      </c>
      <c r="AF894">
        <v>-2.19990486573779</v>
      </c>
      <c r="AG894">
        <v>-1.1029035506389999</v>
      </c>
      <c r="AH894">
        <v>14.3009769413298</v>
      </c>
      <c r="AI894">
        <v>94.358899823592097</v>
      </c>
      <c r="AJ894">
        <v>98.745201687118893</v>
      </c>
      <c r="AK894">
        <v>14.511165326628801</v>
      </c>
      <c r="AL894">
        <v>86.677314270723201</v>
      </c>
      <c r="AM894">
        <v>91.449164903827807</v>
      </c>
      <c r="AN894">
        <v>1.0000000592835301</v>
      </c>
    </row>
    <row r="895" spans="1:40" x14ac:dyDescent="0.3">
      <c r="A895" t="str">
        <f>"20200111153847863"</f>
        <v>20200111153847863</v>
      </c>
      <c r="B895" t="str">
        <f>"1578728327850987"</f>
        <v>1578728327850987</v>
      </c>
      <c r="C895" t="s">
        <v>40</v>
      </c>
      <c r="D895">
        <v>5.1270220000000002</v>
      </c>
      <c r="E895">
        <v>0.44206210000000001</v>
      </c>
      <c r="F895" t="s">
        <v>42</v>
      </c>
      <c r="G895">
        <v>-189.35919999999999</v>
      </c>
      <c r="H895" s="1">
        <v>-4.8216319999999997E-6</v>
      </c>
      <c r="I895">
        <v>319.5908</v>
      </c>
      <c r="J895">
        <v>-191.20079999999999</v>
      </c>
      <c r="K895">
        <v>1.1031629999999999</v>
      </c>
      <c r="L895">
        <v>333.24110000000002</v>
      </c>
      <c r="M895">
        <v>-3.915722E-2</v>
      </c>
      <c r="N895">
        <v>0</v>
      </c>
      <c r="O895">
        <v>-0.99913949999999996</v>
      </c>
      <c r="P895">
        <v>-1.038565E-2</v>
      </c>
      <c r="Q895">
        <v>4.2621489999999998E-2</v>
      </c>
      <c r="R895">
        <v>-0.99903759999999997</v>
      </c>
      <c r="S895">
        <v>0.39591979999999999</v>
      </c>
      <c r="T895">
        <v>-0.23878150000000001</v>
      </c>
      <c r="U895">
        <v>-3.0184329999999999</v>
      </c>
      <c r="V895">
        <v>-2.8523980000000001E-2</v>
      </c>
      <c r="W895">
        <v>5.6398789999999997E-2</v>
      </c>
      <c r="X895">
        <v>0.99800080000000002</v>
      </c>
      <c r="Y895">
        <v>-0.1683858</v>
      </c>
      <c r="Z895">
        <v>7.7875890000000003E-2</v>
      </c>
      <c r="AA895">
        <v>0.98264010000000002</v>
      </c>
      <c r="AB895">
        <v>30</v>
      </c>
      <c r="AC895">
        <v>1.8415999999999999</v>
      </c>
      <c r="AD895">
        <v>-1.103167821632</v>
      </c>
      <c r="AE895">
        <v>-13.6503</v>
      </c>
      <c r="AF895">
        <v>-2.3596093262019702</v>
      </c>
      <c r="AG895">
        <v>-1.103167821632</v>
      </c>
      <c r="AH895">
        <v>13.481234600405999</v>
      </c>
      <c r="AI895">
        <v>94.608336153504894</v>
      </c>
      <c r="AJ895">
        <v>99.927867250311806</v>
      </c>
      <c r="AK895">
        <v>13.7305652384076</v>
      </c>
      <c r="AL895">
        <v>86.766871875505501</v>
      </c>
      <c r="AM895">
        <v>91.637131830653004</v>
      </c>
      <c r="AN895">
        <v>1.0000000188745699</v>
      </c>
    </row>
    <row r="896" spans="1:40" x14ac:dyDescent="0.3">
      <c r="A896" t="str">
        <f>"20200111153847885"</f>
        <v>20200111153847885</v>
      </c>
      <c r="B896" t="str">
        <f>"1578728327881749"</f>
        <v>1578728327881749</v>
      </c>
      <c r="C896" t="s">
        <v>40</v>
      </c>
      <c r="D896">
        <v>5.1269799999999996</v>
      </c>
      <c r="E896">
        <v>0.43941390000000002</v>
      </c>
      <c r="F896" t="s">
        <v>42</v>
      </c>
      <c r="G896">
        <v>-189.3313</v>
      </c>
      <c r="H896" s="1">
        <v>-2.4538269999999999E-7</v>
      </c>
      <c r="I896">
        <v>319.84629999999999</v>
      </c>
      <c r="J896">
        <v>-191.214</v>
      </c>
      <c r="K896">
        <v>1.1034200000000001</v>
      </c>
      <c r="L896">
        <v>332.94760000000002</v>
      </c>
      <c r="M896">
        <v>-4.0459389999999998E-2</v>
      </c>
      <c r="N896">
        <v>0</v>
      </c>
      <c r="O896">
        <v>-0.99908759999999996</v>
      </c>
      <c r="P896">
        <v>-8.93070199999999E-3</v>
      </c>
      <c r="Q896">
        <v>4.0236859999999999E-2</v>
      </c>
      <c r="R896">
        <v>-0.99915030000000005</v>
      </c>
      <c r="S896">
        <v>0.42121890000000001</v>
      </c>
      <c r="T896">
        <v>-0.24854419999999999</v>
      </c>
      <c r="U896">
        <v>-3.0178829999999999</v>
      </c>
      <c r="V896">
        <v>-3.1329089999999997E-2</v>
      </c>
      <c r="W896">
        <v>5.3990150000000001E-2</v>
      </c>
      <c r="X896">
        <v>0.99804990000000005</v>
      </c>
      <c r="Y896">
        <v>-0.17774089999999901</v>
      </c>
      <c r="Z896">
        <v>8.0934939999999997E-2</v>
      </c>
      <c r="AA896">
        <v>0.98074349999999999</v>
      </c>
      <c r="AB896">
        <v>30</v>
      </c>
      <c r="AC896">
        <v>1.88270000000002</v>
      </c>
      <c r="AD896">
        <v>-1.1034202453827</v>
      </c>
      <c r="AE896">
        <v>-13.1013</v>
      </c>
      <c r="AF896">
        <v>-2.3946359198409</v>
      </c>
      <c r="AG896">
        <v>-1.1034202453827</v>
      </c>
      <c r="AH896">
        <v>12.924566500567099</v>
      </c>
      <c r="AI896">
        <v>94.798455288357005</v>
      </c>
      <c r="AJ896">
        <v>100.496610305353</v>
      </c>
      <c r="AK896">
        <v>13.1907633082432</v>
      </c>
      <c r="AL896">
        <v>86.905087526332593</v>
      </c>
      <c r="AM896">
        <v>91.797941570602504</v>
      </c>
      <c r="AN896">
        <v>1.0000000255336301</v>
      </c>
    </row>
    <row r="897" spans="1:40" x14ac:dyDescent="0.3">
      <c r="A897" t="str">
        <f>"20200111153847910"</f>
        <v>20200111153847910</v>
      </c>
      <c r="B897" t="str">
        <f>"1578728327901268"</f>
        <v>1578728327901268</v>
      </c>
      <c r="C897" t="s">
        <v>40</v>
      </c>
      <c r="D897">
        <v>5.1434300000000004</v>
      </c>
      <c r="E897">
        <v>0.43846580000000002</v>
      </c>
      <c r="F897" t="s">
        <v>42</v>
      </c>
      <c r="G897">
        <v>-189.31569999999999</v>
      </c>
      <c r="H897" s="1">
        <v>-3.3899230000000003E-7</v>
      </c>
      <c r="I897">
        <v>320.10919999999999</v>
      </c>
      <c r="J897">
        <v>-191.2286</v>
      </c>
      <c r="K897">
        <v>1.103699</v>
      </c>
      <c r="L897">
        <v>332.62369999999999</v>
      </c>
      <c r="M897">
        <v>-4.1512170000000001E-2</v>
      </c>
      <c r="N897">
        <v>0</v>
      </c>
      <c r="O897">
        <v>-0.99904470000000001</v>
      </c>
      <c r="P897">
        <v>-7.9131659999999993E-3</v>
      </c>
      <c r="Q897">
        <v>3.701467E-2</v>
      </c>
      <c r="R897">
        <v>-0.99928340000000004</v>
      </c>
      <c r="S897">
        <v>0.44609070000000001</v>
      </c>
      <c r="T897">
        <v>-0.25929580000000002</v>
      </c>
      <c r="U897">
        <v>-3.016937</v>
      </c>
      <c r="V897">
        <v>-3.345157E-2</v>
      </c>
      <c r="W897">
        <v>5.0735919999999997E-2</v>
      </c>
      <c r="X897">
        <v>0.99815169999999998</v>
      </c>
      <c r="Y897">
        <v>-0.18669259999999999</v>
      </c>
      <c r="Z897">
        <v>8.4312029999999996E-2</v>
      </c>
      <c r="AA897">
        <v>0.97879389999999999</v>
      </c>
      <c r="AB897">
        <v>30</v>
      </c>
      <c r="AC897">
        <v>1.9129</v>
      </c>
      <c r="AD897">
        <v>-1.1036993389923</v>
      </c>
      <c r="AE897">
        <v>-12.5144999999999</v>
      </c>
      <c r="AF897">
        <v>-2.4124672099784199</v>
      </c>
      <c r="AG897">
        <v>-1.1036993389923</v>
      </c>
      <c r="AH897">
        <v>12.3305754592048</v>
      </c>
      <c r="AI897">
        <v>95.0201853806862</v>
      </c>
      <c r="AJ897">
        <v>101.070038403949</v>
      </c>
      <c r="AK897">
        <v>12.6127412335803</v>
      </c>
      <c r="AL897">
        <v>87.0917972572975</v>
      </c>
      <c r="AM897">
        <v>91.9194644491063</v>
      </c>
      <c r="AN897">
        <v>0.99999997866330004</v>
      </c>
    </row>
    <row r="898" spans="1:40" x14ac:dyDescent="0.3">
      <c r="A898" t="str">
        <f>"20200111153847930"</f>
        <v>20200111153847930</v>
      </c>
      <c r="B898" t="str">
        <f>"1578728327921764"</f>
        <v>1578728327921764</v>
      </c>
      <c r="C898" t="s">
        <v>40</v>
      </c>
      <c r="D898">
        <v>5.1884569999999997</v>
      </c>
      <c r="E898">
        <v>0.43790129999999999</v>
      </c>
      <c r="F898" t="s">
        <v>42</v>
      </c>
      <c r="G898">
        <v>-189.36709999999999</v>
      </c>
      <c r="H898" s="1">
        <v>-4.090666E-7</v>
      </c>
      <c r="I898">
        <v>320.32459999999998</v>
      </c>
      <c r="J898">
        <v>-191.24090000000001</v>
      </c>
      <c r="K898">
        <v>1.103936</v>
      </c>
      <c r="L898">
        <v>332.351</v>
      </c>
      <c r="M898">
        <v>-4.2102149999999998E-2</v>
      </c>
      <c r="N898">
        <v>0</v>
      </c>
      <c r="O898">
        <v>-0.99902009999999997</v>
      </c>
      <c r="P898">
        <v>-6.0934309999999998E-3</v>
      </c>
      <c r="Q898">
        <v>3.5240859999999999E-2</v>
      </c>
      <c r="R898">
        <v>-0.99936040000000004</v>
      </c>
      <c r="S898">
        <v>0.45645140000000001</v>
      </c>
      <c r="T898">
        <v>-0.27062890000000001</v>
      </c>
      <c r="U898">
        <v>-3.0157470000000002</v>
      </c>
      <c r="V898">
        <v>-3.5897779999999997E-2</v>
      </c>
      <c r="W898">
        <v>4.8934289999999998E-2</v>
      </c>
      <c r="X898">
        <v>0.99815670000000001</v>
      </c>
      <c r="Y898">
        <v>-0.19056890000000001</v>
      </c>
      <c r="Z898">
        <v>8.7944159999999993E-2</v>
      </c>
      <c r="AA898">
        <v>0.9777266</v>
      </c>
      <c r="AB898">
        <v>29</v>
      </c>
      <c r="AC898">
        <v>1.8738000000000099</v>
      </c>
      <c r="AD898">
        <v>-1.1039364090666</v>
      </c>
      <c r="AE898">
        <v>-12.026400000000001</v>
      </c>
      <c r="AF898">
        <v>-2.3591160809170799</v>
      </c>
      <c r="AG898">
        <v>-1.1039364090666</v>
      </c>
      <c r="AH898">
        <v>11.8394422276172</v>
      </c>
      <c r="AI898">
        <v>95.224856636752094</v>
      </c>
      <c r="AJ898">
        <v>101.26910650161901</v>
      </c>
      <c r="AK898">
        <v>12.1225614677587</v>
      </c>
      <c r="AL898">
        <v>87.195151568984201</v>
      </c>
      <c r="AM898">
        <v>92.059701862631101</v>
      </c>
      <c r="AN898">
        <v>1.0000000065508099</v>
      </c>
    </row>
    <row r="899" spans="1:40" x14ac:dyDescent="0.3">
      <c r="A899" t="str">
        <f>"20200111153847953"</f>
        <v>20200111153847953</v>
      </c>
      <c r="B899" t="str">
        <f>"1578728327941284"</f>
        <v>1578728327941284</v>
      </c>
      <c r="C899" t="s">
        <v>40</v>
      </c>
      <c r="D899">
        <v>5.2092299999999998</v>
      </c>
      <c r="E899">
        <v>0.43736639999999999</v>
      </c>
      <c r="F899" t="s">
        <v>42</v>
      </c>
      <c r="G899">
        <v>-189.37989999999999</v>
      </c>
      <c r="H899" s="1">
        <v>-4.025664E-7</v>
      </c>
      <c r="I899">
        <v>320.31479999999999</v>
      </c>
      <c r="J899">
        <v>-191.2544</v>
      </c>
      <c r="K899">
        <v>1.104209</v>
      </c>
      <c r="L899">
        <v>332.0471</v>
      </c>
      <c r="M899">
        <v>-4.2491559999999998E-2</v>
      </c>
      <c r="N899">
        <v>0</v>
      </c>
      <c r="O899">
        <v>-0.999004</v>
      </c>
      <c r="P899">
        <v>-4.0978769999999998E-3</v>
      </c>
      <c r="Q899">
        <v>3.4505519999999998E-2</v>
      </c>
      <c r="R899">
        <v>-0.99939619999999996</v>
      </c>
      <c r="S899">
        <v>0.46607969999999999</v>
      </c>
      <c r="T899">
        <v>-0.27648590000000001</v>
      </c>
      <c r="U899">
        <v>-3.014526</v>
      </c>
      <c r="V899">
        <v>-3.8315540000000002E-2</v>
      </c>
      <c r="W899">
        <v>4.8166529999999999E-2</v>
      </c>
      <c r="X899">
        <v>0.9981042</v>
      </c>
      <c r="Y899">
        <v>-0.1940345</v>
      </c>
      <c r="Z899">
        <v>8.9813100000000007E-2</v>
      </c>
      <c r="AA899">
        <v>0.97687469999999998</v>
      </c>
      <c r="AB899">
        <v>29</v>
      </c>
      <c r="AC899">
        <v>1.87450000000001</v>
      </c>
      <c r="AD899">
        <v>-1.10420940256639</v>
      </c>
      <c r="AE899">
        <v>-11.7323</v>
      </c>
      <c r="AF899">
        <v>-2.35106923295313</v>
      </c>
      <c r="AG899">
        <v>-1.10420940256639</v>
      </c>
      <c r="AH899">
        <v>11.542346592428901</v>
      </c>
      <c r="AI899">
        <v>95.355316470141005</v>
      </c>
      <c r="AJ899">
        <v>101.513118554719</v>
      </c>
      <c r="AK899">
        <v>11.8310003720146</v>
      </c>
      <c r="AL899">
        <v>87.239193019179197</v>
      </c>
      <c r="AM899">
        <v>92.198409041577705</v>
      </c>
      <c r="AN899">
        <v>1.00000004463768</v>
      </c>
    </row>
    <row r="900" spans="1:40" x14ac:dyDescent="0.3">
      <c r="A900" t="str">
        <f>"20200111153847976"</f>
        <v>20200111153847976</v>
      </c>
      <c r="B900" t="str">
        <f>"1578728327971072"</f>
        <v>1578728327971072</v>
      </c>
      <c r="C900" t="s">
        <v>40</v>
      </c>
      <c r="D900">
        <v>5.188936</v>
      </c>
      <c r="E900">
        <v>0.43653399999999998</v>
      </c>
      <c r="F900" t="s">
        <v>42</v>
      </c>
      <c r="G900">
        <v>-189.36340000000001</v>
      </c>
      <c r="H900" s="1">
        <v>-3.1791490000000001E-7</v>
      </c>
      <c r="I900">
        <v>320.08460000000002</v>
      </c>
      <c r="J900">
        <v>-191.26759999999999</v>
      </c>
      <c r="K900">
        <v>1.1044240000000001</v>
      </c>
      <c r="L900">
        <v>331.74549999999999</v>
      </c>
      <c r="M900">
        <v>-4.2638759999999998E-2</v>
      </c>
      <c r="N900">
        <v>0</v>
      </c>
      <c r="O900">
        <v>-0.99899769999999999</v>
      </c>
      <c r="P900">
        <v>-2.5773290000000002E-3</v>
      </c>
      <c r="Q900">
        <v>3.4056919999999997E-2</v>
      </c>
      <c r="R900">
        <v>-0.99941639999999998</v>
      </c>
      <c r="S900">
        <v>0.47633359999999902</v>
      </c>
      <c r="T900">
        <v>-0.2781537</v>
      </c>
      <c r="U900">
        <v>-3.0133969999999999</v>
      </c>
      <c r="V900">
        <v>-4.0007880000000003E-2</v>
      </c>
      <c r="W900">
        <v>4.7687859999999999E-2</v>
      </c>
      <c r="X900">
        <v>0.99806079999999997</v>
      </c>
      <c r="Y900">
        <v>-0.19747049999999999</v>
      </c>
      <c r="Z900">
        <v>9.0327900000000003E-2</v>
      </c>
      <c r="AA900">
        <v>0.97613850000000002</v>
      </c>
      <c r="AB900">
        <v>29</v>
      </c>
      <c r="AC900">
        <v>1.9041999999999699</v>
      </c>
      <c r="AD900">
        <v>-1.10442431791489</v>
      </c>
      <c r="AE900">
        <v>-11.6608999999999</v>
      </c>
      <c r="AF900">
        <v>-2.3789348309212102</v>
      </c>
      <c r="AG900">
        <v>-1.10442431791489</v>
      </c>
      <c r="AH900">
        <v>11.468885432733501</v>
      </c>
      <c r="AI900">
        <v>95.386514802050399</v>
      </c>
      <c r="AJ900">
        <v>101.718407191399</v>
      </c>
      <c r="AK900">
        <v>11.7649656639082</v>
      </c>
      <c r="AL900">
        <v>87.266650388138501</v>
      </c>
      <c r="AM900">
        <v>92.295507512072305</v>
      </c>
      <c r="AN900">
        <v>1.0000000614750499</v>
      </c>
    </row>
    <row r="901" spans="1:40" x14ac:dyDescent="0.3">
      <c r="A901" t="str">
        <f>"20200111153847996"</f>
        <v>20200111153847996</v>
      </c>
      <c r="B901" t="str">
        <f>"1578728327991569"</f>
        <v>1578728327991569</v>
      </c>
      <c r="C901" t="s">
        <v>40</v>
      </c>
      <c r="D901">
        <v>5.2275900000000002</v>
      </c>
      <c r="E901">
        <v>0.43606270000000003</v>
      </c>
      <c r="F901" t="s">
        <v>42</v>
      </c>
      <c r="G901">
        <v>-189.31729999999999</v>
      </c>
      <c r="H901" s="1">
        <v>-2.0113049999999999E-7</v>
      </c>
      <c r="I901">
        <v>319.70530000000002</v>
      </c>
      <c r="J901">
        <v>-191.279</v>
      </c>
      <c r="K901">
        <v>1.1045689999999999</v>
      </c>
      <c r="L901">
        <v>331.48219999999998</v>
      </c>
      <c r="M901">
        <v>-4.2623389999999997E-2</v>
      </c>
      <c r="N901">
        <v>0</v>
      </c>
      <c r="O901">
        <v>-0.99899879999999996</v>
      </c>
      <c r="P901">
        <v>-1.5007060000000001E-3</v>
      </c>
      <c r="Q901">
        <v>3.509723E-2</v>
      </c>
      <c r="R901">
        <v>-0.99938300000000002</v>
      </c>
      <c r="S901">
        <v>0.48796079999999997</v>
      </c>
      <c r="T901">
        <v>-0.27632220000000002</v>
      </c>
      <c r="U901">
        <v>-3.0123899999999999</v>
      </c>
      <c r="V901">
        <v>-4.1082830000000001E-2</v>
      </c>
      <c r="W901">
        <v>4.8704249999999998E-2</v>
      </c>
      <c r="X901">
        <v>0.99796799999999997</v>
      </c>
      <c r="Y901">
        <v>-0.2011868</v>
      </c>
      <c r="Z901">
        <v>8.9706250000000001E-2</v>
      </c>
      <c r="AA901">
        <v>0.97543659999999999</v>
      </c>
      <c r="AB901">
        <v>29</v>
      </c>
      <c r="AC901">
        <v>1.96170000000003</v>
      </c>
      <c r="AD901">
        <v>-1.1045692011304999</v>
      </c>
      <c r="AE901">
        <v>-11.7768999999999</v>
      </c>
      <c r="AF901">
        <v>-2.4410410577614998</v>
      </c>
      <c r="AG901">
        <v>-1.1045692011304999</v>
      </c>
      <c r="AH901">
        <v>11.583427297714101</v>
      </c>
      <c r="AI901">
        <v>95.330738983889304</v>
      </c>
      <c r="AJ901">
        <v>101.90014238466701</v>
      </c>
      <c r="AK901">
        <v>11.889261647688301</v>
      </c>
      <c r="AL901">
        <v>87.208347650923997</v>
      </c>
      <c r="AM901">
        <v>92.357334537305505</v>
      </c>
      <c r="AN901">
        <v>1.00000001595643</v>
      </c>
    </row>
    <row r="902" spans="1:40" x14ac:dyDescent="0.3">
      <c r="A902" t="str">
        <f>"20200111153848018"</f>
        <v>20200111153848018</v>
      </c>
      <c r="B902" t="str">
        <f>"1578728328011088"</f>
        <v>1578728328011088</v>
      </c>
      <c r="C902" t="s">
        <v>40</v>
      </c>
      <c r="D902">
        <v>5.2295449999999999</v>
      </c>
      <c r="E902">
        <v>0.43549719999999997</v>
      </c>
      <c r="F902" t="s">
        <v>42</v>
      </c>
      <c r="G902">
        <v>-189.26320000000001</v>
      </c>
      <c r="H902" s="1">
        <v>-4.6696549999999998E-6</v>
      </c>
      <c r="I902">
        <v>319.23329999999999</v>
      </c>
      <c r="J902">
        <v>-191.29150000000001</v>
      </c>
      <c r="K902">
        <v>1.104692</v>
      </c>
      <c r="L902">
        <v>331.19040000000001</v>
      </c>
      <c r="M902">
        <v>-4.2498759999999997E-2</v>
      </c>
      <c r="N902">
        <v>0</v>
      </c>
      <c r="O902">
        <v>-0.99900420000000001</v>
      </c>
      <c r="P902">
        <v>-1.2844270000000001E-4</v>
      </c>
      <c r="Q902">
        <v>3.6674930000000001E-2</v>
      </c>
      <c r="R902">
        <v>-0.99932770000000004</v>
      </c>
      <c r="S902">
        <v>0.49571229999999999</v>
      </c>
      <c r="T902">
        <v>-0.27162509999999901</v>
      </c>
      <c r="U902">
        <v>-3.0121150000000001</v>
      </c>
      <c r="V902">
        <v>-4.2338670000000002E-2</v>
      </c>
      <c r="W902">
        <v>5.0261599999999997E-2</v>
      </c>
      <c r="X902">
        <v>0.99783829999999996</v>
      </c>
      <c r="Y902">
        <v>-0.20354559999999999</v>
      </c>
      <c r="Z902">
        <v>8.816243E-2</v>
      </c>
      <c r="AA902">
        <v>0.97508799999999995</v>
      </c>
      <c r="AB902">
        <v>29</v>
      </c>
      <c r="AC902">
        <v>2.0283000000000002</v>
      </c>
      <c r="AD902">
        <v>-1.104696669655</v>
      </c>
      <c r="AE902">
        <v>-11.957100000000001</v>
      </c>
      <c r="AF902">
        <v>-2.5138191122211002</v>
      </c>
      <c r="AG902">
        <v>-1.104696669655</v>
      </c>
      <c r="AH902">
        <v>11.762494977140101</v>
      </c>
      <c r="AI902">
        <v>95.247487371039</v>
      </c>
      <c r="AJ902">
        <v>102.06347783869001</v>
      </c>
      <c r="AK902">
        <v>12.0787387316789</v>
      </c>
      <c r="AL902">
        <v>87.119008664777695</v>
      </c>
      <c r="AM902">
        <v>92.429625022426407</v>
      </c>
      <c r="AN902">
        <v>1.0000000321794</v>
      </c>
    </row>
    <row r="903" spans="1:40" x14ac:dyDescent="0.3">
      <c r="A903" t="str">
        <f>"20200111153848040"</f>
        <v>20200111153848040</v>
      </c>
      <c r="B903" t="str">
        <f>"1578728328031585"</f>
        <v>1578728328031585</v>
      </c>
      <c r="C903" t="s">
        <v>40</v>
      </c>
      <c r="D903">
        <v>5.2397679999999998</v>
      </c>
      <c r="E903">
        <v>0.43496309999999999</v>
      </c>
      <c r="F903" t="s">
        <v>42</v>
      </c>
      <c r="G903">
        <v>-189.19370000000001</v>
      </c>
      <c r="H903" s="1">
        <v>-4.4161610000000002E-6</v>
      </c>
      <c r="I903">
        <v>318.67099999999999</v>
      </c>
      <c r="J903">
        <v>-191.30369999999999</v>
      </c>
      <c r="K903">
        <v>1.1047739999999999</v>
      </c>
      <c r="L903">
        <v>330.90140000000002</v>
      </c>
      <c r="M903">
        <v>-4.2315850000000002E-2</v>
      </c>
      <c r="N903">
        <v>0</v>
      </c>
      <c r="O903">
        <v>-0.99901189999999995</v>
      </c>
      <c r="P903">
        <v>1.4447310000000001E-3</v>
      </c>
      <c r="Q903">
        <v>3.9391290000000002E-2</v>
      </c>
      <c r="R903">
        <v>-0.99922310000000003</v>
      </c>
      <c r="S903">
        <v>0.50466920000000004</v>
      </c>
      <c r="T903">
        <v>-0.26576070000000002</v>
      </c>
      <c r="U903">
        <v>-3.011841</v>
      </c>
      <c r="V903">
        <v>-4.3731869999999999E-2</v>
      </c>
      <c r="W903">
        <v>5.2959279999999997E-2</v>
      </c>
      <c r="X903">
        <v>0.99763860000000004</v>
      </c>
      <c r="Y903">
        <v>-0.20622969999999999</v>
      </c>
      <c r="Z903">
        <v>8.6237159999999993E-2</v>
      </c>
      <c r="AA903">
        <v>0.97469609999999995</v>
      </c>
      <c r="AB903">
        <v>29</v>
      </c>
      <c r="AC903">
        <v>2.1099999999999799</v>
      </c>
      <c r="AD903">
        <v>-1.1047784161609999</v>
      </c>
      <c r="AE903">
        <v>-12.230399999999999</v>
      </c>
      <c r="AF903">
        <v>-2.60505538871563</v>
      </c>
      <c r="AG903">
        <v>-1.1047784161609999</v>
      </c>
      <c r="AH903">
        <v>12.034787495635699</v>
      </c>
      <c r="AI903">
        <v>95.126899547843607</v>
      </c>
      <c r="AJ903">
        <v>102.213836060251</v>
      </c>
      <c r="AK903">
        <v>12.362967240602099</v>
      </c>
      <c r="AL903">
        <v>86.964236486261996</v>
      </c>
      <c r="AM903">
        <v>92.509975581442305</v>
      </c>
      <c r="AN903">
        <v>0.99999996900088695</v>
      </c>
    </row>
    <row r="904" spans="1:40" x14ac:dyDescent="0.3">
      <c r="A904" t="str">
        <f>"20200111153848063"</f>
        <v>20200111153848063</v>
      </c>
      <c r="B904" t="str">
        <f>"1578728328052081"</f>
        <v>1578728328052081</v>
      </c>
      <c r="C904" t="s">
        <v>40</v>
      </c>
      <c r="D904">
        <v>5.2700659999999999</v>
      </c>
      <c r="E904">
        <v>0.43506240000000002</v>
      </c>
      <c r="F904" t="s">
        <v>42</v>
      </c>
      <c r="G904">
        <v>-189.08629999999999</v>
      </c>
      <c r="H904" s="1">
        <v>-4.0725350000000003E-6</v>
      </c>
      <c r="I904">
        <v>317.90370000000001</v>
      </c>
      <c r="J904">
        <v>-191.31620000000001</v>
      </c>
      <c r="K904">
        <v>1.1048359999999999</v>
      </c>
      <c r="L904">
        <v>330.60559999999998</v>
      </c>
      <c r="M904">
        <v>-4.2109279999999999E-2</v>
      </c>
      <c r="N904">
        <v>0</v>
      </c>
      <c r="O904">
        <v>-0.99902080000000004</v>
      </c>
      <c r="P904">
        <v>2.6589029999999998E-3</v>
      </c>
      <c r="Q904">
        <v>4.18667E-2</v>
      </c>
      <c r="R904">
        <v>-0.99911989999999995</v>
      </c>
      <c r="S904">
        <v>0.51379390000000003</v>
      </c>
      <c r="T904">
        <v>-0.25598870000000001</v>
      </c>
      <c r="U904">
        <v>-3.0116879999999999</v>
      </c>
      <c r="V904">
        <v>-4.4741509999999998E-2</v>
      </c>
      <c r="W904">
        <v>5.5419000000000003E-2</v>
      </c>
      <c r="X904">
        <v>0.99746020000000002</v>
      </c>
      <c r="Y904">
        <v>-0.20895140000000001</v>
      </c>
      <c r="Z904">
        <v>8.3049360000000003E-2</v>
      </c>
      <c r="AA904">
        <v>0.97439319999999896</v>
      </c>
      <c r="AB904">
        <v>29</v>
      </c>
      <c r="AC904">
        <v>2.22990000000001</v>
      </c>
      <c r="AD904">
        <v>-1.1048400725350001</v>
      </c>
      <c r="AE904">
        <v>-12.701899999999901</v>
      </c>
      <c r="AF904">
        <v>-2.7427082145327502</v>
      </c>
      <c r="AG904">
        <v>-1.1048400725350001</v>
      </c>
      <c r="AH904">
        <v>12.5049407660113</v>
      </c>
      <c r="AI904">
        <v>94.932455341959397</v>
      </c>
      <c r="AJ904">
        <v>102.370795484261</v>
      </c>
      <c r="AK904">
        <v>12.849772896724501</v>
      </c>
      <c r="AL904">
        <v>86.823097463658101</v>
      </c>
      <c r="AM904">
        <v>92.568305484546798</v>
      </c>
      <c r="AN904">
        <v>0.99999995943105902</v>
      </c>
    </row>
    <row r="905" spans="1:40" x14ac:dyDescent="0.3">
      <c r="A905" t="str">
        <f>"20200111153848086"</f>
        <v>20200111153848086</v>
      </c>
      <c r="B905" t="str">
        <f>"1578728328080891"</f>
        <v>1578728328080891</v>
      </c>
      <c r="C905" t="s">
        <v>40</v>
      </c>
      <c r="D905">
        <v>5.2768739999999896</v>
      </c>
      <c r="E905">
        <v>0.43519459999999999</v>
      </c>
      <c r="F905" t="s">
        <v>42</v>
      </c>
      <c r="G905">
        <v>-189.00129999999999</v>
      </c>
      <c r="H905" s="1">
        <v>-3.7110480000000002E-6</v>
      </c>
      <c r="I905">
        <v>317.1071</v>
      </c>
      <c r="J905">
        <v>-191.32839999999999</v>
      </c>
      <c r="K905">
        <v>1.1048819999999999</v>
      </c>
      <c r="L905">
        <v>330.31139999999999</v>
      </c>
      <c r="M905">
        <v>-4.1902809999999999E-2</v>
      </c>
      <c r="N905">
        <v>0</v>
      </c>
      <c r="O905">
        <v>-0.99902939999999996</v>
      </c>
      <c r="P905">
        <v>3.8219220000000002E-3</v>
      </c>
      <c r="Q905">
        <v>4.4339610000000002E-2</v>
      </c>
      <c r="R905">
        <v>-0.99900919999999904</v>
      </c>
      <c r="S905">
        <v>0.51647949999999998</v>
      </c>
      <c r="T905">
        <v>-0.24649860000000001</v>
      </c>
      <c r="U905">
        <v>-3.0116269999999998</v>
      </c>
      <c r="V905">
        <v>-4.5698709999999997E-2</v>
      </c>
      <c r="W905">
        <v>5.7877909999999998E-2</v>
      </c>
      <c r="X905">
        <v>0.99727719999999997</v>
      </c>
      <c r="Y905">
        <v>-0.2096393</v>
      </c>
      <c r="Z905">
        <v>7.9981880000000005E-2</v>
      </c>
      <c r="AA905">
        <v>0.97450210000000004</v>
      </c>
      <c r="AB905">
        <v>29</v>
      </c>
      <c r="AC905">
        <v>2.3271000000000002</v>
      </c>
      <c r="AD905">
        <v>-1.1048857110479999</v>
      </c>
      <c r="AE905">
        <v>-13.2042999999999</v>
      </c>
      <c r="AF905">
        <v>-2.8589892245281101</v>
      </c>
      <c r="AG905">
        <v>-1.1048857110479999</v>
      </c>
      <c r="AH905">
        <v>13.006852631332601</v>
      </c>
      <c r="AI905">
        <v>94.742729958945304</v>
      </c>
      <c r="AJ905">
        <v>102.39683676801801</v>
      </c>
      <c r="AK905">
        <v>13.363113678841801</v>
      </c>
      <c r="AL905">
        <v>86.681985855798303</v>
      </c>
      <c r="AM905">
        <v>92.623656551744006</v>
      </c>
      <c r="AN905">
        <v>1.0000000191007301</v>
      </c>
    </row>
    <row r="906" spans="1:40" x14ac:dyDescent="0.3">
      <c r="A906" t="str">
        <f>"20200111153848107"</f>
        <v>20200111153848107</v>
      </c>
      <c r="B906" t="str">
        <f>"1578728328101387"</f>
        <v>1578728328101387</v>
      </c>
      <c r="C906" t="s">
        <v>40</v>
      </c>
      <c r="D906">
        <v>5.2809799999999996</v>
      </c>
      <c r="E906">
        <v>0.43519799999999997</v>
      </c>
      <c r="F906" t="s">
        <v>42</v>
      </c>
      <c r="G906">
        <v>-188.90389999999999</v>
      </c>
      <c r="H906" s="1">
        <v>-3.3133160000000001E-6</v>
      </c>
      <c r="I906">
        <v>316.22919999999999</v>
      </c>
      <c r="J906">
        <v>-191.34020000000001</v>
      </c>
      <c r="K906">
        <v>1.1049059999999999</v>
      </c>
      <c r="L906">
        <v>330.02769999999998</v>
      </c>
      <c r="M906">
        <v>-4.1703919999999998E-2</v>
      </c>
      <c r="N906">
        <v>0</v>
      </c>
      <c r="O906">
        <v>-0.99903799999999998</v>
      </c>
      <c r="P906">
        <v>4.7853510000000002E-3</v>
      </c>
      <c r="Q906">
        <v>4.6002340000000003E-2</v>
      </c>
      <c r="R906">
        <v>-0.99893030000000005</v>
      </c>
      <c r="S906">
        <v>0.51849369999999995</v>
      </c>
      <c r="T906">
        <v>-0.2362795</v>
      </c>
      <c r="U906">
        <v>-3.0114749999999999</v>
      </c>
      <c r="V906">
        <v>-4.6464079999999998E-2</v>
      </c>
      <c r="W906">
        <v>5.9530630000000001E-2</v>
      </c>
      <c r="X906">
        <v>0.99714449999999999</v>
      </c>
      <c r="Y906">
        <v>-0.21013009999999999</v>
      </c>
      <c r="Z906">
        <v>7.6682899999999998E-2</v>
      </c>
      <c r="AA906">
        <v>0.97466149999999996</v>
      </c>
      <c r="AB906">
        <v>29</v>
      </c>
      <c r="AC906">
        <v>2.4363000000000099</v>
      </c>
      <c r="AD906">
        <v>-1.104909313316</v>
      </c>
      <c r="AE906">
        <v>-13.798499999999899</v>
      </c>
      <c r="AF906">
        <v>-2.99108565218725</v>
      </c>
      <c r="AG906">
        <v>-1.104909313316</v>
      </c>
      <c r="AH906">
        <v>13.6003126301437</v>
      </c>
      <c r="AI906">
        <v>94.536642339688598</v>
      </c>
      <c r="AJ906">
        <v>102.403467930727</v>
      </c>
      <c r="AK906">
        <v>13.969105970212199</v>
      </c>
      <c r="AL906">
        <v>86.587128243679203</v>
      </c>
      <c r="AM906">
        <v>92.667889545326702</v>
      </c>
      <c r="AN906">
        <v>0.999999980259346</v>
      </c>
    </row>
    <row r="907" spans="1:40" x14ac:dyDescent="0.3">
      <c r="A907" t="str">
        <f>"20200111153848131"</f>
        <v>20200111153848131</v>
      </c>
      <c r="B907" t="str">
        <f>"1578728328120908"</f>
        <v>1578728328120908</v>
      </c>
      <c r="C907" t="s">
        <v>40</v>
      </c>
      <c r="D907">
        <v>5.355461</v>
      </c>
      <c r="E907">
        <v>0.43469740000000001</v>
      </c>
      <c r="F907" t="s">
        <v>42</v>
      </c>
      <c r="G907">
        <v>-188.83260000000001</v>
      </c>
      <c r="H907" s="1">
        <v>-2.9976950000000002E-6</v>
      </c>
      <c r="I907">
        <v>315.53480000000002</v>
      </c>
      <c r="J907">
        <v>-191.3528</v>
      </c>
      <c r="K907">
        <v>1.1049150000000001</v>
      </c>
      <c r="L907">
        <v>329.71949999999998</v>
      </c>
      <c r="M907">
        <v>-4.1483270000000003E-2</v>
      </c>
      <c r="N907">
        <v>0</v>
      </c>
      <c r="O907">
        <v>-0.99904720000000002</v>
      </c>
      <c r="P907">
        <v>5.5627559999999899E-3</v>
      </c>
      <c r="Q907">
        <v>4.5051729999999998E-2</v>
      </c>
      <c r="R907">
        <v>-0.99896929999999995</v>
      </c>
      <c r="S907">
        <v>0.52101140000000001</v>
      </c>
      <c r="T907">
        <v>-0.22957620000000001</v>
      </c>
      <c r="U907">
        <v>-3.0113219999999998</v>
      </c>
      <c r="V907">
        <v>-4.702448E-2</v>
      </c>
      <c r="W907">
        <v>5.8572440000000003E-2</v>
      </c>
      <c r="X907">
        <v>0.99717500000000003</v>
      </c>
      <c r="Y907">
        <v>-0.21074190000000001</v>
      </c>
      <c r="Z907">
        <v>7.4514529999999995E-2</v>
      </c>
      <c r="AA907">
        <v>0.97469760000000005</v>
      </c>
      <c r="AB907">
        <v>29</v>
      </c>
      <c r="AC907">
        <v>2.52019999999998</v>
      </c>
      <c r="AD907">
        <v>-1.1049179976950001</v>
      </c>
      <c r="AE907">
        <v>-14.1846999999999</v>
      </c>
      <c r="AF907">
        <v>-3.08834649554161</v>
      </c>
      <c r="AG907">
        <v>-1.1049179976950001</v>
      </c>
      <c r="AH907">
        <v>13.985668580844001</v>
      </c>
      <c r="AI907">
        <v>94.411350312967599</v>
      </c>
      <c r="AJ907">
        <v>102.45234608876601</v>
      </c>
      <c r="AK907">
        <v>14.3651541415803</v>
      </c>
      <c r="AL907">
        <v>86.642124550151607</v>
      </c>
      <c r="AM907">
        <v>92.699936978800594</v>
      </c>
      <c r="AN907">
        <v>1.00000000653591</v>
      </c>
    </row>
    <row r="908" spans="1:40" x14ac:dyDescent="0.3">
      <c r="A908" t="str">
        <f>"20200111153848153"</f>
        <v>20200111153848153</v>
      </c>
      <c r="B908" t="str">
        <f>"1578728328141403"</f>
        <v>1578728328141403</v>
      </c>
      <c r="C908" t="s">
        <v>40</v>
      </c>
      <c r="D908">
        <v>5.3290119999999996</v>
      </c>
      <c r="E908">
        <v>0.43418950000000001</v>
      </c>
      <c r="F908" t="s">
        <v>42</v>
      </c>
      <c r="G908">
        <v>-188.8759</v>
      </c>
      <c r="H908" s="1">
        <v>-3.0048169999999998E-6</v>
      </c>
      <c r="I908">
        <v>315.56610000000001</v>
      </c>
      <c r="J908">
        <v>-191.36410000000001</v>
      </c>
      <c r="K908">
        <v>1.104905</v>
      </c>
      <c r="L908">
        <v>329.44330000000002</v>
      </c>
      <c r="M908">
        <v>-4.1279320000000001E-2</v>
      </c>
      <c r="N908">
        <v>0</v>
      </c>
      <c r="O908">
        <v>-0.99905569999999999</v>
      </c>
      <c r="P908">
        <v>6.0180370000000004E-3</v>
      </c>
      <c r="Q908">
        <v>4.2409780000000001E-2</v>
      </c>
      <c r="R908">
        <v>-0.99908249999999998</v>
      </c>
      <c r="S908">
        <v>0.52690119999999996</v>
      </c>
      <c r="T908">
        <v>-0.23504259999999999</v>
      </c>
      <c r="U908">
        <v>-3.0107729999999999</v>
      </c>
      <c r="V908">
        <v>-4.727986E-2</v>
      </c>
      <c r="W908">
        <v>5.592652E-2</v>
      </c>
      <c r="X908">
        <v>0.99731479999999995</v>
      </c>
      <c r="Y908">
        <v>-0.2123997</v>
      </c>
      <c r="Z908">
        <v>7.6266420000000001E-2</v>
      </c>
      <c r="AA908">
        <v>0.97420220000000002</v>
      </c>
      <c r="AB908">
        <v>29</v>
      </c>
      <c r="AC908">
        <v>2.4882</v>
      </c>
      <c r="AD908">
        <v>-1.1049080048169999</v>
      </c>
      <c r="AE908">
        <v>-13.8772</v>
      </c>
      <c r="AF908">
        <v>-3.0402994292484302</v>
      </c>
      <c r="AG908">
        <v>-1.1049080048169999</v>
      </c>
      <c r="AH908">
        <v>13.6786354189029</v>
      </c>
      <c r="AI908">
        <v>94.508554194443306</v>
      </c>
      <c r="AJ908">
        <v>102.531213296364</v>
      </c>
      <c r="AK908">
        <v>14.0559350184134</v>
      </c>
      <c r="AL908">
        <v>86.793973622774004</v>
      </c>
      <c r="AM908">
        <v>92.714197941015499</v>
      </c>
      <c r="AN908">
        <v>0.99999998554998404</v>
      </c>
    </row>
    <row r="909" spans="1:40" x14ac:dyDescent="0.3">
      <c r="A909" t="str">
        <f>"20200111153848176"</f>
        <v>20200111153848176</v>
      </c>
      <c r="B909" t="str">
        <f>"1578728328171193"</f>
        <v>1578728328171193</v>
      </c>
      <c r="C909" t="s">
        <v>40</v>
      </c>
      <c r="D909">
        <v>5.3899339999999896</v>
      </c>
      <c r="E909">
        <v>0.43356230000000001</v>
      </c>
      <c r="F909" t="s">
        <v>42</v>
      </c>
      <c r="G909">
        <v>-188.9538</v>
      </c>
      <c r="H909" s="1">
        <v>-3.1116739999999999E-6</v>
      </c>
      <c r="I909">
        <v>315.82139999999998</v>
      </c>
      <c r="J909">
        <v>-191.37629999999999</v>
      </c>
      <c r="K909">
        <v>1.1049</v>
      </c>
      <c r="L909">
        <v>329.1422</v>
      </c>
      <c r="M909">
        <v>-4.1052140000000001E-2</v>
      </c>
      <c r="N909">
        <v>0</v>
      </c>
      <c r="O909">
        <v>-0.99906530000000004</v>
      </c>
      <c r="P909">
        <v>6.6133390000000002E-3</v>
      </c>
      <c r="Q909">
        <v>4.0841280000000001E-2</v>
      </c>
      <c r="R909">
        <v>-0.99914429999999999</v>
      </c>
      <c r="S909">
        <v>0.53257749999999904</v>
      </c>
      <c r="T909">
        <v>-0.2441412</v>
      </c>
      <c r="U909">
        <v>-3.0099179999999999</v>
      </c>
      <c r="V909">
        <v>-4.765018E-2</v>
      </c>
      <c r="W909">
        <v>5.4354399999999997E-2</v>
      </c>
      <c r="X909">
        <v>0.9973841</v>
      </c>
      <c r="Y909">
        <v>-0.2139662</v>
      </c>
      <c r="Z909">
        <v>7.9196710000000003E-2</v>
      </c>
      <c r="AA909">
        <v>0.97362539999999997</v>
      </c>
      <c r="AB909">
        <v>29</v>
      </c>
      <c r="AC909">
        <v>2.4224999999999799</v>
      </c>
      <c r="AD909">
        <v>-1.104903111674</v>
      </c>
      <c r="AE909">
        <v>-13.3208</v>
      </c>
      <c r="AF909">
        <v>-2.9477238681504998</v>
      </c>
      <c r="AG909">
        <v>-1.104903111674</v>
      </c>
      <c r="AH909">
        <v>13.122716835858601</v>
      </c>
      <c r="AI909">
        <v>94.6963416748263</v>
      </c>
      <c r="AJ909">
        <v>102.66007089626601</v>
      </c>
      <c r="AK909">
        <v>13.4950207129585</v>
      </c>
      <c r="AL909">
        <v>86.884186743050805</v>
      </c>
      <c r="AM909">
        <v>92.735234987368798</v>
      </c>
      <c r="AN909">
        <v>0.99999999169310105</v>
      </c>
    </row>
    <row r="910" spans="1:40" x14ac:dyDescent="0.3">
      <c r="A910" t="str">
        <f>"20200111153848196"</f>
        <v>20200111153848196</v>
      </c>
      <c r="B910" t="str">
        <f>"1578728328191686"</f>
        <v>1578728328191686</v>
      </c>
      <c r="C910" t="s">
        <v>40</v>
      </c>
      <c r="D910">
        <v>5.3501789999999998</v>
      </c>
      <c r="E910">
        <v>0.43319150000000001</v>
      </c>
      <c r="F910" t="s">
        <v>42</v>
      </c>
      <c r="G910">
        <v>-188.9941</v>
      </c>
      <c r="H910" s="1">
        <v>-3.1245170000000002E-6</v>
      </c>
      <c r="I910">
        <v>315.86360000000002</v>
      </c>
      <c r="J910">
        <v>-191.3871</v>
      </c>
      <c r="K910">
        <v>1.1048960000000001</v>
      </c>
      <c r="L910">
        <v>328.87290000000002</v>
      </c>
      <c r="M910">
        <v>-4.0847139999999997E-2</v>
      </c>
      <c r="N910">
        <v>0</v>
      </c>
      <c r="O910">
        <v>-0.99907360000000001</v>
      </c>
      <c r="P910">
        <v>8.1394069999999995E-3</v>
      </c>
      <c r="Q910">
        <v>4.0097889999999997E-2</v>
      </c>
      <c r="R910">
        <v>-0.99916289999999996</v>
      </c>
      <c r="S910">
        <v>0.539856</v>
      </c>
      <c r="T910">
        <v>-0.25039790000000001</v>
      </c>
      <c r="U910">
        <v>-3.0092469999999998</v>
      </c>
      <c r="V910">
        <v>-4.8970449999999999E-2</v>
      </c>
      <c r="W910">
        <v>5.3606859999999999E-2</v>
      </c>
      <c r="X910">
        <v>0.99736060000000004</v>
      </c>
      <c r="Y910">
        <v>-0.21605650000000001</v>
      </c>
      <c r="Z910">
        <v>8.1195580000000003E-2</v>
      </c>
      <c r="AA910">
        <v>0.9729989</v>
      </c>
      <c r="AB910">
        <v>29</v>
      </c>
      <c r="AC910">
        <v>2.3929999999999998</v>
      </c>
      <c r="AD910">
        <v>-1.1048991245169999</v>
      </c>
      <c r="AE910">
        <v>-13.0092999999999</v>
      </c>
      <c r="AF910">
        <v>-2.90219449382024</v>
      </c>
      <c r="AG910">
        <v>-1.1048991245169999</v>
      </c>
      <c r="AH910">
        <v>12.811296437218999</v>
      </c>
      <c r="AI910">
        <v>94.807996242041995</v>
      </c>
      <c r="AJ910">
        <v>102.764013703174</v>
      </c>
      <c r="AK910">
        <v>13.182293099367</v>
      </c>
      <c r="AL910">
        <v>86.927080145345698</v>
      </c>
      <c r="AM910">
        <v>92.810967875919701</v>
      </c>
      <c r="AN910">
        <v>0.99999998342231</v>
      </c>
    </row>
    <row r="911" spans="1:40" x14ac:dyDescent="0.3">
      <c r="A911" t="str">
        <f>"20200111153848219"</f>
        <v>20200111153848219</v>
      </c>
      <c r="B911" t="str">
        <f>"1578728328211208"</f>
        <v>1578728328211208</v>
      </c>
      <c r="C911" t="s">
        <v>40</v>
      </c>
      <c r="D911">
        <v>5.5719849999999997</v>
      </c>
      <c r="E911">
        <v>0.43305179999999999</v>
      </c>
      <c r="F911" t="s">
        <v>42</v>
      </c>
      <c r="G911">
        <v>-189</v>
      </c>
      <c r="H911" s="1">
        <v>-3.073398E-6</v>
      </c>
      <c r="I911">
        <v>315.7577</v>
      </c>
      <c r="J911">
        <v>-191.399</v>
      </c>
      <c r="K911">
        <v>1.104903</v>
      </c>
      <c r="L911">
        <v>328.57670000000002</v>
      </c>
      <c r="M911">
        <v>-4.0623649999999997E-2</v>
      </c>
      <c r="N911">
        <v>0</v>
      </c>
      <c r="O911">
        <v>-0.99908269999999999</v>
      </c>
      <c r="P911">
        <v>8.987297E-3</v>
      </c>
      <c r="Q911">
        <v>4.1260100000000001E-2</v>
      </c>
      <c r="R911">
        <v>-0.9991082</v>
      </c>
      <c r="S911">
        <v>0.54753109999999905</v>
      </c>
      <c r="T911">
        <v>-0.2534323</v>
      </c>
      <c r="U911">
        <v>-3.0082399999999998</v>
      </c>
      <c r="V911">
        <v>-4.9592230000000001E-2</v>
      </c>
      <c r="W911">
        <v>5.4763859999999998E-2</v>
      </c>
      <c r="X911">
        <v>0.99726700000000001</v>
      </c>
      <c r="Y911">
        <v>-0.2182838</v>
      </c>
      <c r="Z911">
        <v>8.2161780000000004E-2</v>
      </c>
      <c r="AA911">
        <v>0.97242050000000002</v>
      </c>
      <c r="AB911">
        <v>29</v>
      </c>
      <c r="AC911">
        <v>2.399</v>
      </c>
      <c r="AD911">
        <v>-1.1049060733980001</v>
      </c>
      <c r="AE911">
        <v>-12.819000000000001</v>
      </c>
      <c r="AF911">
        <v>-2.89702732050212</v>
      </c>
      <c r="AG911">
        <v>-1.1049060733980001</v>
      </c>
      <c r="AH911">
        <v>12.6203644521977</v>
      </c>
      <c r="AI911">
        <v>94.877241518219506</v>
      </c>
      <c r="AJ911">
        <v>102.928372133938</v>
      </c>
      <c r="AK911">
        <v>12.9956601845794</v>
      </c>
      <c r="AL911">
        <v>86.860691347641193</v>
      </c>
      <c r="AM911">
        <v>92.846867257608395</v>
      </c>
      <c r="AN911">
        <v>0.99999996946373504</v>
      </c>
    </row>
    <row r="912" spans="1:40" x14ac:dyDescent="0.3">
      <c r="A912" t="str">
        <f>"20200111153848242"</f>
        <v>20200111153848242</v>
      </c>
      <c r="B912" t="str">
        <f>"1578728328231702"</f>
        <v>1578728328231702</v>
      </c>
      <c r="C912" t="s">
        <v>40</v>
      </c>
      <c r="D912">
        <v>5.2636419999999999</v>
      </c>
      <c r="E912">
        <v>0.45525870000000002</v>
      </c>
      <c r="F912" t="s">
        <v>42</v>
      </c>
      <c r="G912">
        <v>-188.94800000000001</v>
      </c>
      <c r="H912" s="1">
        <v>-2.8258149999999999E-6</v>
      </c>
      <c r="I912">
        <v>315.21440000000001</v>
      </c>
      <c r="J912">
        <v>-191.41079999999999</v>
      </c>
      <c r="K912">
        <v>1.1049040000000001</v>
      </c>
      <c r="L912">
        <v>328.28039999999999</v>
      </c>
      <c r="M912">
        <v>-4.0410080000000001E-2</v>
      </c>
      <c r="N912">
        <v>0</v>
      </c>
      <c r="O912">
        <v>-0.99909130000000002</v>
      </c>
      <c r="P912">
        <v>9.3269270000000005E-3</v>
      </c>
      <c r="Q912">
        <v>4.3161959999999999E-2</v>
      </c>
      <c r="R912">
        <v>-0.99902480000000005</v>
      </c>
      <c r="S912">
        <v>0.55175779999999996</v>
      </c>
      <c r="T912">
        <v>-0.2487299</v>
      </c>
      <c r="U912">
        <v>-3.0080260000000001</v>
      </c>
      <c r="V912">
        <v>-4.9714889999999998E-2</v>
      </c>
      <c r="W912">
        <v>5.666206E-2</v>
      </c>
      <c r="X912">
        <v>0.99715489999999996</v>
      </c>
      <c r="Y912">
        <v>-0.21943209999999999</v>
      </c>
      <c r="Z912">
        <v>8.0633679999999999E-2</v>
      </c>
      <c r="AA912">
        <v>0.97228999999999999</v>
      </c>
      <c r="AB912">
        <v>29</v>
      </c>
      <c r="AC912">
        <v>2.4628000000000099</v>
      </c>
      <c r="AD912">
        <v>-1.1049068258149899</v>
      </c>
      <c r="AE912">
        <v>-13.065999999999899</v>
      </c>
      <c r="AF912">
        <v>-2.9683362773396502</v>
      </c>
      <c r="AG912">
        <v>-1.1049068258149899</v>
      </c>
      <c r="AH912">
        <v>12.866939890190601</v>
      </c>
      <c r="AI912">
        <v>94.783028419022202</v>
      </c>
      <c r="AJ912">
        <v>102.990568427081</v>
      </c>
      <c r="AK912">
        <v>13.251036996661099</v>
      </c>
      <c r="AL912">
        <v>86.751763481951798</v>
      </c>
      <c r="AM912">
        <v>92.854217295207107</v>
      </c>
      <c r="AN912">
        <v>1.0000000269625799</v>
      </c>
    </row>
    <row r="913" spans="1:40" x14ac:dyDescent="0.3">
      <c r="A913" t="str">
        <f>"20200111153848264"</f>
        <v>20200111153848264</v>
      </c>
      <c r="B913" t="str">
        <f>"1578728328261489"</f>
        <v>1578728328261489</v>
      </c>
      <c r="C913" t="s">
        <v>40</v>
      </c>
      <c r="D913">
        <v>5.295865</v>
      </c>
      <c r="E913">
        <v>0.46542800000000001</v>
      </c>
      <c r="F913" t="s">
        <v>42</v>
      </c>
      <c r="G913">
        <v>-189.8553</v>
      </c>
      <c r="H913" s="1">
        <v>-2.9523800000000002E-6</v>
      </c>
      <c r="I913">
        <v>315.8227</v>
      </c>
      <c r="J913">
        <v>-191.42240000000001</v>
      </c>
      <c r="K913">
        <v>1.1049020000000001</v>
      </c>
      <c r="L913">
        <v>327.98759999999999</v>
      </c>
      <c r="M913">
        <v>-4.0214149999999997E-2</v>
      </c>
      <c r="N913">
        <v>0</v>
      </c>
      <c r="O913">
        <v>-0.99909930000000002</v>
      </c>
      <c r="P913">
        <v>8.7399109999999995E-3</v>
      </c>
      <c r="Q913">
        <v>4.429553E-2</v>
      </c>
      <c r="R913">
        <v>-0.99898050000000005</v>
      </c>
      <c r="S913">
        <v>0.375946</v>
      </c>
      <c r="T913">
        <v>-0.26704820000000001</v>
      </c>
      <c r="U913">
        <v>-3.0109560000000002</v>
      </c>
      <c r="V913">
        <v>-4.8930000000000001E-2</v>
      </c>
      <c r="W913">
        <v>5.7793650000000002E-2</v>
      </c>
      <c r="X913">
        <v>0.99712869999999998</v>
      </c>
      <c r="Y913">
        <v>-0.1632305</v>
      </c>
      <c r="Z913">
        <v>8.7308999999999998E-2</v>
      </c>
      <c r="AA913">
        <v>0.98271710000000001</v>
      </c>
      <c r="AB913">
        <v>29</v>
      </c>
      <c r="AC913">
        <v>1.5671000000000099</v>
      </c>
      <c r="AD913">
        <v>-1.1049049523799901</v>
      </c>
      <c r="AE913">
        <v>-12.1648999999999</v>
      </c>
      <c r="AF913">
        <v>-2.0385355229509399</v>
      </c>
      <c r="AG913">
        <v>-1.1049049523799901</v>
      </c>
      <c r="AH913">
        <v>11.994696310320199</v>
      </c>
      <c r="AI913">
        <v>95.189020952121794</v>
      </c>
      <c r="AJ913">
        <v>99.645432215711693</v>
      </c>
      <c r="AK913">
        <v>12.216758228308199</v>
      </c>
      <c r="AL913">
        <v>86.686821455660393</v>
      </c>
      <c r="AM913">
        <v>92.809301867510797</v>
      </c>
      <c r="AN913">
        <v>0.99999994762200395</v>
      </c>
    </row>
    <row r="914" spans="1:40" x14ac:dyDescent="0.3">
      <c r="A914" t="str">
        <f>"20200111153848287"</f>
        <v>20200111153848287</v>
      </c>
      <c r="B914" t="str">
        <f>"1578728328281008"</f>
        <v>1578728328281008</v>
      </c>
      <c r="C914" t="s">
        <v>40</v>
      </c>
      <c r="D914">
        <v>5.2993169999999896</v>
      </c>
      <c r="E914">
        <v>0.46632669999999998</v>
      </c>
      <c r="F914" t="s">
        <v>42</v>
      </c>
      <c r="G914">
        <v>-190.09110000000001</v>
      </c>
      <c r="H914" s="1">
        <v>-2.2695539999999998E-6</v>
      </c>
      <c r="I914">
        <v>314.34160000000003</v>
      </c>
      <c r="J914">
        <v>-191.4341</v>
      </c>
      <c r="K914">
        <v>1.104892</v>
      </c>
      <c r="L914">
        <v>327.6927</v>
      </c>
      <c r="M914">
        <v>-4.0033020000000002E-2</v>
      </c>
      <c r="N914">
        <v>0</v>
      </c>
      <c r="O914">
        <v>-0.99910670000000001</v>
      </c>
      <c r="P914">
        <v>8.0545670000000003E-3</v>
      </c>
      <c r="Q914">
        <v>4.5584380000000001E-2</v>
      </c>
      <c r="R914">
        <v>-0.99892820000000004</v>
      </c>
      <c r="S914">
        <v>0.29379270000000002</v>
      </c>
      <c r="T914">
        <v>-0.24382039999999999</v>
      </c>
      <c r="U914">
        <v>-3.0112920000000001</v>
      </c>
      <c r="V914">
        <v>-4.8060529999999997E-2</v>
      </c>
      <c r="W914">
        <v>5.9080809999999997E-2</v>
      </c>
      <c r="X914">
        <v>0.99709559999999997</v>
      </c>
      <c r="Y914">
        <v>-0.13655989999999901</v>
      </c>
      <c r="Z914">
        <v>8.0040509999999995E-2</v>
      </c>
      <c r="AA914">
        <v>0.98739299999999997</v>
      </c>
      <c r="AB914">
        <v>29</v>
      </c>
      <c r="AC914">
        <v>1.34299999999998</v>
      </c>
      <c r="AD914">
        <v>-1.1048942695540001</v>
      </c>
      <c r="AE914">
        <v>-13.351099999999899</v>
      </c>
      <c r="AF914">
        <v>-1.8638201495355999</v>
      </c>
      <c r="AG914">
        <v>-1.1048942695540001</v>
      </c>
      <c r="AH914">
        <v>13.197148198614199</v>
      </c>
      <c r="AI914">
        <v>94.738957639617794</v>
      </c>
      <c r="AJ914">
        <v>98.038662042617801</v>
      </c>
      <c r="AK914">
        <v>13.3738303216728</v>
      </c>
      <c r="AL914">
        <v>86.612946529183503</v>
      </c>
      <c r="AM914">
        <v>92.759550815674103</v>
      </c>
      <c r="AN914">
        <v>0.99999999609674795</v>
      </c>
    </row>
    <row r="915" spans="1:40" x14ac:dyDescent="0.3">
      <c r="A915" t="str">
        <f>"20200111153848309"</f>
        <v>20200111153848309</v>
      </c>
      <c r="B915" t="str">
        <f>"1578728328301504"</f>
        <v>1578728328301504</v>
      </c>
      <c r="C915" t="s">
        <v>40</v>
      </c>
      <c r="D915">
        <v>5.2542759999999999</v>
      </c>
      <c r="E915">
        <v>0.4664623</v>
      </c>
      <c r="F915" t="s">
        <v>42</v>
      </c>
      <c r="G915">
        <v>-190.0866</v>
      </c>
      <c r="H915" s="1">
        <v>-1.8429340000000001E-6</v>
      </c>
      <c r="I915">
        <v>313.44159999999999</v>
      </c>
      <c r="J915">
        <v>-191.4452</v>
      </c>
      <c r="K915">
        <v>1.1048849999999999</v>
      </c>
      <c r="L915">
        <v>327.4117</v>
      </c>
      <c r="M915">
        <v>-3.9876670000000003E-2</v>
      </c>
      <c r="N915">
        <v>0</v>
      </c>
      <c r="O915">
        <v>-0.99911289999999997</v>
      </c>
      <c r="P915">
        <v>6.330451E-3</v>
      </c>
      <c r="Q915">
        <v>4.7225160000000002E-2</v>
      </c>
      <c r="R915">
        <v>-0.99886410000000003</v>
      </c>
      <c r="S915">
        <v>0.2847595</v>
      </c>
      <c r="T915">
        <v>-0.23348859999999999</v>
      </c>
      <c r="U915">
        <v>-3.0115660000000002</v>
      </c>
      <c r="V915">
        <v>-4.6177849999999999E-2</v>
      </c>
      <c r="W915">
        <v>6.0721039999999997E-2</v>
      </c>
      <c r="X915">
        <v>0.99708600000000003</v>
      </c>
      <c r="Y915">
        <v>-0.13348579999999999</v>
      </c>
      <c r="Z915">
        <v>7.6690320000000006E-2</v>
      </c>
      <c r="AA915">
        <v>0.98807900000000004</v>
      </c>
      <c r="AB915">
        <v>29</v>
      </c>
      <c r="AC915">
        <v>1.35859999999999</v>
      </c>
      <c r="AD915">
        <v>-1.104886842934</v>
      </c>
      <c r="AE915">
        <v>-13.9701</v>
      </c>
      <c r="AF915">
        <v>-1.9028601775084</v>
      </c>
      <c r="AG915">
        <v>-1.104886842934</v>
      </c>
      <c r="AH915">
        <v>13.8191739582868</v>
      </c>
      <c r="AI915">
        <v>94.528704112715701</v>
      </c>
      <c r="AJ915">
        <v>97.840159662924094</v>
      </c>
      <c r="AK915">
        <v>13.993256257220001</v>
      </c>
      <c r="AL915">
        <v>86.5187990954051</v>
      </c>
      <c r="AM915">
        <v>92.651633568197994</v>
      </c>
      <c r="AN915">
        <v>0.99999996496265098</v>
      </c>
    </row>
    <row r="916" spans="1:40" x14ac:dyDescent="0.3">
      <c r="A916" t="str">
        <f>"20200111153848331"</f>
        <v>20200111153848331</v>
      </c>
      <c r="B916" t="str">
        <f>"1578728328321025"</f>
        <v>1578728328321025</v>
      </c>
      <c r="C916" t="s">
        <v>40</v>
      </c>
      <c r="D916">
        <v>5.3239210000000003</v>
      </c>
      <c r="E916">
        <v>0.46622580000000002</v>
      </c>
      <c r="F916" t="s">
        <v>42</v>
      </c>
      <c r="G916">
        <v>-190.08850000000001</v>
      </c>
      <c r="H916" s="1">
        <v>-1.5119620000000001E-6</v>
      </c>
      <c r="I916">
        <v>312.74040000000002</v>
      </c>
      <c r="J916">
        <v>-191.45670000000001</v>
      </c>
      <c r="K916">
        <v>1.1048800000000001</v>
      </c>
      <c r="L916">
        <v>327.11939999999998</v>
      </c>
      <c r="M916">
        <v>-3.9729300000000002E-2</v>
      </c>
      <c r="N916">
        <v>0</v>
      </c>
      <c r="O916">
        <v>-0.99911879999999997</v>
      </c>
      <c r="P916">
        <v>3.2850840000000002E-3</v>
      </c>
      <c r="Q916">
        <v>4.9224770000000001E-2</v>
      </c>
      <c r="R916">
        <v>-0.99878250000000002</v>
      </c>
      <c r="S916">
        <v>0.27856449999999999</v>
      </c>
      <c r="T916">
        <v>-0.22685630000000001</v>
      </c>
      <c r="U916">
        <v>-3.0123289999999998</v>
      </c>
      <c r="V916">
        <v>-4.2982989999999999E-2</v>
      </c>
      <c r="W916">
        <v>6.2720890000000001E-2</v>
      </c>
      <c r="X916">
        <v>0.99710509999999997</v>
      </c>
      <c r="Y916">
        <v>-0.13131660000000001</v>
      </c>
      <c r="Z916">
        <v>7.452425E-2</v>
      </c>
      <c r="AA916">
        <v>0.98853530000000001</v>
      </c>
      <c r="AB916">
        <v>29</v>
      </c>
      <c r="AC916">
        <v>1.3682000000000001</v>
      </c>
      <c r="AD916">
        <v>-1.1048815119619999</v>
      </c>
      <c r="AE916">
        <v>-14.3789999999999</v>
      </c>
      <c r="AF916">
        <v>-1.92716292513169</v>
      </c>
      <c r="AG916">
        <v>-1.1048815119619999</v>
      </c>
      <c r="AH916">
        <v>14.2300173058872</v>
      </c>
      <c r="AI916">
        <v>94.399784859034099</v>
      </c>
      <c r="AJ916">
        <v>97.712609707575496</v>
      </c>
      <c r="AK916">
        <v>14.402364827393001</v>
      </c>
      <c r="AL916">
        <v>86.403997407540302</v>
      </c>
      <c r="AM916">
        <v>92.468365798602207</v>
      </c>
      <c r="AN916">
        <v>1.0000000139588701</v>
      </c>
    </row>
    <row r="917" spans="1:40" x14ac:dyDescent="0.3">
      <c r="A917" t="str">
        <f>"20200111153848354"</f>
        <v>20200111153848354</v>
      </c>
      <c r="B917" t="str">
        <f>"1578728328351280"</f>
        <v>1578728328351280</v>
      </c>
      <c r="C917" t="s">
        <v>40</v>
      </c>
      <c r="D917">
        <v>5.243169</v>
      </c>
      <c r="E917">
        <v>0.46653699999999998</v>
      </c>
      <c r="F917" t="s">
        <v>42</v>
      </c>
      <c r="G917">
        <v>-190.09110000000001</v>
      </c>
      <c r="H917" s="1">
        <v>-1.1575379999999999E-6</v>
      </c>
      <c r="I917">
        <v>311.98910000000001</v>
      </c>
      <c r="J917">
        <v>-191.46789999999999</v>
      </c>
      <c r="K917">
        <v>1.1048770000000001</v>
      </c>
      <c r="L917">
        <v>326.83240000000001</v>
      </c>
      <c r="M917">
        <v>-3.959741E-2</v>
      </c>
      <c r="N917">
        <v>0</v>
      </c>
      <c r="O917">
        <v>-0.99912409999999996</v>
      </c>
      <c r="P917">
        <v>5.2728439999999996E-4</v>
      </c>
      <c r="Q917">
        <v>5.034462E-2</v>
      </c>
      <c r="R917">
        <v>-0.99873190000000001</v>
      </c>
      <c r="S917">
        <v>0.2719879</v>
      </c>
      <c r="T917">
        <v>-0.22006980000000001</v>
      </c>
      <c r="U917">
        <v>-3.0136409999999998</v>
      </c>
      <c r="V917">
        <v>-4.0092030000000001E-2</v>
      </c>
      <c r="W917">
        <v>6.3841120000000001E-2</v>
      </c>
      <c r="X917">
        <v>0.9971544</v>
      </c>
      <c r="Y917">
        <v>-0.12902130000000001</v>
      </c>
      <c r="Z917">
        <v>7.2294250000000004E-2</v>
      </c>
      <c r="AA917">
        <v>0.98900310000000002</v>
      </c>
      <c r="AB917">
        <v>29</v>
      </c>
      <c r="AC917">
        <v>1.37679999999997</v>
      </c>
      <c r="AD917">
        <v>-1.104878157538</v>
      </c>
      <c r="AE917">
        <v>-14.843299999999999</v>
      </c>
      <c r="AF917">
        <v>-1.95280236915254</v>
      </c>
      <c r="AG917">
        <v>-1.104878157538</v>
      </c>
      <c r="AH917">
        <v>14.696399449408</v>
      </c>
      <c r="AI917">
        <v>94.262098263446106</v>
      </c>
      <c r="AJ917">
        <v>97.568910032847398</v>
      </c>
      <c r="AK917">
        <v>14.8666858987648</v>
      </c>
      <c r="AL917">
        <v>86.339683923693102</v>
      </c>
      <c r="AM917">
        <v>92.302419273973797</v>
      </c>
      <c r="AN917">
        <v>0.99999997845586697</v>
      </c>
    </row>
    <row r="918" spans="1:40" x14ac:dyDescent="0.3">
      <c r="A918" t="str">
        <f>"20200111153848377"</f>
        <v>20200111153848377</v>
      </c>
      <c r="B918" t="str">
        <f>"1578728328371777"</f>
        <v>1578728328371777</v>
      </c>
      <c r="C918" t="s">
        <v>40</v>
      </c>
      <c r="D918">
        <v>5.2820839999999896</v>
      </c>
      <c r="E918">
        <v>0.46643180000000001</v>
      </c>
      <c r="F918" t="s">
        <v>42</v>
      </c>
      <c r="G918">
        <v>-190.12139999999999</v>
      </c>
      <c r="H918" s="1">
        <v>-8.3332490000000004E-7</v>
      </c>
      <c r="I918">
        <v>311.28620000000001</v>
      </c>
      <c r="J918">
        <v>-191.47980000000001</v>
      </c>
      <c r="K918">
        <v>1.1048880000000001</v>
      </c>
      <c r="L918">
        <v>326.53070000000002</v>
      </c>
      <c r="M918">
        <v>-3.9469089999999998E-2</v>
      </c>
      <c r="N918">
        <v>0</v>
      </c>
      <c r="O918">
        <v>-0.99912909999999999</v>
      </c>
      <c r="P918" s="1">
        <v>2.554315E-5</v>
      </c>
      <c r="Q918">
        <v>5.0602479999999998E-2</v>
      </c>
      <c r="R918">
        <v>-0.99871889999999997</v>
      </c>
      <c r="S918">
        <v>0.26109310000000002</v>
      </c>
      <c r="T918">
        <v>-0.2142395</v>
      </c>
      <c r="U918">
        <v>-3.014465</v>
      </c>
      <c r="V918">
        <v>-3.9461370000000003E-2</v>
      </c>
      <c r="W918">
        <v>6.4097139999999997E-2</v>
      </c>
      <c r="X918">
        <v>0.99716320000000003</v>
      </c>
      <c r="Y918">
        <v>-0.1253339</v>
      </c>
      <c r="Z918">
        <v>7.0398050000000004E-2</v>
      </c>
      <c r="AA918">
        <v>0.98961379999999999</v>
      </c>
      <c r="AB918">
        <v>29</v>
      </c>
      <c r="AC918">
        <v>1.35840000000001</v>
      </c>
      <c r="AD918">
        <v>-1.1048888333248901</v>
      </c>
      <c r="AE918">
        <v>-15.2445</v>
      </c>
      <c r="AF918">
        <v>-1.9489258655384001</v>
      </c>
      <c r="AG918">
        <v>-1.1048888333248901</v>
      </c>
      <c r="AH918">
        <v>15.100301824747101</v>
      </c>
      <c r="AI918">
        <v>94.150568258662602</v>
      </c>
      <c r="AJ918">
        <v>97.354244797778193</v>
      </c>
      <c r="AK918">
        <v>15.2655889687176</v>
      </c>
      <c r="AL918">
        <v>86.324985198405003</v>
      </c>
      <c r="AM918">
        <v>92.266219593479093</v>
      </c>
      <c r="AN918">
        <v>1.00000004525634</v>
      </c>
    </row>
    <row r="919" spans="1:40" x14ac:dyDescent="0.3">
      <c r="A919" t="str">
        <f>"20200111153848398"</f>
        <v>20200111153848398</v>
      </c>
      <c r="B919" t="str">
        <f>"1578728328391296"</f>
        <v>1578728328391296</v>
      </c>
      <c r="C919" t="s">
        <v>40</v>
      </c>
      <c r="D919">
        <v>5.2901860000000003</v>
      </c>
      <c r="E919">
        <v>0.46615210000000001</v>
      </c>
      <c r="F919" t="s">
        <v>42</v>
      </c>
      <c r="G919">
        <v>-190.14019999999999</v>
      </c>
      <c r="H919" s="1">
        <v>-6.9414299999999997E-7</v>
      </c>
      <c r="I919">
        <v>310.9812</v>
      </c>
      <c r="J919">
        <v>-191.49039999999999</v>
      </c>
      <c r="K919">
        <v>1.1048960000000001</v>
      </c>
      <c r="L919">
        <v>326.25830000000002</v>
      </c>
      <c r="M919">
        <v>-3.9357490000000002E-2</v>
      </c>
      <c r="N919">
        <v>0</v>
      </c>
      <c r="O919">
        <v>-0.99913379999999996</v>
      </c>
      <c r="P919">
        <v>1.0201489999999999E-3</v>
      </c>
      <c r="Q919">
        <v>5.1650849999999998E-2</v>
      </c>
      <c r="R919">
        <v>-0.99866500000000002</v>
      </c>
      <c r="S919">
        <v>0.2597198</v>
      </c>
      <c r="T919">
        <v>-0.21421580000000001</v>
      </c>
      <c r="U919">
        <v>-3.0147400000000002</v>
      </c>
      <c r="V919">
        <v>-4.0341109999999999E-2</v>
      </c>
      <c r="W919">
        <v>6.5142069999999996E-2</v>
      </c>
      <c r="X919">
        <v>0.99706019999999895</v>
      </c>
      <c r="Y919">
        <v>-0.124768</v>
      </c>
      <c r="Z919">
        <v>7.0388279999999998E-2</v>
      </c>
      <c r="AA919">
        <v>0.98968599999999995</v>
      </c>
      <c r="AB919">
        <v>29</v>
      </c>
      <c r="AC919">
        <v>1.3502000000000001</v>
      </c>
      <c r="AD919">
        <v>-1.1048966941429901</v>
      </c>
      <c r="AE919">
        <v>-15.277100000000001</v>
      </c>
      <c r="AF919">
        <v>-1.9404058366804</v>
      </c>
      <c r="AG919">
        <v>-1.1048966941429901</v>
      </c>
      <c r="AH919">
        <v>15.133569770397401</v>
      </c>
      <c r="AI919">
        <v>94.141947498227395</v>
      </c>
      <c r="AJ919">
        <v>97.306521563254904</v>
      </c>
      <c r="AK919">
        <v>15.2974149944112</v>
      </c>
      <c r="AL919">
        <v>86.264989439740404</v>
      </c>
      <c r="AM919">
        <v>92.316926629333295</v>
      </c>
      <c r="AN919">
        <v>0.99999996843197703</v>
      </c>
    </row>
    <row r="920" spans="1:40" x14ac:dyDescent="0.3">
      <c r="A920" t="str">
        <f>"20200111153848420"</f>
        <v>20200111153848420</v>
      </c>
      <c r="B920" t="str">
        <f>"1578728328411792"</f>
        <v>1578728328411792</v>
      </c>
      <c r="C920" t="s">
        <v>40</v>
      </c>
      <c r="D920">
        <v>5.253806</v>
      </c>
      <c r="E920">
        <v>0.46556340000000002</v>
      </c>
      <c r="F920" t="s">
        <v>42</v>
      </c>
      <c r="G920">
        <v>-190.12649999999999</v>
      </c>
      <c r="H920" s="1">
        <v>-5.6788040000000005E-7</v>
      </c>
      <c r="I920">
        <v>310.72179999999997</v>
      </c>
      <c r="J920">
        <v>-191.5016</v>
      </c>
      <c r="K920">
        <v>1.1049100000000001</v>
      </c>
      <c r="L920">
        <v>325.96839999999997</v>
      </c>
      <c r="M920">
        <v>-3.9239669999999997E-2</v>
      </c>
      <c r="N920">
        <v>0</v>
      </c>
      <c r="O920">
        <v>-0.99913839999999998</v>
      </c>
      <c r="P920">
        <v>2.9402429999999999E-3</v>
      </c>
      <c r="Q920">
        <v>5.3487449999999999E-2</v>
      </c>
      <c r="R920">
        <v>-0.99856440000000002</v>
      </c>
      <c r="S920">
        <v>0.2646637</v>
      </c>
      <c r="T920">
        <v>-0.21440490000000001</v>
      </c>
      <c r="U920">
        <v>-3.0148619999999999</v>
      </c>
      <c r="V920">
        <v>-4.2138299999999997E-2</v>
      </c>
      <c r="W920">
        <v>6.6973889999999994E-2</v>
      </c>
      <c r="X920">
        <v>0.99686450000000004</v>
      </c>
      <c r="Y920">
        <v>-0.1262578</v>
      </c>
      <c r="Z920">
        <v>7.043613E-2</v>
      </c>
      <c r="AA920">
        <v>0.98949370000000003</v>
      </c>
      <c r="AB920">
        <v>29</v>
      </c>
      <c r="AC920">
        <v>1.3751</v>
      </c>
      <c r="AD920">
        <v>-1.1049105678803901</v>
      </c>
      <c r="AE920">
        <v>-15.246600000000001</v>
      </c>
      <c r="AF920">
        <v>-1.96214530648456</v>
      </c>
      <c r="AG920">
        <v>-1.1049105678803901</v>
      </c>
      <c r="AH920">
        <v>15.1022180623109</v>
      </c>
      <c r="AI920">
        <v>94.1496724122226</v>
      </c>
      <c r="AJ920">
        <v>97.402647611081704</v>
      </c>
      <c r="AK920">
        <v>15.2691791517541</v>
      </c>
      <c r="AL920">
        <v>86.159804182435195</v>
      </c>
      <c r="AM920">
        <v>92.420499758377204</v>
      </c>
      <c r="AN920">
        <v>0.99999998481443597</v>
      </c>
    </row>
    <row r="921" spans="1:40" x14ac:dyDescent="0.3">
      <c r="A921" t="str">
        <f>"20200111153848443"</f>
        <v>20200111153848443</v>
      </c>
      <c r="B921" t="str">
        <f>"1578728328431313"</f>
        <v>1578728328431313</v>
      </c>
      <c r="C921" t="s">
        <v>40</v>
      </c>
      <c r="D921">
        <v>5.2225529999999996</v>
      </c>
      <c r="E921">
        <v>0.46540140000000002</v>
      </c>
      <c r="F921" t="s">
        <v>42</v>
      </c>
      <c r="G921">
        <v>-190.0548</v>
      </c>
      <c r="H921" s="1">
        <v>-2.633288E-7</v>
      </c>
      <c r="I921">
        <v>310.11790000000002</v>
      </c>
      <c r="J921">
        <v>-191.5128</v>
      </c>
      <c r="K921">
        <v>1.104916</v>
      </c>
      <c r="L921">
        <v>325.68110000000001</v>
      </c>
      <c r="M921">
        <v>-3.9122049999999998E-2</v>
      </c>
      <c r="N921">
        <v>0</v>
      </c>
      <c r="O921">
        <v>-0.99914309999999995</v>
      </c>
      <c r="P921">
        <v>4.7664539999999998E-3</v>
      </c>
      <c r="Q921">
        <v>5.6036790000000003E-2</v>
      </c>
      <c r="R921">
        <v>-0.9984172</v>
      </c>
      <c r="S921">
        <v>0.2751923</v>
      </c>
      <c r="T921">
        <v>-0.2101566</v>
      </c>
      <c r="U921">
        <v>-3.0148009999999998</v>
      </c>
      <c r="V921">
        <v>-4.3839969999999999E-2</v>
      </c>
      <c r="W921">
        <v>6.9505220000000006E-2</v>
      </c>
      <c r="X921">
        <v>0.9966178</v>
      </c>
      <c r="Y921">
        <v>-0.12957920000000001</v>
      </c>
      <c r="Z921">
        <v>6.9023589999999996E-2</v>
      </c>
      <c r="AA921">
        <v>0.98916380000000004</v>
      </c>
      <c r="AB921">
        <v>29</v>
      </c>
      <c r="AC921">
        <v>1.45799999999999</v>
      </c>
      <c r="AD921">
        <v>-1.1049162633288001</v>
      </c>
      <c r="AE921">
        <v>-15.563199999999901</v>
      </c>
      <c r="AF921">
        <v>-2.05553299994568</v>
      </c>
      <c r="AG921">
        <v>-1.1049162633288001</v>
      </c>
      <c r="AH921">
        <v>15.417206006843401</v>
      </c>
      <c r="AI921">
        <v>94.063415363005205</v>
      </c>
      <c r="AJ921">
        <v>97.594298425559003</v>
      </c>
      <c r="AK921">
        <v>15.5928283810309</v>
      </c>
      <c r="AL921">
        <v>86.014430721100396</v>
      </c>
      <c r="AM921">
        <v>92.518745887150104</v>
      </c>
      <c r="AN921">
        <v>0.999999978926844</v>
      </c>
    </row>
    <row r="922" spans="1:40" x14ac:dyDescent="0.3">
      <c r="A922" t="str">
        <f>"20200111153848466"</f>
        <v>20200111153848466</v>
      </c>
      <c r="B922" t="str">
        <f>"1578728328461323"</f>
        <v>1578728328461323</v>
      </c>
      <c r="C922" t="s">
        <v>40</v>
      </c>
      <c r="D922">
        <v>5.2107729999999997</v>
      </c>
      <c r="E922">
        <v>0.46555419999999997</v>
      </c>
      <c r="F922" t="s">
        <v>42</v>
      </c>
      <c r="G922">
        <v>-189.96860000000001</v>
      </c>
      <c r="H922" s="1">
        <v>-4.1065189999999999E-6</v>
      </c>
      <c r="I922">
        <v>309.18099999999998</v>
      </c>
      <c r="J922">
        <v>-191.52420000000001</v>
      </c>
      <c r="K922">
        <v>1.104914</v>
      </c>
      <c r="L922">
        <v>325.38400000000001</v>
      </c>
      <c r="M922">
        <v>-3.8996740000000002E-2</v>
      </c>
      <c r="N922">
        <v>0</v>
      </c>
      <c r="O922">
        <v>-0.99914860000000005</v>
      </c>
      <c r="P922">
        <v>7.22295199999999E-3</v>
      </c>
      <c r="Q922">
        <v>5.7047199999999999E-2</v>
      </c>
      <c r="R922">
        <v>-0.99834540000000005</v>
      </c>
      <c r="S922">
        <v>0.28213500000000002</v>
      </c>
      <c r="T922">
        <v>-0.20188030000000001</v>
      </c>
      <c r="U922">
        <v>-3.0147400000000002</v>
      </c>
      <c r="V922">
        <v>-4.6167239999999998E-2</v>
      </c>
      <c r="W922">
        <v>7.0460369999999994E-2</v>
      </c>
      <c r="X922">
        <v>0.99644569999999999</v>
      </c>
      <c r="Y922">
        <v>-0.13173219999999999</v>
      </c>
      <c r="Z922">
        <v>6.630308E-2</v>
      </c>
      <c r="AA922">
        <v>0.98906550000000004</v>
      </c>
      <c r="AB922">
        <v>29</v>
      </c>
      <c r="AC922">
        <v>1.5555999999999901</v>
      </c>
      <c r="AD922">
        <v>-1.1049181065189999</v>
      </c>
      <c r="AE922">
        <v>-16.202999999999999</v>
      </c>
      <c r="AF922">
        <v>-2.1763101788374901</v>
      </c>
      <c r="AG922">
        <v>-1.1049181065189999</v>
      </c>
      <c r="AH922">
        <v>16.056022518105799</v>
      </c>
      <c r="AI922">
        <v>93.901122647231006</v>
      </c>
      <c r="AJ922">
        <v>97.719100948894607</v>
      </c>
      <c r="AK922">
        <v>16.2404750274906</v>
      </c>
      <c r="AL922">
        <v>85.959570456356701</v>
      </c>
      <c r="AM922">
        <v>92.652726261578195</v>
      </c>
      <c r="AN922">
        <v>1.00000005541912</v>
      </c>
    </row>
    <row r="923" spans="1:40" x14ac:dyDescent="0.3">
      <c r="A923" t="str">
        <f>"20200111153848486"</f>
        <v>20200111153848486</v>
      </c>
      <c r="B923" t="str">
        <f>"1578728328480842"</f>
        <v>1578728328480842</v>
      </c>
      <c r="C923" t="s">
        <v>40</v>
      </c>
      <c r="D923">
        <v>5.2096260000000001</v>
      </c>
      <c r="E923">
        <v>0.46554459999999998</v>
      </c>
      <c r="F923" t="s">
        <v>42</v>
      </c>
      <c r="G923">
        <v>-189.90899999999999</v>
      </c>
      <c r="H923" s="1">
        <v>-3.812412E-6</v>
      </c>
      <c r="I923">
        <v>308.48200000000003</v>
      </c>
      <c r="J923">
        <v>-191.53450000000001</v>
      </c>
      <c r="K923">
        <v>1.1048960000000001</v>
      </c>
      <c r="L923">
        <v>325.11770000000001</v>
      </c>
      <c r="M923">
        <v>-3.8884389999999998E-2</v>
      </c>
      <c r="N923">
        <v>0</v>
      </c>
      <c r="O923">
        <v>-0.99915430000000005</v>
      </c>
      <c r="P923">
        <v>1.0439189999999999E-2</v>
      </c>
      <c r="Q923">
        <v>5.775189E-2</v>
      </c>
      <c r="R923">
        <v>-0.99827670000000002</v>
      </c>
      <c r="S923">
        <v>0.28804020000000002</v>
      </c>
      <c r="T923">
        <v>-0.19703970000000001</v>
      </c>
      <c r="U923">
        <v>-3.0141300000000002</v>
      </c>
      <c r="V923">
        <v>-4.9266600000000001E-2</v>
      </c>
      <c r="W923">
        <v>7.1072529999999995E-2</v>
      </c>
      <c r="X923">
        <v>0.99625370000000002</v>
      </c>
      <c r="Y923">
        <v>-0.13356949999999901</v>
      </c>
      <c r="Z923">
        <v>6.4719570000000004E-2</v>
      </c>
      <c r="AA923">
        <v>0.98892400000000003</v>
      </c>
      <c r="AB923">
        <v>29</v>
      </c>
      <c r="AC923">
        <v>1.62549999999998</v>
      </c>
      <c r="AD923">
        <v>-1.104899812412</v>
      </c>
      <c r="AE923">
        <v>-16.6356999999999</v>
      </c>
      <c r="AF923">
        <v>-2.2613163511819501</v>
      </c>
      <c r="AG923">
        <v>-1.104899812412</v>
      </c>
      <c r="AH923">
        <v>16.487859663186999</v>
      </c>
      <c r="AI923">
        <v>93.798373958035398</v>
      </c>
      <c r="AJ923">
        <v>97.809415984255807</v>
      </c>
      <c r="AK923">
        <v>16.678845029214099</v>
      </c>
      <c r="AL923">
        <v>85.924407763770901</v>
      </c>
      <c r="AM923">
        <v>92.831076669876694</v>
      </c>
      <c r="AN923">
        <v>0.99999996857992401</v>
      </c>
    </row>
    <row r="924" spans="1:40" x14ac:dyDescent="0.3">
      <c r="A924" t="str">
        <f>"20200111153848510"</f>
        <v>20200111153848510</v>
      </c>
      <c r="B924" t="str">
        <f>"1578728328501338"</f>
        <v>1578728328501338</v>
      </c>
      <c r="C924" t="s">
        <v>40</v>
      </c>
      <c r="D924">
        <v>5.3034869999999996</v>
      </c>
      <c r="E924">
        <v>0.46547620000000001</v>
      </c>
      <c r="F924" t="s">
        <v>42</v>
      </c>
      <c r="G924">
        <v>-189.85679999999999</v>
      </c>
      <c r="H924" s="1">
        <v>-3.6575609999999999E-6</v>
      </c>
      <c r="I924">
        <v>308.09949999999998</v>
      </c>
      <c r="J924">
        <v>-191.54580000000001</v>
      </c>
      <c r="K924">
        <v>1.10487</v>
      </c>
      <c r="L924">
        <v>324.82420000000002</v>
      </c>
      <c r="M924">
        <v>-3.8760120000000002E-2</v>
      </c>
      <c r="N924">
        <v>0</v>
      </c>
      <c r="O924">
        <v>-0.99916099999999997</v>
      </c>
      <c r="P924">
        <v>1.418111E-2</v>
      </c>
      <c r="Q924">
        <v>5.8293860000000003E-2</v>
      </c>
      <c r="R924">
        <v>-0.99819910000000001</v>
      </c>
      <c r="S924">
        <v>0.29705809999999999</v>
      </c>
      <c r="T924">
        <v>-0.1956434</v>
      </c>
      <c r="U924">
        <v>-3.0133969999999999</v>
      </c>
      <c r="V924">
        <v>-5.2878920000000003E-2</v>
      </c>
      <c r="W924">
        <v>7.1474889999999999E-2</v>
      </c>
      <c r="X924">
        <v>0.99603969999999997</v>
      </c>
      <c r="Y924">
        <v>-0.1364031</v>
      </c>
      <c r="Z924">
        <v>6.4257120000000001E-2</v>
      </c>
      <c r="AA924">
        <v>0.98856719999999998</v>
      </c>
      <c r="AB924">
        <v>29</v>
      </c>
      <c r="AC924">
        <v>1.68900000000002</v>
      </c>
      <c r="AD924">
        <v>-1.1048736575610001</v>
      </c>
      <c r="AE924">
        <v>-16.724699999999999</v>
      </c>
      <c r="AF924">
        <v>-2.32598996696183</v>
      </c>
      <c r="AG924">
        <v>-1.1048736575610001</v>
      </c>
      <c r="AH924">
        <v>16.575051162566702</v>
      </c>
      <c r="AI924">
        <v>93.776731192293894</v>
      </c>
      <c r="AJ924">
        <v>97.988197891883701</v>
      </c>
      <c r="AK924">
        <v>16.773887330230998</v>
      </c>
      <c r="AL924">
        <v>85.901295426802704</v>
      </c>
      <c r="AM924">
        <v>93.038932429913601</v>
      </c>
      <c r="AN924">
        <v>0.99999996202848296</v>
      </c>
    </row>
    <row r="925" spans="1:40" x14ac:dyDescent="0.3">
      <c r="A925" t="str">
        <f>"20200111153848531"</f>
        <v>20200111153848531</v>
      </c>
      <c r="B925" t="str">
        <f>"1578728328521834"</f>
        <v>1578728328521834</v>
      </c>
      <c r="C925" t="s">
        <v>40</v>
      </c>
      <c r="D925">
        <v>5.2175909999999996</v>
      </c>
      <c r="E925">
        <v>0.46547460000000002</v>
      </c>
      <c r="F925" t="s">
        <v>42</v>
      </c>
      <c r="G925">
        <v>-189.78899999999999</v>
      </c>
      <c r="H925" s="1">
        <v>-3.4891460000000002E-6</v>
      </c>
      <c r="I925">
        <v>307.67880000000002</v>
      </c>
      <c r="J925">
        <v>-191.55670000000001</v>
      </c>
      <c r="K925">
        <v>1.104843</v>
      </c>
      <c r="L925">
        <v>324.53879999999998</v>
      </c>
      <c r="M925">
        <v>-3.863544E-2</v>
      </c>
      <c r="N925">
        <v>0</v>
      </c>
      <c r="O925">
        <v>-0.99916769999999999</v>
      </c>
      <c r="P925">
        <v>1.774506E-2</v>
      </c>
      <c r="Q925">
        <v>5.8802090000000001E-2</v>
      </c>
      <c r="R925">
        <v>-0.998112</v>
      </c>
      <c r="S925">
        <v>0.30865479999999901</v>
      </c>
      <c r="T925">
        <v>-0.19411729999999999</v>
      </c>
      <c r="U925">
        <v>-3.0122990000000001</v>
      </c>
      <c r="V925">
        <v>-5.6311979999999998E-2</v>
      </c>
      <c r="W925">
        <v>7.1833499999999995E-2</v>
      </c>
      <c r="X925">
        <v>0.99582579999999998</v>
      </c>
      <c r="Y925">
        <v>-0.14008470000000001</v>
      </c>
      <c r="Z925">
        <v>6.3752790000000004E-2</v>
      </c>
      <c r="AA925">
        <v>0.98808499999999999</v>
      </c>
      <c r="AB925">
        <v>29</v>
      </c>
      <c r="AC925">
        <v>1.7676999999999901</v>
      </c>
      <c r="AD925">
        <v>-1.1048464891459999</v>
      </c>
      <c r="AE925">
        <v>-16.8599999999999</v>
      </c>
      <c r="AF925">
        <v>-2.4076027828043598</v>
      </c>
      <c r="AG925">
        <v>-1.1048464891459999</v>
      </c>
      <c r="AH925">
        <v>16.7081389695119</v>
      </c>
      <c r="AI925">
        <v>93.744680851908797</v>
      </c>
      <c r="AJ925">
        <v>98.199741916701299</v>
      </c>
      <c r="AK925">
        <v>16.916830221671798</v>
      </c>
      <c r="AL925">
        <v>85.880696028821006</v>
      </c>
      <c r="AM925">
        <v>93.236516200691398</v>
      </c>
      <c r="AN925">
        <v>1.0000000573797001</v>
      </c>
    </row>
    <row r="926" spans="1:40" x14ac:dyDescent="0.3">
      <c r="A926" t="str">
        <f>"20200111153848555"</f>
        <v>20200111153848555</v>
      </c>
      <c r="B926" t="str">
        <f>"1578728328551115"</f>
        <v>1578728328551115</v>
      </c>
      <c r="C926" t="s">
        <v>40</v>
      </c>
      <c r="D926">
        <v>4.9747870000000001</v>
      </c>
      <c r="E926">
        <v>0.44541629999999899</v>
      </c>
      <c r="F926" t="s">
        <v>42</v>
      </c>
      <c r="G926">
        <v>-189.7294</v>
      </c>
      <c r="H926" s="1">
        <v>-3.3367440000000001E-6</v>
      </c>
      <c r="I926">
        <v>307.2989</v>
      </c>
      <c r="J926">
        <v>-191.56809999999999</v>
      </c>
      <c r="K926">
        <v>1.104805</v>
      </c>
      <c r="L926">
        <v>324.23989999999998</v>
      </c>
      <c r="M926">
        <v>-3.8501769999999998E-2</v>
      </c>
      <c r="N926">
        <v>0</v>
      </c>
      <c r="O926">
        <v>-0.99917509999999998</v>
      </c>
      <c r="P926">
        <v>2.2028559999999999E-2</v>
      </c>
      <c r="Q926">
        <v>5.8644269999999998E-2</v>
      </c>
      <c r="R926">
        <v>-0.99803620000000004</v>
      </c>
      <c r="S926">
        <v>0.3191833</v>
      </c>
      <c r="T926">
        <v>-0.1929913</v>
      </c>
      <c r="U926">
        <v>-3.0114139999999998</v>
      </c>
      <c r="V926">
        <v>-6.04559E-2</v>
      </c>
      <c r="W926">
        <v>7.1516759999999999E-2</v>
      </c>
      <c r="X926">
        <v>0.99560559999999998</v>
      </c>
      <c r="Y926">
        <v>-0.14340069999999999</v>
      </c>
      <c r="Z926">
        <v>6.3376859999999993E-2</v>
      </c>
      <c r="AA926">
        <v>0.98763330000000005</v>
      </c>
      <c r="AB926">
        <v>29</v>
      </c>
      <c r="AC926">
        <v>1.83869999999998</v>
      </c>
      <c r="AD926">
        <v>-1.104808336744</v>
      </c>
      <c r="AE926">
        <v>-16.940999999999899</v>
      </c>
      <c r="AF926">
        <v>-2.4792279015048901</v>
      </c>
      <c r="AG926">
        <v>-1.104808336744</v>
      </c>
      <c r="AH926">
        <v>16.787073339646099</v>
      </c>
      <c r="AI926">
        <v>93.725089422996305</v>
      </c>
      <c r="AJ926">
        <v>98.401097539984804</v>
      </c>
      <c r="AK926">
        <v>17.005087584578799</v>
      </c>
      <c r="AL926">
        <v>85.898890604536604</v>
      </c>
      <c r="AM926">
        <v>93.474889983640907</v>
      </c>
      <c r="AN926">
        <v>1.00000003677853</v>
      </c>
    </row>
    <row r="927" spans="1:40" x14ac:dyDescent="0.3">
      <c r="A927" t="str">
        <f>"20200111153848577"</f>
        <v>20200111153848577</v>
      </c>
      <c r="B927" t="str">
        <f>"1578728328571611"</f>
        <v>1578728328571611</v>
      </c>
      <c r="C927" t="s">
        <v>40</v>
      </c>
      <c r="D927">
        <v>5.1200039999999998</v>
      </c>
      <c r="E927">
        <v>0.35472579999999998</v>
      </c>
      <c r="F927" t="s">
        <v>42</v>
      </c>
      <c r="G927">
        <v>-189.029</v>
      </c>
      <c r="H927" s="1">
        <v>-4.0633230000000001E-6</v>
      </c>
      <c r="I927">
        <v>308.70299999999997</v>
      </c>
      <c r="J927">
        <v>-191.57919999999999</v>
      </c>
      <c r="K927">
        <v>1.104779</v>
      </c>
      <c r="L927">
        <v>323.9477</v>
      </c>
      <c r="M927">
        <v>-3.8372040000000003E-2</v>
      </c>
      <c r="N927">
        <v>0</v>
      </c>
      <c r="O927">
        <v>-0.99918200000000001</v>
      </c>
      <c r="P927">
        <v>2.712235E-2</v>
      </c>
      <c r="Q927">
        <v>5.7906819999999998E-2</v>
      </c>
      <c r="R927">
        <v>-0.99795370000000005</v>
      </c>
      <c r="S927">
        <v>0.49150090000000002</v>
      </c>
      <c r="T927">
        <v>-0.21386720000000001</v>
      </c>
      <c r="U927">
        <v>-3.0075989999999999</v>
      </c>
      <c r="V927">
        <v>-6.541276E-2</v>
      </c>
      <c r="W927">
        <v>7.0621600000000007E-2</v>
      </c>
      <c r="X927">
        <v>0.99535609999999997</v>
      </c>
      <c r="Y927">
        <v>-0.19864100000000001</v>
      </c>
      <c r="Z927">
        <v>6.9684570000000001E-2</v>
      </c>
      <c r="AA927">
        <v>0.97759189999999996</v>
      </c>
      <c r="AB927">
        <v>29</v>
      </c>
      <c r="AC927">
        <v>2.5501999999999598</v>
      </c>
      <c r="AD927">
        <v>-1.104783063323</v>
      </c>
      <c r="AE927">
        <v>-15.2447</v>
      </c>
      <c r="AF927">
        <v>-3.1174127820883002</v>
      </c>
      <c r="AG927">
        <v>-1.104783063323</v>
      </c>
      <c r="AH927">
        <v>15.0586727457344</v>
      </c>
      <c r="AI927">
        <v>94.109180277538201</v>
      </c>
      <c r="AJ927">
        <v>101.696028961831</v>
      </c>
      <c r="AK927">
        <v>15.417601400154901</v>
      </c>
      <c r="AL927">
        <v>85.950309374490104</v>
      </c>
      <c r="AM927">
        <v>93.759954363080496</v>
      </c>
      <c r="AN927">
        <v>1.0000000026822899</v>
      </c>
    </row>
    <row r="928" spans="1:40" x14ac:dyDescent="0.3">
      <c r="A928" t="str">
        <f>"20200111153848600"</f>
        <v>20200111153848600</v>
      </c>
      <c r="B928" t="str">
        <f>"1578728328591131"</f>
        <v>1578728328591131</v>
      </c>
      <c r="C928" t="s">
        <v>40</v>
      </c>
      <c r="D928">
        <v>5.0326009999999997</v>
      </c>
      <c r="E928">
        <v>0.35105520000000001</v>
      </c>
      <c r="F928" t="s">
        <v>41</v>
      </c>
      <c r="G928">
        <v>-191.18450000000001</v>
      </c>
      <c r="H928">
        <v>1.0206040000000001</v>
      </c>
      <c r="I928">
        <v>322.98809999999997</v>
      </c>
      <c r="J928">
        <v>-191.59010000000001</v>
      </c>
      <c r="K928">
        <v>1.1047559999999901</v>
      </c>
      <c r="L928">
        <v>323.65879999999999</v>
      </c>
      <c r="M928">
        <v>-3.8246049999999997E-2</v>
      </c>
      <c r="N928">
        <v>0</v>
      </c>
      <c r="O928">
        <v>-0.99918870000000004</v>
      </c>
      <c r="P928">
        <v>3.2437639999999997E-2</v>
      </c>
      <c r="Q928">
        <v>5.6870560000000001E-2</v>
      </c>
      <c r="R928">
        <v>-0.99785469999999998</v>
      </c>
      <c r="S928">
        <v>1.228729</v>
      </c>
      <c r="T928">
        <v>-0.26212190000000002</v>
      </c>
      <c r="U928">
        <v>-2.9880070000000001</v>
      </c>
      <c r="V928">
        <v>-7.0594939999999995E-2</v>
      </c>
      <c r="W928">
        <v>6.943531E-2</v>
      </c>
      <c r="X928">
        <v>0.99508549999999996</v>
      </c>
      <c r="Y928">
        <v>-0.41418640000000001</v>
      </c>
      <c r="Z928">
        <v>8.0136020000000002E-2</v>
      </c>
      <c r="AA928">
        <v>0.90665750000000001</v>
      </c>
      <c r="AB928">
        <v>29</v>
      </c>
      <c r="AC928">
        <v>0.40559999999999202</v>
      </c>
      <c r="AD928">
        <v>-8.4151999999999699E-2</v>
      </c>
      <c r="AE928">
        <v>-0.67070000000000995</v>
      </c>
      <c r="AF928">
        <v>-0.42604586905300301</v>
      </c>
      <c r="AG928">
        <v>-8.4151999999999699E-2</v>
      </c>
      <c r="AH928">
        <v>0.64723475235329098</v>
      </c>
      <c r="AI928">
        <v>96.198090594659703</v>
      </c>
      <c r="AJ928">
        <v>123.355133213088</v>
      </c>
      <c r="AK928">
        <v>0.77942893601338403</v>
      </c>
      <c r="AL928">
        <v>86.018446173836793</v>
      </c>
      <c r="AM928">
        <v>94.057969623198801</v>
      </c>
      <c r="AN928">
        <v>1.0000000300693199</v>
      </c>
    </row>
    <row r="929" spans="1:40" x14ac:dyDescent="0.3">
      <c r="A929" t="str">
        <f>"20200111153848622"</f>
        <v>20200111153848622</v>
      </c>
      <c r="B929" t="str">
        <f>"1578728328611626"</f>
        <v>1578728328611626</v>
      </c>
      <c r="C929" t="s">
        <v>40</v>
      </c>
      <c r="D929">
        <v>4.9342579999999998</v>
      </c>
      <c r="E929">
        <v>0.35092380000000001</v>
      </c>
      <c r="F929" t="s">
        <v>41</v>
      </c>
      <c r="G929">
        <v>-191.1935</v>
      </c>
      <c r="H929">
        <v>1.0198</v>
      </c>
      <c r="I929">
        <v>322.7303</v>
      </c>
      <c r="J929">
        <v>-191.601</v>
      </c>
      <c r="K929">
        <v>1.10473</v>
      </c>
      <c r="L929">
        <v>323.3716</v>
      </c>
      <c r="M929">
        <v>-3.8122839999999998E-2</v>
      </c>
      <c r="N929">
        <v>0</v>
      </c>
      <c r="O929">
        <v>-0.9991951</v>
      </c>
      <c r="P929">
        <v>3.6976130000000003E-2</v>
      </c>
      <c r="Q929">
        <v>5.6661549999999998E-2</v>
      </c>
      <c r="R929">
        <v>-0.99770879999999995</v>
      </c>
      <c r="S929">
        <v>1.273315</v>
      </c>
      <c r="T929">
        <v>-0.27268399999999998</v>
      </c>
      <c r="U929">
        <v>-2.9806210000000002</v>
      </c>
      <c r="V929">
        <v>-7.5001280000000004E-2</v>
      </c>
      <c r="W929">
        <v>6.9080429999999998E-2</v>
      </c>
      <c r="X929">
        <v>0.9947878</v>
      </c>
      <c r="Y929">
        <v>-0.42626239999999999</v>
      </c>
      <c r="Z929">
        <v>8.3056669999999999E-2</v>
      </c>
      <c r="AA929">
        <v>0.90077850000000004</v>
      </c>
      <c r="AB929">
        <v>29</v>
      </c>
      <c r="AC929">
        <v>0.40749999999999797</v>
      </c>
      <c r="AD929">
        <v>-8.4929999999999894E-2</v>
      </c>
      <c r="AE929">
        <v>-0.64130000000000098</v>
      </c>
      <c r="AF929">
        <v>-0.42632724245500098</v>
      </c>
      <c r="AG929">
        <v>-8.4929999999999894E-2</v>
      </c>
      <c r="AH929">
        <v>0.61758136402512198</v>
      </c>
      <c r="AI929">
        <v>96.456887897500096</v>
      </c>
      <c r="AJ929">
        <v>124.61799889726601</v>
      </c>
      <c r="AK929">
        <v>0.75523159610176205</v>
      </c>
      <c r="AL929">
        <v>86.038828250497303</v>
      </c>
      <c r="AM929">
        <v>94.311615171508905</v>
      </c>
      <c r="AN929">
        <v>1.00000003241973</v>
      </c>
    </row>
    <row r="930" spans="1:40" x14ac:dyDescent="0.3">
      <c r="A930" t="str">
        <f>"20200111153848646"</f>
        <v>20200111153848646</v>
      </c>
      <c r="B930" t="str">
        <f>"1578728328640906"</f>
        <v>1578728328640906</v>
      </c>
      <c r="C930" t="s">
        <v>40</v>
      </c>
      <c r="D930">
        <v>4.9128360000000004</v>
      </c>
      <c r="E930">
        <v>0.34895209999999999</v>
      </c>
      <c r="F930" t="s">
        <v>41</v>
      </c>
      <c r="G930">
        <v>-191.2107</v>
      </c>
      <c r="H930">
        <v>1.022003</v>
      </c>
      <c r="I930">
        <v>322.47000000000003</v>
      </c>
      <c r="J930">
        <v>-191.61269999999999</v>
      </c>
      <c r="K930">
        <v>1.104714</v>
      </c>
      <c r="L930">
        <v>323.06139999999999</v>
      </c>
      <c r="M930">
        <v>-3.7989960000000003E-2</v>
      </c>
      <c r="N930">
        <v>0</v>
      </c>
      <c r="O930">
        <v>-0.99920229999999999</v>
      </c>
      <c r="P930">
        <v>4.1340509999999997E-2</v>
      </c>
      <c r="Q930">
        <v>5.6662030000000002E-2</v>
      </c>
      <c r="R930">
        <v>-0.99753740000000002</v>
      </c>
      <c r="S930">
        <v>1.287506</v>
      </c>
      <c r="T930">
        <v>-0.27294499999999999</v>
      </c>
      <c r="U930">
        <v>-2.97464</v>
      </c>
      <c r="V930">
        <v>-7.9224149999999993E-2</v>
      </c>
      <c r="W930">
        <v>6.8920590000000004E-2</v>
      </c>
      <c r="X930">
        <v>0.99447149999999995</v>
      </c>
      <c r="Y930">
        <v>-0.43041469999999998</v>
      </c>
      <c r="Z930">
        <v>8.3128019999999997E-2</v>
      </c>
      <c r="AA930">
        <v>0.89879519999999902</v>
      </c>
      <c r="AB930">
        <v>29</v>
      </c>
      <c r="AC930">
        <v>0.40199999999998598</v>
      </c>
      <c r="AD930">
        <v>-8.2710999999999896E-2</v>
      </c>
      <c r="AE930">
        <v>-0.59139999999996395</v>
      </c>
      <c r="AF930">
        <v>-0.418578844358099</v>
      </c>
      <c r="AG930">
        <v>-8.2710999999999896E-2</v>
      </c>
      <c r="AH930">
        <v>0.56809967661710303</v>
      </c>
      <c r="AI930">
        <v>96.685253302418005</v>
      </c>
      <c r="AJ930">
        <v>126.382984513361</v>
      </c>
      <c r="AK930">
        <v>0.71048335732627699</v>
      </c>
      <c r="AL930">
        <v>86.048008313089596</v>
      </c>
      <c r="AM930">
        <v>94.554824564912394</v>
      </c>
      <c r="AN930">
        <v>1.0000000389907</v>
      </c>
    </row>
    <row r="931" spans="1:40" x14ac:dyDescent="0.3">
      <c r="A931" t="str">
        <f>"20200111153848667"</f>
        <v>20200111153848667</v>
      </c>
      <c r="B931" t="str">
        <f>"1578728328661402"</f>
        <v>1578728328661402</v>
      </c>
      <c r="C931" t="s">
        <v>40</v>
      </c>
      <c r="D931">
        <v>4.7852040000000002</v>
      </c>
      <c r="E931">
        <v>0.34991609999999901</v>
      </c>
      <c r="F931" t="s">
        <v>41</v>
      </c>
      <c r="G931">
        <v>-191.21530000000001</v>
      </c>
      <c r="H931">
        <v>1.030724</v>
      </c>
      <c r="I931">
        <v>322.16609999999997</v>
      </c>
      <c r="J931">
        <v>-191.6224</v>
      </c>
      <c r="K931">
        <v>1.104697</v>
      </c>
      <c r="L931">
        <v>322.80099999999999</v>
      </c>
      <c r="M931">
        <v>-3.787778E-2</v>
      </c>
      <c r="N931">
        <v>0</v>
      </c>
      <c r="O931">
        <v>-0.99920799999999999</v>
      </c>
      <c r="P931">
        <v>4.5114840000000003E-2</v>
      </c>
      <c r="Q931">
        <v>5.6894500000000001E-2</v>
      </c>
      <c r="R931">
        <v>-0.99736049999999998</v>
      </c>
      <c r="S931">
        <v>1.3170930000000001</v>
      </c>
      <c r="T931">
        <v>-0.24515120000000001</v>
      </c>
      <c r="U931">
        <v>-2.966736</v>
      </c>
      <c r="V931">
        <v>-8.2877270000000003E-2</v>
      </c>
      <c r="W931">
        <v>6.9010970000000005E-2</v>
      </c>
      <c r="X931">
        <v>0.99416740000000003</v>
      </c>
      <c r="Y931">
        <v>-0.43895800000000001</v>
      </c>
      <c r="Z931">
        <v>7.4595969999999998E-2</v>
      </c>
      <c r="AA931">
        <v>0.89540569999999897</v>
      </c>
      <c r="AB931">
        <v>29</v>
      </c>
      <c r="AC931">
        <v>0.40709999999998497</v>
      </c>
      <c r="AD931">
        <v>-7.3972999999999997E-2</v>
      </c>
      <c r="AE931">
        <v>-0.63490000000001601</v>
      </c>
      <c r="AF931">
        <v>-0.42675293360906602</v>
      </c>
      <c r="AG931">
        <v>-7.3972999999999997E-2</v>
      </c>
      <c r="AH931">
        <v>0.61312499640254803</v>
      </c>
      <c r="AI931">
        <v>95.655220459266204</v>
      </c>
      <c r="AJ931">
        <v>124.839045926662</v>
      </c>
      <c r="AK931">
        <v>0.75067458481459803</v>
      </c>
      <c r="AL931">
        <v>86.0428173577818</v>
      </c>
      <c r="AM931">
        <v>94.765357957173194</v>
      </c>
      <c r="AN931">
        <v>0.999999987542876</v>
      </c>
    </row>
    <row r="932" spans="1:40" x14ac:dyDescent="0.3">
      <c r="A932" t="str">
        <f>"20200111153848689"</f>
        <v>20200111153848689</v>
      </c>
      <c r="B932" t="str">
        <f>"1578728328680923"</f>
        <v>1578728328680923</v>
      </c>
      <c r="C932" t="s">
        <v>40</v>
      </c>
      <c r="D932">
        <v>4.7280360000000003</v>
      </c>
      <c r="E932">
        <v>0.35087489999999999</v>
      </c>
      <c r="F932" t="s">
        <v>41</v>
      </c>
      <c r="G932">
        <v>-191.2253</v>
      </c>
      <c r="H932">
        <v>1.030294</v>
      </c>
      <c r="I932">
        <v>321.91030000000001</v>
      </c>
      <c r="J932">
        <v>-191.6336</v>
      </c>
      <c r="K932">
        <v>1.104676</v>
      </c>
      <c r="L932">
        <v>322.50189999999998</v>
      </c>
      <c r="M932">
        <v>-3.7748129999999998E-2</v>
      </c>
      <c r="N932">
        <v>0</v>
      </c>
      <c r="O932">
        <v>-0.99921510000000002</v>
      </c>
      <c r="P932">
        <v>4.8564240000000002E-2</v>
      </c>
      <c r="Q932">
        <v>5.7242399999999999E-2</v>
      </c>
      <c r="R932">
        <v>-0.99717869999999997</v>
      </c>
      <c r="S932">
        <v>1.320724</v>
      </c>
      <c r="T932">
        <v>-0.24743229999999999</v>
      </c>
      <c r="U932">
        <v>-2.9623719999999998</v>
      </c>
      <c r="V932">
        <v>-8.6187970000000003E-2</v>
      </c>
      <c r="W932">
        <v>6.9192219999999999E-2</v>
      </c>
      <c r="X932">
        <v>0.99387320000000001</v>
      </c>
      <c r="Y932">
        <v>-0.44022309999999998</v>
      </c>
      <c r="Z932">
        <v>7.5344549999999996E-2</v>
      </c>
      <c r="AA932">
        <v>0.89472160000000001</v>
      </c>
      <c r="AB932">
        <v>29</v>
      </c>
      <c r="AC932">
        <v>0.408299999999997</v>
      </c>
      <c r="AD932">
        <v>-7.4381999999999907E-2</v>
      </c>
      <c r="AE932">
        <v>-0.59159999999997104</v>
      </c>
      <c r="AF932">
        <v>-0.42578318684390198</v>
      </c>
      <c r="AG932">
        <v>-7.4381999999999907E-2</v>
      </c>
      <c r="AH932">
        <v>0.56966480283058296</v>
      </c>
      <c r="AI932">
        <v>95.970642289012801</v>
      </c>
      <c r="AJ932">
        <v>126.77545239549301</v>
      </c>
      <c r="AK932">
        <v>0.71508180770241603</v>
      </c>
      <c r="AL932">
        <v>86.032407399993303</v>
      </c>
      <c r="AM932">
        <v>94.956249609032994</v>
      </c>
      <c r="AN932">
        <v>0.99999993357974204</v>
      </c>
    </row>
    <row r="933" spans="1:40" x14ac:dyDescent="0.3">
      <c r="A933" t="str">
        <f>"20200111153848711"</f>
        <v>20200111153848711</v>
      </c>
      <c r="B933" t="str">
        <f>"1578728328701419"</f>
        <v>1578728328701419</v>
      </c>
      <c r="C933" t="s">
        <v>40</v>
      </c>
      <c r="D933">
        <v>4.6755760000000004</v>
      </c>
      <c r="E933">
        <v>0.3513288</v>
      </c>
      <c r="F933" t="s">
        <v>42</v>
      </c>
      <c r="G933">
        <v>-185.72550000000001</v>
      </c>
      <c r="H933" s="1">
        <v>-4.9049399999999997E-6</v>
      </c>
      <c r="I933">
        <v>309.2989</v>
      </c>
      <c r="J933">
        <v>-191.64400000000001</v>
      </c>
      <c r="K933">
        <v>1.104665</v>
      </c>
      <c r="L933">
        <v>322.2242</v>
      </c>
      <c r="M933">
        <v>-3.7627260000000003E-2</v>
      </c>
      <c r="N933">
        <v>0</v>
      </c>
      <c r="O933">
        <v>-0.99922160000000004</v>
      </c>
      <c r="P933">
        <v>5.1053260000000003E-2</v>
      </c>
      <c r="Q933">
        <v>5.7717730000000002E-2</v>
      </c>
      <c r="R933">
        <v>-0.99702670000000004</v>
      </c>
      <c r="S933">
        <v>1.3237460000000001</v>
      </c>
      <c r="T933">
        <v>-0.24750829999999999</v>
      </c>
      <c r="U933">
        <v>-2.9581909999999998</v>
      </c>
      <c r="V933">
        <v>-8.8549180000000005E-2</v>
      </c>
      <c r="W933">
        <v>6.9510459999999996E-2</v>
      </c>
      <c r="X933">
        <v>0.99364350000000001</v>
      </c>
      <c r="Y933">
        <v>-0.4413435</v>
      </c>
      <c r="Z933">
        <v>7.5427930000000004E-2</v>
      </c>
      <c r="AA933">
        <v>0.89416249999999997</v>
      </c>
      <c r="AB933">
        <v>29</v>
      </c>
      <c r="AC933">
        <v>5.9184999999999901</v>
      </c>
      <c r="AD933">
        <v>-1.1046699049399999</v>
      </c>
      <c r="AE933">
        <v>-12.925299999999901</v>
      </c>
      <c r="AF933">
        <v>-6.3622685626458004</v>
      </c>
      <c r="AG933">
        <v>-1.1046699049399999</v>
      </c>
      <c r="AH933">
        <v>12.617246087472299</v>
      </c>
      <c r="AI933">
        <v>94.470053300769706</v>
      </c>
      <c r="AJ933">
        <v>116.759605931312</v>
      </c>
      <c r="AK933">
        <v>14.173695908052499</v>
      </c>
      <c r="AL933">
        <v>86.014129980030503</v>
      </c>
      <c r="AM933">
        <v>95.092497840496605</v>
      </c>
      <c r="AN933">
        <v>1.00000003321016</v>
      </c>
    </row>
    <row r="934" spans="1:40" x14ac:dyDescent="0.3">
      <c r="A934" t="str">
        <f>"20200111153848733"</f>
        <v>20200111153848733</v>
      </c>
      <c r="B934" t="str">
        <f>"1578728328720938"</f>
        <v>1578728328720938</v>
      </c>
      <c r="C934" t="s">
        <v>40</v>
      </c>
      <c r="D934">
        <v>4.6016459999999997</v>
      </c>
      <c r="E934">
        <v>0.35203509999999999</v>
      </c>
      <c r="F934" t="s">
        <v>42</v>
      </c>
      <c r="G934">
        <v>-185.5821</v>
      </c>
      <c r="H934" s="1">
        <v>-4.6905649999999997E-6</v>
      </c>
      <c r="I934">
        <v>308.73989999999998</v>
      </c>
      <c r="J934">
        <v>-191.65479999999999</v>
      </c>
      <c r="K934">
        <v>1.104641</v>
      </c>
      <c r="L934">
        <v>321.9341</v>
      </c>
      <c r="M934">
        <v>-3.7501119999999999E-2</v>
      </c>
      <c r="N934">
        <v>0</v>
      </c>
      <c r="O934">
        <v>-0.99922789999999995</v>
      </c>
      <c r="P934">
        <v>5.3052120000000001E-2</v>
      </c>
      <c r="Q934">
        <v>5.7494580000000003E-2</v>
      </c>
      <c r="R934">
        <v>-0.99693540000000003</v>
      </c>
      <c r="S934">
        <v>1.3283689999999999</v>
      </c>
      <c r="T934">
        <v>-0.2420708</v>
      </c>
      <c r="U934">
        <v>-2.9548649999999999</v>
      </c>
      <c r="V934">
        <v>-9.0417769999999995E-2</v>
      </c>
      <c r="W934">
        <v>6.9125629999999993E-2</v>
      </c>
      <c r="X934">
        <v>0.993502</v>
      </c>
      <c r="Y934">
        <v>-0.44281930000000003</v>
      </c>
      <c r="Z934">
        <v>7.3806179999999999E-2</v>
      </c>
      <c r="AA934">
        <v>0.89356800000000003</v>
      </c>
      <c r="AB934">
        <v>29</v>
      </c>
      <c r="AC934">
        <v>6.0726999999999904</v>
      </c>
      <c r="AD934">
        <v>-1.1046456905649999</v>
      </c>
      <c r="AE934">
        <v>-13.1942</v>
      </c>
      <c r="AF934">
        <v>-6.5255147456836804</v>
      </c>
      <c r="AG934">
        <v>-1.1046456905649999</v>
      </c>
      <c r="AH934">
        <v>12.8826543826739</v>
      </c>
      <c r="AI934">
        <v>94.374220809982404</v>
      </c>
      <c r="AJ934">
        <v>116.863807746975</v>
      </c>
      <c r="AK934">
        <v>14.483278936112701</v>
      </c>
      <c r="AL934">
        <v>86.036232047500803</v>
      </c>
      <c r="AM934">
        <v>95.200114683056697</v>
      </c>
      <c r="AN934">
        <v>0.99999997492933401</v>
      </c>
    </row>
    <row r="935" spans="1:40" x14ac:dyDescent="0.3">
      <c r="A935" t="str">
        <f>"20200111153848756"</f>
        <v>20200111153848756</v>
      </c>
      <c r="B935" t="str">
        <f>"1578728328751194"</f>
        <v>1578728328751194</v>
      </c>
      <c r="C935" t="s">
        <v>40</v>
      </c>
      <c r="D935">
        <v>4.5423</v>
      </c>
      <c r="E935">
        <v>0.352769</v>
      </c>
      <c r="F935" t="s">
        <v>42</v>
      </c>
      <c r="G935">
        <v>-185.5153</v>
      </c>
      <c r="H935" s="1">
        <v>-4.5152889999999997E-6</v>
      </c>
      <c r="I935">
        <v>308.30369999999999</v>
      </c>
      <c r="J935">
        <v>-191.6653</v>
      </c>
      <c r="K935">
        <v>1.104622</v>
      </c>
      <c r="L935">
        <v>321.64949999999999</v>
      </c>
      <c r="M935">
        <v>-3.7377540000000001E-2</v>
      </c>
      <c r="N935">
        <v>0</v>
      </c>
      <c r="O935">
        <v>-0.99923439999999997</v>
      </c>
      <c r="P935">
        <v>5.3736329999999999E-2</v>
      </c>
      <c r="Q935">
        <v>5.6849700000000003E-2</v>
      </c>
      <c r="R935">
        <v>-0.99693560000000003</v>
      </c>
      <c r="S935">
        <v>1.329758</v>
      </c>
      <c r="T935">
        <v>-0.23925660000000001</v>
      </c>
      <c r="U935">
        <v>-2.9522400000000002</v>
      </c>
      <c r="V935">
        <v>-9.0978400000000001E-2</v>
      </c>
      <c r="W935">
        <v>6.8335000000000007E-2</v>
      </c>
      <c r="X935">
        <v>0.99350550000000004</v>
      </c>
      <c r="Y935">
        <v>-0.44337949999999998</v>
      </c>
      <c r="Z935">
        <v>7.2995299999999999E-2</v>
      </c>
      <c r="AA935">
        <v>0.893356699999999</v>
      </c>
      <c r="AB935">
        <v>29</v>
      </c>
      <c r="AC935">
        <v>6.15</v>
      </c>
      <c r="AD935">
        <v>-1.104626515289</v>
      </c>
      <c r="AE935">
        <v>-13.345799999999899</v>
      </c>
      <c r="AF935">
        <v>-6.6072320463369802</v>
      </c>
      <c r="AG935">
        <v>-1.104626515289</v>
      </c>
      <c r="AH935">
        <v>13.032938790213301</v>
      </c>
      <c r="AI935">
        <v>94.323153487929005</v>
      </c>
      <c r="AJ935">
        <v>116.883371863867</v>
      </c>
      <c r="AK935">
        <v>14.6537779620775</v>
      </c>
      <c r="AL935">
        <v>86.081639128809599</v>
      </c>
      <c r="AM935">
        <v>95.232160947706106</v>
      </c>
      <c r="AN935">
        <v>0.99999996001090397</v>
      </c>
    </row>
    <row r="936" spans="1:40" x14ac:dyDescent="0.3">
      <c r="A936" t="str">
        <f>"20200111153848778"</f>
        <v>20200111153848778</v>
      </c>
      <c r="B936" t="str">
        <f>"1578728328771691"</f>
        <v>1578728328771691</v>
      </c>
      <c r="C936" t="s">
        <v>40</v>
      </c>
      <c r="D936">
        <v>4.4939549999999997</v>
      </c>
      <c r="E936">
        <v>0.35336329999999999</v>
      </c>
      <c r="F936" t="s">
        <v>41</v>
      </c>
      <c r="G936">
        <v>-191.22450000000001</v>
      </c>
      <c r="H936">
        <v>1.025417</v>
      </c>
      <c r="I936">
        <v>320.66829999999999</v>
      </c>
      <c r="J936">
        <v>-191.67599999999999</v>
      </c>
      <c r="K936">
        <v>1.104595</v>
      </c>
      <c r="L936">
        <v>321.36070000000001</v>
      </c>
      <c r="M936">
        <v>-3.7252279999999999E-2</v>
      </c>
      <c r="N936">
        <v>0</v>
      </c>
      <c r="O936">
        <v>-0.99924060000000003</v>
      </c>
      <c r="P936">
        <v>5.3889810000000003E-2</v>
      </c>
      <c r="Q936">
        <v>5.619569E-2</v>
      </c>
      <c r="R936">
        <v>-0.99696439999999997</v>
      </c>
      <c r="S936">
        <v>1.3262179999999999</v>
      </c>
      <c r="T936">
        <v>-0.23822160000000001</v>
      </c>
      <c r="U936">
        <v>-2.951355</v>
      </c>
      <c r="V936">
        <v>-9.1007969999999994E-2</v>
      </c>
      <c r="W936">
        <v>6.7541950000000003E-2</v>
      </c>
      <c r="X936">
        <v>0.99355700000000002</v>
      </c>
      <c r="Y936">
        <v>-0.44248399999999999</v>
      </c>
      <c r="Z936">
        <v>7.2735629999999996E-2</v>
      </c>
      <c r="AA936">
        <v>0.8938218</v>
      </c>
      <c r="AB936">
        <v>29</v>
      </c>
      <c r="AC936">
        <v>0.45149999999998103</v>
      </c>
      <c r="AD936">
        <v>-7.9177999999999901E-2</v>
      </c>
      <c r="AE936">
        <v>-0.69240000000002</v>
      </c>
      <c r="AF936">
        <v>-0.472645106560446</v>
      </c>
      <c r="AG936">
        <v>-7.9177999999999901E-2</v>
      </c>
      <c r="AH936">
        <v>0.66896096858235299</v>
      </c>
      <c r="AI936">
        <v>95.521413477493795</v>
      </c>
      <c r="AJ936">
        <v>125.242587274282</v>
      </c>
      <c r="AK936">
        <v>0.82290420458652203</v>
      </c>
      <c r="AL936">
        <v>86.127182696054007</v>
      </c>
      <c r="AM936">
        <v>95.233582288516203</v>
      </c>
      <c r="AN936">
        <v>0.99999993893115902</v>
      </c>
    </row>
    <row r="937" spans="1:40" x14ac:dyDescent="0.3">
      <c r="A937" t="str">
        <f>"20200111153848799"</f>
        <v>20200111153848799</v>
      </c>
      <c r="B937" t="str">
        <f>"1578728328791210"</f>
        <v>1578728328791210</v>
      </c>
      <c r="C937" t="s">
        <v>40</v>
      </c>
      <c r="D937">
        <v>4.494586</v>
      </c>
      <c r="E937">
        <v>0.35416579999999998</v>
      </c>
      <c r="F937" t="s">
        <v>41</v>
      </c>
      <c r="G937">
        <v>-191.2482</v>
      </c>
      <c r="H937">
        <v>1.02726299999999</v>
      </c>
      <c r="I937">
        <v>320.40600000000001</v>
      </c>
      <c r="J937">
        <v>-191.6867</v>
      </c>
      <c r="K937">
        <v>1.104579</v>
      </c>
      <c r="L937">
        <v>321.0711</v>
      </c>
      <c r="M937">
        <v>-3.7126640000000002E-2</v>
      </c>
      <c r="N937">
        <v>0</v>
      </c>
      <c r="O937">
        <v>-0.99924679999999999</v>
      </c>
      <c r="P937">
        <v>5.3573040000000002E-2</v>
      </c>
      <c r="Q937">
        <v>5.5450140000000002E-2</v>
      </c>
      <c r="R937">
        <v>-0.9970232</v>
      </c>
      <c r="S937">
        <v>1.322174</v>
      </c>
      <c r="T937">
        <v>-0.2390351</v>
      </c>
      <c r="U937">
        <v>-2.9511720000000001</v>
      </c>
      <c r="V937">
        <v>-9.056844E-2</v>
      </c>
      <c r="W937">
        <v>6.6667009999999999E-2</v>
      </c>
      <c r="X937">
        <v>0.99365630000000005</v>
      </c>
      <c r="Y937">
        <v>-0.44136350000000002</v>
      </c>
      <c r="Z937">
        <v>7.3027889999999998E-2</v>
      </c>
      <c r="AA937">
        <v>0.89435180000000003</v>
      </c>
      <c r="AB937">
        <v>29</v>
      </c>
      <c r="AC937">
        <v>0.438500000000004</v>
      </c>
      <c r="AD937">
        <v>-7.7316000000000107E-2</v>
      </c>
      <c r="AE937">
        <v>-0.66509999999999503</v>
      </c>
      <c r="AF937">
        <v>-0.45857278758784498</v>
      </c>
      <c r="AG937">
        <v>-7.7316000000000107E-2</v>
      </c>
      <c r="AH937">
        <v>0.64231032236449803</v>
      </c>
      <c r="AI937">
        <v>95.595206390307794</v>
      </c>
      <c r="AJ937">
        <v>125.52466331635701</v>
      </c>
      <c r="AK937">
        <v>0.79298758854604601</v>
      </c>
      <c r="AL937">
        <v>86.177426507606</v>
      </c>
      <c r="AM937">
        <v>95.207928013614804</v>
      </c>
      <c r="AN937">
        <v>0.99999998753803099</v>
      </c>
    </row>
    <row r="938" spans="1:40" x14ac:dyDescent="0.3">
      <c r="A938" t="str">
        <f>"20200111153848821"</f>
        <v>20200111153848821</v>
      </c>
      <c r="B938" t="str">
        <f>"1578728328811707"</f>
        <v>1578728328811707</v>
      </c>
      <c r="C938" t="s">
        <v>40</v>
      </c>
      <c r="D938">
        <v>4.4158710000000001</v>
      </c>
      <c r="E938">
        <v>0.35471409999999998</v>
      </c>
      <c r="F938" t="s">
        <v>41</v>
      </c>
      <c r="G938">
        <v>-191.27340000000001</v>
      </c>
      <c r="H938">
        <v>1.0285470000000001</v>
      </c>
      <c r="I938">
        <v>320.1431</v>
      </c>
      <c r="J938">
        <v>-191.6968</v>
      </c>
      <c r="K938">
        <v>1.1045689999999999</v>
      </c>
      <c r="L938">
        <v>320.79300000000001</v>
      </c>
      <c r="M938">
        <v>-3.7004960000000003E-2</v>
      </c>
      <c r="N938">
        <v>0</v>
      </c>
      <c r="O938">
        <v>-0.99925249999999999</v>
      </c>
      <c r="P938">
        <v>5.2902030000000003E-2</v>
      </c>
      <c r="Q938">
        <v>5.4716099999999997E-2</v>
      </c>
      <c r="R938">
        <v>-0.99709930000000002</v>
      </c>
      <c r="S938">
        <v>1.31462099999999</v>
      </c>
      <c r="T938">
        <v>-0.24181639999999999</v>
      </c>
      <c r="U938">
        <v>-2.9517820000000001</v>
      </c>
      <c r="V938">
        <v>-8.9779369999999997E-2</v>
      </c>
      <c r="W938">
        <v>6.5816310000000003E-2</v>
      </c>
      <c r="X938">
        <v>0.99378460000000002</v>
      </c>
      <c r="Y938">
        <v>-0.43924879999999999</v>
      </c>
      <c r="Z938">
        <v>7.3936150000000006E-2</v>
      </c>
      <c r="AA938">
        <v>0.89531779999999905</v>
      </c>
      <c r="AB938">
        <v>29</v>
      </c>
      <c r="AC938">
        <v>0.42339999999998601</v>
      </c>
      <c r="AD938">
        <v>-7.6022000000000201E-2</v>
      </c>
      <c r="AE938">
        <v>-0.64990000000000203</v>
      </c>
      <c r="AF938">
        <v>-0.44290642758589899</v>
      </c>
      <c r="AG938">
        <v>-7.6022000000000201E-2</v>
      </c>
      <c r="AH938">
        <v>0.62775570020335103</v>
      </c>
      <c r="AI938">
        <v>95.651124836129497</v>
      </c>
      <c r="AJ938">
        <v>125.204478780385</v>
      </c>
      <c r="AK938">
        <v>0.77202504312923903</v>
      </c>
      <c r="AL938">
        <v>86.226275278971599</v>
      </c>
      <c r="AM938">
        <v>95.162137720254506</v>
      </c>
      <c r="AN938">
        <v>0.99999997656838602</v>
      </c>
    </row>
    <row r="939" spans="1:40" x14ac:dyDescent="0.3">
      <c r="A939" t="str">
        <f>"20200111153848845"</f>
        <v>20200111153848845</v>
      </c>
      <c r="B939" t="str">
        <f>"1578728328840987"</f>
        <v>1578728328840987</v>
      </c>
      <c r="C939" t="s">
        <v>40</v>
      </c>
      <c r="D939">
        <v>4.4416900000000004</v>
      </c>
      <c r="E939">
        <v>0.35538340000000002</v>
      </c>
      <c r="F939" t="s">
        <v>41</v>
      </c>
      <c r="G939">
        <v>-191.29300000000001</v>
      </c>
      <c r="H939">
        <v>1.0291159999999999</v>
      </c>
      <c r="I939">
        <v>319.88099999999997</v>
      </c>
      <c r="J939">
        <v>-191.70830000000001</v>
      </c>
      <c r="K939">
        <v>1.1045609999999999</v>
      </c>
      <c r="L939">
        <v>320.47800000000001</v>
      </c>
      <c r="M939">
        <v>-3.6857760000000003E-2</v>
      </c>
      <c r="N939">
        <v>0</v>
      </c>
      <c r="O939">
        <v>-0.99925920000000001</v>
      </c>
      <c r="P939">
        <v>5.2451339999999999E-2</v>
      </c>
      <c r="Q939">
        <v>5.3564460000000001E-2</v>
      </c>
      <c r="R939">
        <v>-0.99718589999999996</v>
      </c>
      <c r="S939">
        <v>1.3075410000000001</v>
      </c>
      <c r="T939">
        <v>-0.24427180000000001</v>
      </c>
      <c r="U939">
        <v>-2.9527589999999999</v>
      </c>
      <c r="V939">
        <v>-8.9185920000000002E-2</v>
      </c>
      <c r="W939">
        <v>6.4543959999999997E-2</v>
      </c>
      <c r="X939">
        <v>0.99392150000000001</v>
      </c>
      <c r="Y939">
        <v>-0.43718800000000002</v>
      </c>
      <c r="Z939">
        <v>7.4734519999999999E-2</v>
      </c>
      <c r="AA939">
        <v>0.89625969999999999</v>
      </c>
      <c r="AB939">
        <v>29</v>
      </c>
      <c r="AC939">
        <v>0.415300000000002</v>
      </c>
      <c r="AD939">
        <v>-7.5445000000000206E-2</v>
      </c>
      <c r="AE939">
        <v>-0.59700000000003595</v>
      </c>
      <c r="AF939">
        <v>-0.43236995544700002</v>
      </c>
      <c r="AG939">
        <v>-7.5445000000000206E-2</v>
      </c>
      <c r="AH939">
        <v>0.57509702420322095</v>
      </c>
      <c r="AI939">
        <v>95.986018815647498</v>
      </c>
      <c r="AJ939">
        <v>126.936609995193</v>
      </c>
      <c r="AK939">
        <v>0.72344475507507999</v>
      </c>
      <c r="AL939">
        <v>86.299331008017305</v>
      </c>
      <c r="AM939">
        <v>95.127495473410903</v>
      </c>
      <c r="AN939">
        <v>0.99999999963048902</v>
      </c>
    </row>
    <row r="940" spans="1:40" x14ac:dyDescent="0.3">
      <c r="A940" t="str">
        <f>"20200111153848867"</f>
        <v>20200111153848867</v>
      </c>
      <c r="B940" t="str">
        <f>"1578728328861483"</f>
        <v>1578728328861483</v>
      </c>
      <c r="C940" t="s">
        <v>40</v>
      </c>
      <c r="D940">
        <v>4.4449009999999998</v>
      </c>
      <c r="E940">
        <v>0.35571570000000002</v>
      </c>
      <c r="F940" t="s">
        <v>41</v>
      </c>
      <c r="G940">
        <v>-191.31100000000001</v>
      </c>
      <c r="H940">
        <v>1.0279290000000001</v>
      </c>
      <c r="I940">
        <v>319.57470000000001</v>
      </c>
      <c r="J940">
        <v>-191.71850000000001</v>
      </c>
      <c r="K940">
        <v>1.10456</v>
      </c>
      <c r="L940">
        <v>320.19819999999999</v>
      </c>
      <c r="M940">
        <v>-3.6706349999999999E-2</v>
      </c>
      <c r="N940">
        <v>0</v>
      </c>
      <c r="O940">
        <v>-0.99926590000000004</v>
      </c>
      <c r="P940">
        <v>5.3718429999999998E-2</v>
      </c>
      <c r="Q940">
        <v>5.2432300000000001E-2</v>
      </c>
      <c r="R940">
        <v>-0.99717860000000003</v>
      </c>
      <c r="S940">
        <v>1.2996219999999901</v>
      </c>
      <c r="T940">
        <v>-0.25054579999999999</v>
      </c>
      <c r="U940">
        <v>-2.9536129999999998</v>
      </c>
      <c r="V940">
        <v>-9.0302980000000005E-2</v>
      </c>
      <c r="W940">
        <v>6.3310050000000007E-2</v>
      </c>
      <c r="X940">
        <v>0.99390000000000001</v>
      </c>
      <c r="Y940">
        <v>-0.43488260000000001</v>
      </c>
      <c r="Z940">
        <v>7.6706689999999994E-2</v>
      </c>
      <c r="AA940">
        <v>0.89721419999999996</v>
      </c>
      <c r="AB940">
        <v>29</v>
      </c>
      <c r="AC940">
        <v>0.40750000000002701</v>
      </c>
      <c r="AD940">
        <v>-7.6630999999999894E-2</v>
      </c>
      <c r="AE940">
        <v>-0.62349999999997796</v>
      </c>
      <c r="AF940">
        <v>-0.42560833158092898</v>
      </c>
      <c r="AG940">
        <v>-7.6630999999999894E-2</v>
      </c>
      <c r="AH940">
        <v>0.60175185512340501</v>
      </c>
      <c r="AI940">
        <v>95.935681444568601</v>
      </c>
      <c r="AJ940">
        <v>125.271086818123</v>
      </c>
      <c r="AK940">
        <v>0.74102635392849703</v>
      </c>
      <c r="AL940">
        <v>86.370173753752098</v>
      </c>
      <c r="AM940">
        <v>95.191480643778704</v>
      </c>
      <c r="AN940">
        <v>1.00000000031394</v>
      </c>
    </row>
    <row r="941" spans="1:40" x14ac:dyDescent="0.3">
      <c r="A941" t="str">
        <f>"20200111153848889"</f>
        <v>20200111153848889</v>
      </c>
      <c r="B941" t="str">
        <f>"1578728328881978"</f>
        <v>1578728328881978</v>
      </c>
      <c r="C941" t="s">
        <v>40</v>
      </c>
      <c r="D941">
        <v>4.4678269999999998</v>
      </c>
      <c r="E941">
        <v>0.35604429999999998</v>
      </c>
      <c r="F941" t="s">
        <v>41</v>
      </c>
      <c r="G941">
        <v>-191.31450000000001</v>
      </c>
      <c r="H941">
        <v>1.025077</v>
      </c>
      <c r="I941">
        <v>319.28070000000002</v>
      </c>
      <c r="J941">
        <v>-191.72900000000001</v>
      </c>
      <c r="K941">
        <v>1.1045739999999999</v>
      </c>
      <c r="L941">
        <v>319.90679999999998</v>
      </c>
      <c r="M941">
        <v>-3.6516310000000003E-2</v>
      </c>
      <c r="N941">
        <v>0</v>
      </c>
      <c r="O941">
        <v>-0.999274</v>
      </c>
      <c r="P941">
        <v>5.4321130000000002E-2</v>
      </c>
      <c r="Q941">
        <v>5.1969410000000001E-2</v>
      </c>
      <c r="R941">
        <v>-0.99717020000000001</v>
      </c>
      <c r="S941">
        <v>1.2996219999999901</v>
      </c>
      <c r="T941">
        <v>-0.25569609999999998</v>
      </c>
      <c r="U941">
        <v>-2.9519350000000002</v>
      </c>
      <c r="V941">
        <v>-9.0718989999999999E-2</v>
      </c>
      <c r="W941">
        <v>6.2745640000000005E-2</v>
      </c>
      <c r="X941">
        <v>0.9938979</v>
      </c>
      <c r="Y941">
        <v>-0.43484879999999998</v>
      </c>
      <c r="Z941">
        <v>7.8314789999999995E-2</v>
      </c>
      <c r="AA941">
        <v>0.89709159999999899</v>
      </c>
      <c r="AB941">
        <v>29</v>
      </c>
      <c r="AC941">
        <v>0.41450000000000298</v>
      </c>
      <c r="AD941">
        <v>-7.9496999999999901E-2</v>
      </c>
      <c r="AE941">
        <v>-0.62609999999995103</v>
      </c>
      <c r="AF941">
        <v>-0.43224271410767801</v>
      </c>
      <c r="AG941">
        <v>-7.9496999999999901E-2</v>
      </c>
      <c r="AH941">
        <v>0.60377771839518202</v>
      </c>
      <c r="AI941">
        <v>96.110774926369501</v>
      </c>
      <c r="AJ941">
        <v>125.598765508592</v>
      </c>
      <c r="AK941">
        <v>0.74679386053894703</v>
      </c>
      <c r="AL941">
        <v>86.402576463073302</v>
      </c>
      <c r="AM941">
        <v>95.215276260161403</v>
      </c>
      <c r="AN941">
        <v>0.99999999305501897</v>
      </c>
    </row>
    <row r="942" spans="1:40" x14ac:dyDescent="0.3">
      <c r="A942" t="str">
        <f>"20200111153848912"</f>
        <v>20200111153848912</v>
      </c>
      <c r="B942" t="str">
        <f>"1578728328901498"</f>
        <v>1578728328901498</v>
      </c>
      <c r="C942" t="s">
        <v>40</v>
      </c>
      <c r="D942">
        <v>4.2751270000000003</v>
      </c>
      <c r="E942">
        <v>0.35623159999999998</v>
      </c>
      <c r="F942" t="s">
        <v>42</v>
      </c>
      <c r="G942">
        <v>-186.14940000000001</v>
      </c>
      <c r="H942" s="1">
        <v>-3.941552E-6</v>
      </c>
      <c r="I942">
        <v>307.2285</v>
      </c>
      <c r="J942">
        <v>-191.7397</v>
      </c>
      <c r="K942">
        <v>1.1046009999999999</v>
      </c>
      <c r="L942">
        <v>319.60840000000002</v>
      </c>
      <c r="M942">
        <v>-3.6279020000000002E-2</v>
      </c>
      <c r="N942">
        <v>0</v>
      </c>
      <c r="O942">
        <v>-0.99928360000000005</v>
      </c>
      <c r="P942">
        <v>5.4593309999999999E-2</v>
      </c>
      <c r="Q942">
        <v>5.2209020000000002E-2</v>
      </c>
      <c r="R942">
        <v>-0.99714270000000005</v>
      </c>
      <c r="S942">
        <v>1.298767</v>
      </c>
      <c r="T942">
        <v>-0.25711270000000003</v>
      </c>
      <c r="U942">
        <v>-2.9511409999999998</v>
      </c>
      <c r="V942">
        <v>-9.0758930000000002E-2</v>
      </c>
      <c r="W942">
        <v>6.2890779999999993E-2</v>
      </c>
      <c r="X942">
        <v>0.99388509999999997</v>
      </c>
      <c r="Y942">
        <v>-0.43449169999999998</v>
      </c>
      <c r="Z942">
        <v>7.8777539999999993E-2</v>
      </c>
      <c r="AA942">
        <v>0.89722409999999997</v>
      </c>
      <c r="AB942">
        <v>29</v>
      </c>
      <c r="AC942">
        <v>5.5902999999999796</v>
      </c>
      <c r="AD942">
        <v>-1.1046049415519901</v>
      </c>
      <c r="AE942">
        <v>-12.379899999999999</v>
      </c>
      <c r="AF942">
        <v>-5.9961249541227799</v>
      </c>
      <c r="AG942">
        <v>-1.1046049415519901</v>
      </c>
      <c r="AH942">
        <v>12.0889848089259</v>
      </c>
      <c r="AI942">
        <v>94.679623757554893</v>
      </c>
      <c r="AJ942">
        <v>116.381367701858</v>
      </c>
      <c r="AK942">
        <v>13.539468979719899</v>
      </c>
      <c r="AL942">
        <v>86.394244168293099</v>
      </c>
      <c r="AM942">
        <v>95.217626495954207</v>
      </c>
      <c r="AN942">
        <v>1.0000000127928801</v>
      </c>
    </row>
    <row r="943" spans="1:40" x14ac:dyDescent="0.3">
      <c r="A943" t="str">
        <f>"20200111153848933"</f>
        <v>20200111153848933</v>
      </c>
      <c r="B943" t="str">
        <f>"1578728328921021"</f>
        <v>1578728328921021</v>
      </c>
      <c r="C943" t="s">
        <v>40</v>
      </c>
      <c r="D943">
        <v>4.4366149999999998</v>
      </c>
      <c r="E943">
        <v>0.3566723</v>
      </c>
      <c r="F943" t="s">
        <v>42</v>
      </c>
      <c r="G943">
        <v>-186.0959</v>
      </c>
      <c r="H943" s="1">
        <v>-3.7608999999999999E-6</v>
      </c>
      <c r="I943">
        <v>306.78519999999997</v>
      </c>
      <c r="J943">
        <v>-191.74959999999999</v>
      </c>
      <c r="K943">
        <v>1.1046370000000001</v>
      </c>
      <c r="L943">
        <v>319.32979999999998</v>
      </c>
      <c r="M943">
        <v>-3.6012879999999997E-2</v>
      </c>
      <c r="N943">
        <v>0</v>
      </c>
      <c r="O943">
        <v>-0.99929420000000002</v>
      </c>
      <c r="P943">
        <v>5.4520640000000002E-2</v>
      </c>
      <c r="Q943">
        <v>5.2497460000000003E-2</v>
      </c>
      <c r="R943">
        <v>-0.99713189999999996</v>
      </c>
      <c r="S943">
        <v>1.298721</v>
      </c>
      <c r="T943">
        <v>-0.25418420000000003</v>
      </c>
      <c r="U943">
        <v>-2.9507750000000001</v>
      </c>
      <c r="V943">
        <v>-9.0426389999999995E-2</v>
      </c>
      <c r="W943">
        <v>6.3110169999999993E-2</v>
      </c>
      <c r="X943">
        <v>0.99390149999999999</v>
      </c>
      <c r="Y943">
        <v>-0.43430940000000001</v>
      </c>
      <c r="Z943">
        <v>7.7900189999999994E-2</v>
      </c>
      <c r="AA943">
        <v>0.89738890000000004</v>
      </c>
      <c r="AB943">
        <v>29</v>
      </c>
      <c r="AC943">
        <v>5.6536999999999802</v>
      </c>
      <c r="AD943">
        <v>-1.1046407609</v>
      </c>
      <c r="AE943">
        <v>-12.544600000000001</v>
      </c>
      <c r="AF943">
        <v>-6.06275100002662</v>
      </c>
      <c r="AG943">
        <v>-1.1046407609</v>
      </c>
      <c r="AH943">
        <v>12.2538684754945</v>
      </c>
      <c r="AI943">
        <v>94.619341766090201</v>
      </c>
      <c r="AJ943">
        <v>116.324465745162</v>
      </c>
      <c r="AK943">
        <v>13.716212068704801</v>
      </c>
      <c r="AL943">
        <v>86.381649012007301</v>
      </c>
      <c r="AM943">
        <v>95.198528783634103</v>
      </c>
      <c r="AN943">
        <v>1.0000000086340499</v>
      </c>
    </row>
    <row r="944" spans="1:40" x14ac:dyDescent="0.3">
      <c r="A944" t="str">
        <f>"20200111153848956"</f>
        <v>20200111153848956</v>
      </c>
      <c r="B944" t="str">
        <f>"1578728328951274"</f>
        <v>1578728328951274</v>
      </c>
      <c r="C944" t="s">
        <v>40</v>
      </c>
      <c r="D944">
        <v>4.4356869999999997</v>
      </c>
      <c r="E944">
        <v>0.35708849999999998</v>
      </c>
      <c r="F944" t="s">
        <v>42</v>
      </c>
      <c r="G944">
        <v>-186.00210000000001</v>
      </c>
      <c r="H944" s="1">
        <v>-3.5426720000000001E-6</v>
      </c>
      <c r="I944">
        <v>306.23779999999999</v>
      </c>
      <c r="J944">
        <v>-191.75970000000001</v>
      </c>
      <c r="K944">
        <v>1.1046750000000001</v>
      </c>
      <c r="L944">
        <v>319.03879999999998</v>
      </c>
      <c r="M944">
        <v>-3.5687829999999997E-2</v>
      </c>
      <c r="N944">
        <v>0</v>
      </c>
      <c r="O944">
        <v>-0.99930609999999997</v>
      </c>
      <c r="P944">
        <v>5.3996580000000002E-2</v>
      </c>
      <c r="Q944">
        <v>5.2675720000000002E-2</v>
      </c>
      <c r="R944">
        <v>-0.9971508</v>
      </c>
      <c r="S944">
        <v>1.29547099999999</v>
      </c>
      <c r="T944">
        <v>-0.24898519999999999</v>
      </c>
      <c r="U944">
        <v>-2.9509280000000002</v>
      </c>
      <c r="V944">
        <v>-8.9585410000000004E-2</v>
      </c>
      <c r="W944">
        <v>6.3231519999999999E-2</v>
      </c>
      <c r="X944">
        <v>0.99396989999999996</v>
      </c>
      <c r="Y944">
        <v>-0.43321910000000002</v>
      </c>
      <c r="Z944">
        <v>7.6352299999999998E-2</v>
      </c>
      <c r="AA944">
        <v>0.89804869999999903</v>
      </c>
      <c r="AB944">
        <v>29</v>
      </c>
      <c r="AC944">
        <v>5.7575999999999903</v>
      </c>
      <c r="AD944">
        <v>-1.1046785426719901</v>
      </c>
      <c r="AE944">
        <v>-12.800999999999901</v>
      </c>
      <c r="AF944">
        <v>-6.1725649217834597</v>
      </c>
      <c r="AG944">
        <v>-1.1046785426719901</v>
      </c>
      <c r="AH944">
        <v>12.509870572507101</v>
      </c>
      <c r="AI944">
        <v>94.527773088454794</v>
      </c>
      <c r="AJ944">
        <v>116.26244896803099</v>
      </c>
      <c r="AK944">
        <v>13.993488990854001</v>
      </c>
      <c r="AL944">
        <v>86.3746821015949</v>
      </c>
      <c r="AM944">
        <v>95.150090345519601</v>
      </c>
      <c r="AN944">
        <v>0.99999996645619305</v>
      </c>
    </row>
    <row r="945" spans="1:40" x14ac:dyDescent="0.3">
      <c r="A945" t="str">
        <f>"20200111153848979"</f>
        <v>20200111153848979</v>
      </c>
      <c r="B945" t="str">
        <f>"1578728328971770"</f>
        <v>1578728328971770</v>
      </c>
      <c r="C945" t="s">
        <v>40</v>
      </c>
      <c r="D945">
        <v>4.9237039999999999</v>
      </c>
      <c r="E945">
        <v>0.35766389999999998</v>
      </c>
      <c r="F945" t="s">
        <v>41</v>
      </c>
      <c r="G945">
        <v>-191.32990000000001</v>
      </c>
      <c r="H945">
        <v>1.023174</v>
      </c>
      <c r="I945">
        <v>318.05610000000001</v>
      </c>
      <c r="J945">
        <v>-191.77019999999999</v>
      </c>
      <c r="K945">
        <v>1.1047100000000001</v>
      </c>
      <c r="L945">
        <v>318.73390000000001</v>
      </c>
      <c r="M945">
        <v>-3.5299810000000001E-2</v>
      </c>
      <c r="N945">
        <v>0</v>
      </c>
      <c r="O945">
        <v>-0.9993206</v>
      </c>
      <c r="P945">
        <v>5.2810879999999998E-2</v>
      </c>
      <c r="Q945">
        <v>5.2676290000000001E-2</v>
      </c>
      <c r="R945">
        <v>-0.99721470000000001</v>
      </c>
      <c r="S945">
        <v>1.2910919999999999</v>
      </c>
      <c r="T945">
        <v>-0.24475089999999999</v>
      </c>
      <c r="U945">
        <v>-2.9515690000000001</v>
      </c>
      <c r="V945">
        <v>-8.8021500000000003E-2</v>
      </c>
      <c r="W945">
        <v>6.3181559999999998E-2</v>
      </c>
      <c r="X945">
        <v>0.99411280000000002</v>
      </c>
      <c r="Y945">
        <v>-0.43171759999999898</v>
      </c>
      <c r="Z945">
        <v>7.5098600000000001E-2</v>
      </c>
      <c r="AA945">
        <v>0.89887709999999998</v>
      </c>
      <c r="AB945">
        <v>29</v>
      </c>
      <c r="AC945">
        <v>0.44029999999997899</v>
      </c>
      <c r="AD945">
        <v>-8.1535999999999997E-2</v>
      </c>
      <c r="AE945">
        <v>-0.67779999999998997</v>
      </c>
      <c r="AF945">
        <v>-0.45927922641979502</v>
      </c>
      <c r="AG945">
        <v>-8.1535999999999997E-2</v>
      </c>
      <c r="AH945">
        <v>0.65516679509278897</v>
      </c>
      <c r="AI945">
        <v>95.818674205591407</v>
      </c>
      <c r="AJ945">
        <v>125.030883910938</v>
      </c>
      <c r="AK945">
        <v>0.80425683491588795</v>
      </c>
      <c r="AL945">
        <v>86.377550370591095</v>
      </c>
      <c r="AM945">
        <v>95.059931513422299</v>
      </c>
      <c r="AN945">
        <v>0.99999997655506101</v>
      </c>
    </row>
    <row r="946" spans="1:40" x14ac:dyDescent="0.3">
      <c r="A946" t="str">
        <f>"20200111153849002"</f>
        <v>20200111153849002</v>
      </c>
      <c r="B946" t="str">
        <f>"1578728328991291"</f>
        <v>1578728328991291</v>
      </c>
      <c r="C946" t="s">
        <v>40</v>
      </c>
      <c r="D946">
        <v>4.966164</v>
      </c>
      <c r="E946">
        <v>0.46237739999999999</v>
      </c>
      <c r="F946" t="s">
        <v>41</v>
      </c>
      <c r="G946">
        <v>-191.36</v>
      </c>
      <c r="H946">
        <v>1.028505</v>
      </c>
      <c r="I946">
        <v>317.78989999999999</v>
      </c>
      <c r="J946">
        <v>-191.78039999999999</v>
      </c>
      <c r="K946">
        <v>1.1047340000000001</v>
      </c>
      <c r="L946">
        <v>318.43220000000002</v>
      </c>
      <c r="M946">
        <v>-3.488339E-2</v>
      </c>
      <c r="N946">
        <v>0</v>
      </c>
      <c r="O946">
        <v>-0.99933519999999998</v>
      </c>
      <c r="P946">
        <v>5.0708209999999997E-2</v>
      </c>
      <c r="Q946">
        <v>5.2564439999999997E-2</v>
      </c>
      <c r="R946">
        <v>-0.99732920000000003</v>
      </c>
      <c r="S946">
        <v>1.28331</v>
      </c>
      <c r="T946">
        <v>-0.23841000000000001</v>
      </c>
      <c r="U946">
        <v>-2.9530029999999998</v>
      </c>
      <c r="V946">
        <v>-8.5513459999999999E-2</v>
      </c>
      <c r="W946">
        <v>6.3032599999999994E-2</v>
      </c>
      <c r="X946">
        <v>0.99434109999999998</v>
      </c>
      <c r="Y946">
        <v>-0.4292456</v>
      </c>
      <c r="Z946">
        <v>7.3216110000000001E-2</v>
      </c>
      <c r="AA946">
        <v>0.90021530000000005</v>
      </c>
      <c r="AB946">
        <v>29</v>
      </c>
      <c r="AC946">
        <v>0.42039999999997202</v>
      </c>
      <c r="AD946">
        <v>-7.6229000000000102E-2</v>
      </c>
      <c r="AE946">
        <v>-0.64230000000003395</v>
      </c>
      <c r="AF946">
        <v>-0.43822965041726603</v>
      </c>
      <c r="AG946">
        <v>-7.6229000000000102E-2</v>
      </c>
      <c r="AH946">
        <v>0.62111848326365204</v>
      </c>
      <c r="AI946">
        <v>95.726536636083097</v>
      </c>
      <c r="AJ946">
        <v>125.20485085786601</v>
      </c>
      <c r="AK946">
        <v>0.76396613615891296</v>
      </c>
      <c r="AL946">
        <v>86.386102070269899</v>
      </c>
      <c r="AM946">
        <v>94.915350059889093</v>
      </c>
      <c r="AN946">
        <v>0.99999994182656904</v>
      </c>
    </row>
    <row r="947" spans="1:40" x14ac:dyDescent="0.3">
      <c r="A947" t="str">
        <f>"20200111153849024"</f>
        <v>20200111153849024</v>
      </c>
      <c r="B947" t="str">
        <f>"1578728329011786"</f>
        <v>1578728329011786</v>
      </c>
      <c r="C947" t="s">
        <v>40</v>
      </c>
      <c r="D947">
        <v>5.223795</v>
      </c>
      <c r="E947">
        <v>0.47570259999999998</v>
      </c>
      <c r="F947" t="s">
        <v>42</v>
      </c>
      <c r="G947">
        <v>-189.65809999999999</v>
      </c>
      <c r="H947" s="1">
        <v>-1.9625700000000001E-6</v>
      </c>
      <c r="I947">
        <v>304.06619999999998</v>
      </c>
      <c r="J947">
        <v>-191.7901</v>
      </c>
      <c r="K947">
        <v>1.1047450000000001</v>
      </c>
      <c r="L947">
        <v>318.14420000000001</v>
      </c>
      <c r="M947">
        <v>-3.4464300000000003E-2</v>
      </c>
      <c r="N947">
        <v>0</v>
      </c>
      <c r="O947">
        <v>-0.99935019999999997</v>
      </c>
      <c r="P947">
        <v>4.8205089999999999E-2</v>
      </c>
      <c r="Q947">
        <v>5.1852160000000001E-2</v>
      </c>
      <c r="R947">
        <v>-0.99749080000000001</v>
      </c>
      <c r="S947">
        <v>0.44284059999999997</v>
      </c>
      <c r="T947">
        <v>-0.23051849999999999</v>
      </c>
      <c r="U947">
        <v>-2.9976500000000001</v>
      </c>
      <c r="V947">
        <v>-8.260236E-2</v>
      </c>
      <c r="W947">
        <v>6.230115E-2</v>
      </c>
      <c r="X947">
        <v>0.99463330000000005</v>
      </c>
      <c r="Y947">
        <v>-0.17973349999999999</v>
      </c>
      <c r="Z947">
        <v>7.5572769999999997E-2</v>
      </c>
      <c r="AA947">
        <v>0.98080809999999996</v>
      </c>
      <c r="AB947">
        <v>29</v>
      </c>
      <c r="AC947">
        <v>2.1320000000000001</v>
      </c>
      <c r="AD947">
        <v>-1.1047469625699999</v>
      </c>
      <c r="AE947">
        <v>-14.077999999999999</v>
      </c>
      <c r="AF947">
        <v>-2.6002949894627898</v>
      </c>
      <c r="AG947">
        <v>-1.1047469625699999</v>
      </c>
      <c r="AH947">
        <v>13.9124012393849</v>
      </c>
      <c r="AI947">
        <v>94.463211447359797</v>
      </c>
      <c r="AJ947">
        <v>100.58670914059999</v>
      </c>
      <c r="AK947">
        <v>14.1963695404554</v>
      </c>
      <c r="AL947">
        <v>86.428093786551401</v>
      </c>
      <c r="AM947">
        <v>94.747408731856297</v>
      </c>
      <c r="AN947">
        <v>0.99999999231889103</v>
      </c>
    </row>
    <row r="948" spans="1:40" x14ac:dyDescent="0.3">
      <c r="A948" t="str">
        <f>"20200111153849047"</f>
        <v>20200111153849047</v>
      </c>
      <c r="B948" t="str">
        <f>"1578728329041066"</f>
        <v>1578728329041066</v>
      </c>
      <c r="C948" t="s">
        <v>40</v>
      </c>
      <c r="D948">
        <v>5.1622680000000001</v>
      </c>
      <c r="E948">
        <v>0.57036999999999904</v>
      </c>
      <c r="F948" t="s">
        <v>42</v>
      </c>
      <c r="G948">
        <v>-190.17019999999999</v>
      </c>
      <c r="H948" s="1">
        <v>-1.6678299999999999E-6</v>
      </c>
      <c r="I948">
        <v>303.37130000000002</v>
      </c>
      <c r="J948">
        <v>-191.80009999999999</v>
      </c>
      <c r="K948">
        <v>1.1047530000000001</v>
      </c>
      <c r="L948">
        <v>317.84050000000002</v>
      </c>
      <c r="M948">
        <v>-3.4006679999999997E-2</v>
      </c>
      <c r="N948">
        <v>0</v>
      </c>
      <c r="O948">
        <v>-0.99936599999999998</v>
      </c>
      <c r="P948">
        <v>4.6765899999999999E-2</v>
      </c>
      <c r="Q948">
        <v>4.9991130000000002E-2</v>
      </c>
      <c r="R948">
        <v>-0.99765440000000005</v>
      </c>
      <c r="S948">
        <v>0.32931519999999997</v>
      </c>
      <c r="T948">
        <v>-0.22459009999999999</v>
      </c>
      <c r="U948">
        <v>-3.0032649999999999</v>
      </c>
      <c r="V948">
        <v>-8.0714399999999895E-2</v>
      </c>
      <c r="W948">
        <v>6.0429749999999997E-2</v>
      </c>
      <c r="X948">
        <v>0.99490369999999995</v>
      </c>
      <c r="Y948">
        <v>-0.14244319999999999</v>
      </c>
      <c r="Z948">
        <v>7.3908379999999996E-2</v>
      </c>
      <c r="AA948">
        <v>0.98703969999999996</v>
      </c>
      <c r="AB948">
        <v>29</v>
      </c>
      <c r="AC948">
        <v>1.6298999999999899</v>
      </c>
      <c r="AD948">
        <v>-1.10475466783</v>
      </c>
      <c r="AE948">
        <v>-14.469200000000001</v>
      </c>
      <c r="AF948">
        <v>-2.10889389995328</v>
      </c>
      <c r="AG948">
        <v>-1.10475466783</v>
      </c>
      <c r="AH948">
        <v>14.3229480313625</v>
      </c>
      <c r="AI948">
        <v>94.363730431201205</v>
      </c>
      <c r="AJ948">
        <v>98.375980326169199</v>
      </c>
      <c r="AK948">
        <v>14.519461307722899</v>
      </c>
      <c r="AL948">
        <v>86.535519508357694</v>
      </c>
      <c r="AM948">
        <v>94.638125683646805</v>
      </c>
      <c r="AN948">
        <v>0.99999997066305502</v>
      </c>
    </row>
    <row r="949" spans="1:40" x14ac:dyDescent="0.3">
      <c r="A949" t="str">
        <f>"20200111153849066"</f>
        <v>20200111153849066</v>
      </c>
      <c r="B949" t="str">
        <f>"1578728329061095"</f>
        <v>1578728329061095</v>
      </c>
      <c r="C949" t="s">
        <v>40</v>
      </c>
      <c r="D949">
        <v>5.0623170000000002</v>
      </c>
      <c r="E949">
        <v>0.57430509999999901</v>
      </c>
      <c r="F949" t="s">
        <v>41</v>
      </c>
      <c r="G949">
        <v>-191.91669999999999</v>
      </c>
      <c r="H949">
        <v>1.047261</v>
      </c>
      <c r="I949">
        <v>317.01459999999997</v>
      </c>
      <c r="J949">
        <v>-191.80860000000001</v>
      </c>
      <c r="K949">
        <v>1.1047559999999901</v>
      </c>
      <c r="L949">
        <v>317.57859999999999</v>
      </c>
      <c r="M949">
        <v>-3.3600440000000002E-2</v>
      </c>
      <c r="N949">
        <v>0</v>
      </c>
      <c r="O949">
        <v>-0.99937989999999999</v>
      </c>
      <c r="P949">
        <v>4.5135429999999997E-2</v>
      </c>
      <c r="Q949">
        <v>4.8212030000000003E-2</v>
      </c>
      <c r="R949">
        <v>-0.99781699999999995</v>
      </c>
      <c r="S949">
        <v>-0.42890929999999999</v>
      </c>
      <c r="T949">
        <v>-0.2115435</v>
      </c>
      <c r="U949">
        <v>-3.0377809999999998</v>
      </c>
      <c r="V949">
        <v>-7.8685500000000005E-2</v>
      </c>
      <c r="W949">
        <v>5.8650019999999997E-2</v>
      </c>
      <c r="X949">
        <v>0.99517270000000002</v>
      </c>
      <c r="Y949">
        <v>0.1061218</v>
      </c>
      <c r="Z949">
        <v>6.8874669999999999E-2</v>
      </c>
      <c r="AA949">
        <v>0.99196490000000004</v>
      </c>
      <c r="AB949">
        <v>29</v>
      </c>
      <c r="AC949">
        <v>-0.108099999999979</v>
      </c>
      <c r="AD949">
        <v>-5.7494999999999803E-2</v>
      </c>
      <c r="AE949">
        <v>-0.56400000000002104</v>
      </c>
      <c r="AF949">
        <v>8.8203122587163896E-2</v>
      </c>
      <c r="AG949">
        <v>-5.7494999999999803E-2</v>
      </c>
      <c r="AH949">
        <v>0.56168368639787003</v>
      </c>
      <c r="AI949">
        <v>95.774272805303397</v>
      </c>
      <c r="AJ949">
        <v>81.075527952520702</v>
      </c>
      <c r="AK949">
        <v>0.57146656019808095</v>
      </c>
      <c r="AL949">
        <v>86.637671758541003</v>
      </c>
      <c r="AM949">
        <v>94.520810628256797</v>
      </c>
      <c r="AN949">
        <v>0.99999996779076905</v>
      </c>
    </row>
    <row r="950" spans="1:40" x14ac:dyDescent="0.3">
      <c r="A950" t="str">
        <f>"20200111153849089"</f>
        <v>20200111153849089</v>
      </c>
      <c r="B950" t="str">
        <f>"1578728329081592"</f>
        <v>1578728329081592</v>
      </c>
      <c r="C950" t="s">
        <v>40</v>
      </c>
      <c r="D950">
        <v>5.1452410000000004</v>
      </c>
      <c r="E950">
        <v>0.57464759999999904</v>
      </c>
      <c r="F950" t="s">
        <v>41</v>
      </c>
      <c r="G950">
        <v>-191.93539999999999</v>
      </c>
      <c r="H950">
        <v>1.0463209999999901</v>
      </c>
      <c r="I950">
        <v>316.75200000000001</v>
      </c>
      <c r="J950">
        <v>-191.81829999999999</v>
      </c>
      <c r="K950">
        <v>1.104762</v>
      </c>
      <c r="L950">
        <v>317.27659999999997</v>
      </c>
      <c r="M950">
        <v>-3.3116230000000003E-2</v>
      </c>
      <c r="N950">
        <v>0</v>
      </c>
      <c r="O950">
        <v>-0.9993957</v>
      </c>
      <c r="P950">
        <v>4.23527E-2</v>
      </c>
      <c r="Q950">
        <v>4.745245E-2</v>
      </c>
      <c r="R950">
        <v>-0.99797530000000001</v>
      </c>
      <c r="S950">
        <v>-0.46543879999999999</v>
      </c>
      <c r="T950">
        <v>-0.21493090000000001</v>
      </c>
      <c r="U950">
        <v>-3.0379939999999999</v>
      </c>
      <c r="V950">
        <v>-7.5429309999999999E-2</v>
      </c>
      <c r="W950">
        <v>5.7896000000000003E-2</v>
      </c>
      <c r="X950">
        <v>0.99546900000000005</v>
      </c>
      <c r="Y950">
        <v>0.11824990000000001</v>
      </c>
      <c r="Z950">
        <v>6.9860370000000005E-2</v>
      </c>
      <c r="AA950">
        <v>0.9905233</v>
      </c>
      <c r="AB950">
        <v>29</v>
      </c>
      <c r="AC950">
        <v>-0.117099999999993</v>
      </c>
      <c r="AD950">
        <v>-5.8441000000000097E-2</v>
      </c>
      <c r="AE950">
        <v>-0.52459999999996398</v>
      </c>
      <c r="AF950">
        <v>9.8497661118105595E-2</v>
      </c>
      <c r="AG950">
        <v>-5.8441000000000097E-2</v>
      </c>
      <c r="AH950">
        <v>0.52201946238616703</v>
      </c>
      <c r="AI950">
        <v>96.277897135079797</v>
      </c>
      <c r="AJ950">
        <v>79.314724821353707</v>
      </c>
      <c r="AK950">
        <v>0.53443564517786402</v>
      </c>
      <c r="AL950">
        <v>86.680947666420906</v>
      </c>
      <c r="AM950">
        <v>94.333171935846295</v>
      </c>
      <c r="AN950">
        <v>1.0000000287920301</v>
      </c>
    </row>
    <row r="951" spans="1:40" x14ac:dyDescent="0.3">
      <c r="A951" t="str">
        <f>"20200111153849113"</f>
        <v>20200111153849113</v>
      </c>
      <c r="B951" t="str">
        <f>"1578728329102088"</f>
        <v>1578728329102088</v>
      </c>
      <c r="C951" t="s">
        <v>40</v>
      </c>
      <c r="D951">
        <v>5.1488250000000004</v>
      </c>
      <c r="E951">
        <v>0.573804599999999</v>
      </c>
      <c r="F951" t="s">
        <v>41</v>
      </c>
      <c r="G951">
        <v>-191.9426</v>
      </c>
      <c r="H951">
        <v>1.0494829999999999</v>
      </c>
      <c r="I951">
        <v>316.48559999999998</v>
      </c>
      <c r="J951">
        <v>-191.828</v>
      </c>
      <c r="K951">
        <v>1.104779</v>
      </c>
      <c r="L951">
        <v>316.96870000000001</v>
      </c>
      <c r="M951">
        <v>-3.2599799999999998E-2</v>
      </c>
      <c r="N951">
        <v>0</v>
      </c>
      <c r="O951">
        <v>-0.99941259999999998</v>
      </c>
      <c r="P951">
        <v>3.8755270000000001E-2</v>
      </c>
      <c r="Q951">
        <v>4.6486220000000002E-2</v>
      </c>
      <c r="R951">
        <v>-0.99816700000000003</v>
      </c>
      <c r="S951">
        <v>-0.47647089999999998</v>
      </c>
      <c r="T951">
        <v>-0.21251619999999999</v>
      </c>
      <c r="U951">
        <v>-3.0364070000000001</v>
      </c>
      <c r="V951">
        <v>-7.1327570000000007E-2</v>
      </c>
      <c r="W951">
        <v>5.6944370000000001E-2</v>
      </c>
      <c r="X951">
        <v>0.99582610000000005</v>
      </c>
      <c r="Y951">
        <v>0.1223622</v>
      </c>
      <c r="Z951">
        <v>6.9080260000000004E-2</v>
      </c>
      <c r="AA951">
        <v>0.99007849999999997</v>
      </c>
      <c r="AB951">
        <v>29</v>
      </c>
      <c r="AC951">
        <v>-0.114599999999995</v>
      </c>
      <c r="AD951">
        <v>-5.5296000000000199E-2</v>
      </c>
      <c r="AE951">
        <v>-0.483100000000035</v>
      </c>
      <c r="AF951">
        <v>9.7578937140485003E-2</v>
      </c>
      <c r="AG951">
        <v>-5.5296000000000199E-2</v>
      </c>
      <c r="AH951">
        <v>0.48061808931098698</v>
      </c>
      <c r="AI951">
        <v>96.433015340434807</v>
      </c>
      <c r="AJ951">
        <v>78.523345332133403</v>
      </c>
      <c r="AK951">
        <v>0.49353119897571901</v>
      </c>
      <c r="AL951">
        <v>86.7355619086442</v>
      </c>
      <c r="AM951">
        <v>94.096901350138594</v>
      </c>
      <c r="AN951">
        <v>0.99999995247900397</v>
      </c>
    </row>
    <row r="952" spans="1:40" x14ac:dyDescent="0.3">
      <c r="A952" t="str">
        <f>"20200111153849138"</f>
        <v>20200111153849138</v>
      </c>
      <c r="B952" t="str">
        <f>"1578728329131368"</f>
        <v>1578728329131368</v>
      </c>
      <c r="C952" t="s">
        <v>40</v>
      </c>
      <c r="D952">
        <v>5.2246199999999998</v>
      </c>
      <c r="E952">
        <v>0.57284579999999996</v>
      </c>
      <c r="F952" t="s">
        <v>41</v>
      </c>
      <c r="G952">
        <v>-191.94640000000001</v>
      </c>
      <c r="H952">
        <v>1.0501229999999999</v>
      </c>
      <c r="I952">
        <v>316.22129999999999</v>
      </c>
      <c r="J952">
        <v>-191.83770000000001</v>
      </c>
      <c r="K952">
        <v>1.1047990000000001</v>
      </c>
      <c r="L952">
        <v>316.65089999999998</v>
      </c>
      <c r="M952">
        <v>-3.2029929999999998E-2</v>
      </c>
      <c r="N952">
        <v>0</v>
      </c>
      <c r="O952">
        <v>-0.99943110000000002</v>
      </c>
      <c r="P952">
        <v>3.5157069999999999E-2</v>
      </c>
      <c r="Q952">
        <v>4.5795040000000002E-2</v>
      </c>
      <c r="R952">
        <v>-0.998332</v>
      </c>
      <c r="S952">
        <v>-0.48080440000000002</v>
      </c>
      <c r="T952">
        <v>-0.22188289999999999</v>
      </c>
      <c r="U952">
        <v>-3.0345149999999999</v>
      </c>
      <c r="V952">
        <v>-6.7171770000000006E-2</v>
      </c>
      <c r="W952">
        <v>5.6272160000000002E-2</v>
      </c>
      <c r="X952">
        <v>0.99615330000000002</v>
      </c>
      <c r="Y952">
        <v>0.1243681</v>
      </c>
      <c r="Z952">
        <v>7.2138599999999997E-2</v>
      </c>
      <c r="AA952">
        <v>0.98961030000000005</v>
      </c>
      <c r="AB952">
        <v>30</v>
      </c>
      <c r="AC952">
        <v>-0.10869999999999801</v>
      </c>
      <c r="AD952">
        <v>-5.46760000000001E-2</v>
      </c>
      <c r="AE952">
        <v>-0.42959999999999299</v>
      </c>
      <c r="AF952">
        <v>9.3460598851742197E-2</v>
      </c>
      <c r="AG952">
        <v>-5.46760000000001E-2</v>
      </c>
      <c r="AH952">
        <v>0.42637055161447002</v>
      </c>
      <c r="AI952">
        <v>97.139787234369606</v>
      </c>
      <c r="AJ952">
        <v>77.636287051741704</v>
      </c>
      <c r="AK952">
        <v>0.43990475764391701</v>
      </c>
      <c r="AL952">
        <v>86.774138719221696</v>
      </c>
      <c r="AM952">
        <v>93.857680893103506</v>
      </c>
      <c r="AN952">
        <v>0.99999999988844401</v>
      </c>
    </row>
    <row r="953" spans="1:40" x14ac:dyDescent="0.3">
      <c r="A953" t="str">
        <f>"20200111153849158"</f>
        <v>20200111153849158</v>
      </c>
      <c r="B953" t="str">
        <f>"1578728329151863"</f>
        <v>1578728329151863</v>
      </c>
      <c r="C953" t="s">
        <v>40</v>
      </c>
      <c r="D953">
        <v>5.1974769999999904</v>
      </c>
      <c r="E953">
        <v>0.57198419999999905</v>
      </c>
      <c r="F953" t="s">
        <v>41</v>
      </c>
      <c r="G953">
        <v>-191.98920000000001</v>
      </c>
      <c r="H953">
        <v>1.0352410000000001</v>
      </c>
      <c r="I953">
        <v>315.70299999999997</v>
      </c>
      <c r="J953">
        <v>-191.84630000000001</v>
      </c>
      <c r="K953">
        <v>1.1048249999999999</v>
      </c>
      <c r="L953">
        <v>316.36599999999999</v>
      </c>
      <c r="M953">
        <v>-3.1483110000000002E-2</v>
      </c>
      <c r="N953">
        <v>0</v>
      </c>
      <c r="O953">
        <v>-0.99944829999999996</v>
      </c>
      <c r="P953">
        <v>3.2000679999999997E-2</v>
      </c>
      <c r="Q953">
        <v>4.5703260000000002E-2</v>
      </c>
      <c r="R953">
        <v>-0.99844270000000002</v>
      </c>
      <c r="S953">
        <v>-0.48419190000000001</v>
      </c>
      <c r="T953">
        <v>-0.22259180000000001</v>
      </c>
      <c r="U953">
        <v>-3.0322879999999999</v>
      </c>
      <c r="V953">
        <v>-6.3478419999999994E-2</v>
      </c>
      <c r="W953">
        <v>5.6203120000000002E-2</v>
      </c>
      <c r="X953">
        <v>0.99639929999999999</v>
      </c>
      <c r="Y953">
        <v>0.12609819999999999</v>
      </c>
      <c r="Z953">
        <v>7.2407760000000002E-2</v>
      </c>
      <c r="AA953">
        <v>0.98937169999999997</v>
      </c>
      <c r="AB953">
        <v>30</v>
      </c>
      <c r="AC953">
        <v>-0.142899999999997</v>
      </c>
      <c r="AD953">
        <v>-6.9583999999999799E-2</v>
      </c>
      <c r="AE953">
        <v>-0.66300000000001003</v>
      </c>
      <c r="AF953">
        <v>0.12068433874319701</v>
      </c>
      <c r="AG953">
        <v>-6.9583999999999799E-2</v>
      </c>
      <c r="AH953">
        <v>0.66022088533284395</v>
      </c>
      <c r="AI953">
        <v>95.919115406394198</v>
      </c>
      <c r="AJ953">
        <v>79.641048236646398</v>
      </c>
      <c r="AK953">
        <v>0.674757927040184</v>
      </c>
      <c r="AL953">
        <v>86.778100473538601</v>
      </c>
      <c r="AM953">
        <v>93.645262459390096</v>
      </c>
      <c r="AN953">
        <v>0.99999993277195798</v>
      </c>
    </row>
    <row r="954" spans="1:40" x14ac:dyDescent="0.3">
      <c r="A954" t="str">
        <f>"20200111153849180"</f>
        <v>20200111153849180</v>
      </c>
      <c r="B954" t="str">
        <f>"1578728329171383"</f>
        <v>1578728329171383</v>
      </c>
      <c r="C954" t="s">
        <v>40</v>
      </c>
      <c r="D954">
        <v>5.2256109999999998</v>
      </c>
      <c r="E954">
        <v>0.57085750000000002</v>
      </c>
      <c r="F954" t="s">
        <v>41</v>
      </c>
      <c r="G954">
        <v>-191.9957</v>
      </c>
      <c r="H954">
        <v>1.0362659999999999</v>
      </c>
      <c r="I954">
        <v>315.43810000000002</v>
      </c>
      <c r="J954">
        <v>-191.8545</v>
      </c>
      <c r="K954">
        <v>1.104854</v>
      </c>
      <c r="L954">
        <v>316.08789999999999</v>
      </c>
      <c r="M954">
        <v>-3.0920429999999999E-2</v>
      </c>
      <c r="N954">
        <v>0</v>
      </c>
      <c r="O954">
        <v>-0.99946550000000001</v>
      </c>
      <c r="P954">
        <v>2.9307E-2</v>
      </c>
      <c r="Q954">
        <v>4.5114950000000001E-2</v>
      </c>
      <c r="R954">
        <v>-0.998552</v>
      </c>
      <c r="S954">
        <v>-0.48721310000000001</v>
      </c>
      <c r="T954">
        <v>-0.22414700000000001</v>
      </c>
      <c r="U954">
        <v>-3.030548</v>
      </c>
      <c r="V954">
        <v>-6.0231600000000003E-2</v>
      </c>
      <c r="W954">
        <v>5.5637529999999998E-2</v>
      </c>
      <c r="X954">
        <v>0.99663259999999998</v>
      </c>
      <c r="Y954">
        <v>0.12770039999999999</v>
      </c>
      <c r="Z954">
        <v>7.2940770000000002E-2</v>
      </c>
      <c r="AA954">
        <v>0.98912699999999998</v>
      </c>
      <c r="AB954">
        <v>30</v>
      </c>
      <c r="AC954">
        <v>-0.14119999999999699</v>
      </c>
      <c r="AD954">
        <v>-6.8588000000000093E-2</v>
      </c>
      <c r="AE954">
        <v>-0.64979999999996996</v>
      </c>
      <c r="AF954">
        <v>0.11976507315146501</v>
      </c>
      <c r="AG954">
        <v>-6.8588000000000093E-2</v>
      </c>
      <c r="AH954">
        <v>0.64697235260418295</v>
      </c>
      <c r="AI954">
        <v>95.951175623316203</v>
      </c>
      <c r="AJ954">
        <v>79.512343708439403</v>
      </c>
      <c r="AK954">
        <v>0.66152944872104302</v>
      </c>
      <c r="AL954">
        <v>86.810557269797897</v>
      </c>
      <c r="AM954">
        <v>93.458470208982206</v>
      </c>
      <c r="AN954">
        <v>0.99999995988290902</v>
      </c>
    </row>
    <row r="955" spans="1:40" x14ac:dyDescent="0.3">
      <c r="A955" t="str">
        <f>"20200111153849202"</f>
        <v>20200111153849202</v>
      </c>
      <c r="B955" t="str">
        <f>"1578728329191880"</f>
        <v>1578728329191880</v>
      </c>
      <c r="C955" t="s">
        <v>40</v>
      </c>
      <c r="D955">
        <v>5.2470109999999996</v>
      </c>
      <c r="E955">
        <v>0.57003149999999903</v>
      </c>
      <c r="F955" t="s">
        <v>41</v>
      </c>
      <c r="G955">
        <v>-192.00129999999999</v>
      </c>
      <c r="H955">
        <v>1.036613</v>
      </c>
      <c r="I955">
        <v>315.17329999999998</v>
      </c>
      <c r="J955">
        <v>-191.8631</v>
      </c>
      <c r="K955">
        <v>1.104878</v>
      </c>
      <c r="L955">
        <v>315.78800000000001</v>
      </c>
      <c r="M955">
        <v>-3.0278759999999998E-2</v>
      </c>
      <c r="N955">
        <v>0</v>
      </c>
      <c r="O955">
        <v>-0.99948499999999996</v>
      </c>
      <c r="P955">
        <v>2.71361E-2</v>
      </c>
      <c r="Q955">
        <v>4.5493159999999998E-2</v>
      </c>
      <c r="R955">
        <v>-0.99859609999999999</v>
      </c>
      <c r="S955">
        <v>-0.4864502</v>
      </c>
      <c r="T955">
        <v>-0.22586329999999999</v>
      </c>
      <c r="U955">
        <v>-3.0288390000000001</v>
      </c>
      <c r="V955">
        <v>-5.7426680000000001E-2</v>
      </c>
      <c r="W955">
        <v>5.6039350000000002E-2</v>
      </c>
      <c r="X955">
        <v>0.99677570000000004</v>
      </c>
      <c r="Y955">
        <v>0.1281747</v>
      </c>
      <c r="Z955">
        <v>7.3538329999999999E-2</v>
      </c>
      <c r="AA955">
        <v>0.98902140000000005</v>
      </c>
      <c r="AB955">
        <v>30</v>
      </c>
      <c r="AC955">
        <v>-0.138199999999983</v>
      </c>
      <c r="AD955">
        <v>-6.8265000000000006E-2</v>
      </c>
      <c r="AE955">
        <v>-0.614700000000027</v>
      </c>
      <c r="AF955">
        <v>0.118136344952087</v>
      </c>
      <c r="AG955">
        <v>-6.8265000000000006E-2</v>
      </c>
      <c r="AH955">
        <v>0.61142497960305198</v>
      </c>
      <c r="AI955">
        <v>96.255874693445406</v>
      </c>
      <c r="AJ955">
        <v>79.06436241326</v>
      </c>
      <c r="AK955">
        <v>0.62646373550767598</v>
      </c>
      <c r="AL955">
        <v>86.787498877744596</v>
      </c>
      <c r="AM955">
        <v>93.297304740309897</v>
      </c>
      <c r="AN955">
        <v>1.00000001421736</v>
      </c>
    </row>
    <row r="956" spans="1:40" x14ac:dyDescent="0.3">
      <c r="A956" t="str">
        <f>"20200111153849225"</f>
        <v>20200111153849225</v>
      </c>
      <c r="B956" t="str">
        <f>"1578728329211413"</f>
        <v>1578728329211413</v>
      </c>
      <c r="C956" t="s">
        <v>40</v>
      </c>
      <c r="D956">
        <v>5.2885780000000002</v>
      </c>
      <c r="E956">
        <v>0.56924790000000003</v>
      </c>
      <c r="F956" t="s">
        <v>41</v>
      </c>
      <c r="G956">
        <v>-192.00479999999999</v>
      </c>
      <c r="H956">
        <v>1.039458</v>
      </c>
      <c r="I956">
        <v>314.90710000000001</v>
      </c>
      <c r="J956">
        <v>-191.87129999999999</v>
      </c>
      <c r="K956">
        <v>1.1049059999999999</v>
      </c>
      <c r="L956">
        <v>315.4957</v>
      </c>
      <c r="M956">
        <v>-2.9619570000000001E-2</v>
      </c>
      <c r="N956">
        <v>0</v>
      </c>
      <c r="O956">
        <v>-0.99950430000000001</v>
      </c>
      <c r="P956">
        <v>2.506452E-2</v>
      </c>
      <c r="Q956">
        <v>4.6176679999999998E-2</v>
      </c>
      <c r="R956">
        <v>-0.99861869999999997</v>
      </c>
      <c r="S956">
        <v>-0.48666379999999998</v>
      </c>
      <c r="T956">
        <v>-0.22494130000000001</v>
      </c>
      <c r="U956">
        <v>-3.0276489999999998</v>
      </c>
      <c r="V956">
        <v>-5.4702710000000002E-2</v>
      </c>
      <c r="W956">
        <v>5.6747279999999997E-2</v>
      </c>
      <c r="X956">
        <v>0.99688880000000002</v>
      </c>
      <c r="Y956">
        <v>0.12896079999999999</v>
      </c>
      <c r="Z956">
        <v>7.3266029999999996E-2</v>
      </c>
      <c r="AA956">
        <v>0.98893940000000002</v>
      </c>
      <c r="AB956">
        <v>30</v>
      </c>
      <c r="AC956">
        <v>-0.13349999999999701</v>
      </c>
      <c r="AD956">
        <v>-6.5447999999999895E-2</v>
      </c>
      <c r="AE956">
        <v>-0.58859999999998502</v>
      </c>
      <c r="AF956">
        <v>0.114658095007117</v>
      </c>
      <c r="AG956">
        <v>-6.5447999999999895E-2</v>
      </c>
      <c r="AH956">
        <v>0.58541235101790901</v>
      </c>
      <c r="AI956">
        <v>96.261083616052005</v>
      </c>
      <c r="AJ956">
        <v>78.918401722095894</v>
      </c>
      <c r="AK956">
        <v>0.600114605870392</v>
      </c>
      <c r="AL956">
        <v>86.746872648389399</v>
      </c>
      <c r="AM956">
        <v>93.140866120475593</v>
      </c>
      <c r="AN956">
        <v>0.99999995991709001</v>
      </c>
    </row>
    <row r="957" spans="1:40" x14ac:dyDescent="0.3">
      <c r="A957" t="str">
        <f>"20200111153849245"</f>
        <v>20200111153849245</v>
      </c>
      <c r="B957" t="str">
        <f>"1578728329241655"</f>
        <v>1578728329241655</v>
      </c>
      <c r="C957" t="s">
        <v>40</v>
      </c>
      <c r="D957">
        <v>5.2835650000000003</v>
      </c>
      <c r="E957">
        <v>0.56821580000000005</v>
      </c>
      <c r="F957" t="s">
        <v>41</v>
      </c>
      <c r="G957">
        <v>-192.0087</v>
      </c>
      <c r="H957">
        <v>1.041118</v>
      </c>
      <c r="I957">
        <v>314.6413</v>
      </c>
      <c r="J957">
        <v>-191.87870000000001</v>
      </c>
      <c r="K957">
        <v>1.104922</v>
      </c>
      <c r="L957">
        <v>315.22329999999999</v>
      </c>
      <c r="M957">
        <v>-2.897771E-2</v>
      </c>
      <c r="N957">
        <v>0</v>
      </c>
      <c r="O957">
        <v>-0.99952269999999999</v>
      </c>
      <c r="P957">
        <v>2.400037E-2</v>
      </c>
      <c r="Q957">
        <v>4.6264529999999998E-2</v>
      </c>
      <c r="R957">
        <v>-0.9986408</v>
      </c>
      <c r="S957">
        <v>-0.48648069999999999</v>
      </c>
      <c r="T957">
        <v>-0.2260499</v>
      </c>
      <c r="U957">
        <v>-3.0267940000000002</v>
      </c>
      <c r="V957">
        <v>-5.3002430000000003E-2</v>
      </c>
      <c r="W957">
        <v>5.6860109999999998E-2</v>
      </c>
      <c r="X957">
        <v>0.99697420000000003</v>
      </c>
      <c r="Y957">
        <v>0.12957859999999999</v>
      </c>
      <c r="Z957">
        <v>7.364503E-2</v>
      </c>
      <c r="AA957">
        <v>0.98883049999999995</v>
      </c>
      <c r="AB957">
        <v>30</v>
      </c>
      <c r="AC957">
        <v>-0.12999999999999501</v>
      </c>
      <c r="AD957">
        <v>-6.3803999999999902E-2</v>
      </c>
      <c r="AE957">
        <v>-0.58199999999999297</v>
      </c>
      <c r="AF957">
        <v>0.11179959855124599</v>
      </c>
      <c r="AG957">
        <v>-6.3803999999999902E-2</v>
      </c>
      <c r="AH957">
        <v>0.57889606140426297</v>
      </c>
      <c r="AI957">
        <v>96.176344298871399</v>
      </c>
      <c r="AJ957">
        <v>79.069293260685996</v>
      </c>
      <c r="AK957">
        <v>0.59303520178956304</v>
      </c>
      <c r="AL957">
        <v>86.740397453777504</v>
      </c>
      <c r="AM957">
        <v>93.043167380825494</v>
      </c>
      <c r="AN957">
        <v>0.99999994258037594</v>
      </c>
    </row>
    <row r="958" spans="1:40" x14ac:dyDescent="0.3">
      <c r="A958" t="str">
        <f>"20200111153849268"</f>
        <v>20200111153849268</v>
      </c>
      <c r="B958" t="str">
        <f>"1578728329261176"</f>
        <v>1578728329261176</v>
      </c>
      <c r="C958" t="s">
        <v>40</v>
      </c>
      <c r="D958">
        <v>5.323099</v>
      </c>
      <c r="E958">
        <v>0.56765509999999997</v>
      </c>
      <c r="F958" t="s">
        <v>41</v>
      </c>
      <c r="G958">
        <v>-192.0136</v>
      </c>
      <c r="H958">
        <v>1.0414079999999999</v>
      </c>
      <c r="I958">
        <v>314.37619999999998</v>
      </c>
      <c r="J958">
        <v>-191.887</v>
      </c>
      <c r="K958">
        <v>1.104951</v>
      </c>
      <c r="L958">
        <v>314.91019999999997</v>
      </c>
      <c r="M958">
        <v>-2.8213019999999998E-2</v>
      </c>
      <c r="N958">
        <v>0</v>
      </c>
      <c r="O958">
        <v>-0.99954449999999995</v>
      </c>
      <c r="P958">
        <v>2.293773E-2</v>
      </c>
      <c r="Q958">
        <v>4.6054909999999998E-2</v>
      </c>
      <c r="R958">
        <v>-0.9986758</v>
      </c>
      <c r="S958">
        <v>-0.48123169999999998</v>
      </c>
      <c r="T958">
        <v>-0.22715270000000001</v>
      </c>
      <c r="U958">
        <v>-3.0261840000000002</v>
      </c>
      <c r="V958">
        <v>-5.1181160000000003E-2</v>
      </c>
      <c r="W958">
        <v>5.6678249999999999E-2</v>
      </c>
      <c r="X958">
        <v>0.99707979999999996</v>
      </c>
      <c r="Y958">
        <v>0.12869140000000001</v>
      </c>
      <c r="Z958">
        <v>7.4033719999999997E-2</v>
      </c>
      <c r="AA958">
        <v>0.98891739999999995</v>
      </c>
      <c r="AB958">
        <v>30</v>
      </c>
      <c r="AC958">
        <v>-0.12659999999999599</v>
      </c>
      <c r="AD958">
        <v>-6.3543000000000099E-2</v>
      </c>
      <c r="AE958">
        <v>-0.53399999999999104</v>
      </c>
      <c r="AF958">
        <v>0.11000819465629399</v>
      </c>
      <c r="AG958">
        <v>-6.3543000000000099E-2</v>
      </c>
      <c r="AH958">
        <v>0.53025075875396099</v>
      </c>
      <c r="AI958">
        <v>96.692323419317006</v>
      </c>
      <c r="AJ958">
        <v>78.279430520717597</v>
      </c>
      <c r="AK958">
        <v>0.54525717134182505</v>
      </c>
      <c r="AL958">
        <v>86.750834384502198</v>
      </c>
      <c r="AM958">
        <v>92.938473892720395</v>
      </c>
      <c r="AN958">
        <v>1.0000000313650199</v>
      </c>
    </row>
    <row r="959" spans="1:40" x14ac:dyDescent="0.3">
      <c r="A959" t="str">
        <f>"20200111153849291"</f>
        <v>20200111153849291</v>
      </c>
      <c r="B959" t="str">
        <f>"1578728329281671"</f>
        <v>1578728329281671</v>
      </c>
      <c r="C959" t="s">
        <v>40</v>
      </c>
      <c r="D959">
        <v>5.3033279999999996</v>
      </c>
      <c r="E959">
        <v>0.56705039999999995</v>
      </c>
      <c r="F959" t="s">
        <v>41</v>
      </c>
      <c r="G959">
        <v>-192.01410000000001</v>
      </c>
      <c r="H959">
        <v>1.0444230000000001</v>
      </c>
      <c r="I959">
        <v>314.1087</v>
      </c>
      <c r="J959">
        <v>-191.89449999999999</v>
      </c>
      <c r="K959">
        <v>1.1049690000000001</v>
      </c>
      <c r="L959">
        <v>314.61489999999998</v>
      </c>
      <c r="M959">
        <v>-2.7471519999999999E-2</v>
      </c>
      <c r="N959">
        <v>0</v>
      </c>
      <c r="O959">
        <v>-0.99956480000000003</v>
      </c>
      <c r="P959">
        <v>2.2286980000000001E-2</v>
      </c>
      <c r="Q959">
        <v>4.5325740000000003E-2</v>
      </c>
      <c r="R959">
        <v>-0.99872369999999999</v>
      </c>
      <c r="S959">
        <v>-0.47979739999999999</v>
      </c>
      <c r="T959">
        <v>-0.2285509</v>
      </c>
      <c r="U959">
        <v>-3.0255429999999999</v>
      </c>
      <c r="V959">
        <v>-4.9793850000000001E-2</v>
      </c>
      <c r="W959">
        <v>5.59727E-2</v>
      </c>
      <c r="X959">
        <v>0.99718989999999996</v>
      </c>
      <c r="Y959">
        <v>0.12899669999999999</v>
      </c>
      <c r="Z959">
        <v>7.4505940000000007E-2</v>
      </c>
      <c r="AA959">
        <v>0.98884209999999995</v>
      </c>
      <c r="AB959">
        <v>30</v>
      </c>
      <c r="AC959">
        <v>-0.119600000000019</v>
      </c>
      <c r="AD959">
        <v>-6.0546000000000197E-2</v>
      </c>
      <c r="AE959">
        <v>-0.506199999999978</v>
      </c>
      <c r="AF959">
        <v>0.104235590281215</v>
      </c>
      <c r="AG959">
        <v>-6.0546000000000197E-2</v>
      </c>
      <c r="AH959">
        <v>0.50248609165950398</v>
      </c>
      <c r="AI959">
        <v>96.728718695339694</v>
      </c>
      <c r="AJ959">
        <v>78.280788527813996</v>
      </c>
      <c r="AK959">
        <v>0.51674282647030201</v>
      </c>
      <c r="AL959">
        <v>86.791323707058197</v>
      </c>
      <c r="AM959">
        <v>92.858642839173996</v>
      </c>
      <c r="AN959">
        <v>1.0000000336525601</v>
      </c>
    </row>
    <row r="960" spans="1:40" x14ac:dyDescent="0.3">
      <c r="A960" t="str">
        <f>"20200111153849313"</f>
        <v>20200111153849313</v>
      </c>
      <c r="B960" t="str">
        <f>"1578728329301194"</f>
        <v>1578728329301194</v>
      </c>
      <c r="C960" t="s">
        <v>40</v>
      </c>
      <c r="D960">
        <v>5.1396550000000003</v>
      </c>
      <c r="E960">
        <v>0.56657849999999998</v>
      </c>
      <c r="F960" t="s">
        <v>41</v>
      </c>
      <c r="G960">
        <v>-192.01650000000001</v>
      </c>
      <c r="H960">
        <v>1.0457399999999999</v>
      </c>
      <c r="I960">
        <v>313.84249999999997</v>
      </c>
      <c r="J960">
        <v>-191.90190000000001</v>
      </c>
      <c r="K960">
        <v>1.104983</v>
      </c>
      <c r="L960">
        <v>314.31720000000001</v>
      </c>
      <c r="M960">
        <v>-2.6708849999999999E-2</v>
      </c>
      <c r="N960">
        <v>0</v>
      </c>
      <c r="O960">
        <v>-0.99958539999999996</v>
      </c>
      <c r="P960">
        <v>2.188066E-2</v>
      </c>
      <c r="Q960">
        <v>4.474119E-2</v>
      </c>
      <c r="R960">
        <v>-0.99875919999999896</v>
      </c>
      <c r="S960">
        <v>-0.47694399999999998</v>
      </c>
      <c r="T960">
        <v>-0.23217009999999999</v>
      </c>
      <c r="U960">
        <v>-3.0250240000000002</v>
      </c>
      <c r="V960">
        <v>-4.8628459999999998E-2</v>
      </c>
      <c r="W960">
        <v>5.5411380000000003E-2</v>
      </c>
      <c r="X960">
        <v>0.99727869999999996</v>
      </c>
      <c r="Y960">
        <v>0.12885550000000001</v>
      </c>
      <c r="Z960">
        <v>7.5700310000000007E-2</v>
      </c>
      <c r="AA960">
        <v>0.98876980000000003</v>
      </c>
      <c r="AB960">
        <v>30</v>
      </c>
      <c r="AC960">
        <v>-0.114599999999995</v>
      </c>
      <c r="AD960">
        <v>-5.9243000000000101E-2</v>
      </c>
      <c r="AE960">
        <v>-0.47470000000004098</v>
      </c>
      <c r="AF960">
        <v>0.10040201990704101</v>
      </c>
      <c r="AG960">
        <v>-5.9243000000000101E-2</v>
      </c>
      <c r="AH960">
        <v>0.47066463218270399</v>
      </c>
      <c r="AI960">
        <v>97.017873175648106</v>
      </c>
      <c r="AJ960">
        <v>77.958174111656305</v>
      </c>
      <c r="AK960">
        <v>0.48488709473246899</v>
      </c>
      <c r="AL960">
        <v>86.823534784694104</v>
      </c>
      <c r="AM960">
        <v>92.791597233346806</v>
      </c>
      <c r="AN960">
        <v>0.99999997681458197</v>
      </c>
    </row>
    <row r="961" spans="1:40" x14ac:dyDescent="0.3">
      <c r="A961" t="str">
        <f>"20200111153849335"</f>
        <v>20200111153849335</v>
      </c>
      <c r="B961" t="str">
        <f>"1578728329331447"</f>
        <v>1578728329331447</v>
      </c>
      <c r="C961" t="s">
        <v>40</v>
      </c>
      <c r="D961">
        <v>5.3421479999999999</v>
      </c>
      <c r="E961">
        <v>0.56574780000000002</v>
      </c>
      <c r="F961" t="s">
        <v>41</v>
      </c>
      <c r="G961">
        <v>-192.01820000000001</v>
      </c>
      <c r="H961">
        <v>1.04739</v>
      </c>
      <c r="I961">
        <v>313.57569999999998</v>
      </c>
      <c r="J961">
        <v>-191.90889999999999</v>
      </c>
      <c r="K961">
        <v>1.104984</v>
      </c>
      <c r="L961">
        <v>314.02749999999997</v>
      </c>
      <c r="M961">
        <v>-2.5958019999999998E-2</v>
      </c>
      <c r="N961">
        <v>0</v>
      </c>
      <c r="O961">
        <v>-0.99960499999999997</v>
      </c>
      <c r="P961">
        <v>2.08256E-2</v>
      </c>
      <c r="Q961">
        <v>4.3804080000000002E-2</v>
      </c>
      <c r="R961">
        <v>-0.99882329999999997</v>
      </c>
      <c r="S961">
        <v>-0.47454829999999998</v>
      </c>
      <c r="T961">
        <v>-0.23492650000000001</v>
      </c>
      <c r="U961">
        <v>-3.0246580000000001</v>
      </c>
      <c r="V961">
        <v>-4.6825609999999997E-2</v>
      </c>
      <c r="W961">
        <v>5.4496280000000001E-2</v>
      </c>
      <c r="X961">
        <v>0.99741539999999995</v>
      </c>
      <c r="Y961">
        <v>0.12884380000000001</v>
      </c>
      <c r="Z961">
        <v>7.6609839999999998E-2</v>
      </c>
      <c r="AA961">
        <v>0.98870130000000001</v>
      </c>
      <c r="AB961">
        <v>30</v>
      </c>
      <c r="AC961">
        <v>-0.10930000000001799</v>
      </c>
      <c r="AD961">
        <v>-5.7593999999999902E-2</v>
      </c>
      <c r="AE961">
        <v>-0.45179999999999099</v>
      </c>
      <c r="AF961">
        <v>9.6059954015545193E-2</v>
      </c>
      <c r="AG961">
        <v>-5.7593999999999902E-2</v>
      </c>
      <c r="AH961">
        <v>0.44761342562612799</v>
      </c>
      <c r="AI961">
        <v>97.170407994373093</v>
      </c>
      <c r="AJ961">
        <v>77.887768802068507</v>
      </c>
      <c r="AK961">
        <v>0.461413439771997</v>
      </c>
      <c r="AL961">
        <v>86.876045518507297</v>
      </c>
      <c r="AM961">
        <v>92.687888486405001</v>
      </c>
      <c r="AN961">
        <v>0.99999998122143496</v>
      </c>
    </row>
    <row r="962" spans="1:40" x14ac:dyDescent="0.3">
      <c r="A962" t="str">
        <f>"20200111153849358"</f>
        <v>20200111153849358</v>
      </c>
      <c r="B962" t="str">
        <f>"1578728329351944"</f>
        <v>1578728329351944</v>
      </c>
      <c r="C962" t="s">
        <v>40</v>
      </c>
      <c r="D962">
        <v>5.3959679999999999</v>
      </c>
      <c r="E962">
        <v>0.56536070000000005</v>
      </c>
      <c r="F962" t="s">
        <v>41</v>
      </c>
      <c r="G962">
        <v>-192.06039999999999</v>
      </c>
      <c r="H962">
        <v>1.0278659999999999</v>
      </c>
      <c r="I962">
        <v>313.05509999999998</v>
      </c>
      <c r="J962">
        <v>-191.9161</v>
      </c>
      <c r="K962">
        <v>1.1049800000000001</v>
      </c>
      <c r="L962">
        <v>313.7174</v>
      </c>
      <c r="M962">
        <v>-2.514835E-2</v>
      </c>
      <c r="N962">
        <v>0</v>
      </c>
      <c r="O962">
        <v>-0.99962549999999994</v>
      </c>
      <c r="P962">
        <v>1.9067540000000001E-2</v>
      </c>
      <c r="Q962">
        <v>4.343988E-2</v>
      </c>
      <c r="R962">
        <v>-0.99887409999999999</v>
      </c>
      <c r="S962">
        <v>-0.4711304</v>
      </c>
      <c r="T962">
        <v>-0.23982390000000001</v>
      </c>
      <c r="U962">
        <v>-3.0238649999999998</v>
      </c>
      <c r="V962">
        <v>-4.4261340000000003E-2</v>
      </c>
      <c r="W962">
        <v>5.4154889999999997E-2</v>
      </c>
      <c r="X962">
        <v>0.99755110000000002</v>
      </c>
      <c r="Y962">
        <v>0.12857639999999901</v>
      </c>
      <c r="Z962">
        <v>7.8227829999999998E-2</v>
      </c>
      <c r="AA962">
        <v>0.98860939999999997</v>
      </c>
      <c r="AB962">
        <v>30</v>
      </c>
      <c r="AC962">
        <v>-0.14429999999998699</v>
      </c>
      <c r="AD962">
        <v>-7.7113999999999905E-2</v>
      </c>
      <c r="AE962">
        <v>-0.66230000000001599</v>
      </c>
      <c r="AF962">
        <v>0.12596731440252601</v>
      </c>
      <c r="AG962">
        <v>-7.7113999999999905E-2</v>
      </c>
      <c r="AH962">
        <v>0.65721369862137302</v>
      </c>
      <c r="AI962">
        <v>96.573603929074196</v>
      </c>
      <c r="AJ962">
        <v>79.149781385338201</v>
      </c>
      <c r="AK962">
        <v>0.67360535846248304</v>
      </c>
      <c r="AL962">
        <v>86.895634735246205</v>
      </c>
      <c r="AM962">
        <v>92.540547289821205</v>
      </c>
      <c r="AN962">
        <v>1.0000000077203499</v>
      </c>
    </row>
    <row r="963" spans="1:40" x14ac:dyDescent="0.3">
      <c r="A963" t="str">
        <f>"20200111153849381"</f>
        <v>20200111153849381</v>
      </c>
      <c r="B963" t="str">
        <f>"1578728329371463"</f>
        <v>1578728329371463</v>
      </c>
      <c r="C963" t="s">
        <v>40</v>
      </c>
      <c r="D963">
        <v>5.5055120000000004</v>
      </c>
      <c r="E963">
        <v>0.56500950000000005</v>
      </c>
      <c r="F963" t="s">
        <v>41</v>
      </c>
      <c r="G963">
        <v>-192.0617</v>
      </c>
      <c r="H963">
        <v>1.030624</v>
      </c>
      <c r="I963">
        <v>312.7876</v>
      </c>
      <c r="J963">
        <v>-191.9229</v>
      </c>
      <c r="K963">
        <v>1.1049819999999999</v>
      </c>
      <c r="L963">
        <v>313.41390000000001</v>
      </c>
      <c r="M963">
        <v>-2.4355089999999999E-2</v>
      </c>
      <c r="N963">
        <v>0</v>
      </c>
      <c r="O963">
        <v>-0.9996448</v>
      </c>
      <c r="P963">
        <v>1.7215919999999999E-2</v>
      </c>
      <c r="Q963">
        <v>4.2868040000000003E-2</v>
      </c>
      <c r="R963">
        <v>-0.9989325</v>
      </c>
      <c r="S963">
        <v>-0.47314450000000002</v>
      </c>
      <c r="T963">
        <v>-0.24192179999999999</v>
      </c>
      <c r="U963">
        <v>-3.0229490000000001</v>
      </c>
      <c r="V963">
        <v>-4.1619610000000001E-2</v>
      </c>
      <c r="W963">
        <v>5.3604480000000003E-2</v>
      </c>
      <c r="X963">
        <v>0.99769459999999999</v>
      </c>
      <c r="Y963">
        <v>0.1300433</v>
      </c>
      <c r="Z963">
        <v>7.8922069999999997E-2</v>
      </c>
      <c r="AA963">
        <v>0.98836230000000003</v>
      </c>
      <c r="AB963">
        <v>30</v>
      </c>
      <c r="AC963">
        <v>-0.138800000000003</v>
      </c>
      <c r="AD963">
        <v>-7.4357999999999896E-2</v>
      </c>
      <c r="AE963">
        <v>-0.62630000000001396</v>
      </c>
      <c r="AF963">
        <v>0.121866942214424</v>
      </c>
      <c r="AG963">
        <v>-7.4357999999999896E-2</v>
      </c>
      <c r="AH963">
        <v>0.62114917183469098</v>
      </c>
      <c r="AI963">
        <v>96.699877250642004</v>
      </c>
      <c r="AJ963">
        <v>78.899793957650303</v>
      </c>
      <c r="AK963">
        <v>0.63734367294232697</v>
      </c>
      <c r="AL963">
        <v>86.927216982832704</v>
      </c>
      <c r="AM963">
        <v>92.3887532238262</v>
      </c>
      <c r="AN963">
        <v>1.0000000735408801</v>
      </c>
    </row>
    <row r="964" spans="1:40" x14ac:dyDescent="0.3">
      <c r="A964" t="str">
        <f>"20200111153849402"</f>
        <v>20200111153849402</v>
      </c>
      <c r="B964" t="str">
        <f>"1578728329391959"</f>
        <v>1578728329391959</v>
      </c>
      <c r="C964" t="s">
        <v>40</v>
      </c>
      <c r="D964">
        <v>5.5638160000000001</v>
      </c>
      <c r="E964">
        <v>0.5947983</v>
      </c>
      <c r="F964" t="s">
        <v>41</v>
      </c>
      <c r="G964">
        <v>-192.06360000000001</v>
      </c>
      <c r="H964">
        <v>1.0333030000000001</v>
      </c>
      <c r="I964">
        <v>312.52</v>
      </c>
      <c r="J964">
        <v>-191.929</v>
      </c>
      <c r="K964">
        <v>1.104984</v>
      </c>
      <c r="L964">
        <v>313.12959999999998</v>
      </c>
      <c r="M964">
        <v>-2.3613229999999999E-2</v>
      </c>
      <c r="N964">
        <v>0</v>
      </c>
      <c r="O964">
        <v>-0.99966270000000002</v>
      </c>
      <c r="P964">
        <v>1.610607E-2</v>
      </c>
      <c r="Q964">
        <v>4.2801850000000002E-2</v>
      </c>
      <c r="R964">
        <v>-0.99895389999999995</v>
      </c>
      <c r="S964">
        <v>-0.47583009999999898</v>
      </c>
      <c r="T964">
        <v>-0.2423235</v>
      </c>
      <c r="U964">
        <v>-3.0217900000000002</v>
      </c>
      <c r="V964">
        <v>-3.9769970000000002E-2</v>
      </c>
      <c r="W964">
        <v>5.3555430000000001E-2</v>
      </c>
      <c r="X964">
        <v>0.99777260000000001</v>
      </c>
      <c r="Y964">
        <v>0.13169229999999901</v>
      </c>
      <c r="Z964">
        <v>7.9070139999999997E-2</v>
      </c>
      <c r="AA964">
        <v>0.98813209999999996</v>
      </c>
      <c r="AB964">
        <v>30</v>
      </c>
      <c r="AC964">
        <v>-0.13460000000000599</v>
      </c>
      <c r="AD964">
        <v>-7.16809999999998E-2</v>
      </c>
      <c r="AE964">
        <v>-0.60960000000000003</v>
      </c>
      <c r="AF964">
        <v>0.11860333983080799</v>
      </c>
      <c r="AG964">
        <v>-7.16809999999998E-2</v>
      </c>
      <c r="AH964">
        <v>0.60463703620431997</v>
      </c>
      <c r="AI964">
        <v>96.635682711640598</v>
      </c>
      <c r="AJ964">
        <v>78.901982882183205</v>
      </c>
      <c r="AK964">
        <v>0.620315132436704</v>
      </c>
      <c r="AL964">
        <v>86.930031151047899</v>
      </c>
      <c r="AM964">
        <v>92.282529975521697</v>
      </c>
      <c r="AN964">
        <v>0.99999999795352201</v>
      </c>
    </row>
    <row r="965" spans="1:40" x14ac:dyDescent="0.3">
      <c r="A965" t="str">
        <f>"20200111153849425"</f>
        <v>20200111153849425</v>
      </c>
      <c r="B965" t="str">
        <f>"1578728329421239"</f>
        <v>1578728329421239</v>
      </c>
      <c r="C965" t="s">
        <v>40</v>
      </c>
      <c r="D965">
        <v>5.537204</v>
      </c>
      <c r="E965">
        <v>0.59419270000000002</v>
      </c>
      <c r="F965" t="s">
        <v>53</v>
      </c>
      <c r="G965">
        <v>-195.91669999999999</v>
      </c>
      <c r="H965" s="1">
        <v>6.4691309999999998E-7</v>
      </c>
      <c r="I965">
        <v>296.2912</v>
      </c>
      <c r="J965">
        <v>-191.93520000000001</v>
      </c>
      <c r="K965">
        <v>1.1049819999999999</v>
      </c>
      <c r="L965">
        <v>312.83440000000002</v>
      </c>
      <c r="M965">
        <v>-2.2845020000000001E-2</v>
      </c>
      <c r="N965">
        <v>0</v>
      </c>
      <c r="O965">
        <v>-0.99968029999999997</v>
      </c>
      <c r="P965">
        <v>1.4633180000000001E-2</v>
      </c>
      <c r="Q965">
        <v>4.244216E-2</v>
      </c>
      <c r="R965">
        <v>-0.99899190000000004</v>
      </c>
      <c r="S965">
        <v>-0.71595759999999997</v>
      </c>
      <c r="T965">
        <v>-0.19839100000000001</v>
      </c>
      <c r="U965">
        <v>-3.023193</v>
      </c>
      <c r="V965">
        <v>-3.7531090000000003E-2</v>
      </c>
      <c r="W965">
        <v>5.3212599999999999E-2</v>
      </c>
      <c r="X965">
        <v>0.99787769999999998</v>
      </c>
      <c r="Y965">
        <v>0.20768590000000001</v>
      </c>
      <c r="Z965">
        <v>6.3863340000000005E-2</v>
      </c>
      <c r="AA965">
        <v>0.97610859999999999</v>
      </c>
      <c r="AB965">
        <v>30</v>
      </c>
      <c r="AC965">
        <v>-3.9814999999999801</v>
      </c>
      <c r="AD965">
        <v>-1.1049813530868999</v>
      </c>
      <c r="AE965">
        <v>-16.543199999999999</v>
      </c>
      <c r="AF965">
        <v>3.5873804216223402</v>
      </c>
      <c r="AG965">
        <v>-1.1049813530868999</v>
      </c>
      <c r="AH965">
        <v>16.560009159023402</v>
      </c>
      <c r="AI965">
        <v>93.731161469937305</v>
      </c>
      <c r="AJ965">
        <v>77.776931449100601</v>
      </c>
      <c r="AK965">
        <v>16.9801114668617</v>
      </c>
      <c r="AL965">
        <v>86.949702022221203</v>
      </c>
      <c r="AM965">
        <v>92.153931246814807</v>
      </c>
      <c r="AN965">
        <v>1.00000003383631</v>
      </c>
    </row>
    <row r="966" spans="1:40" x14ac:dyDescent="0.3">
      <c r="A966" t="str">
        <f>"20200111153849448"</f>
        <v>20200111153849448</v>
      </c>
      <c r="B966" t="str">
        <f>"1578728329441735"</f>
        <v>1578728329441735</v>
      </c>
      <c r="C966" t="s">
        <v>40</v>
      </c>
      <c r="D966">
        <v>5.547504</v>
      </c>
      <c r="E966">
        <v>0.59432779999999996</v>
      </c>
      <c r="F966" t="s">
        <v>41</v>
      </c>
      <c r="G966">
        <v>-192.1336</v>
      </c>
      <c r="H966">
        <v>1.0065850000000001</v>
      </c>
      <c r="I966">
        <v>311.99970000000002</v>
      </c>
      <c r="J966">
        <v>-191.94120000000001</v>
      </c>
      <c r="K966">
        <v>1.1049910000000001</v>
      </c>
      <c r="L966">
        <v>312.53820000000002</v>
      </c>
      <c r="M966">
        <v>-2.20769E-2</v>
      </c>
      <c r="N966">
        <v>0</v>
      </c>
      <c r="O966">
        <v>-0.99969730000000001</v>
      </c>
      <c r="P966">
        <v>1.2582039999999999E-2</v>
      </c>
      <c r="Q966">
        <v>4.2262090000000002E-2</v>
      </c>
      <c r="R966">
        <v>-0.99902740000000001</v>
      </c>
      <c r="S966">
        <v>-0.71983339999999996</v>
      </c>
      <c r="T966">
        <v>-0.35713660000000003</v>
      </c>
      <c r="U966">
        <v>-3.0287480000000002</v>
      </c>
      <c r="V966">
        <v>-3.4713880000000003E-2</v>
      </c>
      <c r="W966">
        <v>5.30488E-2</v>
      </c>
      <c r="X966">
        <v>0.99798830000000005</v>
      </c>
      <c r="Y966">
        <v>0.20817820000000001</v>
      </c>
      <c r="Z966">
        <v>0.1142107</v>
      </c>
      <c r="AA966">
        <v>0.97139989999999998</v>
      </c>
      <c r="AB966">
        <v>30</v>
      </c>
      <c r="AC966">
        <v>-0.19239999999999199</v>
      </c>
      <c r="AD966">
        <v>-9.8405999999999993E-2</v>
      </c>
      <c r="AE966">
        <v>-0.53849999999999898</v>
      </c>
      <c r="AF966">
        <v>0.17527346201236199</v>
      </c>
      <c r="AG966">
        <v>-9.8405999999999993E-2</v>
      </c>
      <c r="AH966">
        <v>0.527009777732383</v>
      </c>
      <c r="AI966">
        <v>100.04756121208401</v>
      </c>
      <c r="AJ966">
        <v>71.603852637792102</v>
      </c>
      <c r="AK966">
        <v>0.56404240367842495</v>
      </c>
      <c r="AL966">
        <v>86.959100052762906</v>
      </c>
      <c r="AM966">
        <v>91.992164876369202</v>
      </c>
      <c r="AN966">
        <v>0.99999993779148999</v>
      </c>
    </row>
    <row r="967" spans="1:40" x14ac:dyDescent="0.3">
      <c r="A967" t="str">
        <f>"20200111153849470"</f>
        <v>20200111153849470</v>
      </c>
      <c r="B967" t="str">
        <f>"1578728329461255"</f>
        <v>1578728329461255</v>
      </c>
      <c r="C967" t="s">
        <v>40</v>
      </c>
      <c r="D967">
        <v>5.5879190000000003</v>
      </c>
      <c r="E967">
        <v>0.59349010000000002</v>
      </c>
      <c r="F967" t="s">
        <v>41</v>
      </c>
      <c r="G967">
        <v>-192.1344</v>
      </c>
      <c r="H967">
        <v>1.004867</v>
      </c>
      <c r="I967">
        <v>311.7337</v>
      </c>
      <c r="J967">
        <v>-191.947</v>
      </c>
      <c r="K967">
        <v>1.1049949999999999</v>
      </c>
      <c r="L967">
        <v>312.23680000000002</v>
      </c>
      <c r="M967">
        <v>-2.129677E-2</v>
      </c>
      <c r="N967">
        <v>0</v>
      </c>
      <c r="O967">
        <v>-0.9997142</v>
      </c>
      <c r="P967">
        <v>9.9895120000000007E-3</v>
      </c>
      <c r="Q967">
        <v>4.247836E-2</v>
      </c>
      <c r="R967">
        <v>-0.99904749999999998</v>
      </c>
      <c r="S967">
        <v>-0.72644039999999999</v>
      </c>
      <c r="T967">
        <v>-0.37703219999999998</v>
      </c>
      <c r="U967">
        <v>-3.0279850000000001</v>
      </c>
      <c r="V967">
        <v>-3.1343610000000001E-2</v>
      </c>
      <c r="W967">
        <v>5.3281160000000001E-2</v>
      </c>
      <c r="X967">
        <v>0.99808750000000002</v>
      </c>
      <c r="Y967">
        <v>0.21082880000000001</v>
      </c>
      <c r="Z967">
        <v>0.12044920000000001</v>
      </c>
      <c r="AA967">
        <v>0.97007379999999999</v>
      </c>
      <c r="AB967">
        <v>30</v>
      </c>
      <c r="AC967">
        <v>-0.18739999999999599</v>
      </c>
      <c r="AD967">
        <v>-0.10012799999999999</v>
      </c>
      <c r="AE967">
        <v>-0.50310000000001698</v>
      </c>
      <c r="AF967">
        <v>0.170704732498067</v>
      </c>
      <c r="AG967">
        <v>-0.10012799999999999</v>
      </c>
      <c r="AH967">
        <v>0.48993542158673697</v>
      </c>
      <c r="AI967">
        <v>100.923268164025</v>
      </c>
      <c r="AJ967">
        <v>70.790492003499097</v>
      </c>
      <c r="AK967">
        <v>0.52839610086242195</v>
      </c>
      <c r="AL967">
        <v>86.945768080959795</v>
      </c>
      <c r="AM967">
        <v>91.798706590928703</v>
      </c>
      <c r="AN967">
        <v>0.99999998077751295</v>
      </c>
    </row>
    <row r="968" spans="1:40" x14ac:dyDescent="0.3">
      <c r="A968" t="str">
        <f>"20200111153849492"</f>
        <v>20200111153849492</v>
      </c>
      <c r="B968" t="str">
        <f>"1578728329481752"</f>
        <v>1578728329481752</v>
      </c>
      <c r="C968" t="s">
        <v>40</v>
      </c>
      <c r="D968">
        <v>5.5782550000000004</v>
      </c>
      <c r="E968">
        <v>0.59252939999999998</v>
      </c>
      <c r="F968" t="s">
        <v>41</v>
      </c>
      <c r="G968">
        <v>-192.13200000000001</v>
      </c>
      <c r="H968">
        <v>1.007088</v>
      </c>
      <c r="I968">
        <v>311.46559999999999</v>
      </c>
      <c r="J968">
        <v>-191.95259999999999</v>
      </c>
      <c r="K968">
        <v>1.1049910000000001</v>
      </c>
      <c r="L968">
        <v>311.93680000000001</v>
      </c>
      <c r="M968">
        <v>-2.052818E-2</v>
      </c>
      <c r="N968">
        <v>0</v>
      </c>
      <c r="O968">
        <v>-0.99973020000000001</v>
      </c>
      <c r="P968">
        <v>8.0553280000000005E-3</v>
      </c>
      <c r="Q968">
        <v>4.2220500000000001E-2</v>
      </c>
      <c r="R968">
        <v>-0.99907610000000002</v>
      </c>
      <c r="S968">
        <v>-0.72630309999999998</v>
      </c>
      <c r="T968">
        <v>-0.38423309999999999</v>
      </c>
      <c r="U968">
        <v>-3.026459</v>
      </c>
      <c r="V968">
        <v>-2.8642049999999999E-2</v>
      </c>
      <c r="W968">
        <v>5.303737E-2</v>
      </c>
      <c r="X968">
        <v>0.99818169999999995</v>
      </c>
      <c r="Y968">
        <v>0.2115831</v>
      </c>
      <c r="Z968">
        <v>0.12276720000000001</v>
      </c>
      <c r="AA968">
        <v>0.96961889999999995</v>
      </c>
      <c r="AB968">
        <v>30</v>
      </c>
      <c r="AC968">
        <v>-0.17940000000001499</v>
      </c>
      <c r="AD968">
        <v>-9.7903000000000004E-2</v>
      </c>
      <c r="AE968">
        <v>-0.47120000000001</v>
      </c>
      <c r="AF968">
        <v>0.16352318607784</v>
      </c>
      <c r="AG968">
        <v>-9.7903000000000004E-2</v>
      </c>
      <c r="AH968">
        <v>0.457532640352942</v>
      </c>
      <c r="AI968">
        <v>101.39242096524301</v>
      </c>
      <c r="AJ968">
        <v>70.332997146952493</v>
      </c>
      <c r="AK968">
        <v>0.49564195421935597</v>
      </c>
      <c r="AL968">
        <v>86.959756110671407</v>
      </c>
      <c r="AM968">
        <v>91.643606978604197</v>
      </c>
      <c r="AN968">
        <v>1.0000000179298001</v>
      </c>
    </row>
    <row r="969" spans="1:40" x14ac:dyDescent="0.3">
      <c r="A969" t="str">
        <f>"20200111153849515"</f>
        <v>20200111153849515</v>
      </c>
      <c r="B969" t="str">
        <f>"1578728329511031"</f>
        <v>1578728329511031</v>
      </c>
      <c r="C969" t="s">
        <v>40</v>
      </c>
      <c r="D969">
        <v>5.6028690000000001</v>
      </c>
      <c r="E969">
        <v>0.59158469999999996</v>
      </c>
      <c r="F969" t="s">
        <v>41</v>
      </c>
      <c r="G969">
        <v>-192.12970000000001</v>
      </c>
      <c r="H969">
        <v>1.0094479999999999</v>
      </c>
      <c r="I969">
        <v>311.19740000000002</v>
      </c>
      <c r="J969">
        <v>-191.958</v>
      </c>
      <c r="K969">
        <v>1.104975</v>
      </c>
      <c r="L969">
        <v>311.63209999999998</v>
      </c>
      <c r="M969">
        <v>-1.9769209999999999E-2</v>
      </c>
      <c r="N969">
        <v>0</v>
      </c>
      <c r="O969">
        <v>-0.99974540000000001</v>
      </c>
      <c r="P969">
        <v>6.4675339999999996E-3</v>
      </c>
      <c r="Q969">
        <v>4.1292769999999999E-2</v>
      </c>
      <c r="R969">
        <v>-0.99912630000000002</v>
      </c>
      <c r="S969">
        <v>-0.72390750000000004</v>
      </c>
      <c r="T969">
        <v>-0.39115070000000002</v>
      </c>
      <c r="U969">
        <v>-3.0252080000000001</v>
      </c>
      <c r="V969">
        <v>-2.6294319999999999E-2</v>
      </c>
      <c r="W969">
        <v>5.2122630000000003E-2</v>
      </c>
      <c r="X969">
        <v>0.99829449999999997</v>
      </c>
      <c r="Y969">
        <v>0.2116246</v>
      </c>
      <c r="Z969">
        <v>0.12500539999999999</v>
      </c>
      <c r="AA969">
        <v>0.96932379999999996</v>
      </c>
      <c r="AB969">
        <v>30</v>
      </c>
      <c r="AC969">
        <v>-0.17170000000001501</v>
      </c>
      <c r="AD969">
        <v>-9.5527000000000098E-2</v>
      </c>
      <c r="AE969">
        <v>-0.434699999999963</v>
      </c>
      <c r="AF969">
        <v>0.156533177316312</v>
      </c>
      <c r="AG969">
        <v>-9.5527000000000098E-2</v>
      </c>
      <c r="AH969">
        <v>0.42044574257190098</v>
      </c>
      <c r="AI969">
        <v>102.02025314323799</v>
      </c>
      <c r="AJ969">
        <v>69.579554303095804</v>
      </c>
      <c r="AK969">
        <v>0.45869670347254199</v>
      </c>
      <c r="AL969">
        <v>87.012239501228294</v>
      </c>
      <c r="AM969">
        <v>91.508778534558402</v>
      </c>
      <c r="AN969">
        <v>1.00000003427631</v>
      </c>
    </row>
    <row r="970" spans="1:40" x14ac:dyDescent="0.3">
      <c r="A970" t="str">
        <f>"20200111153849536"</f>
        <v>20200111153849536</v>
      </c>
      <c r="B970" t="str">
        <f>"1578728329531527"</f>
        <v>1578728329531527</v>
      </c>
      <c r="C970" t="s">
        <v>40</v>
      </c>
      <c r="D970">
        <v>5.6635679999999997</v>
      </c>
      <c r="E970">
        <v>0.59110269999999898</v>
      </c>
      <c r="F970" t="s">
        <v>41</v>
      </c>
      <c r="G970">
        <v>-192.18639999999999</v>
      </c>
      <c r="H970">
        <v>0.97940419999999995</v>
      </c>
      <c r="I970">
        <v>310.67509999999999</v>
      </c>
      <c r="J970">
        <v>-191.96279999999999</v>
      </c>
      <c r="K970">
        <v>1.1049420000000001</v>
      </c>
      <c r="L970">
        <v>311.35469999999998</v>
      </c>
      <c r="M970">
        <v>-1.9113999999999999E-2</v>
      </c>
      <c r="N970">
        <v>0</v>
      </c>
      <c r="O970">
        <v>-0.99975820000000004</v>
      </c>
      <c r="P970">
        <v>4.3560949999999999E-3</v>
      </c>
      <c r="Q970">
        <v>3.9934650000000002E-2</v>
      </c>
      <c r="R970">
        <v>-0.99919279999999999</v>
      </c>
      <c r="S970">
        <v>-0.72148129999999999</v>
      </c>
      <c r="T970">
        <v>-0.39673639999999999</v>
      </c>
      <c r="U970">
        <v>-3.0237120000000002</v>
      </c>
      <c r="V970">
        <v>-2.3525399999999998E-2</v>
      </c>
      <c r="W970">
        <v>5.0777349999999999E-2</v>
      </c>
      <c r="X970">
        <v>0.99843289999999996</v>
      </c>
      <c r="Y970">
        <v>0.21158370000000001</v>
      </c>
      <c r="Z970">
        <v>0.1268358</v>
      </c>
      <c r="AA970">
        <v>0.96909489999999998</v>
      </c>
      <c r="AB970">
        <v>30</v>
      </c>
      <c r="AC970">
        <v>-0.22360000000000399</v>
      </c>
      <c r="AD970">
        <v>-0.1255378</v>
      </c>
      <c r="AE970">
        <v>-0.67959999999999299</v>
      </c>
      <c r="AF970">
        <v>0.20427884521466999</v>
      </c>
      <c r="AG970">
        <v>-0.1255378</v>
      </c>
      <c r="AH970">
        <v>0.66332643477515096</v>
      </c>
      <c r="AI970">
        <v>100.252372145015</v>
      </c>
      <c r="AJ970">
        <v>72.883194960488098</v>
      </c>
      <c r="AK970">
        <v>0.70533080529818903</v>
      </c>
      <c r="AL970">
        <v>87.089420549211297</v>
      </c>
      <c r="AM970">
        <v>91.349771997195404</v>
      </c>
      <c r="AN970">
        <v>1.0000000197602901</v>
      </c>
    </row>
    <row r="971" spans="1:40" x14ac:dyDescent="0.3">
      <c r="A971" t="str">
        <f>"20200111153849558"</f>
        <v>20200111153849558</v>
      </c>
      <c r="B971" t="str">
        <f>"1578728329552024"</f>
        <v>1578728329552024</v>
      </c>
      <c r="C971" t="s">
        <v>40</v>
      </c>
      <c r="D971">
        <v>5.641788</v>
      </c>
      <c r="E971">
        <v>0.59065429999999997</v>
      </c>
      <c r="F971" t="s">
        <v>41</v>
      </c>
      <c r="G971">
        <v>-192.18969999999999</v>
      </c>
      <c r="H971">
        <v>0.97913340000000004</v>
      </c>
      <c r="I971">
        <v>310.40780000000001</v>
      </c>
      <c r="J971">
        <v>-191.96799999999999</v>
      </c>
      <c r="K971">
        <v>1.104895</v>
      </c>
      <c r="L971">
        <v>311.04160000000002</v>
      </c>
      <c r="M971">
        <v>-1.8414860000000002E-2</v>
      </c>
      <c r="N971">
        <v>0</v>
      </c>
      <c r="O971">
        <v>-0.99977119999999997</v>
      </c>
      <c r="P971">
        <v>1.455355E-3</v>
      </c>
      <c r="Q971">
        <v>3.8539820000000002E-2</v>
      </c>
      <c r="R971">
        <v>-0.99925609999999998</v>
      </c>
      <c r="S971">
        <v>-0.72373959999999904</v>
      </c>
      <c r="T971">
        <v>-0.40147709999999998</v>
      </c>
      <c r="U971">
        <v>-3.0216059999999998</v>
      </c>
      <c r="V971">
        <v>-1.9922160000000001E-2</v>
      </c>
      <c r="W971">
        <v>4.9396269999999999E-2</v>
      </c>
      <c r="X971">
        <v>0.99858060000000004</v>
      </c>
      <c r="Y971">
        <v>0.21305789999999999</v>
      </c>
      <c r="Z971">
        <v>0.12838239999999901</v>
      </c>
      <c r="AA971">
        <v>0.96856810000000004</v>
      </c>
      <c r="AB971">
        <v>30</v>
      </c>
      <c r="AC971">
        <v>-0.22169999999999801</v>
      </c>
      <c r="AD971">
        <v>-0.1257616</v>
      </c>
      <c r="AE971">
        <v>-0.63380000000000702</v>
      </c>
      <c r="AF971">
        <v>0.202873548405995</v>
      </c>
      <c r="AG971">
        <v>-0.1257616</v>
      </c>
      <c r="AH971">
        <v>0.61616036401388896</v>
      </c>
      <c r="AI971">
        <v>100.971669502875</v>
      </c>
      <c r="AJ971">
        <v>71.775639883644899</v>
      </c>
      <c r="AK971">
        <v>0.66077776207975403</v>
      </c>
      <c r="AL971">
        <v>87.168650136416204</v>
      </c>
      <c r="AM971">
        <v>91.142926551562795</v>
      </c>
      <c r="AN971">
        <v>1.00000004932266</v>
      </c>
    </row>
    <row r="972" spans="1:40" x14ac:dyDescent="0.3">
      <c r="A972" t="str">
        <f>"20200111153849582"</f>
        <v>20200111153849582</v>
      </c>
      <c r="B972" t="str">
        <f>"1578728329571543"</f>
        <v>1578728329571543</v>
      </c>
      <c r="C972" t="s">
        <v>40</v>
      </c>
      <c r="D972">
        <v>5.6299519999999896</v>
      </c>
      <c r="E972">
        <v>0.59026009999999995</v>
      </c>
      <c r="F972" t="s">
        <v>41</v>
      </c>
      <c r="G972">
        <v>-192.18639999999999</v>
      </c>
      <c r="H972">
        <v>0.9831839</v>
      </c>
      <c r="I972">
        <v>310.1388</v>
      </c>
      <c r="J972">
        <v>-191.97300000000001</v>
      </c>
      <c r="K972">
        <v>1.1048420000000001</v>
      </c>
      <c r="L972">
        <v>310.7346</v>
      </c>
      <c r="M972">
        <v>-1.7785840000000001E-2</v>
      </c>
      <c r="N972">
        <v>0</v>
      </c>
      <c r="O972">
        <v>-0.99978239999999996</v>
      </c>
      <c r="P972">
        <v>-1.7435249999999999E-3</v>
      </c>
      <c r="Q972">
        <v>3.6479589999999999E-2</v>
      </c>
      <c r="R972">
        <v>-0.99933300000000003</v>
      </c>
      <c r="S972">
        <v>-0.72909550000000001</v>
      </c>
      <c r="T972">
        <v>-0.40718500000000002</v>
      </c>
      <c r="U972">
        <v>-3.019012</v>
      </c>
      <c r="V972">
        <v>-1.6089099999999999E-2</v>
      </c>
      <c r="W972">
        <v>4.7349210000000003E-2</v>
      </c>
      <c r="X972">
        <v>0.99874879999999999</v>
      </c>
      <c r="Y972">
        <v>0.21542800000000001</v>
      </c>
      <c r="Z972">
        <v>0.1302249</v>
      </c>
      <c r="AA972">
        <v>0.96779760000000004</v>
      </c>
      <c r="AB972">
        <v>30</v>
      </c>
      <c r="AC972">
        <v>-0.213400000000007</v>
      </c>
      <c r="AD972">
        <v>-0.12165810000000001</v>
      </c>
      <c r="AE972">
        <v>-0.595799999999997</v>
      </c>
      <c r="AF972">
        <v>0.195542730554747</v>
      </c>
      <c r="AG972">
        <v>-0.12165810000000001</v>
      </c>
      <c r="AH972">
        <v>0.57813702098544495</v>
      </c>
      <c r="AI972">
        <v>101.273452272737</v>
      </c>
      <c r="AJ972">
        <v>71.312969958576502</v>
      </c>
      <c r="AK972">
        <v>0.6223183010344</v>
      </c>
      <c r="AL972">
        <v>87.286075341733095</v>
      </c>
      <c r="AM972">
        <v>90.922912545311505</v>
      </c>
      <c r="AN972">
        <v>0.99999998616393704</v>
      </c>
    </row>
    <row r="973" spans="1:40" x14ac:dyDescent="0.3">
      <c r="A973" t="str">
        <f>"20200111153849603"</f>
        <v>20200111153849603</v>
      </c>
      <c r="B973" t="str">
        <f>"1578728329591063"</f>
        <v>1578728329591063</v>
      </c>
      <c r="C973" t="s">
        <v>40</v>
      </c>
      <c r="D973">
        <v>5.6357900000000001</v>
      </c>
      <c r="E973">
        <v>0.59001599999999998</v>
      </c>
      <c r="F973" t="s">
        <v>41</v>
      </c>
      <c r="G973">
        <v>-192.1842</v>
      </c>
      <c r="H973">
        <v>0.9857378</v>
      </c>
      <c r="I973">
        <v>309.86950000000002</v>
      </c>
      <c r="J973">
        <v>-191.9777</v>
      </c>
      <c r="K973">
        <v>1.104787</v>
      </c>
      <c r="L973">
        <v>310.43950000000001</v>
      </c>
      <c r="M973">
        <v>-1.7251249999999999E-2</v>
      </c>
      <c r="N973">
        <v>0</v>
      </c>
      <c r="O973">
        <v>-0.99979189999999996</v>
      </c>
      <c r="P973">
        <v>-5.572474E-3</v>
      </c>
      <c r="Q973">
        <v>3.3367180000000003E-2</v>
      </c>
      <c r="R973">
        <v>-0.99942759999999997</v>
      </c>
      <c r="S973">
        <v>-0.73561100000000001</v>
      </c>
      <c r="T973">
        <v>-0.41536869999999998</v>
      </c>
      <c r="U973">
        <v>-3.0158689999999999</v>
      </c>
      <c r="V973">
        <v>-1.171969E-2</v>
      </c>
      <c r="W973">
        <v>4.4250169999999998E-2</v>
      </c>
      <c r="X973">
        <v>0.9989517</v>
      </c>
      <c r="Y973">
        <v>0.21807099999999999</v>
      </c>
      <c r="Z973">
        <v>0.13285710000000001</v>
      </c>
      <c r="AA973">
        <v>0.96684749999999997</v>
      </c>
      <c r="AB973">
        <v>30</v>
      </c>
      <c r="AC973">
        <v>-0.20650000000000501</v>
      </c>
      <c r="AD973">
        <v>-0.11904919999999999</v>
      </c>
      <c r="AE973">
        <v>-0.56999999999999296</v>
      </c>
      <c r="AF973">
        <v>0.18933458361195901</v>
      </c>
      <c r="AG973">
        <v>-0.11904919999999999</v>
      </c>
      <c r="AH973">
        <v>0.55218507873511602</v>
      </c>
      <c r="AI973">
        <v>101.526890530665</v>
      </c>
      <c r="AJ973">
        <v>71.074057103078999</v>
      </c>
      <c r="AK973">
        <v>0.59575889229608703</v>
      </c>
      <c r="AL973">
        <v>87.463823793179699</v>
      </c>
      <c r="AM973">
        <v>90.672162596990105</v>
      </c>
      <c r="AN973">
        <v>0.99999996380580602</v>
      </c>
    </row>
    <row r="974" spans="1:40" x14ac:dyDescent="0.3">
      <c r="A974" t="str">
        <f>"20200111153849626"</f>
        <v>20200111153849626</v>
      </c>
      <c r="B974" t="str">
        <f>"1578728329621319"</f>
        <v>1578728329621319</v>
      </c>
      <c r="C974" t="s">
        <v>40</v>
      </c>
      <c r="D974">
        <v>5.6622940000000002</v>
      </c>
      <c r="E974">
        <v>0.58983839999999998</v>
      </c>
      <c r="F974" t="s">
        <v>41</v>
      </c>
      <c r="G974">
        <v>-192.18549999999999</v>
      </c>
      <c r="H974">
        <v>0.9862881</v>
      </c>
      <c r="I974">
        <v>309.601</v>
      </c>
      <c r="J974">
        <v>-191.98230000000001</v>
      </c>
      <c r="K974">
        <v>1.104722</v>
      </c>
      <c r="L974">
        <v>310.14330000000001</v>
      </c>
      <c r="M974">
        <v>-1.680274E-2</v>
      </c>
      <c r="N974">
        <v>0</v>
      </c>
      <c r="O974">
        <v>-0.99979949999999995</v>
      </c>
      <c r="P974">
        <v>-1.040894E-2</v>
      </c>
      <c r="Q974">
        <v>3.11845E-2</v>
      </c>
      <c r="R974">
        <v>-0.9994596</v>
      </c>
      <c r="S974">
        <v>-0.74546809999999997</v>
      </c>
      <c r="T974">
        <v>-0.42576310000000001</v>
      </c>
      <c r="U974">
        <v>-3.0118100000000001</v>
      </c>
      <c r="V974">
        <v>-6.4275699999999996E-3</v>
      </c>
      <c r="W974">
        <v>4.2079239999999997E-2</v>
      </c>
      <c r="X974">
        <v>0.99909360000000003</v>
      </c>
      <c r="Y974">
        <v>0.2216823</v>
      </c>
      <c r="Z974">
        <v>0.13618820000000001</v>
      </c>
      <c r="AA974">
        <v>0.96556189999999997</v>
      </c>
      <c r="AB974">
        <v>30</v>
      </c>
      <c r="AC974">
        <v>-0.20319999999998101</v>
      </c>
      <c r="AD974">
        <v>-0.11843389999999999</v>
      </c>
      <c r="AE974">
        <v>-0.542300000000011</v>
      </c>
      <c r="AF974">
        <v>0.18626833668284201</v>
      </c>
      <c r="AG974">
        <v>-0.11843389999999999</v>
      </c>
      <c r="AH974">
        <v>0.52373381461327295</v>
      </c>
      <c r="AI974">
        <v>102.027589432222</v>
      </c>
      <c r="AJ974">
        <v>70.421836748285202</v>
      </c>
      <c r="AK974">
        <v>0.56834812438255899</v>
      </c>
      <c r="AL974">
        <v>87.588325072304698</v>
      </c>
      <c r="AM974">
        <v>90.368601653420498</v>
      </c>
      <c r="AN974">
        <v>0.99999999882802104</v>
      </c>
    </row>
    <row r="975" spans="1:40" x14ac:dyDescent="0.3">
      <c r="A975" t="str">
        <f>"20200111153849648"</f>
        <v>20200111153849648</v>
      </c>
      <c r="B975" t="str">
        <f>"1578728329641816"</f>
        <v>1578728329641816</v>
      </c>
      <c r="C975" t="s">
        <v>40</v>
      </c>
      <c r="D975">
        <v>5.6906910000000002</v>
      </c>
      <c r="E975">
        <v>0.58963500000000002</v>
      </c>
      <c r="F975" t="s">
        <v>41</v>
      </c>
      <c r="G975">
        <v>-192.18690000000001</v>
      </c>
      <c r="H975">
        <v>0.98768650000000002</v>
      </c>
      <c r="I975">
        <v>309.33190000000002</v>
      </c>
      <c r="J975">
        <v>-191.98689999999999</v>
      </c>
      <c r="K975">
        <v>1.104638</v>
      </c>
      <c r="L975">
        <v>309.84840000000003</v>
      </c>
      <c r="M975">
        <v>-1.6463350000000002E-2</v>
      </c>
      <c r="N975">
        <v>0</v>
      </c>
      <c r="O975">
        <v>-0.9998049</v>
      </c>
      <c r="P975">
        <v>-1.70019E-2</v>
      </c>
      <c r="Q975">
        <v>3.022934E-2</v>
      </c>
      <c r="R975">
        <v>-0.99939840000000002</v>
      </c>
      <c r="S975">
        <v>-0.75764469999999995</v>
      </c>
      <c r="T975">
        <v>-0.43394919999999998</v>
      </c>
      <c r="U975">
        <v>-3.0072329999999998</v>
      </c>
      <c r="V975">
        <v>5.1349589999999997E-4</v>
      </c>
      <c r="W975">
        <v>4.1134980000000002E-2</v>
      </c>
      <c r="X975">
        <v>0.99915350000000003</v>
      </c>
      <c r="Y975">
        <v>0.22594420000000001</v>
      </c>
      <c r="Z975">
        <v>0.138823</v>
      </c>
      <c r="AA975">
        <v>0.96419779999999999</v>
      </c>
      <c r="AB975">
        <v>30</v>
      </c>
      <c r="AC975">
        <v>-0.200000000000017</v>
      </c>
      <c r="AD975">
        <v>-0.1169515</v>
      </c>
      <c r="AE975">
        <v>-0.51650000000000695</v>
      </c>
      <c r="AF975">
        <v>0.183296655557844</v>
      </c>
      <c r="AG975">
        <v>-0.1169515</v>
      </c>
      <c r="AH975">
        <v>0.49753970399053499</v>
      </c>
      <c r="AI975">
        <v>102.438437783648</v>
      </c>
      <c r="AJ975">
        <v>69.775895553725903</v>
      </c>
      <c r="AK975">
        <v>0.54297428515347801</v>
      </c>
      <c r="AL975">
        <v>87.642474159099905</v>
      </c>
      <c r="AM975">
        <v>89.970553928623602</v>
      </c>
      <c r="AN975">
        <v>1.0000000334099399</v>
      </c>
    </row>
    <row r="976" spans="1:40" x14ac:dyDescent="0.3">
      <c r="A976" t="str">
        <f>"20200111153849671"</f>
        <v>20200111153849671</v>
      </c>
      <c r="B976" t="str">
        <f>"1578728329661335"</f>
        <v>1578728329661335</v>
      </c>
      <c r="C976" t="s">
        <v>40</v>
      </c>
      <c r="D976">
        <v>5.7135889999999998</v>
      </c>
      <c r="E976">
        <v>0.58943999999999996</v>
      </c>
      <c r="F976" t="s">
        <v>41</v>
      </c>
      <c r="G976">
        <v>-192.18979999999999</v>
      </c>
      <c r="H976">
        <v>0.98968060000000002</v>
      </c>
      <c r="I976">
        <v>309.06229999999999</v>
      </c>
      <c r="J976">
        <v>-191.99170000000001</v>
      </c>
      <c r="K976">
        <v>1.104528</v>
      </c>
      <c r="L976">
        <v>309.53719999999998</v>
      </c>
      <c r="M976">
        <v>-1.622641E-2</v>
      </c>
      <c r="N976">
        <v>0</v>
      </c>
      <c r="O976">
        <v>-0.99980899999999995</v>
      </c>
      <c r="P976">
        <v>-2.3512959999999999E-2</v>
      </c>
      <c r="Q976">
        <v>2.9166589999999999E-2</v>
      </c>
      <c r="R976">
        <v>-0.99929820000000003</v>
      </c>
      <c r="S976">
        <v>-0.77386469999999996</v>
      </c>
      <c r="T976">
        <v>-0.4392489</v>
      </c>
      <c r="U976">
        <v>-3.0018919999999998</v>
      </c>
      <c r="V976">
        <v>7.2720669999999897E-3</v>
      </c>
      <c r="W976">
        <v>4.0079169999999997E-2</v>
      </c>
      <c r="X976">
        <v>0.99917009999999995</v>
      </c>
      <c r="Y976">
        <v>0.23140869999999999</v>
      </c>
      <c r="Z976">
        <v>0.14054040000000001</v>
      </c>
      <c r="AA976">
        <v>0.96265179999999995</v>
      </c>
      <c r="AB976">
        <v>30</v>
      </c>
      <c r="AC976">
        <v>-0.19809999999998201</v>
      </c>
      <c r="AD976">
        <v>-0.1148474</v>
      </c>
      <c r="AE976">
        <v>-0.474899999999991</v>
      </c>
      <c r="AF976">
        <v>0.18133421657020099</v>
      </c>
      <c r="AG976">
        <v>-0.1148474</v>
      </c>
      <c r="AH976">
        <v>0.455367584001176</v>
      </c>
      <c r="AI976">
        <v>103.187259587871</v>
      </c>
      <c r="AJ976">
        <v>68.286809563572106</v>
      </c>
      <c r="AK976">
        <v>0.503419963792614</v>
      </c>
      <c r="AL976">
        <v>87.703017604924298</v>
      </c>
      <c r="AM976">
        <v>89.583002543061994</v>
      </c>
      <c r="AN976">
        <v>1.00000005578017</v>
      </c>
    </row>
    <row r="977" spans="1:40" x14ac:dyDescent="0.3">
      <c r="A977" t="str">
        <f>"20200111153849694"</f>
        <v>20200111153849694</v>
      </c>
      <c r="B977" t="str">
        <f>"1578728329681831"</f>
        <v>1578728329681831</v>
      </c>
      <c r="C977" t="s">
        <v>40</v>
      </c>
      <c r="D977">
        <v>5.7165470000000003</v>
      </c>
      <c r="E977">
        <v>0.5892908</v>
      </c>
      <c r="F977" t="s">
        <v>41</v>
      </c>
      <c r="G977">
        <v>-192.18860000000001</v>
      </c>
      <c r="H977">
        <v>0.99391770000000002</v>
      </c>
      <c r="I977">
        <v>308.79149999999998</v>
      </c>
      <c r="J977">
        <v>-191.99639999999999</v>
      </c>
      <c r="K977">
        <v>1.1044069999999999</v>
      </c>
      <c r="L977">
        <v>309.23579999999998</v>
      </c>
      <c r="M977">
        <v>-1.6134200000000001E-2</v>
      </c>
      <c r="N977">
        <v>0</v>
      </c>
      <c r="O977">
        <v>-0.99981030000000004</v>
      </c>
      <c r="P977">
        <v>-3.0590510000000001E-2</v>
      </c>
      <c r="Q977">
        <v>2.7153199999999999E-2</v>
      </c>
      <c r="R977">
        <v>-0.99916320000000003</v>
      </c>
      <c r="S977">
        <v>-0.79093930000000001</v>
      </c>
      <c r="T977">
        <v>-0.44452580000000003</v>
      </c>
      <c r="U977">
        <v>-2.9964599999999999</v>
      </c>
      <c r="V977">
        <v>1.4453550000000001E-2</v>
      </c>
      <c r="W977">
        <v>3.8069409999999998E-2</v>
      </c>
      <c r="X977">
        <v>0.99917049999999996</v>
      </c>
      <c r="Y977">
        <v>0.23698959999999999</v>
      </c>
      <c r="Z977">
        <v>0.14224300000000001</v>
      </c>
      <c r="AA977">
        <v>0.96104259999999997</v>
      </c>
      <c r="AB977">
        <v>30</v>
      </c>
      <c r="AC977">
        <v>-0.192200000000013</v>
      </c>
      <c r="AD977">
        <v>-0.110489299999999</v>
      </c>
      <c r="AE977">
        <v>-0.44429999999999797</v>
      </c>
      <c r="AF977">
        <v>0.17584562270894499</v>
      </c>
      <c r="AG977">
        <v>-0.110489299999999</v>
      </c>
      <c r="AH977">
        <v>0.42519331121522003</v>
      </c>
      <c r="AI977">
        <v>103.50283737347</v>
      </c>
      <c r="AJ977">
        <v>67.531661819643304</v>
      </c>
      <c r="AK977">
        <v>0.473200718873661</v>
      </c>
      <c r="AL977">
        <v>87.818256130531196</v>
      </c>
      <c r="AM977">
        <v>89.171242887212898</v>
      </c>
      <c r="AN977">
        <v>0.99999993657779795</v>
      </c>
    </row>
    <row r="978" spans="1:40" x14ac:dyDescent="0.3">
      <c r="A978" t="str">
        <f>"20200111153849719"</f>
        <v>20200111153849719</v>
      </c>
      <c r="B978" t="str">
        <f>"1578728329711111"</f>
        <v>1578728329711111</v>
      </c>
      <c r="C978" t="s">
        <v>40</v>
      </c>
      <c r="D978">
        <v>5.7555480000000001</v>
      </c>
      <c r="E978">
        <v>0.58891139999999997</v>
      </c>
      <c r="F978" t="s">
        <v>41</v>
      </c>
      <c r="G978">
        <v>-192.19030000000001</v>
      </c>
      <c r="H978">
        <v>0.99676160000000003</v>
      </c>
      <c r="I978">
        <v>308.52109999999999</v>
      </c>
      <c r="J978">
        <v>-192.00200000000001</v>
      </c>
      <c r="K978">
        <v>1.104244</v>
      </c>
      <c r="L978">
        <v>308.89460000000003</v>
      </c>
      <c r="M978">
        <v>-1.6263420000000001E-2</v>
      </c>
      <c r="N978">
        <v>0</v>
      </c>
      <c r="O978">
        <v>-0.99980809999999998</v>
      </c>
      <c r="P978">
        <v>-3.881283E-2</v>
      </c>
      <c r="Q978">
        <v>2.5313120000000001E-2</v>
      </c>
      <c r="R978">
        <v>-0.99892570000000003</v>
      </c>
      <c r="S978">
        <v>-0.8099518</v>
      </c>
      <c r="T978">
        <v>-0.4504898</v>
      </c>
      <c r="U978">
        <v>-2.9899900000000001</v>
      </c>
      <c r="V978">
        <v>2.256263E-2</v>
      </c>
      <c r="W978">
        <v>3.6225800000000002E-2</v>
      </c>
      <c r="X978">
        <v>0.99908889999999995</v>
      </c>
      <c r="Y978">
        <v>0.24300150000000001</v>
      </c>
      <c r="Z978">
        <v>0.14418249999999999</v>
      </c>
      <c r="AA978">
        <v>0.95925059999999995</v>
      </c>
      <c r="AB978">
        <v>30</v>
      </c>
      <c r="AC978">
        <v>-0.188299999999998</v>
      </c>
      <c r="AD978">
        <v>-0.10748239999999901</v>
      </c>
      <c r="AE978">
        <v>-0.37350000000003503</v>
      </c>
      <c r="AF978">
        <v>0.170914915067644</v>
      </c>
      <c r="AG978">
        <v>-0.10748239999999901</v>
      </c>
      <c r="AH978">
        <v>0.35319208025746501</v>
      </c>
      <c r="AI978">
        <v>105.31919472085001</v>
      </c>
      <c r="AJ978">
        <v>64.176967821628097</v>
      </c>
      <c r="AK978">
        <v>0.406827998125664</v>
      </c>
      <c r="AL978">
        <v>87.923960325501696</v>
      </c>
      <c r="AM978">
        <v>88.7062975336394</v>
      </c>
      <c r="AN978">
        <v>1.0000000054806799</v>
      </c>
    </row>
    <row r="979" spans="1:40" x14ac:dyDescent="0.3">
      <c r="A979" t="str">
        <f>"20200111153849739"</f>
        <v>20200111153849739</v>
      </c>
      <c r="B979" t="str">
        <f>"1578728329731607"</f>
        <v>1578728329731607</v>
      </c>
      <c r="C979" t="s">
        <v>40</v>
      </c>
      <c r="D979">
        <v>5.8037039999999998</v>
      </c>
      <c r="E979">
        <v>0.58885659999999995</v>
      </c>
      <c r="F979" t="s">
        <v>42</v>
      </c>
      <c r="G979">
        <v>-194.00219999999999</v>
      </c>
      <c r="H979" s="1">
        <v>-1.9730220000000002E-6</v>
      </c>
      <c r="I979">
        <v>301.70600000000002</v>
      </c>
      <c r="J979">
        <v>-192.0067</v>
      </c>
      <c r="K979">
        <v>1.1040719999999999</v>
      </c>
      <c r="L979">
        <v>308.62049999999999</v>
      </c>
      <c r="M979">
        <v>-1.6556319999999999E-2</v>
      </c>
      <c r="N979">
        <v>0</v>
      </c>
      <c r="O979">
        <v>-0.99980340000000001</v>
      </c>
      <c r="P979">
        <v>-4.7238080000000002E-2</v>
      </c>
      <c r="Q979">
        <v>2.303856E-2</v>
      </c>
      <c r="R979">
        <v>-0.99861809999999995</v>
      </c>
      <c r="S979">
        <v>-0.82991029999999999</v>
      </c>
      <c r="T979">
        <v>-0.45815600000000001</v>
      </c>
      <c r="U979">
        <v>-2.9825740000000001</v>
      </c>
      <c r="V979">
        <v>3.0710330000000001E-2</v>
      </c>
      <c r="W979">
        <v>3.3941730000000003E-2</v>
      </c>
      <c r="X979">
        <v>0.9989519</v>
      </c>
      <c r="Y979">
        <v>0.24918370000000001</v>
      </c>
      <c r="Z979">
        <v>0.14668310000000001</v>
      </c>
      <c r="AA979">
        <v>0.95728340000000001</v>
      </c>
      <c r="AB979">
        <v>30</v>
      </c>
      <c r="AC979">
        <v>-1.9954999999999901</v>
      </c>
      <c r="AD979">
        <v>-1.1040739730219999</v>
      </c>
      <c r="AE979">
        <v>-6.9145000000000296</v>
      </c>
      <c r="AF979">
        <v>1.8374938838021599</v>
      </c>
      <c r="AG979">
        <v>-1.1040739730219999</v>
      </c>
      <c r="AH979">
        <v>6.78685742538197</v>
      </c>
      <c r="AI979">
        <v>98.923994439370105</v>
      </c>
      <c r="AJ979">
        <v>74.850756094329199</v>
      </c>
      <c r="AK979">
        <v>7.11735883761507</v>
      </c>
      <c r="AL979">
        <v>88.054908590971294</v>
      </c>
      <c r="AM979">
        <v>88.239136154564505</v>
      </c>
      <c r="AN979">
        <v>1.00000003195885</v>
      </c>
    </row>
    <row r="980" spans="1:40" x14ac:dyDescent="0.3">
      <c r="A980" t="str">
        <f>"20200111153849760"</f>
        <v>20200111153849760</v>
      </c>
      <c r="B980" t="str">
        <f>"1578728329752103"</f>
        <v>1578728329752103</v>
      </c>
      <c r="C980" t="s">
        <v>40</v>
      </c>
      <c r="D980">
        <v>5.7883760000000004</v>
      </c>
      <c r="E980">
        <v>0.61231480000000005</v>
      </c>
      <c r="F980" t="s">
        <v>42</v>
      </c>
      <c r="G980">
        <v>-194.02250000000001</v>
      </c>
      <c r="H980" s="1">
        <v>-1.931767E-6</v>
      </c>
      <c r="I980">
        <v>301.59730000000002</v>
      </c>
      <c r="J980">
        <v>-192.012</v>
      </c>
      <c r="K980">
        <v>1.10389</v>
      </c>
      <c r="L980">
        <v>308.32729999999998</v>
      </c>
      <c r="M980">
        <v>-1.7047630000000001E-2</v>
      </c>
      <c r="N980">
        <v>0</v>
      </c>
      <c r="O980">
        <v>-0.9997952</v>
      </c>
      <c r="P980">
        <v>-5.5753490000000003E-2</v>
      </c>
      <c r="Q980">
        <v>1.9535150000000001E-2</v>
      </c>
      <c r="R980">
        <v>-0.99825359999999996</v>
      </c>
      <c r="S980">
        <v>-0.85374450000000002</v>
      </c>
      <c r="T980">
        <v>-0.46760269999999998</v>
      </c>
      <c r="U980">
        <v>-2.9745180000000002</v>
      </c>
      <c r="V980">
        <v>3.8749720000000001E-2</v>
      </c>
      <c r="W980">
        <v>3.0422109999999999E-2</v>
      </c>
      <c r="X980">
        <v>0.9987857</v>
      </c>
      <c r="Y980">
        <v>0.25634689999999999</v>
      </c>
      <c r="Z980">
        <v>0.14971870000000001</v>
      </c>
      <c r="AA980">
        <v>0.95491919999999997</v>
      </c>
      <c r="AB980">
        <v>30</v>
      </c>
      <c r="AC980">
        <v>-2.0105</v>
      </c>
      <c r="AD980">
        <v>-1.103891931767</v>
      </c>
      <c r="AE980">
        <v>-6.7299999999999596</v>
      </c>
      <c r="AF980">
        <v>1.8497807398331001</v>
      </c>
      <c r="AG980">
        <v>-1.103891931767</v>
      </c>
      <c r="AH980">
        <v>6.6002711187954999</v>
      </c>
      <c r="AI980">
        <v>99.148615084658701</v>
      </c>
      <c r="AJ980">
        <v>74.344031080377704</v>
      </c>
      <c r="AK980">
        <v>6.9428988919675199</v>
      </c>
      <c r="AL980">
        <v>88.2566724432494</v>
      </c>
      <c r="AM980">
        <v>87.778219615501996</v>
      </c>
      <c r="AN980">
        <v>0.99999996005070901</v>
      </c>
    </row>
    <row r="981" spans="1:40" x14ac:dyDescent="0.3">
      <c r="A981" t="str">
        <f>"20200111153849783"</f>
        <v>20200111153849783</v>
      </c>
      <c r="B981" t="str">
        <f>"1578728329771631"</f>
        <v>1578728329771631</v>
      </c>
      <c r="C981" t="s">
        <v>40</v>
      </c>
      <c r="D981">
        <v>5.7489520000000001</v>
      </c>
      <c r="E981">
        <v>0.61161200000000004</v>
      </c>
      <c r="F981" t="s">
        <v>42</v>
      </c>
      <c r="G981">
        <v>-194.27260000000001</v>
      </c>
      <c r="H981" s="1">
        <v>-2.1976380000000001E-6</v>
      </c>
      <c r="I981">
        <v>302.06189999999998</v>
      </c>
      <c r="J981">
        <v>-192.01769999999999</v>
      </c>
      <c r="K981">
        <v>1.103701</v>
      </c>
      <c r="L981">
        <v>308.03039999999999</v>
      </c>
      <c r="M981">
        <v>-1.7757999999999999E-2</v>
      </c>
      <c r="N981">
        <v>0</v>
      </c>
      <c r="O981">
        <v>-0.99978290000000003</v>
      </c>
      <c r="P981">
        <v>-6.4444039999999994E-2</v>
      </c>
      <c r="Q981">
        <v>1.556801E-2</v>
      </c>
      <c r="R981">
        <v>-0.99780020000000003</v>
      </c>
      <c r="S981">
        <v>-1.0665279999999999</v>
      </c>
      <c r="T981">
        <v>-0.52078769999999996</v>
      </c>
      <c r="U981">
        <v>-2.9558719999999998</v>
      </c>
      <c r="V981">
        <v>4.6744889999999997E-2</v>
      </c>
      <c r="W981">
        <v>2.6430220000000001E-2</v>
      </c>
      <c r="X981">
        <v>0.99855720000000003</v>
      </c>
      <c r="Y981">
        <v>0.31805409999999901</v>
      </c>
      <c r="Z981">
        <v>0.1639514</v>
      </c>
      <c r="AA981">
        <v>0.93378879999999997</v>
      </c>
      <c r="AB981">
        <v>30</v>
      </c>
      <c r="AC981">
        <v>-2.2549000000000201</v>
      </c>
      <c r="AD981">
        <v>-1.1037031976379901</v>
      </c>
      <c r="AE981">
        <v>-5.9684999999999997</v>
      </c>
      <c r="AF981">
        <v>2.0861229192648101</v>
      </c>
      <c r="AG981">
        <v>-1.1037031976379901</v>
      </c>
      <c r="AH981">
        <v>5.8330514566173601</v>
      </c>
      <c r="AI981">
        <v>100.102052990063</v>
      </c>
      <c r="AJ981">
        <v>70.321001562189295</v>
      </c>
      <c r="AK981">
        <v>6.2924207486709101</v>
      </c>
      <c r="AL981">
        <v>88.485483671383506</v>
      </c>
      <c r="AM981">
        <v>87.319801932234199</v>
      </c>
      <c r="AN981">
        <v>1.00000006147109</v>
      </c>
    </row>
    <row r="982" spans="1:40" x14ac:dyDescent="0.3">
      <c r="A982" t="str">
        <f>"20200111153849805"</f>
        <v>20200111153849805</v>
      </c>
      <c r="B982" t="str">
        <f>"1578728329801879"</f>
        <v>1578728329801879</v>
      </c>
      <c r="C982" t="s">
        <v>40</v>
      </c>
      <c r="D982">
        <v>5.854692</v>
      </c>
      <c r="E982">
        <v>0.60982530000000001</v>
      </c>
      <c r="F982" t="s">
        <v>42</v>
      </c>
      <c r="G982">
        <v>-194.2705</v>
      </c>
      <c r="H982" s="1">
        <v>-2.1397879999999999E-6</v>
      </c>
      <c r="I982">
        <v>301.92829999999998</v>
      </c>
      <c r="J982">
        <v>-192.0239</v>
      </c>
      <c r="K982">
        <v>1.103497</v>
      </c>
      <c r="L982">
        <v>307.73230000000001</v>
      </c>
      <c r="M982">
        <v>-1.8709750000000001E-2</v>
      </c>
      <c r="N982">
        <v>0</v>
      </c>
      <c r="O982">
        <v>-0.99976509999999996</v>
      </c>
      <c r="P982">
        <v>-7.3391410000000004E-2</v>
      </c>
      <c r="Q982">
        <v>1.126723E-2</v>
      </c>
      <c r="R982">
        <v>-0.9972394</v>
      </c>
      <c r="S982">
        <v>-1.0871580000000001</v>
      </c>
      <c r="T982">
        <v>-0.53262609999999999</v>
      </c>
      <c r="U982">
        <v>-2.9447329999999998</v>
      </c>
      <c r="V982">
        <v>5.4755239999999997E-2</v>
      </c>
      <c r="W982">
        <v>2.2096089999999999E-2</v>
      </c>
      <c r="X982">
        <v>0.99825529999999996</v>
      </c>
      <c r="Y982">
        <v>0.32382129999999998</v>
      </c>
      <c r="Z982">
        <v>0.16778470000000001</v>
      </c>
      <c r="AA982">
        <v>0.93112189999999995</v>
      </c>
      <c r="AB982">
        <v>30</v>
      </c>
      <c r="AC982">
        <v>-2.2465999999999999</v>
      </c>
      <c r="AD982">
        <v>-1.1034991397879901</v>
      </c>
      <c r="AE982">
        <v>-5.8040000000000296</v>
      </c>
      <c r="AF982">
        <v>2.0724548410598098</v>
      </c>
      <c r="AG982">
        <v>-1.1034991397879901</v>
      </c>
      <c r="AH982">
        <v>5.66686450848416</v>
      </c>
      <c r="AI982">
        <v>100.36383968996699</v>
      </c>
      <c r="AJ982">
        <v>69.911798237952198</v>
      </c>
      <c r="AK982">
        <v>6.1340144096066904</v>
      </c>
      <c r="AL982">
        <v>88.733884268603802</v>
      </c>
      <c r="AM982">
        <v>86.860418811295304</v>
      </c>
      <c r="AN982">
        <v>1.0000000087394101</v>
      </c>
    </row>
    <row r="983" spans="1:40" x14ac:dyDescent="0.3">
      <c r="A983" t="str">
        <f>"20200111153849828"</f>
        <v>20200111153849828</v>
      </c>
      <c r="B983" t="str">
        <f>"1578728329821399"</f>
        <v>1578728329821399</v>
      </c>
      <c r="C983" t="s">
        <v>40</v>
      </c>
      <c r="D983">
        <v>5.7863360000000004</v>
      </c>
      <c r="E983">
        <v>0.60898109999999905</v>
      </c>
      <c r="F983" t="s">
        <v>42</v>
      </c>
      <c r="G983">
        <v>-194.28720000000001</v>
      </c>
      <c r="H983" s="1">
        <v>-2.0442790000000001E-6</v>
      </c>
      <c r="I983">
        <v>301.69529999999997</v>
      </c>
      <c r="J983">
        <v>-192.03100000000001</v>
      </c>
      <c r="K983">
        <v>1.103281</v>
      </c>
      <c r="L983">
        <v>307.41669999999999</v>
      </c>
      <c r="M983">
        <v>-1.9985739999999998E-2</v>
      </c>
      <c r="N983">
        <v>0</v>
      </c>
      <c r="O983">
        <v>-0.99974050000000003</v>
      </c>
      <c r="P983">
        <v>-8.1613599999999994E-2</v>
      </c>
      <c r="Q983">
        <v>7.5688730000000003E-3</v>
      </c>
      <c r="R983">
        <v>-0.99663559999999995</v>
      </c>
      <c r="S983">
        <v>-1.099777</v>
      </c>
      <c r="T983">
        <v>-0.53618940000000004</v>
      </c>
      <c r="U983">
        <v>-2.9333800000000001</v>
      </c>
      <c r="V983">
        <v>6.1716859999999998E-2</v>
      </c>
      <c r="W983">
        <v>1.8356069999999999E-2</v>
      </c>
      <c r="X983">
        <v>0.9979249</v>
      </c>
      <c r="Y983">
        <v>0.327214</v>
      </c>
      <c r="Z983">
        <v>0.16924069999999999</v>
      </c>
      <c r="AA983">
        <v>0.92967120000000003</v>
      </c>
      <c r="AB983">
        <v>30</v>
      </c>
      <c r="AC983">
        <v>-2.25620000000003</v>
      </c>
      <c r="AD983">
        <v>-1.103283044279</v>
      </c>
      <c r="AE983">
        <v>-5.7214000000000098</v>
      </c>
      <c r="AF983">
        <v>2.0746327532217399</v>
      </c>
      <c r="AG983">
        <v>-1.103283044279</v>
      </c>
      <c r="AH983">
        <v>5.5856025606034096</v>
      </c>
      <c r="AI983">
        <v>100.490244734314</v>
      </c>
      <c r="AJ983">
        <v>69.623741702421796</v>
      </c>
      <c r="AK983">
        <v>6.05972693291978</v>
      </c>
      <c r="AL983">
        <v>88.948215600928705</v>
      </c>
      <c r="AM983">
        <v>86.461038725476598</v>
      </c>
      <c r="AN983">
        <v>1.0000000110770499</v>
      </c>
    </row>
    <row r="984" spans="1:40" x14ac:dyDescent="0.3">
      <c r="A984" t="str">
        <f>"20200111153849850"</f>
        <v>20200111153849850</v>
      </c>
      <c r="B984" t="str">
        <f>"1578728329841895"</f>
        <v>1578728329841895</v>
      </c>
      <c r="C984" t="s">
        <v>40</v>
      </c>
      <c r="D984">
        <v>5.863486</v>
      </c>
      <c r="E984">
        <v>0.6085488</v>
      </c>
      <c r="F984" t="s">
        <v>42</v>
      </c>
      <c r="G984">
        <v>-194.32</v>
      </c>
      <c r="H984" s="1">
        <v>-1.9404469999999999E-6</v>
      </c>
      <c r="I984">
        <v>301.43299999999999</v>
      </c>
      <c r="J984">
        <v>-192.0384</v>
      </c>
      <c r="K984">
        <v>1.103081</v>
      </c>
      <c r="L984">
        <v>307.11739999999998</v>
      </c>
      <c r="M984">
        <v>-2.1448060000000001E-2</v>
      </c>
      <c r="N984">
        <v>0</v>
      </c>
      <c r="O984">
        <v>-0.9997104</v>
      </c>
      <c r="P984">
        <v>-8.9177220000000001E-2</v>
      </c>
      <c r="Q984">
        <v>6.0598930000000002E-3</v>
      </c>
      <c r="R984">
        <v>-0.99599789999999999</v>
      </c>
      <c r="S984">
        <v>-1.1180110000000001</v>
      </c>
      <c r="T984">
        <v>-0.53888190000000002</v>
      </c>
      <c r="U984">
        <v>-2.9226679999999998</v>
      </c>
      <c r="V984">
        <v>6.7837529999999993E-2</v>
      </c>
      <c r="W984">
        <v>1.6801819999999999E-2</v>
      </c>
      <c r="X984">
        <v>0.99755490000000002</v>
      </c>
      <c r="Y984">
        <v>0.33195540000000001</v>
      </c>
      <c r="Z984">
        <v>0.1703006</v>
      </c>
      <c r="AA984">
        <v>0.92779489999999998</v>
      </c>
      <c r="AB984">
        <v>30</v>
      </c>
      <c r="AC984">
        <v>-2.2815999999999899</v>
      </c>
      <c r="AD984">
        <v>-1.1030829404469999</v>
      </c>
      <c r="AE984">
        <v>-5.6843999999999797</v>
      </c>
      <c r="AF984">
        <v>2.0913224322855499</v>
      </c>
      <c r="AG984">
        <v>-1.1030829404469999</v>
      </c>
      <c r="AH984">
        <v>5.5519688571476902</v>
      </c>
      <c r="AI984">
        <v>100.532726116257</v>
      </c>
      <c r="AJ984">
        <v>69.3595503228469</v>
      </c>
      <c r="AK984">
        <v>6.0344659813461403</v>
      </c>
      <c r="AL984">
        <v>89.037281331023195</v>
      </c>
      <c r="AM984">
        <v>86.109658525898197</v>
      </c>
      <c r="AN984">
        <v>1.0000000050729101</v>
      </c>
    </row>
    <row r="985" spans="1:40" x14ac:dyDescent="0.3">
      <c r="A985" t="str">
        <f>"20200111153849875"</f>
        <v>20200111153849875</v>
      </c>
      <c r="B985" t="str">
        <f>"1578728329861416"</f>
        <v>1578728329861416</v>
      </c>
      <c r="C985" t="s">
        <v>40</v>
      </c>
      <c r="D985">
        <v>5.893383</v>
      </c>
      <c r="E985">
        <v>0.60792500000000005</v>
      </c>
      <c r="F985" t="s">
        <v>42</v>
      </c>
      <c r="G985">
        <v>-194.37029999999999</v>
      </c>
      <c r="H985" s="1">
        <v>-1.828907E-6</v>
      </c>
      <c r="I985">
        <v>301.14179999999999</v>
      </c>
      <c r="J985">
        <v>-192.0472</v>
      </c>
      <c r="K985">
        <v>1.1028789999999999</v>
      </c>
      <c r="L985">
        <v>306.79270000000002</v>
      </c>
      <c r="M985">
        <v>-2.329591E-2</v>
      </c>
      <c r="N985">
        <v>0</v>
      </c>
      <c r="O985">
        <v>-0.99966880000000002</v>
      </c>
      <c r="P985">
        <v>-9.6330600000000002E-2</v>
      </c>
      <c r="Q985">
        <v>7.1683909999999997E-3</v>
      </c>
      <c r="R985">
        <v>-0.99532370000000003</v>
      </c>
      <c r="S985">
        <v>-1.1369479999999901</v>
      </c>
      <c r="T985">
        <v>-0.5378271</v>
      </c>
      <c r="U985">
        <v>-2.9135439999999999</v>
      </c>
      <c r="V985">
        <v>7.317253E-2</v>
      </c>
      <c r="W985">
        <v>1.7860239999999999E-2</v>
      </c>
      <c r="X985">
        <v>0.99715940000000003</v>
      </c>
      <c r="Y985">
        <v>0.33643719999999999</v>
      </c>
      <c r="Z985">
        <v>0.17012260000000001</v>
      </c>
      <c r="AA985">
        <v>0.92621180000000003</v>
      </c>
      <c r="AB985">
        <v>30</v>
      </c>
      <c r="AC985">
        <v>-2.3230999999999802</v>
      </c>
      <c r="AD985">
        <v>-1.102880828907</v>
      </c>
      <c r="AE985">
        <v>-5.6509000000000302</v>
      </c>
      <c r="AF985">
        <v>2.12168557147315</v>
      </c>
      <c r="AG985">
        <v>-1.102880828907</v>
      </c>
      <c r="AH985">
        <v>5.5235097395689703</v>
      </c>
      <c r="AI985">
        <v>100.558335829542</v>
      </c>
      <c r="AJ985">
        <v>68.987263968110298</v>
      </c>
      <c r="AK985">
        <v>6.0188915615818503</v>
      </c>
      <c r="AL985">
        <v>88.976629253854895</v>
      </c>
      <c r="AM985">
        <v>85.803102098622304</v>
      </c>
      <c r="AN985">
        <v>1.0000000381639</v>
      </c>
    </row>
    <row r="986" spans="1:40" x14ac:dyDescent="0.3">
      <c r="A986" t="str">
        <f>"20200111153849900"</f>
        <v>20200111153849900</v>
      </c>
      <c r="B986" t="str">
        <f>"1578728329891673"</f>
        <v>1578728329891673</v>
      </c>
      <c r="C986" t="s">
        <v>40</v>
      </c>
      <c r="D986">
        <v>5.8166820000000001</v>
      </c>
      <c r="E986">
        <v>0.60704279999999999</v>
      </c>
      <c r="F986" t="s">
        <v>42</v>
      </c>
      <c r="G986">
        <v>-194.4435</v>
      </c>
      <c r="H986" s="1">
        <v>-1.680244E-6</v>
      </c>
      <c r="I986">
        <v>300.74979999999999</v>
      </c>
      <c r="J986">
        <v>-192.05760000000001</v>
      </c>
      <c r="K986">
        <v>1.102689</v>
      </c>
      <c r="L986">
        <v>306.4502</v>
      </c>
      <c r="M986">
        <v>-2.555729E-2</v>
      </c>
      <c r="N986">
        <v>0</v>
      </c>
      <c r="O986">
        <v>-0.99961339999999999</v>
      </c>
      <c r="P986">
        <v>-0.1039085</v>
      </c>
      <c r="Q986">
        <v>9.4418269999999999E-3</v>
      </c>
      <c r="R986">
        <v>-0.99454240000000005</v>
      </c>
      <c r="S986">
        <v>-1.152512</v>
      </c>
      <c r="T986">
        <v>-0.53044199999999997</v>
      </c>
      <c r="U986">
        <v>-2.9063720000000002</v>
      </c>
      <c r="V986">
        <v>7.852866E-2</v>
      </c>
      <c r="W986">
        <v>2.007857E-2</v>
      </c>
      <c r="X986">
        <v>0.99670959999999997</v>
      </c>
      <c r="Y986">
        <v>0.33951409999999999</v>
      </c>
      <c r="Z986">
        <v>0.16796739999999999</v>
      </c>
      <c r="AA986">
        <v>0.92548209999999997</v>
      </c>
      <c r="AB986">
        <v>30</v>
      </c>
      <c r="AC986">
        <v>-2.3858999999999901</v>
      </c>
      <c r="AD986">
        <v>-1.102690680244</v>
      </c>
      <c r="AE986">
        <v>-5.7004000000000001</v>
      </c>
      <c r="AF986">
        <v>2.1703192505364801</v>
      </c>
      <c r="AG986">
        <v>-1.102690680244</v>
      </c>
      <c r="AH986">
        <v>5.5817871542047097</v>
      </c>
      <c r="AI986">
        <v>100.432633295605</v>
      </c>
      <c r="AJ986">
        <v>68.752844910025004</v>
      </c>
      <c r="AK986">
        <v>6.0895451571025303</v>
      </c>
      <c r="AL986">
        <v>88.849505325565602</v>
      </c>
      <c r="AM986">
        <v>85.495091716791805</v>
      </c>
      <c r="AN986">
        <v>0.999999963073399</v>
      </c>
    </row>
    <row r="987" spans="1:40" x14ac:dyDescent="0.3">
      <c r="A987" t="str">
        <f>"20200111153849921"</f>
        <v>20200111153849921</v>
      </c>
      <c r="B987" t="str">
        <f>"1578728329911191"</f>
        <v>1578728329911191</v>
      </c>
      <c r="C987" t="s">
        <v>40</v>
      </c>
      <c r="D987">
        <v>5.9455429999999998</v>
      </c>
      <c r="E987">
        <v>0.60629500000000003</v>
      </c>
      <c r="F987" t="s">
        <v>42</v>
      </c>
      <c r="G987">
        <v>-194.5385</v>
      </c>
      <c r="H987" s="1">
        <v>-1.5054940000000001E-6</v>
      </c>
      <c r="I987">
        <v>300.28359999999998</v>
      </c>
      <c r="J987">
        <v>-192.0675</v>
      </c>
      <c r="K987">
        <v>1.10253</v>
      </c>
      <c r="L987">
        <v>306.14780000000002</v>
      </c>
      <c r="M987">
        <v>-2.7752329999999999E-2</v>
      </c>
      <c r="N987">
        <v>0</v>
      </c>
      <c r="O987">
        <v>-0.99955499999999997</v>
      </c>
      <c r="P987">
        <v>-0.1109947</v>
      </c>
      <c r="Q987">
        <v>1.1205619999999999E-2</v>
      </c>
      <c r="R987">
        <v>-0.99375809999999998</v>
      </c>
      <c r="S987">
        <v>-1.1664890000000001</v>
      </c>
      <c r="T987">
        <v>-0.51847330000000003</v>
      </c>
      <c r="U987">
        <v>-2.8994749999999998</v>
      </c>
      <c r="V987">
        <v>8.3459459999999999E-2</v>
      </c>
      <c r="W987">
        <v>2.1786219999999999E-2</v>
      </c>
      <c r="X987">
        <v>0.99627299999999996</v>
      </c>
      <c r="Y987">
        <v>0.34227629999999998</v>
      </c>
      <c r="Z987">
        <v>0.16440299999999999</v>
      </c>
      <c r="AA987">
        <v>0.92510460000000005</v>
      </c>
      <c r="AB987">
        <v>30</v>
      </c>
      <c r="AC987">
        <v>-2.4710000000000001</v>
      </c>
      <c r="AD987">
        <v>-1.1025315054939999</v>
      </c>
      <c r="AE987">
        <v>-5.8642000000000296</v>
      </c>
      <c r="AF987">
        <v>2.2400509824450801</v>
      </c>
      <c r="AG987">
        <v>-1.1025315054939999</v>
      </c>
      <c r="AH987">
        <v>5.7576860047835297</v>
      </c>
      <c r="AI987">
        <v>100.11839317925001</v>
      </c>
      <c r="AJ987">
        <v>68.741275709966104</v>
      </c>
      <c r="AK987">
        <v>6.2756953602162797</v>
      </c>
      <c r="AL987">
        <v>88.7516427830233</v>
      </c>
      <c r="AM987">
        <v>85.211417179826597</v>
      </c>
      <c r="AN987">
        <v>1.0000000056871901</v>
      </c>
    </row>
    <row r="988" spans="1:40" x14ac:dyDescent="0.3">
      <c r="A988" t="str">
        <f>"20200111153849947"</f>
        <v>20200111153849947</v>
      </c>
      <c r="B988" t="str">
        <f>"1578728329941448"</f>
        <v>1578728329941448</v>
      </c>
      <c r="C988" t="s">
        <v>40</v>
      </c>
      <c r="D988">
        <v>5.8633170000000003</v>
      </c>
      <c r="E988">
        <v>0.60467519999999997</v>
      </c>
      <c r="F988" t="s">
        <v>42</v>
      </c>
      <c r="G988">
        <v>-194.6019</v>
      </c>
      <c r="H988" s="1">
        <v>-1.3727959999999999E-6</v>
      </c>
      <c r="I988">
        <v>299.93490000000003</v>
      </c>
      <c r="J988">
        <v>-192.07929999999999</v>
      </c>
      <c r="K988">
        <v>1.1023799999999999</v>
      </c>
      <c r="L988">
        <v>305.81849999999997</v>
      </c>
      <c r="M988">
        <v>-3.0314750000000001E-2</v>
      </c>
      <c r="N988">
        <v>0</v>
      </c>
      <c r="O988">
        <v>-0.99948049999999999</v>
      </c>
      <c r="P988">
        <v>-0.1186101</v>
      </c>
      <c r="Q988">
        <v>1.071273E-2</v>
      </c>
      <c r="R988">
        <v>-0.99288319999999997</v>
      </c>
      <c r="S988">
        <v>-1.180069</v>
      </c>
      <c r="T988">
        <v>-0.51335850000000005</v>
      </c>
      <c r="U988">
        <v>-2.8928530000000001</v>
      </c>
      <c r="V988">
        <v>8.8548669999999996E-2</v>
      </c>
      <c r="W988">
        <v>2.123036E-2</v>
      </c>
      <c r="X988">
        <v>0.9958456</v>
      </c>
      <c r="Y988">
        <v>0.34442600000000001</v>
      </c>
      <c r="Z988">
        <v>0.16294439999999999</v>
      </c>
      <c r="AA988">
        <v>0.92456470000000002</v>
      </c>
      <c r="AB988">
        <v>30</v>
      </c>
      <c r="AC988">
        <v>-2.5226000000000099</v>
      </c>
      <c r="AD988">
        <v>-1.1023813727959999</v>
      </c>
      <c r="AE988">
        <v>-5.88359999999994</v>
      </c>
      <c r="AF988">
        <v>2.2755887363852998</v>
      </c>
      <c r="AG988">
        <v>-1.1023813727959999</v>
      </c>
      <c r="AH988">
        <v>5.7857978369197296</v>
      </c>
      <c r="AI988">
        <v>100.054677901977</v>
      </c>
      <c r="AJ988">
        <v>68.529990240898201</v>
      </c>
      <c r="AK988">
        <v>6.3141907951816201</v>
      </c>
      <c r="AL988">
        <v>88.783498610499194</v>
      </c>
      <c r="AM988">
        <v>84.9187332264774</v>
      </c>
      <c r="AN988">
        <v>1.00000002709192</v>
      </c>
    </row>
    <row r="989" spans="1:40" x14ac:dyDescent="0.3">
      <c r="A989" t="str">
        <f>"20200111153849969"</f>
        <v>20200111153849969</v>
      </c>
      <c r="B989" t="str">
        <f>"1578728329961944"</f>
        <v>1578728329961944</v>
      </c>
      <c r="C989" t="s">
        <v>40</v>
      </c>
      <c r="D989">
        <v>5.949675</v>
      </c>
      <c r="E989">
        <v>0.60395969999999999</v>
      </c>
      <c r="F989" t="s">
        <v>42</v>
      </c>
      <c r="G989">
        <v>-194.62</v>
      </c>
      <c r="H989" s="1">
        <v>-1.255497E-6</v>
      </c>
      <c r="I989">
        <v>299.65030000000002</v>
      </c>
      <c r="J989">
        <v>-192.09139999999999</v>
      </c>
      <c r="K989">
        <v>1.102244</v>
      </c>
      <c r="L989">
        <v>305.50479999999999</v>
      </c>
      <c r="M989">
        <v>-3.2917740000000001E-2</v>
      </c>
      <c r="N989">
        <v>0</v>
      </c>
      <c r="O989">
        <v>-0.99939840000000002</v>
      </c>
      <c r="P989">
        <v>-0.12535470000000001</v>
      </c>
      <c r="Q989">
        <v>1.0330539999999999E-2</v>
      </c>
      <c r="R989">
        <v>-0.99205849999999995</v>
      </c>
      <c r="S989">
        <v>-1.1883999999999999</v>
      </c>
      <c r="T989">
        <v>-0.51562929999999996</v>
      </c>
      <c r="U989">
        <v>-2.885132</v>
      </c>
      <c r="V989">
        <v>9.2727210000000004E-2</v>
      </c>
      <c r="W989">
        <v>2.0786519999999999E-2</v>
      </c>
      <c r="X989">
        <v>0.99547459999999999</v>
      </c>
      <c r="Y989">
        <v>0.34507510000000002</v>
      </c>
      <c r="Z989">
        <v>0.16391420000000001</v>
      </c>
      <c r="AA989">
        <v>0.9241511</v>
      </c>
      <c r="AB989">
        <v>30</v>
      </c>
      <c r="AC989">
        <v>-2.5286000000000102</v>
      </c>
      <c r="AD989">
        <v>-1.1022452554969999</v>
      </c>
      <c r="AE989">
        <v>-5.8544999999999696</v>
      </c>
      <c r="AF989">
        <v>2.2667832552745102</v>
      </c>
      <c r="AG989">
        <v>-1.1022452554969999</v>
      </c>
      <c r="AH989">
        <v>5.7624211570748596</v>
      </c>
      <c r="AI989">
        <v>100.093181983679</v>
      </c>
      <c r="AJ989">
        <v>68.526643177507395</v>
      </c>
      <c r="AK989">
        <v>6.2895745898401296</v>
      </c>
      <c r="AL989">
        <v>88.808934406309106</v>
      </c>
      <c r="AM989">
        <v>84.678326076640602</v>
      </c>
      <c r="AN989">
        <v>1.0000000470666199</v>
      </c>
    </row>
    <row r="990" spans="1:40" x14ac:dyDescent="0.3">
      <c r="A990" t="str">
        <f>"20200111153850007"</f>
        <v>20200111153850007</v>
      </c>
      <c r="B990" t="str">
        <f>"1578728330001962"</f>
        <v>1578728330001962</v>
      </c>
      <c r="C990" t="s">
        <v>40</v>
      </c>
      <c r="D990">
        <v>5.812716</v>
      </c>
      <c r="E990">
        <v>0.60298479999999999</v>
      </c>
      <c r="F990" t="s">
        <v>53</v>
      </c>
      <c r="G990">
        <v>-194.66499999999999</v>
      </c>
      <c r="H990" s="1">
        <v>4.7483879999999899E-8</v>
      </c>
      <c r="I990">
        <v>299.3467</v>
      </c>
      <c r="J990">
        <v>-192.1139</v>
      </c>
      <c r="K990">
        <v>1.101999</v>
      </c>
      <c r="L990">
        <v>304.983</v>
      </c>
      <c r="M990">
        <v>-3.7669580000000001E-2</v>
      </c>
      <c r="N990">
        <v>0</v>
      </c>
      <c r="O990">
        <v>-0.99923059999999997</v>
      </c>
      <c r="P990">
        <v>-0.13744529999999999</v>
      </c>
      <c r="Q990">
        <v>1.0689799999999999E-2</v>
      </c>
      <c r="R990">
        <v>-0.99045179999999999</v>
      </c>
      <c r="S990">
        <v>-1.202545</v>
      </c>
      <c r="T990">
        <v>-0.51503500000000002</v>
      </c>
      <c r="U990">
        <v>-2.8774410000000001</v>
      </c>
      <c r="V990">
        <v>0.1001486</v>
      </c>
      <c r="W990">
        <v>2.1029659999999999E-2</v>
      </c>
      <c r="X990">
        <v>0.99475020000000003</v>
      </c>
      <c r="Y990">
        <v>0.34536499999999998</v>
      </c>
      <c r="Z990">
        <v>0.1639292</v>
      </c>
      <c r="AA990">
        <v>0.92404010000000003</v>
      </c>
      <c r="AB990">
        <v>30</v>
      </c>
      <c r="AC990">
        <v>-2.5510999999999902</v>
      </c>
      <c r="AD990">
        <v>-1.10199895251612</v>
      </c>
      <c r="AE990">
        <v>-5.6363000000000003</v>
      </c>
      <c r="AF990">
        <v>2.26509365546316</v>
      </c>
      <c r="AG990">
        <v>-1.10199895251612</v>
      </c>
      <c r="AH990">
        <v>5.5522448644815601</v>
      </c>
      <c r="AI990">
        <v>100.413257718053</v>
      </c>
      <c r="AJ990">
        <v>67.806506677500906</v>
      </c>
      <c r="AK990">
        <v>6.0969233220147903</v>
      </c>
      <c r="AL990">
        <v>88.795000377761696</v>
      </c>
      <c r="AM990">
        <v>84.250996604302301</v>
      </c>
      <c r="AN990">
        <v>0.99999997454085698</v>
      </c>
    </row>
    <row r="991" spans="1:40" x14ac:dyDescent="0.3">
      <c r="A991" t="str">
        <f>"20200111153850029"</f>
        <v>20200111153850029</v>
      </c>
      <c r="B991" t="str">
        <f>"1578728330021479"</f>
        <v>1578728330021479</v>
      </c>
      <c r="C991" t="s">
        <v>40</v>
      </c>
      <c r="D991">
        <v>5.8309170000000003</v>
      </c>
      <c r="E991">
        <v>0.60249759999999997</v>
      </c>
      <c r="F991" t="s">
        <v>53</v>
      </c>
      <c r="G991">
        <v>-194.75190000000001</v>
      </c>
      <c r="H991" s="1">
        <v>1.368431E-7</v>
      </c>
      <c r="I991">
        <v>298.83929999999998</v>
      </c>
      <c r="J991">
        <v>-192.12799999999999</v>
      </c>
      <c r="K991">
        <v>1.1018380000000001</v>
      </c>
      <c r="L991">
        <v>304.68599999999998</v>
      </c>
      <c r="M991">
        <v>-4.0607490000000003E-2</v>
      </c>
      <c r="N991">
        <v>0</v>
      </c>
      <c r="O991">
        <v>-0.99911550000000005</v>
      </c>
      <c r="P991">
        <v>-0.1446027</v>
      </c>
      <c r="Q991">
        <v>1.1234849999999999E-2</v>
      </c>
      <c r="R991">
        <v>-0.98942629999999998</v>
      </c>
      <c r="S991">
        <v>-1.2297209999999901</v>
      </c>
      <c r="T991">
        <v>-0.51369409999999904</v>
      </c>
      <c r="U991">
        <v>-2.863861</v>
      </c>
      <c r="V991">
        <v>0.10442709999999999</v>
      </c>
      <c r="W991">
        <v>2.1501619999999999E-2</v>
      </c>
      <c r="X991">
        <v>0.99430010000000002</v>
      </c>
      <c r="Y991">
        <v>0.35160629999999998</v>
      </c>
      <c r="Z991">
        <v>0.16370109999999999</v>
      </c>
      <c r="AA991">
        <v>0.92172390000000004</v>
      </c>
      <c r="AB991">
        <v>30</v>
      </c>
      <c r="AC991">
        <v>-2.6239000000000199</v>
      </c>
      <c r="AD991">
        <v>-1.1018378631568999</v>
      </c>
      <c r="AE991">
        <v>-5.8466999999999896</v>
      </c>
      <c r="AF991">
        <v>2.3158421564544001</v>
      </c>
      <c r="AG991">
        <v>-1.1018378631568999</v>
      </c>
      <c r="AH991">
        <v>5.7776386251438598</v>
      </c>
      <c r="AI991">
        <v>100.038320013375</v>
      </c>
      <c r="AJ991">
        <v>68.157680753729807</v>
      </c>
      <c r="AK991">
        <v>6.3212561768252797</v>
      </c>
      <c r="AL991">
        <v>88.767952992696095</v>
      </c>
      <c r="AM991">
        <v>84.004448559420098</v>
      </c>
      <c r="AN991">
        <v>1.0000000138685201</v>
      </c>
    </row>
    <row r="992" spans="1:40" x14ac:dyDescent="0.3">
      <c r="A992" t="str">
        <f>"20200111153850052"</f>
        <v>20200111153850052</v>
      </c>
      <c r="B992" t="str">
        <f>"1578728330041976"</f>
        <v>1578728330041976</v>
      </c>
      <c r="C992" t="s">
        <v>40</v>
      </c>
      <c r="D992">
        <v>5.8246120000000001</v>
      </c>
      <c r="E992">
        <v>0.60196309999999997</v>
      </c>
      <c r="F992" t="s">
        <v>53</v>
      </c>
      <c r="G992">
        <v>-194.8021</v>
      </c>
      <c r="H992" s="1">
        <v>1.870026E-7</v>
      </c>
      <c r="I992">
        <v>298.55450000000002</v>
      </c>
      <c r="J992">
        <v>-192.14410000000001</v>
      </c>
      <c r="K992">
        <v>1.101653</v>
      </c>
      <c r="L992">
        <v>304.3732</v>
      </c>
      <c r="M992">
        <v>-4.3927569999999999E-2</v>
      </c>
      <c r="N992">
        <v>0</v>
      </c>
      <c r="O992">
        <v>-0.99897530000000001</v>
      </c>
      <c r="P992">
        <v>-0.15150259999999999</v>
      </c>
      <c r="Q992">
        <v>1.1233669999999999E-2</v>
      </c>
      <c r="R992">
        <v>-0.98839359999999998</v>
      </c>
      <c r="S992">
        <v>-1.245514</v>
      </c>
      <c r="T992">
        <v>-0.51321070000000002</v>
      </c>
      <c r="U992">
        <v>-2.855896</v>
      </c>
      <c r="V992">
        <v>0.108069899999999</v>
      </c>
      <c r="W992">
        <v>2.1422480000000001E-2</v>
      </c>
      <c r="X992">
        <v>0.99391249999999998</v>
      </c>
      <c r="Y992">
        <v>0.35372550000000003</v>
      </c>
      <c r="Z992">
        <v>0.1636888</v>
      </c>
      <c r="AA992">
        <v>0.92091489999999998</v>
      </c>
      <c r="AB992">
        <v>30</v>
      </c>
      <c r="AC992">
        <v>-2.6579999999999799</v>
      </c>
      <c r="AD992">
        <v>-1.1016528129973999</v>
      </c>
      <c r="AE992">
        <v>-5.8186999999999696</v>
      </c>
      <c r="AF992">
        <v>2.3306955446984201</v>
      </c>
      <c r="AG992">
        <v>-1.1016528129973999</v>
      </c>
      <c r="AH992">
        <v>5.7590517057775896</v>
      </c>
      <c r="AI992">
        <v>100.05517128080101</v>
      </c>
      <c r="AJ992">
        <v>67.966758142873502</v>
      </c>
      <c r="AK992">
        <v>6.3097113398539904</v>
      </c>
      <c r="AL992">
        <v>88.772488459586199</v>
      </c>
      <c r="AM992">
        <v>83.794504897063007</v>
      </c>
      <c r="AN992">
        <v>1.0000000417957999</v>
      </c>
    </row>
    <row r="993" spans="1:40" x14ac:dyDescent="0.3">
      <c r="A993" t="str">
        <f>"20200111153850076"</f>
        <v>20200111153850076</v>
      </c>
      <c r="B993" t="str">
        <f>"1578728330071257"</f>
        <v>1578728330071257</v>
      </c>
      <c r="C993" t="s">
        <v>40</v>
      </c>
      <c r="D993">
        <v>5.8344440000000004</v>
      </c>
      <c r="E993">
        <v>0.60126820000000003</v>
      </c>
      <c r="F993" t="s">
        <v>53</v>
      </c>
      <c r="G993">
        <v>-194.84630000000001</v>
      </c>
      <c r="H993" s="1">
        <v>2.3730550000000001E-7</v>
      </c>
      <c r="I993">
        <v>298.26889999999997</v>
      </c>
      <c r="J993">
        <v>-192.1618</v>
      </c>
      <c r="K993">
        <v>1.101423</v>
      </c>
      <c r="L993">
        <v>304.05500000000001</v>
      </c>
      <c r="M993">
        <v>-4.7627750000000003E-2</v>
      </c>
      <c r="N993">
        <v>0</v>
      </c>
      <c r="O993">
        <v>-0.99880539999999995</v>
      </c>
      <c r="P993">
        <v>-0.15769620000000001</v>
      </c>
      <c r="Q993">
        <v>1.168811E-2</v>
      </c>
      <c r="R993">
        <v>-0.98741849999999998</v>
      </c>
      <c r="S993">
        <v>-1.2606660000000001</v>
      </c>
      <c r="T993">
        <v>-0.51395000000000002</v>
      </c>
      <c r="U993">
        <v>-2.847839</v>
      </c>
      <c r="V993">
        <v>0.11063489999999999</v>
      </c>
      <c r="W993">
        <v>2.179623E-2</v>
      </c>
      <c r="X993">
        <v>0.99362209999999995</v>
      </c>
      <c r="Y993">
        <v>0.35530200000000001</v>
      </c>
      <c r="Z993">
        <v>0.16407459999999999</v>
      </c>
      <c r="AA993">
        <v>0.92023920000000003</v>
      </c>
      <c r="AB993">
        <v>30</v>
      </c>
      <c r="AC993">
        <v>-2.6845000000000101</v>
      </c>
      <c r="AD993">
        <v>-1.1014227626944999</v>
      </c>
      <c r="AE993">
        <v>-5.7861000000000304</v>
      </c>
      <c r="AF993">
        <v>2.3361986048116798</v>
      </c>
      <c r="AG993">
        <v>-1.1014227626944999</v>
      </c>
      <c r="AH993">
        <v>5.7363545344857201</v>
      </c>
      <c r="AI993">
        <v>100.08325766905899</v>
      </c>
      <c r="AJ993">
        <v>67.840805070558602</v>
      </c>
      <c r="AK993">
        <v>6.2910030494842797</v>
      </c>
      <c r="AL993">
        <v>88.751069130401405</v>
      </c>
      <c r="AM993">
        <v>83.646568480186502</v>
      </c>
      <c r="AN993">
        <v>1.00000001717431</v>
      </c>
    </row>
    <row r="994" spans="1:40" x14ac:dyDescent="0.3">
      <c r="A994" t="str">
        <f>"20200111153850098"</f>
        <v>20200111153850098</v>
      </c>
      <c r="B994" t="str">
        <f>"1578728330091752"</f>
        <v>1578728330091752</v>
      </c>
      <c r="C994" t="s">
        <v>40</v>
      </c>
      <c r="D994">
        <v>5.810276</v>
      </c>
      <c r="E994">
        <v>0.60080639999999996</v>
      </c>
      <c r="F994" t="s">
        <v>53</v>
      </c>
      <c r="G994">
        <v>-194.9033</v>
      </c>
      <c r="H994" s="1">
        <v>2.9521919999999998E-7</v>
      </c>
      <c r="I994">
        <v>297.94</v>
      </c>
      <c r="J994">
        <v>-192.18100000000001</v>
      </c>
      <c r="K994">
        <v>1.101164</v>
      </c>
      <c r="L994">
        <v>303.73910000000001</v>
      </c>
      <c r="M994">
        <v>-5.167128E-2</v>
      </c>
      <c r="N994">
        <v>0</v>
      </c>
      <c r="O994">
        <v>-0.99860450000000001</v>
      </c>
      <c r="P994">
        <v>-0.16493039999999901</v>
      </c>
      <c r="Q994">
        <v>1.23497E-2</v>
      </c>
      <c r="R994">
        <v>-0.98622799999999999</v>
      </c>
      <c r="S994">
        <v>-1.273636</v>
      </c>
      <c r="T994">
        <v>-0.51170109999999902</v>
      </c>
      <c r="U994">
        <v>-2.840881</v>
      </c>
      <c r="V994">
        <v>0.11391510000000001</v>
      </c>
      <c r="W994">
        <v>2.236496E-2</v>
      </c>
      <c r="X994">
        <v>0.99323870000000003</v>
      </c>
      <c r="Y994">
        <v>0.3559021</v>
      </c>
      <c r="Z994">
        <v>0.16352259999999999</v>
      </c>
      <c r="AA994">
        <v>0.92010550000000002</v>
      </c>
      <c r="AB994">
        <v>30</v>
      </c>
      <c r="AC994">
        <v>-2.7223000000000099</v>
      </c>
      <c r="AD994">
        <v>-1.1011637047808001</v>
      </c>
      <c r="AE994">
        <v>-5.7991000000000099</v>
      </c>
      <c r="AF994">
        <v>2.3495787225911098</v>
      </c>
      <c r="AG994">
        <v>-1.1011637047808001</v>
      </c>
      <c r="AH994">
        <v>5.7617904492691903</v>
      </c>
      <c r="AI994">
        <v>100.035536745279</v>
      </c>
      <c r="AJ994">
        <v>67.815042173633799</v>
      </c>
      <c r="AK994">
        <v>6.3191226336944197</v>
      </c>
      <c r="AL994">
        <v>88.718475305466001</v>
      </c>
      <c r="AM994">
        <v>83.457302560558901</v>
      </c>
      <c r="AN994">
        <v>0.99999997831075005</v>
      </c>
    </row>
    <row r="995" spans="1:40" x14ac:dyDescent="0.3">
      <c r="A995" t="str">
        <f>"20200111153850122"</f>
        <v>20200111153850122</v>
      </c>
      <c r="B995" t="str">
        <f>"1578728330112247"</f>
        <v>1578728330112247</v>
      </c>
      <c r="C995" t="s">
        <v>40</v>
      </c>
      <c r="D995">
        <v>5.7891779999999997</v>
      </c>
      <c r="E995">
        <v>0.60040839999999995</v>
      </c>
      <c r="F995" t="s">
        <v>53</v>
      </c>
      <c r="G995">
        <v>-194.964</v>
      </c>
      <c r="H995" s="1">
        <v>3.5030600000000001E-7</v>
      </c>
      <c r="I995">
        <v>297.62729999999999</v>
      </c>
      <c r="J995">
        <v>-192.20150000000001</v>
      </c>
      <c r="K995">
        <v>1.1009059999999999</v>
      </c>
      <c r="L995">
        <v>303.42829999999998</v>
      </c>
      <c r="M995">
        <v>-5.5942649999999997E-2</v>
      </c>
      <c r="N995">
        <v>0</v>
      </c>
      <c r="O995">
        <v>-0.99837419999999999</v>
      </c>
      <c r="P995">
        <v>-0.17352509999999999</v>
      </c>
      <c r="Q995">
        <v>1.2125E-2</v>
      </c>
      <c r="R995">
        <v>-0.98475520000000005</v>
      </c>
      <c r="S995">
        <v>-1.289795</v>
      </c>
      <c r="T995">
        <v>-0.5103472</v>
      </c>
      <c r="U995">
        <v>-2.832611</v>
      </c>
      <c r="V995">
        <v>0.11833970000000001</v>
      </c>
      <c r="W995">
        <v>2.2037459999999998E-2</v>
      </c>
      <c r="X995">
        <v>0.99272859999999996</v>
      </c>
      <c r="Y995">
        <v>0.357292</v>
      </c>
      <c r="Z995">
        <v>0.16324469999999999</v>
      </c>
      <c r="AA995">
        <v>0.91961599999999999</v>
      </c>
      <c r="AB995">
        <v>30</v>
      </c>
      <c r="AC995">
        <v>-2.7625000000000099</v>
      </c>
      <c r="AD995">
        <v>-1.100905649694</v>
      </c>
      <c r="AE995">
        <v>-5.8009999999999797</v>
      </c>
      <c r="AF995">
        <v>2.3642214793768801</v>
      </c>
      <c r="AG995">
        <v>-1.100905649694</v>
      </c>
      <c r="AH995">
        <v>5.77686704659288</v>
      </c>
      <c r="AI995">
        <v>100.0025311951</v>
      </c>
      <c r="AJ995">
        <v>67.742840064397697</v>
      </c>
      <c r="AK995">
        <v>6.3382749488394596</v>
      </c>
      <c r="AL995">
        <v>88.737244332004707</v>
      </c>
      <c r="AM995">
        <v>83.202049701475701</v>
      </c>
      <c r="AN995">
        <v>1.0000000037486501</v>
      </c>
    </row>
    <row r="996" spans="1:40" x14ac:dyDescent="0.3">
      <c r="A996" t="str">
        <f>"20200111153850141"</f>
        <v>20200111153850141</v>
      </c>
      <c r="B996" t="str">
        <f>"1578728330131768"</f>
        <v>1578728330131768</v>
      </c>
      <c r="C996" t="s">
        <v>40</v>
      </c>
      <c r="D996">
        <v>5.8249170000000001</v>
      </c>
      <c r="E996">
        <v>0.60005120000000001</v>
      </c>
      <c r="F996" t="s">
        <v>53</v>
      </c>
      <c r="G996">
        <v>-195.01310000000001</v>
      </c>
      <c r="H996" s="1">
        <v>3.9490589999999998E-7</v>
      </c>
      <c r="I996">
        <v>297.37400000000002</v>
      </c>
      <c r="J996">
        <v>-192.22120000000001</v>
      </c>
      <c r="K996">
        <v>1.100678</v>
      </c>
      <c r="L996">
        <v>303.1497</v>
      </c>
      <c r="M996">
        <v>-6.0043029999999997E-2</v>
      </c>
      <c r="N996">
        <v>0</v>
      </c>
      <c r="O996">
        <v>-0.99813589999999996</v>
      </c>
      <c r="P996">
        <v>-0.18142359999999999</v>
      </c>
      <c r="Q996">
        <v>1.20541E-2</v>
      </c>
      <c r="R996">
        <v>-0.98333159999999997</v>
      </c>
      <c r="S996">
        <v>-1.310425</v>
      </c>
      <c r="T996">
        <v>-0.51310529999999999</v>
      </c>
      <c r="U996">
        <v>-2.821777</v>
      </c>
      <c r="V996">
        <v>0.12224119999999999</v>
      </c>
      <c r="W996">
        <v>2.186917E-2</v>
      </c>
      <c r="X996">
        <v>0.99225940000000001</v>
      </c>
      <c r="Y996">
        <v>0.36026859999999999</v>
      </c>
      <c r="Z996">
        <v>0.164269</v>
      </c>
      <c r="AA996">
        <v>0.91827130000000001</v>
      </c>
      <c r="AB996">
        <v>31</v>
      </c>
      <c r="AC996">
        <v>-2.7918999999999898</v>
      </c>
      <c r="AD996">
        <v>-1.1006776050941001</v>
      </c>
      <c r="AE996">
        <v>-5.7756999999999703</v>
      </c>
      <c r="AF996">
        <v>2.3702738641033299</v>
      </c>
      <c r="AG996">
        <v>-1.1006776050941001</v>
      </c>
      <c r="AH996">
        <v>5.7632610825454398</v>
      </c>
      <c r="AI996">
        <v>100.016681063519</v>
      </c>
      <c r="AJ996">
        <v>67.643955979063605</v>
      </c>
      <c r="AK996">
        <v>6.3281014282950503</v>
      </c>
      <c r="AL996">
        <v>88.746888888505893</v>
      </c>
      <c r="AM996">
        <v>82.976845185499599</v>
      </c>
      <c r="AN996">
        <v>0.99999994423114202</v>
      </c>
    </row>
    <row r="997" spans="1:40" x14ac:dyDescent="0.3">
      <c r="A997" t="str">
        <f>"20200111153850163"</f>
        <v>20200111153850163</v>
      </c>
      <c r="B997" t="str">
        <f>"1578728330151287"</f>
        <v>1578728330151287</v>
      </c>
      <c r="C997" t="s">
        <v>40</v>
      </c>
      <c r="D997">
        <v>5.8504699999999996</v>
      </c>
      <c r="E997">
        <v>0.59977389999999997</v>
      </c>
      <c r="F997" t="s">
        <v>53</v>
      </c>
      <c r="G997">
        <v>-195.05590000000001</v>
      </c>
      <c r="H997" s="1">
        <v>4.3404360000000002E-7</v>
      </c>
      <c r="I997">
        <v>297.15179999999998</v>
      </c>
      <c r="J997">
        <v>-192.2448</v>
      </c>
      <c r="K997">
        <v>1.1004119999999999</v>
      </c>
      <c r="L997">
        <v>302.84010000000001</v>
      </c>
      <c r="M997">
        <v>-6.4940100000000001E-2</v>
      </c>
      <c r="N997">
        <v>0</v>
      </c>
      <c r="O997">
        <v>-0.99782930000000003</v>
      </c>
      <c r="P997">
        <v>-0.19040650000000001</v>
      </c>
      <c r="Q997">
        <v>1.2078230000000001E-2</v>
      </c>
      <c r="R997">
        <v>-0.98163129999999998</v>
      </c>
      <c r="S997">
        <v>-1.3289949999999999</v>
      </c>
      <c r="T997">
        <v>-0.51602780000000004</v>
      </c>
      <c r="U997">
        <v>-2.8120120000000002</v>
      </c>
      <c r="V997">
        <v>0.12645819999999999</v>
      </c>
      <c r="W997">
        <v>2.1776690000000001E-2</v>
      </c>
      <c r="X997">
        <v>0.99173290000000003</v>
      </c>
      <c r="Y997">
        <v>0.3618131</v>
      </c>
      <c r="Z997">
        <v>0.16533999999999999</v>
      </c>
      <c r="AA997">
        <v>0.9174715</v>
      </c>
      <c r="AB997">
        <v>31</v>
      </c>
      <c r="AC997">
        <v>-2.8111000000000099</v>
      </c>
      <c r="AD997">
        <v>-1.1004115659564</v>
      </c>
      <c r="AE997">
        <v>-5.6883000000000203</v>
      </c>
      <c r="AF997">
        <v>2.36462192187326</v>
      </c>
      <c r="AG997">
        <v>-1.1004115659564</v>
      </c>
      <c r="AH997">
        <v>5.6877793082923196</v>
      </c>
      <c r="AI997">
        <v>100.128816607159</v>
      </c>
      <c r="AJ997">
        <v>67.425522545436195</v>
      </c>
      <c r="AK997">
        <v>6.2572498677719803</v>
      </c>
      <c r="AL997">
        <v>88.752188962676897</v>
      </c>
      <c r="AM997">
        <v>82.733294852405294</v>
      </c>
      <c r="AN997">
        <v>1.0000000227585</v>
      </c>
    </row>
    <row r="998" spans="1:40" x14ac:dyDescent="0.3">
      <c r="A998" t="str">
        <f>"20200111153850187"</f>
        <v>20200111153850187</v>
      </c>
      <c r="B998" t="str">
        <f>"1578728330181544"</f>
        <v>1578728330181544</v>
      </c>
      <c r="C998" t="s">
        <v>40</v>
      </c>
      <c r="D998">
        <v>5.895626</v>
      </c>
      <c r="E998">
        <v>0.59922790000000004</v>
      </c>
      <c r="F998" t="s">
        <v>53</v>
      </c>
      <c r="G998">
        <v>-195.11600000000001</v>
      </c>
      <c r="H998" s="1">
        <v>5.0636469999999999E-7</v>
      </c>
      <c r="I998">
        <v>296.8897</v>
      </c>
      <c r="J998">
        <v>-192.27019999999999</v>
      </c>
      <c r="K998">
        <v>1.1001270000000001</v>
      </c>
      <c r="L998">
        <v>302.52999999999997</v>
      </c>
      <c r="M998">
        <v>-7.0215050000000001E-2</v>
      </c>
      <c r="N998">
        <v>0</v>
      </c>
      <c r="O998">
        <v>-0.99747169999999996</v>
      </c>
      <c r="P998">
        <v>-0.19892280000000001</v>
      </c>
      <c r="Q998">
        <v>1.1953149999999999E-2</v>
      </c>
      <c r="R998">
        <v>-0.97994219999999999</v>
      </c>
      <c r="S998">
        <v>-1.3512569999999999</v>
      </c>
      <c r="T998">
        <v>-0.51788559999999995</v>
      </c>
      <c r="U998">
        <v>-2.800446</v>
      </c>
      <c r="V998">
        <v>0.12983900000000001</v>
      </c>
      <c r="W998">
        <v>2.153594E-2</v>
      </c>
      <c r="X998">
        <v>0.99130119999999999</v>
      </c>
      <c r="Y998">
        <v>0.36423870000000003</v>
      </c>
      <c r="Z998">
        <v>0.1660846</v>
      </c>
      <c r="AA998">
        <v>0.91637659999999999</v>
      </c>
      <c r="AB998">
        <v>31</v>
      </c>
      <c r="AC998">
        <v>-2.8457999999999899</v>
      </c>
      <c r="AD998">
        <v>-1.1001264936352999</v>
      </c>
      <c r="AE998">
        <v>-5.6402999999999599</v>
      </c>
      <c r="AF998">
        <v>2.3708247552495898</v>
      </c>
      <c r="AG998">
        <v>-1.1001264936352999</v>
      </c>
      <c r="AH998">
        <v>5.6547332155868002</v>
      </c>
      <c r="AI998">
        <v>100.171695321367</v>
      </c>
      <c r="AJ998">
        <v>67.253461380242399</v>
      </c>
      <c r="AK998">
        <v>6.2295341769319501</v>
      </c>
      <c r="AL998">
        <v>88.765986148614701</v>
      </c>
      <c r="AM998">
        <v>82.5379707932412</v>
      </c>
      <c r="AN998">
        <v>1.0000000158770599</v>
      </c>
    </row>
    <row r="999" spans="1:40" x14ac:dyDescent="0.3">
      <c r="A999" t="str">
        <f>"20200111153850208"</f>
        <v>20200111153850208</v>
      </c>
      <c r="B999" t="str">
        <f>"1578728330201063"</f>
        <v>1578728330201063</v>
      </c>
      <c r="C999" t="s">
        <v>40</v>
      </c>
      <c r="D999">
        <v>5.921087</v>
      </c>
      <c r="E999">
        <v>0.59102440000000001</v>
      </c>
      <c r="F999" t="s">
        <v>53</v>
      </c>
      <c r="G999">
        <v>-195.1651</v>
      </c>
      <c r="H999" s="1">
        <v>5.9062479999999997E-7</v>
      </c>
      <c r="I999">
        <v>296.63900000000001</v>
      </c>
      <c r="J999">
        <v>-192.29689999999999</v>
      </c>
      <c r="K999">
        <v>1.099839</v>
      </c>
      <c r="L999">
        <v>302.22919999999999</v>
      </c>
      <c r="M999">
        <v>-7.5693120000000003E-2</v>
      </c>
      <c r="N999">
        <v>0</v>
      </c>
      <c r="O999">
        <v>-0.99707089999999998</v>
      </c>
      <c r="P999">
        <v>-0.2071646</v>
      </c>
      <c r="Q999">
        <v>1.174416E-2</v>
      </c>
      <c r="R999">
        <v>-0.97823610000000005</v>
      </c>
      <c r="S999">
        <v>-1.3707579999999999</v>
      </c>
      <c r="T999">
        <v>-0.52093480000000003</v>
      </c>
      <c r="U999">
        <v>-2.78952</v>
      </c>
      <c r="V999">
        <v>0.13275120000000001</v>
      </c>
      <c r="W999">
        <v>2.1212720000000001E-2</v>
      </c>
      <c r="X999">
        <v>0.99092239999999998</v>
      </c>
      <c r="Y999">
        <v>0.3656298</v>
      </c>
      <c r="Z999">
        <v>0.16722010000000001</v>
      </c>
      <c r="AA999">
        <v>0.91561579999999998</v>
      </c>
      <c r="AB999">
        <v>31</v>
      </c>
      <c r="AC999">
        <v>-2.8681999999999999</v>
      </c>
      <c r="AD999">
        <v>-1.0998384093752001</v>
      </c>
      <c r="AE999">
        <v>-5.5901999999999799</v>
      </c>
      <c r="AF999">
        <v>2.3643572738416201</v>
      </c>
      <c r="AG999">
        <v>-1.0998384093752001</v>
      </c>
      <c r="AH999">
        <v>5.6190973337674501</v>
      </c>
      <c r="AI999">
        <v>100.226829362586</v>
      </c>
      <c r="AJ999">
        <v>67.180018311773495</v>
      </c>
      <c r="AK999">
        <v>6.1946819685482799</v>
      </c>
      <c r="AL999">
        <v>88.784509541294895</v>
      </c>
      <c r="AM999">
        <v>82.369670370356204</v>
      </c>
      <c r="AN999">
        <v>1.0000000317064901</v>
      </c>
    </row>
    <row r="1000" spans="1:40" x14ac:dyDescent="0.3">
      <c r="A1000" t="str">
        <f>"20200111153850253"</f>
        <v>20200111153850253</v>
      </c>
      <c r="B1000" t="str">
        <f>"1578728330241079"</f>
        <v>1578728330241079</v>
      </c>
      <c r="C1000" t="s">
        <v>40</v>
      </c>
      <c r="D1000">
        <v>5.9371619999999998</v>
      </c>
      <c r="E1000">
        <v>0.59176839999999997</v>
      </c>
      <c r="F1000" t="s">
        <v>53</v>
      </c>
      <c r="G1000">
        <v>-194.91659999999999</v>
      </c>
      <c r="H1000" s="1">
        <v>5.8076089999999995E-7</v>
      </c>
      <c r="I1000">
        <v>296.72930000000002</v>
      </c>
      <c r="J1000">
        <v>-192.35749999999999</v>
      </c>
      <c r="K1000">
        <v>1.099216</v>
      </c>
      <c r="L1000">
        <v>301.6164</v>
      </c>
      <c r="M1000">
        <v>-8.8005609999999998E-2</v>
      </c>
      <c r="N1000">
        <v>0</v>
      </c>
      <c r="O1000">
        <v>-0.99605940000000004</v>
      </c>
      <c r="P1000">
        <v>-0.22484199999999999</v>
      </c>
      <c r="Q1000">
        <v>1.423251E-2</v>
      </c>
      <c r="R1000">
        <v>-0.97429140000000003</v>
      </c>
      <c r="S1000">
        <v>-1.329788</v>
      </c>
      <c r="T1000">
        <v>-0.55828949999999999</v>
      </c>
      <c r="U1000">
        <v>-2.7918400000000001</v>
      </c>
      <c r="V1000">
        <v>0.13851559999999999</v>
      </c>
      <c r="W1000">
        <v>2.345187E-2</v>
      </c>
      <c r="X1000">
        <v>0.99008260000000003</v>
      </c>
      <c r="Y1000">
        <v>0.3419066</v>
      </c>
      <c r="Z1000">
        <v>0.1797695</v>
      </c>
      <c r="AA1000">
        <v>0.9223789</v>
      </c>
      <c r="AB1000">
        <v>31</v>
      </c>
      <c r="AC1000">
        <v>-2.5590999999999999</v>
      </c>
      <c r="AD1000">
        <v>-1.0992154192390999</v>
      </c>
      <c r="AE1000">
        <v>-4.88709999999997</v>
      </c>
      <c r="AF1000">
        <v>2.0381311123921799</v>
      </c>
      <c r="AG1000">
        <v>-1.0992154192390999</v>
      </c>
      <c r="AH1000">
        <v>4.8988642351230496</v>
      </c>
      <c r="AI1000">
        <v>101.704255560506</v>
      </c>
      <c r="AJ1000">
        <v>67.410659638178501</v>
      </c>
      <c r="AK1000">
        <v>5.4185905698218004</v>
      </c>
      <c r="AL1000">
        <v>88.656183705408907</v>
      </c>
      <c r="AM1000">
        <v>82.035836331298498</v>
      </c>
      <c r="AN1000">
        <v>1.0000000582363</v>
      </c>
    </row>
    <row r="1001" spans="1:40" x14ac:dyDescent="0.3">
      <c r="A1001" t="str">
        <f>"20200111153850277"</f>
        <v>20200111153850277</v>
      </c>
      <c r="B1001" t="str">
        <f>"1578728330271336"</f>
        <v>1578728330271336</v>
      </c>
      <c r="C1001" t="s">
        <v>40</v>
      </c>
      <c r="D1001">
        <v>5.875159</v>
      </c>
      <c r="E1001">
        <v>0.59167029999999998</v>
      </c>
      <c r="F1001" t="s">
        <v>53</v>
      </c>
      <c r="G1001">
        <v>-195.17679999999999</v>
      </c>
      <c r="H1001" s="1">
        <v>8.1950549999999999E-7</v>
      </c>
      <c r="I1001">
        <v>295.98860000000002</v>
      </c>
      <c r="J1001">
        <v>-192.39240000000001</v>
      </c>
      <c r="K1001">
        <v>1.098911</v>
      </c>
      <c r="L1001">
        <v>301.30079999999998</v>
      </c>
      <c r="M1001">
        <v>-9.4931570000000007E-2</v>
      </c>
      <c r="N1001">
        <v>0</v>
      </c>
      <c r="O1001">
        <v>-0.99542269999999999</v>
      </c>
      <c r="P1001">
        <v>-0.23483989999999999</v>
      </c>
      <c r="Q1001">
        <v>1.617594E-2</v>
      </c>
      <c r="R1001">
        <v>-0.97189939999999997</v>
      </c>
      <c r="S1001">
        <v>-1.3862460000000001</v>
      </c>
      <c r="T1001">
        <v>-0.54047849999999997</v>
      </c>
      <c r="U1001">
        <v>-2.7671510000000001</v>
      </c>
      <c r="V1001">
        <v>0.141847</v>
      </c>
      <c r="W1001">
        <v>2.5263310000000001E-2</v>
      </c>
      <c r="X1001">
        <v>0.9895661</v>
      </c>
      <c r="Y1001">
        <v>0.35415940000000001</v>
      </c>
      <c r="Z1001">
        <v>0.1742783</v>
      </c>
      <c r="AA1001">
        <v>0.91880260000000002</v>
      </c>
      <c r="AB1001">
        <v>31</v>
      </c>
      <c r="AC1001">
        <v>-2.78439999999997</v>
      </c>
      <c r="AD1001">
        <v>-1.0989101804944901</v>
      </c>
      <c r="AE1001">
        <v>-5.3121999999999598</v>
      </c>
      <c r="AF1001">
        <v>2.1938491677508001</v>
      </c>
      <c r="AG1001">
        <v>-1.0989101804944901</v>
      </c>
      <c r="AH1001">
        <v>5.37220305456876</v>
      </c>
      <c r="AI1001">
        <v>100.723284338366</v>
      </c>
      <c r="AJ1001">
        <v>67.786344895039406</v>
      </c>
      <c r="AK1001">
        <v>5.9060260256075203</v>
      </c>
      <c r="AL1001">
        <v>88.552364851795602</v>
      </c>
      <c r="AM1001">
        <v>81.842639879605301</v>
      </c>
      <c r="AN1001">
        <v>0.99999993625518102</v>
      </c>
    </row>
    <row r="1002" spans="1:40" x14ac:dyDescent="0.3">
      <c r="A1002" t="str">
        <f>"20200111153850297"</f>
        <v>20200111153850297</v>
      </c>
      <c r="B1002" t="str">
        <f>"1578728330291831"</f>
        <v>1578728330291831</v>
      </c>
      <c r="C1002" t="s">
        <v>40</v>
      </c>
      <c r="D1002">
        <v>5.9393370000000001</v>
      </c>
      <c r="E1002">
        <v>0.59137740000000005</v>
      </c>
      <c r="F1002" t="s">
        <v>53</v>
      </c>
      <c r="G1002">
        <v>-195.33160000000001</v>
      </c>
      <c r="H1002" s="1">
        <v>9.524646E-7</v>
      </c>
      <c r="I1002">
        <v>295.57369999999997</v>
      </c>
      <c r="J1002">
        <v>-192.4256</v>
      </c>
      <c r="K1002">
        <v>1.098633</v>
      </c>
      <c r="L1002">
        <v>301.02010000000001</v>
      </c>
      <c r="M1002">
        <v>-0.1014525</v>
      </c>
      <c r="N1002">
        <v>0</v>
      </c>
      <c r="O1002">
        <v>-0.99477890000000002</v>
      </c>
      <c r="P1002">
        <v>-0.24453050000000001</v>
      </c>
      <c r="Q1002">
        <v>1.7700009999999999E-2</v>
      </c>
      <c r="R1002">
        <v>-0.96948000000000001</v>
      </c>
      <c r="S1002">
        <v>-1.413376</v>
      </c>
      <c r="T1002">
        <v>-0.52843519999999999</v>
      </c>
      <c r="U1002">
        <v>-2.7539980000000002</v>
      </c>
      <c r="V1002">
        <v>0.145282299999999</v>
      </c>
      <c r="W1002">
        <v>2.6657589999999998E-2</v>
      </c>
      <c r="X1002">
        <v>0.98903110000000005</v>
      </c>
      <c r="Y1002">
        <v>0.3572882</v>
      </c>
      <c r="Z1002">
        <v>0.17060139999999999</v>
      </c>
      <c r="AA1002">
        <v>0.91828120000000002</v>
      </c>
      <c r="AB1002">
        <v>31</v>
      </c>
      <c r="AC1002">
        <v>-2.9060000000000001</v>
      </c>
      <c r="AD1002">
        <v>-1.0986320475353999</v>
      </c>
      <c r="AE1002">
        <v>-5.4464000000000397</v>
      </c>
      <c r="AF1002">
        <v>2.2666290231322499</v>
      </c>
      <c r="AG1002">
        <v>-1.0986320475353999</v>
      </c>
      <c r="AH1002">
        <v>5.5377382740811303</v>
      </c>
      <c r="AI1002">
        <v>100.403941160133</v>
      </c>
      <c r="AJ1002">
        <v>67.740424356080695</v>
      </c>
      <c r="AK1002">
        <v>6.0836785497427801</v>
      </c>
      <c r="AL1002">
        <v>88.472451714212895</v>
      </c>
      <c r="AM1002">
        <v>81.643382512961097</v>
      </c>
      <c r="AN1002">
        <v>1.0000000452825499</v>
      </c>
    </row>
    <row r="1003" spans="1:40" x14ac:dyDescent="0.3">
      <c r="A1003" t="str">
        <f>"20200111153850320"</f>
        <v>20200111153850320</v>
      </c>
      <c r="B1003" t="str">
        <f>"1578728330311351"</f>
        <v>1578728330311351</v>
      </c>
      <c r="C1003" t="s">
        <v>40</v>
      </c>
      <c r="D1003">
        <v>5.8586780000000003</v>
      </c>
      <c r="E1003">
        <v>0.59382060000000003</v>
      </c>
      <c r="F1003" t="s">
        <v>53</v>
      </c>
      <c r="G1003">
        <v>-195.4196</v>
      </c>
      <c r="H1003" s="1">
        <v>1.0373659999999999E-6</v>
      </c>
      <c r="I1003">
        <v>295.31139999999999</v>
      </c>
      <c r="J1003">
        <v>-192.4666</v>
      </c>
      <c r="K1003">
        <v>1.0983130000000001</v>
      </c>
      <c r="L1003">
        <v>300.69729999999998</v>
      </c>
      <c r="M1003">
        <v>-0.1093345</v>
      </c>
      <c r="N1003">
        <v>0</v>
      </c>
      <c r="O1003">
        <v>-0.99394329999999997</v>
      </c>
      <c r="P1003">
        <v>-0.25578909999999999</v>
      </c>
      <c r="Q1003">
        <v>1.863012E-2</v>
      </c>
      <c r="R1003">
        <v>-0.966553</v>
      </c>
      <c r="S1003">
        <v>-1.4377439999999999</v>
      </c>
      <c r="T1003">
        <v>-0.52758340000000004</v>
      </c>
      <c r="U1003">
        <v>-2.741425</v>
      </c>
      <c r="V1003">
        <v>0.14898129999999901</v>
      </c>
      <c r="W1003">
        <v>2.7446470000000001E-2</v>
      </c>
      <c r="X1003">
        <v>0.98845910000000003</v>
      </c>
      <c r="Y1003">
        <v>0.35805039999999999</v>
      </c>
      <c r="Z1003">
        <v>0.17044709999999999</v>
      </c>
      <c r="AA1003">
        <v>0.91801290000000002</v>
      </c>
      <c r="AB1003">
        <v>31</v>
      </c>
      <c r="AC1003">
        <v>-2.9529999999999998</v>
      </c>
      <c r="AD1003">
        <v>-1.0983119626340001</v>
      </c>
      <c r="AE1003">
        <v>-5.3858999999999897</v>
      </c>
      <c r="AF1003">
        <v>2.27369645465676</v>
      </c>
      <c r="AG1003">
        <v>-1.0983119626340001</v>
      </c>
      <c r="AH1003">
        <v>5.5006197706783801</v>
      </c>
      <c r="AI1003">
        <v>100.455049210144</v>
      </c>
      <c r="AJ1003">
        <v>67.542109547027593</v>
      </c>
      <c r="AK1003">
        <v>6.0525038287275397</v>
      </c>
      <c r="AL1003">
        <v>88.427235702791705</v>
      </c>
      <c r="AM1003">
        <v>81.428851270041605</v>
      </c>
      <c r="AN1003">
        <v>1.0000000644189699</v>
      </c>
    </row>
    <row r="1004" spans="1:40" x14ac:dyDescent="0.3">
      <c r="A1004" t="str">
        <f>"20200111153850343"</f>
        <v>20200111153850343</v>
      </c>
      <c r="B1004" t="str">
        <f>"1578728330341607"</f>
        <v>1578728330341607</v>
      </c>
      <c r="C1004" t="s">
        <v>40</v>
      </c>
      <c r="D1004">
        <v>5.8899949999999999</v>
      </c>
      <c r="E1004">
        <v>0.59741639999999996</v>
      </c>
      <c r="F1004" t="s">
        <v>53</v>
      </c>
      <c r="G1004">
        <v>-195.58619999999999</v>
      </c>
      <c r="H1004" s="1">
        <v>1.134651E-6</v>
      </c>
      <c r="I1004">
        <v>294.99439999999998</v>
      </c>
      <c r="J1004">
        <v>-192.5102</v>
      </c>
      <c r="K1004">
        <v>1.0979989999999999</v>
      </c>
      <c r="L1004">
        <v>300.37729999999999</v>
      </c>
      <c r="M1004">
        <v>-0.1175264</v>
      </c>
      <c r="N1004">
        <v>0</v>
      </c>
      <c r="O1004">
        <v>-0.99300770000000005</v>
      </c>
      <c r="P1004">
        <v>-0.26782040000000001</v>
      </c>
      <c r="Q1004">
        <v>1.971034E-2</v>
      </c>
      <c r="R1004">
        <v>-0.96326769999999995</v>
      </c>
      <c r="S1004">
        <v>-1.48793</v>
      </c>
      <c r="T1004">
        <v>-0.52385459999999995</v>
      </c>
      <c r="U1004">
        <v>-2.7200929999999999</v>
      </c>
      <c r="V1004">
        <v>0.15319449999999901</v>
      </c>
      <c r="W1004">
        <v>2.8375460000000002E-2</v>
      </c>
      <c r="X1004">
        <v>0.98778860000000002</v>
      </c>
      <c r="Y1004">
        <v>0.3665544</v>
      </c>
      <c r="Z1004">
        <v>0.16921040000000001</v>
      </c>
      <c r="AA1004">
        <v>0.91488020000000003</v>
      </c>
      <c r="AB1004">
        <v>31</v>
      </c>
      <c r="AC1004">
        <v>-3.0759999999999899</v>
      </c>
      <c r="AD1004">
        <v>-1.0979978653489999</v>
      </c>
      <c r="AE1004">
        <v>-5.3829000000000002</v>
      </c>
      <c r="AF1004">
        <v>2.34835140037204</v>
      </c>
      <c r="AG1004">
        <v>-1.0979978653489999</v>
      </c>
      <c r="AH1004">
        <v>5.5335623626862898</v>
      </c>
      <c r="AI1004">
        <v>100.351379759805</v>
      </c>
      <c r="AJ1004">
        <v>67.004443600645402</v>
      </c>
      <c r="AK1004">
        <v>6.1107009445462603</v>
      </c>
      <c r="AL1004">
        <v>88.373987681024502</v>
      </c>
      <c r="AM1004">
        <v>81.184323994772498</v>
      </c>
      <c r="AN1004">
        <v>1.0000000199252099</v>
      </c>
    </row>
    <row r="1005" spans="1:40" x14ac:dyDescent="0.3">
      <c r="A1005" t="str">
        <f>"20200111153850364"</f>
        <v>20200111153850364</v>
      </c>
      <c r="B1005" t="str">
        <f>"1578728330361127"</f>
        <v>1578728330361127</v>
      </c>
      <c r="C1005" t="s">
        <v>40</v>
      </c>
      <c r="D1005">
        <v>5.821142</v>
      </c>
      <c r="E1005">
        <v>0.59889250000000005</v>
      </c>
      <c r="F1005" t="s">
        <v>53</v>
      </c>
      <c r="G1005">
        <v>-195.81610000000001</v>
      </c>
      <c r="H1005" s="1">
        <v>1.2451289999999999E-6</v>
      </c>
      <c r="I1005">
        <v>294.62419999999997</v>
      </c>
      <c r="J1005">
        <v>-192.55160000000001</v>
      </c>
      <c r="K1005">
        <v>1.0977239999999999</v>
      </c>
      <c r="L1005">
        <v>300.09160000000003</v>
      </c>
      <c r="M1005">
        <v>-0.12515660000000001</v>
      </c>
      <c r="N1005">
        <v>0</v>
      </c>
      <c r="O1005">
        <v>-0.99207449999999997</v>
      </c>
      <c r="P1005">
        <v>-0.27896690000000002</v>
      </c>
      <c r="Q1005">
        <v>1.956422E-2</v>
      </c>
      <c r="R1005">
        <v>-0.96010169999999995</v>
      </c>
      <c r="S1005">
        <v>-1.5483089999999999</v>
      </c>
      <c r="T1005">
        <v>-0.51424899999999996</v>
      </c>
      <c r="U1005">
        <v>-2.694458</v>
      </c>
      <c r="V1005">
        <v>0.15706600000000001</v>
      </c>
      <c r="W1005">
        <v>2.8089469999999998E-2</v>
      </c>
      <c r="X1005">
        <v>0.98718859999999997</v>
      </c>
      <c r="Y1005">
        <v>0.3788783</v>
      </c>
      <c r="Z1005">
        <v>0.166047</v>
      </c>
      <c r="AA1005">
        <v>0.91042829999999997</v>
      </c>
      <c r="AB1005">
        <v>31</v>
      </c>
      <c r="AC1005">
        <v>-3.2644999999999902</v>
      </c>
      <c r="AD1005">
        <v>-1.097722754871</v>
      </c>
      <c r="AE1005">
        <v>-5.4674000000000502</v>
      </c>
      <c r="AF1005">
        <v>2.4807836923632398</v>
      </c>
      <c r="AG1005">
        <v>-1.097722754871</v>
      </c>
      <c r="AH1005">
        <v>5.6646682579650802</v>
      </c>
      <c r="AI1005">
        <v>100.065617237114</v>
      </c>
      <c r="AJ1005">
        <v>66.349475243532794</v>
      </c>
      <c r="AK1005">
        <v>6.2807443386635402</v>
      </c>
      <c r="AL1005">
        <v>88.390380266297797</v>
      </c>
      <c r="AM1005">
        <v>80.959766131079206</v>
      </c>
      <c r="AN1005">
        <v>1.00000003932541</v>
      </c>
    </row>
    <row r="1006" spans="1:40" x14ac:dyDescent="0.3">
      <c r="A1006" t="str">
        <f>"20200111153850387"</f>
        <v>20200111153850387</v>
      </c>
      <c r="B1006" t="str">
        <f>"1578728330381155"</f>
        <v>1578728330381155</v>
      </c>
      <c r="C1006" t="s">
        <v>40</v>
      </c>
      <c r="D1006">
        <v>5.9238689999999998</v>
      </c>
      <c r="E1006">
        <v>0.59998229999999997</v>
      </c>
      <c r="F1006" t="s">
        <v>53</v>
      </c>
      <c r="G1006">
        <v>-195.97229999999999</v>
      </c>
      <c r="H1006" s="1">
        <v>1.282777E-6</v>
      </c>
      <c r="I1006">
        <v>294.33969999999999</v>
      </c>
      <c r="J1006">
        <v>-192.59960000000001</v>
      </c>
      <c r="K1006">
        <v>1.09741</v>
      </c>
      <c r="L1006">
        <v>299.77999999999997</v>
      </c>
      <c r="M1006">
        <v>-0.13383989999999901</v>
      </c>
      <c r="N1006">
        <v>0</v>
      </c>
      <c r="O1006">
        <v>-0.99094000000000004</v>
      </c>
      <c r="P1006">
        <v>-0.29054760000000002</v>
      </c>
      <c r="Q1006">
        <v>1.9102170000000002E-2</v>
      </c>
      <c r="R1006">
        <v>-0.95667009999999997</v>
      </c>
      <c r="S1006">
        <v>-1.589737</v>
      </c>
      <c r="T1006">
        <v>-0.5101559</v>
      </c>
      <c r="U1006">
        <v>-2.6731569999999998</v>
      </c>
      <c r="V1006">
        <v>0.16036129999999901</v>
      </c>
      <c r="W1006">
        <v>2.7486980000000001E-2</v>
      </c>
      <c r="X1006">
        <v>0.98667559999999999</v>
      </c>
      <c r="Y1006">
        <v>0.38451930000000001</v>
      </c>
      <c r="Z1006">
        <v>0.16479659999999999</v>
      </c>
      <c r="AA1006">
        <v>0.90828790000000004</v>
      </c>
      <c r="AB1006">
        <v>31</v>
      </c>
      <c r="AC1006">
        <v>-3.37269999999998</v>
      </c>
      <c r="AD1006">
        <v>-1.097408717223</v>
      </c>
      <c r="AE1006">
        <v>-5.4402999999999704</v>
      </c>
      <c r="AF1006">
        <v>2.5395317585301398</v>
      </c>
      <c r="AG1006">
        <v>-1.097408717223</v>
      </c>
      <c r="AH1006">
        <v>5.6759420157563598</v>
      </c>
      <c r="AI1006">
        <v>100.00874831145801</v>
      </c>
      <c r="AJ1006">
        <v>65.895288130390199</v>
      </c>
      <c r="AK1006">
        <v>6.3142572968995001</v>
      </c>
      <c r="AL1006">
        <v>88.424913689347207</v>
      </c>
      <c r="AM1006">
        <v>80.768613661354394</v>
      </c>
      <c r="AN1006">
        <v>1.00000001012128</v>
      </c>
    </row>
    <row r="1007" spans="1:40" x14ac:dyDescent="0.3">
      <c r="A1007" t="str">
        <f>"20200111153850410"</f>
        <v>20200111153850410</v>
      </c>
      <c r="B1007" t="str">
        <f>"1578728330401651"</f>
        <v>1578728330401651</v>
      </c>
      <c r="C1007" t="s">
        <v>40</v>
      </c>
      <c r="D1007">
        <v>5.975492</v>
      </c>
      <c r="E1007">
        <v>0.60077130000000001</v>
      </c>
      <c r="F1007" t="s">
        <v>53</v>
      </c>
      <c r="G1007">
        <v>-196.11670000000001</v>
      </c>
      <c r="H1007" s="1">
        <v>1.3189509999999999E-6</v>
      </c>
      <c r="I1007">
        <v>294.0616</v>
      </c>
      <c r="J1007">
        <v>-192.6514</v>
      </c>
      <c r="K1007">
        <v>1.097086</v>
      </c>
      <c r="L1007">
        <v>299.46409999999997</v>
      </c>
      <c r="M1007">
        <v>-0.14301759999999999</v>
      </c>
      <c r="N1007">
        <v>0</v>
      </c>
      <c r="O1007">
        <v>-0.9896566</v>
      </c>
      <c r="P1007">
        <v>-0.30314259999999998</v>
      </c>
      <c r="Q1007">
        <v>1.899882E-2</v>
      </c>
      <c r="R1007">
        <v>-0.95275620000000005</v>
      </c>
      <c r="S1007">
        <v>-1.6303859999999999</v>
      </c>
      <c r="T1007">
        <v>-0.5087178</v>
      </c>
      <c r="U1007">
        <v>-2.6508479999999999</v>
      </c>
      <c r="V1007">
        <v>0.16425290000000001</v>
      </c>
      <c r="W1007">
        <v>2.722625E-2</v>
      </c>
      <c r="X1007">
        <v>0.98604239999999999</v>
      </c>
      <c r="Y1007">
        <v>0.38954329999999998</v>
      </c>
      <c r="Z1007">
        <v>0.1644041</v>
      </c>
      <c r="AA1007">
        <v>0.90621589999999996</v>
      </c>
      <c r="AB1007">
        <v>31</v>
      </c>
      <c r="AC1007">
        <v>-3.4653000000000098</v>
      </c>
      <c r="AD1007">
        <v>-1.097084681049</v>
      </c>
      <c r="AE1007">
        <v>-5.4024999999999697</v>
      </c>
      <c r="AF1007">
        <v>2.5815470132849501</v>
      </c>
      <c r="AG1007">
        <v>-1.097084681049</v>
      </c>
      <c r="AH1007">
        <v>5.6767302775348103</v>
      </c>
      <c r="AI1007">
        <v>99.977561313829199</v>
      </c>
      <c r="AJ1007">
        <v>65.545882199380202</v>
      </c>
      <c r="AK1007">
        <v>6.3319228061524298</v>
      </c>
      <c r="AL1007">
        <v>88.439857915891807</v>
      </c>
      <c r="AM1007">
        <v>80.542624794368294</v>
      </c>
      <c r="AN1007">
        <v>0.99999994922261404</v>
      </c>
    </row>
    <row r="1008" spans="1:40" x14ac:dyDescent="0.3">
      <c r="A1008" t="str">
        <f>"20200111153850431"</f>
        <v>20200111153850431</v>
      </c>
      <c r="B1008" t="str">
        <f>"1578728330421171"</f>
        <v>1578728330421171</v>
      </c>
      <c r="C1008" t="s">
        <v>40</v>
      </c>
      <c r="D1008">
        <v>5.9134330000000004</v>
      </c>
      <c r="E1008">
        <v>0.60123649999999995</v>
      </c>
      <c r="F1008" t="s">
        <v>53</v>
      </c>
      <c r="G1008">
        <v>-196.2475</v>
      </c>
      <c r="H1008" s="1">
        <v>1.352331E-6</v>
      </c>
      <c r="I1008">
        <v>293.80610000000001</v>
      </c>
      <c r="J1008">
        <v>-192.70500000000001</v>
      </c>
      <c r="K1008">
        <v>1.096768</v>
      </c>
      <c r="L1008">
        <v>299.15750000000003</v>
      </c>
      <c r="M1008">
        <v>-0.1522898</v>
      </c>
      <c r="N1008">
        <v>0</v>
      </c>
      <c r="O1008">
        <v>-0.98827160000000003</v>
      </c>
      <c r="P1008">
        <v>-0.3158473</v>
      </c>
      <c r="Q1008">
        <v>1.8923120000000002E-2</v>
      </c>
      <c r="R1008">
        <v>-0.94862139999999995</v>
      </c>
      <c r="S1008">
        <v>-1.670029</v>
      </c>
      <c r="T1008">
        <v>-0.50948609999999905</v>
      </c>
      <c r="U1008">
        <v>-2.6275629999999999</v>
      </c>
      <c r="V1008">
        <v>0.16820389999999999</v>
      </c>
      <c r="W1008">
        <v>2.6991250000000001E-2</v>
      </c>
      <c r="X1008">
        <v>0.9853826</v>
      </c>
      <c r="Y1008">
        <v>0.39427889999999999</v>
      </c>
      <c r="Z1008">
        <v>0.16473289999999999</v>
      </c>
      <c r="AA1008">
        <v>0.90410579999999996</v>
      </c>
      <c r="AB1008">
        <v>31</v>
      </c>
      <c r="AC1008">
        <v>-3.54249999999998</v>
      </c>
      <c r="AD1008">
        <v>-1.0967666476689999</v>
      </c>
      <c r="AE1008">
        <v>-5.3514000000000097</v>
      </c>
      <c r="AF1008">
        <v>2.6099337121039401</v>
      </c>
      <c r="AG1008">
        <v>-1.0967666476689999</v>
      </c>
      <c r="AH1008">
        <v>5.6630977105209004</v>
      </c>
      <c r="AI1008">
        <v>99.975634716589397</v>
      </c>
      <c r="AJ1008">
        <v>65.256592918984197</v>
      </c>
      <c r="AK1008">
        <v>6.3312973978421496</v>
      </c>
      <c r="AL1008">
        <v>88.453327413230696</v>
      </c>
      <c r="AM1008">
        <v>80.313030093132397</v>
      </c>
      <c r="AN1008">
        <v>0.99999997396726503</v>
      </c>
    </row>
    <row r="1009" spans="1:40" x14ac:dyDescent="0.3">
      <c r="A1009" t="str">
        <f>"20200111153850456"</f>
        <v>20200111153850456</v>
      </c>
      <c r="B1009" t="str">
        <f>"1578728330451426"</f>
        <v>1578728330451426</v>
      </c>
      <c r="C1009" t="s">
        <v>40</v>
      </c>
      <c r="D1009">
        <v>5.8651359999999997</v>
      </c>
      <c r="E1009">
        <v>0.60152450000000002</v>
      </c>
      <c r="F1009" t="s">
        <v>53</v>
      </c>
      <c r="G1009">
        <v>-196.36750000000001</v>
      </c>
      <c r="H1009" s="1">
        <v>1.3831729999999901E-6</v>
      </c>
      <c r="I1009">
        <v>293.57060000000001</v>
      </c>
      <c r="J1009">
        <v>-192.76249999999999</v>
      </c>
      <c r="K1009">
        <v>1.0964430000000001</v>
      </c>
      <c r="L1009">
        <v>298.8476</v>
      </c>
      <c r="M1009">
        <v>-0.16203329999999999</v>
      </c>
      <c r="N1009">
        <v>0</v>
      </c>
      <c r="O1009">
        <v>-0.98672070000000001</v>
      </c>
      <c r="P1009">
        <v>-0.32763949999999997</v>
      </c>
      <c r="Q1009">
        <v>1.8552989999999998E-2</v>
      </c>
      <c r="R1009">
        <v>-0.9446213</v>
      </c>
      <c r="S1009">
        <v>-1.7071989999999999</v>
      </c>
      <c r="T1009">
        <v>-0.51123540000000001</v>
      </c>
      <c r="U1009">
        <v>-2.6042480000000001</v>
      </c>
      <c r="V1009">
        <v>0.17076939999999999</v>
      </c>
      <c r="W1009">
        <v>2.6484560000000001E-2</v>
      </c>
      <c r="X1009">
        <v>0.98495500000000002</v>
      </c>
      <c r="Y1009">
        <v>0.39791470000000001</v>
      </c>
      <c r="Z1009">
        <v>0.1653888</v>
      </c>
      <c r="AA1009">
        <v>0.90239150000000001</v>
      </c>
      <c r="AB1009">
        <v>31</v>
      </c>
      <c r="AC1009">
        <v>-3.6050000000000102</v>
      </c>
      <c r="AD1009">
        <v>-1.0964416168269999</v>
      </c>
      <c r="AE1009">
        <v>-5.2769999999999797</v>
      </c>
      <c r="AF1009">
        <v>2.62498561090755</v>
      </c>
      <c r="AG1009">
        <v>-1.0964416168269999</v>
      </c>
      <c r="AH1009">
        <v>5.6258310358045103</v>
      </c>
      <c r="AI1009">
        <v>100.015983932823</v>
      </c>
      <c r="AJ1009">
        <v>64.986470306139594</v>
      </c>
      <c r="AK1009">
        <v>6.3041818279617496</v>
      </c>
      <c r="AL1009">
        <v>88.482369014020307</v>
      </c>
      <c r="AM1009">
        <v>80.163958718361002</v>
      </c>
      <c r="AN1009">
        <v>0.99999998595987605</v>
      </c>
    </row>
    <row r="1010" spans="1:40" x14ac:dyDescent="0.3">
      <c r="A1010" t="str">
        <f>"20200111153850479"</f>
        <v>20200111153850479</v>
      </c>
      <c r="B1010" t="str">
        <f>"1578728330471453"</f>
        <v>1578728330471453</v>
      </c>
      <c r="C1010" t="s">
        <v>40</v>
      </c>
      <c r="D1010">
        <v>5.9613420000000001</v>
      </c>
      <c r="E1010">
        <v>0.60172709999999996</v>
      </c>
      <c r="F1010" t="s">
        <v>53</v>
      </c>
      <c r="G1010">
        <v>-196.5042</v>
      </c>
      <c r="H1010" s="1">
        <v>1.4182109999999999E-6</v>
      </c>
      <c r="I1010">
        <v>293.30279999999999</v>
      </c>
      <c r="J1010">
        <v>-192.8278</v>
      </c>
      <c r="K1010">
        <v>1.0961050000000001</v>
      </c>
      <c r="L1010">
        <v>298.5179</v>
      </c>
      <c r="M1010">
        <v>-0.1728489</v>
      </c>
      <c r="N1010">
        <v>0</v>
      </c>
      <c r="O1010">
        <v>-0.98488279999999995</v>
      </c>
      <c r="P1010">
        <v>-0.34069149999999998</v>
      </c>
      <c r="Q1010">
        <v>1.827788E-2</v>
      </c>
      <c r="R1010">
        <v>-0.93999790000000005</v>
      </c>
      <c r="S1010">
        <v>-1.742111</v>
      </c>
      <c r="T1010">
        <v>-0.51049650000000002</v>
      </c>
      <c r="U1010">
        <v>-2.5816349999999999</v>
      </c>
      <c r="V1010">
        <v>0.17362130000000001</v>
      </c>
      <c r="W1010">
        <v>2.6063650000000001E-2</v>
      </c>
      <c r="X1010">
        <v>0.98446750000000005</v>
      </c>
      <c r="Y1010">
        <v>0.39994479999999999</v>
      </c>
      <c r="Z1010">
        <v>0.16523550000000001</v>
      </c>
      <c r="AA1010">
        <v>0.90152169999999998</v>
      </c>
      <c r="AB1010">
        <v>31</v>
      </c>
      <c r="AC1010">
        <v>-3.6764000000000001</v>
      </c>
      <c r="AD1010">
        <v>-1.0961035817889999</v>
      </c>
      <c r="AE1010">
        <v>-5.2150999999999996</v>
      </c>
      <c r="AF1010">
        <v>2.64162039826103</v>
      </c>
      <c r="AG1010">
        <v>-1.0961035817889999</v>
      </c>
      <c r="AH1010">
        <v>5.6066449911035896</v>
      </c>
      <c r="AI1010">
        <v>100.02927623320799</v>
      </c>
      <c r="AJ1010">
        <v>64.772115983327495</v>
      </c>
      <c r="AK1010">
        <v>6.29397088067513</v>
      </c>
      <c r="AL1010">
        <v>88.5064936768742</v>
      </c>
      <c r="AM1010">
        <v>79.998130664146501</v>
      </c>
      <c r="AN1010">
        <v>0.99999996411062997</v>
      </c>
    </row>
    <row r="1011" spans="1:40" x14ac:dyDescent="0.3">
      <c r="A1011" t="str">
        <f>"20200111153850499"</f>
        <v>20200111153850499</v>
      </c>
      <c r="B1011" t="str">
        <f>"1578728330491951"</f>
        <v>1578728330491951</v>
      </c>
      <c r="C1011" t="s">
        <v>40</v>
      </c>
      <c r="D1011">
        <v>5.9461769999999996</v>
      </c>
      <c r="E1011">
        <v>0.60182069999999999</v>
      </c>
      <c r="F1011" t="s">
        <v>53</v>
      </c>
      <c r="G1011">
        <v>-196.65010000000001</v>
      </c>
      <c r="H1011" s="1">
        <v>1.4545499999999999E-6</v>
      </c>
      <c r="I1011">
        <v>293.02300000000002</v>
      </c>
      <c r="J1011">
        <v>-192.8879</v>
      </c>
      <c r="K1011">
        <v>1.0958319999999999</v>
      </c>
      <c r="L1011">
        <v>298.23099999999999</v>
      </c>
      <c r="M1011">
        <v>-0.18253659999999999</v>
      </c>
      <c r="N1011">
        <v>0</v>
      </c>
      <c r="O1011">
        <v>-0.98313289999999998</v>
      </c>
      <c r="P1011">
        <v>-0.3523445</v>
      </c>
      <c r="Q1011">
        <v>1.7923580000000001E-2</v>
      </c>
      <c r="R1011">
        <v>-0.93569919999999995</v>
      </c>
      <c r="S1011">
        <v>-1.778519</v>
      </c>
      <c r="T1011">
        <v>-0.51002590000000003</v>
      </c>
      <c r="U1011">
        <v>-2.5568240000000002</v>
      </c>
      <c r="V1011">
        <v>0.1761702</v>
      </c>
      <c r="W1011">
        <v>2.5586020000000001E-2</v>
      </c>
      <c r="X1011">
        <v>0.98402710000000004</v>
      </c>
      <c r="Y1011">
        <v>0.40370230000000001</v>
      </c>
      <c r="Z1011">
        <v>0.16519600000000001</v>
      </c>
      <c r="AA1011">
        <v>0.8998526</v>
      </c>
      <c r="AB1011">
        <v>31</v>
      </c>
      <c r="AC1011">
        <v>-3.7622</v>
      </c>
      <c r="AD1011">
        <v>-1.0958305454499999</v>
      </c>
      <c r="AE1011">
        <v>-5.2080000000000197</v>
      </c>
      <c r="AF1011">
        <v>2.6705781565375801</v>
      </c>
      <c r="AG1011">
        <v>-1.0958305454499999</v>
      </c>
      <c r="AH1011">
        <v>5.6431036312524903</v>
      </c>
      <c r="AI1011">
        <v>99.955483471881394</v>
      </c>
      <c r="AJ1011">
        <v>64.674317923568594</v>
      </c>
      <c r="AK1011">
        <v>6.3385685188039096</v>
      </c>
      <c r="AL1011">
        <v>88.533868983418699</v>
      </c>
      <c r="AM1011">
        <v>79.849877781612605</v>
      </c>
      <c r="AN1011">
        <v>0.99999995866094404</v>
      </c>
    </row>
    <row r="1012" spans="1:40" x14ac:dyDescent="0.3">
      <c r="A1012" t="str">
        <f>"20200111153850521"</f>
        <v>20200111153850521</v>
      </c>
      <c r="B1012" t="str">
        <f>"1578728330511469"</f>
        <v>1578728330511469</v>
      </c>
      <c r="C1012" t="s">
        <v>40</v>
      </c>
      <c r="D1012">
        <v>5.8938030000000001</v>
      </c>
      <c r="E1012">
        <v>0.60169759999999906</v>
      </c>
      <c r="F1012" t="s">
        <v>53</v>
      </c>
      <c r="G1012">
        <v>-196.76400000000001</v>
      </c>
      <c r="H1012" s="1">
        <v>1.4828410000000001E-6</v>
      </c>
      <c r="I1012">
        <v>292.80500000000001</v>
      </c>
      <c r="J1012">
        <v>-192.952</v>
      </c>
      <c r="K1012">
        <v>1.095575</v>
      </c>
      <c r="L1012">
        <v>297.94060000000002</v>
      </c>
      <c r="M1012">
        <v>-0.19262799999999999</v>
      </c>
      <c r="N1012">
        <v>0</v>
      </c>
      <c r="O1012">
        <v>-0.98120479999999999</v>
      </c>
      <c r="P1012">
        <v>-0.36439510000000003</v>
      </c>
      <c r="Q1012">
        <v>1.835939E-2</v>
      </c>
      <c r="R1012">
        <v>-0.93106369999999905</v>
      </c>
      <c r="S1012">
        <v>-1.8103180000000001</v>
      </c>
      <c r="T1012">
        <v>-0.51181049999999995</v>
      </c>
      <c r="U1012">
        <v>-2.5342410000000002</v>
      </c>
      <c r="V1012">
        <v>0.17879110000000001</v>
      </c>
      <c r="W1012">
        <v>2.589634E-2</v>
      </c>
      <c r="X1012">
        <v>0.98354620000000004</v>
      </c>
      <c r="Y1012">
        <v>0.40553470000000003</v>
      </c>
      <c r="Z1012">
        <v>0.1658395</v>
      </c>
      <c r="AA1012">
        <v>0.89890979999999998</v>
      </c>
      <c r="AB1012">
        <v>31</v>
      </c>
      <c r="AC1012">
        <v>-3.81200000000001</v>
      </c>
      <c r="AD1012">
        <v>-1.095573517159</v>
      </c>
      <c r="AE1012">
        <v>-5.1356000000000099</v>
      </c>
      <c r="AF1012">
        <v>2.6728450944403601</v>
      </c>
      <c r="AG1012">
        <v>-1.095573517159</v>
      </c>
      <c r="AH1012">
        <v>5.60916560044648</v>
      </c>
      <c r="AI1012">
        <v>99.999788578798402</v>
      </c>
      <c r="AJ1012">
        <v>64.521553649387101</v>
      </c>
      <c r="AK1012">
        <v>6.3092884673001102</v>
      </c>
      <c r="AL1012">
        <v>88.516083128151195</v>
      </c>
      <c r="AM1012">
        <v>79.697154368871793</v>
      </c>
      <c r="AN1012">
        <v>1.0000000026995199</v>
      </c>
    </row>
    <row r="1013" spans="1:40" x14ac:dyDescent="0.3">
      <c r="A1013" t="str">
        <f>"20200111153850543"</f>
        <v>20200111153850543</v>
      </c>
      <c r="B1013" t="str">
        <f>"1578728330531965"</f>
        <v>1578728330531965</v>
      </c>
      <c r="C1013" t="s">
        <v>40</v>
      </c>
      <c r="D1013">
        <v>5.9070199999999904</v>
      </c>
      <c r="E1013">
        <v>0.60154960000000002</v>
      </c>
      <c r="F1013" t="s">
        <v>53</v>
      </c>
      <c r="G1013">
        <v>-196.9136</v>
      </c>
      <c r="H1013" s="1">
        <v>1.5156740000000001E-6</v>
      </c>
      <c r="I1013">
        <v>292.54320000000001</v>
      </c>
      <c r="J1013">
        <v>-193.02209999999999</v>
      </c>
      <c r="K1013">
        <v>1.0953109999999999</v>
      </c>
      <c r="L1013">
        <v>297.6395</v>
      </c>
      <c r="M1013">
        <v>-0.20339840000000001</v>
      </c>
      <c r="N1013">
        <v>0</v>
      </c>
      <c r="O1013">
        <v>-0.97902849999999997</v>
      </c>
      <c r="P1013">
        <v>-0.3764999</v>
      </c>
      <c r="Q1013">
        <v>1.902179E-2</v>
      </c>
      <c r="R1013">
        <v>-0.92622170000000004</v>
      </c>
      <c r="S1013">
        <v>-1.8429409999999999</v>
      </c>
      <c r="T1013">
        <v>-0.509671599999999</v>
      </c>
      <c r="U1013">
        <v>-2.5108950000000001</v>
      </c>
      <c r="V1013">
        <v>0.18083769999999999</v>
      </c>
      <c r="W1013">
        <v>2.6444510000000001E-2</v>
      </c>
      <c r="X1013">
        <v>0.98315739999999996</v>
      </c>
      <c r="Y1013">
        <v>0.40716049999999998</v>
      </c>
      <c r="Z1013">
        <v>0.1652081</v>
      </c>
      <c r="AA1013">
        <v>0.8982909</v>
      </c>
      <c r="AB1013">
        <v>31</v>
      </c>
      <c r="AC1013">
        <v>-3.8915000000000002</v>
      </c>
      <c r="AD1013">
        <v>-1.0953094843260001</v>
      </c>
      <c r="AE1013">
        <v>-5.0962999999999798</v>
      </c>
      <c r="AF1013">
        <v>2.6948616849980902</v>
      </c>
      <c r="AG1013">
        <v>-1.0953094843260001</v>
      </c>
      <c r="AH1013">
        <v>5.6174224956411702</v>
      </c>
      <c r="AI1013">
        <v>99.970781404490907</v>
      </c>
      <c r="AJ1013">
        <v>64.371439260230602</v>
      </c>
      <c r="AK1013">
        <v>6.3259321733844702</v>
      </c>
      <c r="AL1013">
        <v>88.484664580026802</v>
      </c>
      <c r="AM1013">
        <v>79.577757501485806</v>
      </c>
      <c r="AN1013">
        <v>1.0000000295125899</v>
      </c>
    </row>
    <row r="1014" spans="1:40" x14ac:dyDescent="0.3">
      <c r="A1014" t="str">
        <f>"20200111153850568"</f>
        <v>20200111153850568</v>
      </c>
      <c r="B1014" t="str">
        <f>"1578728330561245"</f>
        <v>1578728330561245</v>
      </c>
      <c r="C1014" t="s">
        <v>40</v>
      </c>
      <c r="D1014">
        <v>5.8971530000000003</v>
      </c>
      <c r="E1014">
        <v>0.60116939999999996</v>
      </c>
      <c r="F1014" t="s">
        <v>53</v>
      </c>
      <c r="G1014">
        <v>-197.07480000000001</v>
      </c>
      <c r="H1014" s="1">
        <v>1.5503269999999999E-6</v>
      </c>
      <c r="I1014">
        <v>292.26530000000002</v>
      </c>
      <c r="J1014">
        <v>-193.1052</v>
      </c>
      <c r="K1014">
        <v>1.0949960000000001</v>
      </c>
      <c r="L1014">
        <v>297.30110000000002</v>
      </c>
      <c r="M1014">
        <v>-0.21588260000000001</v>
      </c>
      <c r="N1014">
        <v>0</v>
      </c>
      <c r="O1014">
        <v>-0.97635059999999996</v>
      </c>
      <c r="P1014">
        <v>-0.38959820000000001</v>
      </c>
      <c r="Q1014">
        <v>1.8881240000000001E-2</v>
      </c>
      <c r="R1014">
        <v>-0.92079160000000004</v>
      </c>
      <c r="S1014">
        <v>-1.875443</v>
      </c>
      <c r="T1014">
        <v>-0.50686940000000003</v>
      </c>
      <c r="U1014">
        <v>-2.4870000000000001</v>
      </c>
      <c r="V1014">
        <v>0.18224489999999999</v>
      </c>
      <c r="W1014">
        <v>2.6196170000000001E-2</v>
      </c>
      <c r="X1014">
        <v>0.98290409999999995</v>
      </c>
      <c r="Y1014">
        <v>0.40725479999999997</v>
      </c>
      <c r="Z1014">
        <v>0.16431860000000001</v>
      </c>
      <c r="AA1014">
        <v>0.89841130000000002</v>
      </c>
      <c r="AB1014">
        <v>31</v>
      </c>
      <c r="AC1014">
        <v>-3.96960000000001</v>
      </c>
      <c r="AD1014">
        <v>-1.09499444967299</v>
      </c>
      <c r="AE1014">
        <v>-5.0357999999999903</v>
      </c>
      <c r="AF1014">
        <v>2.7097479405601002</v>
      </c>
      <c r="AG1014">
        <v>-1.09499444967299</v>
      </c>
      <c r="AH1014">
        <v>5.6104549440357196</v>
      </c>
      <c r="AI1014">
        <v>99.967691359251205</v>
      </c>
      <c r="AJ1014">
        <v>64.220300331765102</v>
      </c>
      <c r="AK1014">
        <v>6.3260533846340001</v>
      </c>
      <c r="AL1014">
        <v>88.498898234822207</v>
      </c>
      <c r="AM1014">
        <v>79.495807539125394</v>
      </c>
      <c r="AN1014">
        <v>0.99999995634774297</v>
      </c>
    </row>
    <row r="1015" spans="1:40" x14ac:dyDescent="0.3">
      <c r="A1015" t="str">
        <f>"20200111153850587"</f>
        <v>20200111153850587</v>
      </c>
      <c r="B1015" t="str">
        <f>"1578728330581067"</f>
        <v>1578728330581067</v>
      </c>
      <c r="C1015" t="s">
        <v>40</v>
      </c>
      <c r="D1015">
        <v>5.8552910000000002</v>
      </c>
      <c r="E1015">
        <v>0.600940699999999</v>
      </c>
      <c r="F1015" t="s">
        <v>53</v>
      </c>
      <c r="G1015">
        <v>-197.2337</v>
      </c>
      <c r="H1015" s="1">
        <v>1.586599E-6</v>
      </c>
      <c r="I1015">
        <v>291.97930000000002</v>
      </c>
      <c r="J1015">
        <v>-193.17580000000001</v>
      </c>
      <c r="K1015">
        <v>1.094733</v>
      </c>
      <c r="L1015">
        <v>297.02910000000003</v>
      </c>
      <c r="M1015">
        <v>-0.2262199</v>
      </c>
      <c r="N1015">
        <v>0</v>
      </c>
      <c r="O1015">
        <v>-0.97400699999999996</v>
      </c>
      <c r="P1015">
        <v>-0.40108159999999998</v>
      </c>
      <c r="Q1015">
        <v>1.8920070000000001E-2</v>
      </c>
      <c r="R1015">
        <v>-0.91584730000000003</v>
      </c>
      <c r="S1015">
        <v>-1.9089510000000001</v>
      </c>
      <c r="T1015">
        <v>-0.50631610000000005</v>
      </c>
      <c r="U1015">
        <v>-2.4607540000000001</v>
      </c>
      <c r="V1015">
        <v>0.18413460000000001</v>
      </c>
      <c r="W1015">
        <v>2.612801E-2</v>
      </c>
      <c r="X1015">
        <v>0.98255369999999997</v>
      </c>
      <c r="Y1015">
        <v>0.40988730000000001</v>
      </c>
      <c r="Z1015">
        <v>0.16420940000000001</v>
      </c>
      <c r="AA1015">
        <v>0.89723339999999996</v>
      </c>
      <c r="AB1015">
        <v>31</v>
      </c>
      <c r="AC1015">
        <v>-4.0578999999999796</v>
      </c>
      <c r="AD1015">
        <v>-1.094731413401</v>
      </c>
      <c r="AE1015">
        <v>-5.0498000000000003</v>
      </c>
      <c r="AF1015">
        <v>2.7322242343315701</v>
      </c>
      <c r="AG1015">
        <v>-1.094731413401</v>
      </c>
      <c r="AH1015">
        <v>5.6748572753211199</v>
      </c>
      <c r="AI1015">
        <v>99.8602297270305</v>
      </c>
      <c r="AJ1015">
        <v>64.2909843263852</v>
      </c>
      <c r="AK1015">
        <v>6.39276866697214</v>
      </c>
      <c r="AL1015">
        <v>88.502804915785802</v>
      </c>
      <c r="AM1015">
        <v>79.385652410899894</v>
      </c>
      <c r="AN1015">
        <v>0.99999999860370503</v>
      </c>
    </row>
    <row r="1016" spans="1:40" x14ac:dyDescent="0.3">
      <c r="A1016" t="str">
        <f>"20200111153850613"</f>
        <v>20200111153850613</v>
      </c>
      <c r="B1016" t="str">
        <f>"1578728330601563"</f>
        <v>1578728330601563</v>
      </c>
      <c r="C1016" t="s">
        <v>40</v>
      </c>
      <c r="D1016">
        <v>5.8717739999999896</v>
      </c>
      <c r="E1016">
        <v>0.60061759999999997</v>
      </c>
      <c r="F1016" t="s">
        <v>53</v>
      </c>
      <c r="G1016">
        <v>-197.36340000000001</v>
      </c>
      <c r="H1016" s="1">
        <v>1.6129860000000001E-6</v>
      </c>
      <c r="I1016">
        <v>291.76409999999998</v>
      </c>
      <c r="J1016">
        <v>-193.2679</v>
      </c>
      <c r="K1016">
        <v>1.094392</v>
      </c>
      <c r="L1016">
        <v>296.69040000000001</v>
      </c>
      <c r="M1016">
        <v>-0.2394532</v>
      </c>
      <c r="N1016">
        <v>0</v>
      </c>
      <c r="O1016">
        <v>-0.97083759999999997</v>
      </c>
      <c r="P1016">
        <v>-0.41505039999999999</v>
      </c>
      <c r="Q1016">
        <v>1.9284010000000001E-2</v>
      </c>
      <c r="R1016">
        <v>-0.90959420000000002</v>
      </c>
      <c r="S1016">
        <v>-1.9385220000000001</v>
      </c>
      <c r="T1016">
        <v>-0.5067623</v>
      </c>
      <c r="U1016">
        <v>-2.437195</v>
      </c>
      <c r="V1016">
        <v>0.18583350000000001</v>
      </c>
      <c r="W1016">
        <v>2.636968E-2</v>
      </c>
      <c r="X1016">
        <v>0.98222730000000003</v>
      </c>
      <c r="Y1016">
        <v>0.4083907</v>
      </c>
      <c r="Z1016">
        <v>0.16428799999999999</v>
      </c>
      <c r="AA1016">
        <v>0.89790110000000001</v>
      </c>
      <c r="AB1016">
        <v>31</v>
      </c>
      <c r="AC1016">
        <v>-4.0955000000000101</v>
      </c>
      <c r="AD1016">
        <v>-1.0943903870139999</v>
      </c>
      <c r="AE1016">
        <v>-4.9263000000000199</v>
      </c>
      <c r="AF1016">
        <v>2.7173395502894699</v>
      </c>
      <c r="AG1016">
        <v>-1.0943903870139999</v>
      </c>
      <c r="AH1016">
        <v>5.6002817217960699</v>
      </c>
      <c r="AI1016">
        <v>99.971475742917804</v>
      </c>
      <c r="AJ1016">
        <v>64.116652348506406</v>
      </c>
      <c r="AK1016">
        <v>6.3201882815497799</v>
      </c>
      <c r="AL1016">
        <v>88.488953412644904</v>
      </c>
      <c r="AM1016">
        <v>79.286498894188099</v>
      </c>
      <c r="AN1016">
        <v>0.99999995930541996</v>
      </c>
    </row>
    <row r="1017" spans="1:40" x14ac:dyDescent="0.3">
      <c r="A1017" t="str">
        <f>"20200111153850634"</f>
        <v>20200111153850634</v>
      </c>
      <c r="B1017" t="str">
        <f>"1578728330631819"</f>
        <v>1578728330631819</v>
      </c>
      <c r="C1017" t="s">
        <v>40</v>
      </c>
      <c r="D1017">
        <v>5.8864460000000003</v>
      </c>
      <c r="E1017">
        <v>0.60020699999999905</v>
      </c>
      <c r="F1017" t="s">
        <v>53</v>
      </c>
      <c r="G1017">
        <v>-197.52869999999999</v>
      </c>
      <c r="H1017" s="1">
        <v>1.6470639999999999E-6</v>
      </c>
      <c r="I1017">
        <v>291.48739999999998</v>
      </c>
      <c r="J1017">
        <v>-193.3519</v>
      </c>
      <c r="K1017">
        <v>1.0940939999999999</v>
      </c>
      <c r="L1017">
        <v>296.39819999999997</v>
      </c>
      <c r="M1017">
        <v>-0.25123859999999998</v>
      </c>
      <c r="N1017">
        <v>0</v>
      </c>
      <c r="O1017">
        <v>-0.96785399999999999</v>
      </c>
      <c r="P1017">
        <v>-0.4270775</v>
      </c>
      <c r="Q1017">
        <v>1.9735269999999999E-2</v>
      </c>
      <c r="R1017">
        <v>-0.90400049999999998</v>
      </c>
      <c r="S1017">
        <v>-1.9725950000000001</v>
      </c>
      <c r="T1017">
        <v>-0.5066676</v>
      </c>
      <c r="U1017">
        <v>-2.4088440000000002</v>
      </c>
      <c r="V1017">
        <v>0.18695220000000001</v>
      </c>
      <c r="W1017">
        <v>2.6719079999999999E-2</v>
      </c>
      <c r="X1017">
        <v>0.98200560000000003</v>
      </c>
      <c r="Y1017">
        <v>0.41010449999999998</v>
      </c>
      <c r="Z1017">
        <v>0.1642672</v>
      </c>
      <c r="AA1017">
        <v>0.89712349999999996</v>
      </c>
      <c r="AB1017">
        <v>31</v>
      </c>
      <c r="AC1017">
        <v>-4.1767999999999796</v>
      </c>
      <c r="AD1017">
        <v>-1.0940923529359901</v>
      </c>
      <c r="AE1017">
        <v>-4.9107999999999903</v>
      </c>
      <c r="AF1017">
        <v>2.73030660769387</v>
      </c>
      <c r="AG1017">
        <v>-1.0940923529359901</v>
      </c>
      <c r="AH1017">
        <v>5.6402624446743497</v>
      </c>
      <c r="AI1017">
        <v>99.903898011974107</v>
      </c>
      <c r="AJ1017">
        <v>64.169564651904807</v>
      </c>
      <c r="AK1017">
        <v>6.3611455488436697</v>
      </c>
      <c r="AL1017">
        <v>88.468927297250204</v>
      </c>
      <c r="AM1017">
        <v>79.221134659715602</v>
      </c>
      <c r="AN1017">
        <v>1.00000001637612</v>
      </c>
    </row>
    <row r="1018" spans="1:40" x14ac:dyDescent="0.3">
      <c r="A1018" t="str">
        <f>"20200111153850659"</f>
        <v>20200111153850659</v>
      </c>
      <c r="B1018" t="str">
        <f>"1578728330651339"</f>
        <v>1578728330651339</v>
      </c>
      <c r="C1018" t="s">
        <v>40</v>
      </c>
      <c r="D1018">
        <v>5.9308560000000003</v>
      </c>
      <c r="E1018">
        <v>0.59993790000000002</v>
      </c>
      <c r="F1018" t="s">
        <v>53</v>
      </c>
      <c r="G1018">
        <v>-197.68960000000001</v>
      </c>
      <c r="H1018" s="1">
        <v>1.677168E-6</v>
      </c>
      <c r="I1018">
        <v>291.23540000000003</v>
      </c>
      <c r="J1018">
        <v>-193.44710000000001</v>
      </c>
      <c r="K1018">
        <v>1.0937669999999999</v>
      </c>
      <c r="L1018">
        <v>296.08460000000002</v>
      </c>
      <c r="M1018">
        <v>-0.26428819999999997</v>
      </c>
      <c r="N1018">
        <v>0</v>
      </c>
      <c r="O1018">
        <v>-0.96437130000000004</v>
      </c>
      <c r="P1018">
        <v>-0.43983470000000002</v>
      </c>
      <c r="Q1018">
        <v>2.0914599999999998E-2</v>
      </c>
      <c r="R1018">
        <v>-0.89783550000000001</v>
      </c>
      <c r="S1018">
        <v>-2.0026090000000001</v>
      </c>
      <c r="T1018">
        <v>-0.50511399999999995</v>
      </c>
      <c r="U1018">
        <v>-2.3835139999999999</v>
      </c>
      <c r="V1018">
        <v>0.18765229999999999</v>
      </c>
      <c r="W1018">
        <v>2.779966E-2</v>
      </c>
      <c r="X1018">
        <v>0.98184199999999999</v>
      </c>
      <c r="Y1018">
        <v>0.40919689999999997</v>
      </c>
      <c r="Z1018">
        <v>0.16367229999999999</v>
      </c>
      <c r="AA1018">
        <v>0.89764650000000001</v>
      </c>
      <c r="AB1018">
        <v>31</v>
      </c>
      <c r="AC1018">
        <v>-4.2424999999999997</v>
      </c>
      <c r="AD1018">
        <v>-1.0937653228319999</v>
      </c>
      <c r="AE1018">
        <v>-4.84919999999999</v>
      </c>
      <c r="AF1018">
        <v>2.73124713810232</v>
      </c>
      <c r="AG1018">
        <v>-1.0937653228319999</v>
      </c>
      <c r="AH1018">
        <v>5.63567039272389</v>
      </c>
      <c r="AI1018">
        <v>99.906765324696806</v>
      </c>
      <c r="AJ1018">
        <v>64.143514611486495</v>
      </c>
      <c r="AK1018">
        <v>6.3574219842831399</v>
      </c>
      <c r="AL1018">
        <v>88.406991516137694</v>
      </c>
      <c r="AM1018">
        <v>79.179960664766497</v>
      </c>
      <c r="AN1018">
        <v>0.99999995987770196</v>
      </c>
    </row>
    <row r="1019" spans="1:40" x14ac:dyDescent="0.3">
      <c r="A1019" t="str">
        <f>"20200111153850681"</f>
        <v>20200111153850681</v>
      </c>
      <c r="B1019" t="str">
        <f>"1578728330671366"</f>
        <v>1578728330671366</v>
      </c>
      <c r="C1019" t="s">
        <v>40</v>
      </c>
      <c r="D1019">
        <v>6.1344450000000004</v>
      </c>
      <c r="E1019">
        <v>0.59975719999999899</v>
      </c>
      <c r="F1019" t="s">
        <v>53</v>
      </c>
      <c r="G1019">
        <v>-197.88460000000001</v>
      </c>
      <c r="H1019" s="1">
        <v>1.710403E-6</v>
      </c>
      <c r="I1019">
        <v>290.94850000000002</v>
      </c>
      <c r="J1019">
        <v>-193.54220000000001</v>
      </c>
      <c r="K1019">
        <v>1.0934569999999999</v>
      </c>
      <c r="L1019">
        <v>295.786</v>
      </c>
      <c r="M1019">
        <v>-0.2770571</v>
      </c>
      <c r="N1019">
        <v>0</v>
      </c>
      <c r="O1019">
        <v>-0.96077979999999996</v>
      </c>
      <c r="P1019">
        <v>-0.45260329999999899</v>
      </c>
      <c r="Q1019">
        <v>2.1889220000000001E-2</v>
      </c>
      <c r="R1019">
        <v>-0.8914436</v>
      </c>
      <c r="S1019">
        <v>-2.0354920000000001</v>
      </c>
      <c r="T1019">
        <v>-0.50171319999999997</v>
      </c>
      <c r="U1019">
        <v>-2.3559269999999999</v>
      </c>
      <c r="V1019">
        <v>0.18869430000000001</v>
      </c>
      <c r="W1019">
        <v>2.8673359999999998E-2</v>
      </c>
      <c r="X1019">
        <v>0.98161719999999997</v>
      </c>
      <c r="Y1019">
        <v>0.40963119999999997</v>
      </c>
      <c r="Z1019">
        <v>0.1624652</v>
      </c>
      <c r="AA1019">
        <v>0.89766769999999996</v>
      </c>
      <c r="AB1019">
        <v>31</v>
      </c>
      <c r="AC1019">
        <v>-4.3423999999999898</v>
      </c>
      <c r="AD1019">
        <v>-1.093455289597</v>
      </c>
      <c r="AE1019">
        <v>-4.8374999999999702</v>
      </c>
      <c r="AF1019">
        <v>2.7541022738558998</v>
      </c>
      <c r="AG1019">
        <v>-1.093455289597</v>
      </c>
      <c r="AH1019">
        <v>5.6902782687375204</v>
      </c>
      <c r="AI1019">
        <v>99.813217062034497</v>
      </c>
      <c r="AJ1019">
        <v>64.172955942588999</v>
      </c>
      <c r="AK1019">
        <v>6.4156052388587899</v>
      </c>
      <c r="AL1019">
        <v>88.356912310622207</v>
      </c>
      <c r="AM1019">
        <v>79.118876829344998</v>
      </c>
      <c r="AN1019">
        <v>1.0000000138809999</v>
      </c>
    </row>
    <row r="1020" spans="1:40" x14ac:dyDescent="0.3">
      <c r="A1020" t="str">
        <f>"20200111153850725"</f>
        <v>20200111153850725</v>
      </c>
      <c r="B1020" t="str">
        <f>"1578728330721142"</f>
        <v>1578728330721142</v>
      </c>
      <c r="C1020" t="s">
        <v>40</v>
      </c>
      <c r="D1020">
        <v>5.6085099999999999</v>
      </c>
      <c r="E1020">
        <v>0.69384559999999995</v>
      </c>
      <c r="F1020" t="s">
        <v>53</v>
      </c>
      <c r="G1020">
        <v>-198.05959999999999</v>
      </c>
      <c r="H1020" s="1">
        <v>1.73877E-6</v>
      </c>
      <c r="I1020">
        <v>290.69929999999999</v>
      </c>
      <c r="J1020">
        <v>-193.74260000000001</v>
      </c>
      <c r="K1020">
        <v>1.0928979999999999</v>
      </c>
      <c r="L1020">
        <v>295.19979999999998</v>
      </c>
      <c r="M1020">
        <v>-0.30302849999999998</v>
      </c>
      <c r="N1020">
        <v>0</v>
      </c>
      <c r="O1020">
        <v>-0.95290569999999997</v>
      </c>
      <c r="P1020">
        <v>-0.47958650000000003</v>
      </c>
      <c r="Q1020">
        <v>2.261705E-2</v>
      </c>
      <c r="R1020">
        <v>-0.87720330000000002</v>
      </c>
      <c r="S1020">
        <v>-2.0674130000000002</v>
      </c>
      <c r="T1020">
        <v>-0.50041659999999999</v>
      </c>
      <c r="U1020">
        <v>-2.3279420000000002</v>
      </c>
      <c r="V1020">
        <v>0.1920663</v>
      </c>
      <c r="W1020">
        <v>2.9178119999999998E-2</v>
      </c>
      <c r="X1020">
        <v>0.98094809999999999</v>
      </c>
      <c r="Y1020">
        <v>0.3972386</v>
      </c>
      <c r="Z1020">
        <v>0.16136829999999999</v>
      </c>
      <c r="AA1020">
        <v>0.90341669999999996</v>
      </c>
      <c r="AB1020">
        <v>31</v>
      </c>
      <c r="AC1020">
        <v>-4.31699999999997</v>
      </c>
      <c r="AD1020">
        <v>-1.0928962612299999</v>
      </c>
      <c r="AE1020">
        <v>-4.5004999999999802</v>
      </c>
      <c r="AF1020">
        <v>2.6681678630316301</v>
      </c>
      <c r="AG1020">
        <v>-1.0928962612299999</v>
      </c>
      <c r="AH1020">
        <v>5.43035311039786</v>
      </c>
      <c r="AI1020">
        <v>100.23897768843899</v>
      </c>
      <c r="AJ1020">
        <v>63.833112969894103</v>
      </c>
      <c r="AK1020">
        <v>6.1483556246148501</v>
      </c>
      <c r="AL1020">
        <v>88.327979564301103</v>
      </c>
      <c r="AM1020">
        <v>78.9218278755082</v>
      </c>
      <c r="AN1020">
        <v>1.0000000005880101</v>
      </c>
    </row>
    <row r="1021" spans="1:40" x14ac:dyDescent="0.3">
      <c r="A1021" t="str">
        <f>"20200111153850745"</f>
        <v>20200111153850745</v>
      </c>
      <c r="B1021" t="str">
        <f>"1578728330741639"</f>
        <v>1578728330741639</v>
      </c>
      <c r="C1021" t="s">
        <v>40</v>
      </c>
      <c r="D1021">
        <v>5.8721779999999999</v>
      </c>
      <c r="E1021">
        <v>0.68175269999999899</v>
      </c>
      <c r="F1021" t="s">
        <v>54</v>
      </c>
      <c r="G1021">
        <v>-232.98689999999999</v>
      </c>
      <c r="H1021">
        <v>0.99290560000000005</v>
      </c>
      <c r="I1021">
        <v>268.6447</v>
      </c>
      <c r="J1021">
        <v>-193.8459</v>
      </c>
      <c r="K1021">
        <v>1.0926359999999999</v>
      </c>
      <c r="L1021">
        <v>294.91759999999999</v>
      </c>
      <c r="M1021">
        <v>-0.315944</v>
      </c>
      <c r="N1021">
        <v>0</v>
      </c>
      <c r="O1021">
        <v>-0.94870080000000001</v>
      </c>
      <c r="P1021">
        <v>-0.49286790000000003</v>
      </c>
      <c r="Q1021">
        <v>2.253631E-2</v>
      </c>
      <c r="R1021">
        <v>-0.86981249999999999</v>
      </c>
      <c r="S1021">
        <v>-2.7956240000000001</v>
      </c>
      <c r="T1021">
        <v>-7.1228740000000004E-3</v>
      </c>
      <c r="U1021">
        <v>-1.8916930000000001</v>
      </c>
      <c r="V1021">
        <v>0.19367180000000001</v>
      </c>
      <c r="W1021">
        <v>2.8995569999999998E-2</v>
      </c>
      <c r="X1021">
        <v>0.9806378</v>
      </c>
      <c r="Y1021">
        <v>0.60870489999999999</v>
      </c>
      <c r="Z1021">
        <v>2.2283619999999998E-3</v>
      </c>
      <c r="AA1021">
        <v>0.79339359999999903</v>
      </c>
      <c r="AB1021">
        <v>31</v>
      </c>
      <c r="AC1021">
        <v>-39.140999999999899</v>
      </c>
      <c r="AD1021">
        <v>-9.9730400000000094E-2</v>
      </c>
      <c r="AE1021">
        <v>-26.2729</v>
      </c>
      <c r="AF1021">
        <v>28.834311442911599</v>
      </c>
      <c r="AG1021">
        <v>-9.9730400000000094E-2</v>
      </c>
      <c r="AH1021">
        <v>37.294044388499202</v>
      </c>
      <c r="AI1021">
        <v>90.121213723405006</v>
      </c>
      <c r="AJ1021">
        <v>52.2901925800141</v>
      </c>
      <c r="AK1021">
        <v>47.140992876591604</v>
      </c>
      <c r="AL1021">
        <v>88.338443338538099</v>
      </c>
      <c r="AM1021">
        <v>78.828097989058705</v>
      </c>
      <c r="AN1021">
        <v>1.00000000199185</v>
      </c>
    </row>
    <row r="1022" spans="1:40" x14ac:dyDescent="0.3">
      <c r="A1022" t="str">
        <f>"20200111153850768"</f>
        <v>20200111153850768</v>
      </c>
      <c r="B1022" t="str">
        <f>"1578728330761158"</f>
        <v>1578728330761158</v>
      </c>
      <c r="C1022" t="s">
        <v>40</v>
      </c>
      <c r="D1022">
        <v>5.6453300000000004</v>
      </c>
      <c r="E1022">
        <v>0.68279869999999898</v>
      </c>
      <c r="F1022" t="s">
        <v>55</v>
      </c>
      <c r="G1022">
        <v>-210.4496</v>
      </c>
      <c r="H1022" s="1">
        <v>-1.2975549999999999E-6</v>
      </c>
      <c r="I1022">
        <v>283.40710000000001</v>
      </c>
      <c r="J1022">
        <v>-193.96029999999999</v>
      </c>
      <c r="K1022">
        <v>1.0923689999999999</v>
      </c>
      <c r="L1022">
        <v>294.61849999999998</v>
      </c>
      <c r="M1022">
        <v>-0.3299224</v>
      </c>
      <c r="N1022">
        <v>0</v>
      </c>
      <c r="O1022">
        <v>-0.94392989999999999</v>
      </c>
      <c r="P1022">
        <v>-0.50726459999999995</v>
      </c>
      <c r="Q1022">
        <v>2.2281249999999999E-2</v>
      </c>
      <c r="R1022">
        <v>-0.86150230000000005</v>
      </c>
      <c r="S1022">
        <v>-2.7412869999999998</v>
      </c>
      <c r="T1022">
        <v>-0.18039559999999999</v>
      </c>
      <c r="U1022">
        <v>-1.9003909999999999</v>
      </c>
      <c r="V1022">
        <v>0.19550480000000001</v>
      </c>
      <c r="W1022">
        <v>2.863046E-2</v>
      </c>
      <c r="X1022">
        <v>0.98028479999999996</v>
      </c>
      <c r="Y1022">
        <v>0.5864663</v>
      </c>
      <c r="Z1022">
        <v>5.6764299999999997E-2</v>
      </c>
      <c r="AA1022">
        <v>0.80798210000000004</v>
      </c>
      <c r="AB1022">
        <v>31</v>
      </c>
      <c r="AC1022">
        <v>-16.4893</v>
      </c>
      <c r="AD1022">
        <v>-1.092370297555</v>
      </c>
      <c r="AE1022">
        <v>-11.2113999999999</v>
      </c>
      <c r="AF1022">
        <v>11.8312184321006</v>
      </c>
      <c r="AG1022">
        <v>-1.092370297555</v>
      </c>
      <c r="AH1022">
        <v>15.9761988661571</v>
      </c>
      <c r="AI1022">
        <v>93.145128381297695</v>
      </c>
      <c r="AJ1022">
        <v>53.478099197534</v>
      </c>
      <c r="AK1022">
        <v>19.910046023705199</v>
      </c>
      <c r="AL1022">
        <v>88.359371384078798</v>
      </c>
      <c r="AM1022">
        <v>78.721102327291803</v>
      </c>
      <c r="AN1022">
        <v>1.00000005958694</v>
      </c>
    </row>
    <row r="1023" spans="1:40" x14ac:dyDescent="0.3">
      <c r="A1023" t="str">
        <f>"20200111153850789"</f>
        <v>20200111153850789</v>
      </c>
      <c r="B1023" t="str">
        <f>"1578728330781186"</f>
        <v>1578728330781186</v>
      </c>
      <c r="C1023" t="s">
        <v>40</v>
      </c>
      <c r="D1023">
        <v>5.8395449999999904</v>
      </c>
      <c r="E1023">
        <v>0.67844789999999999</v>
      </c>
      <c r="F1023" t="s">
        <v>55</v>
      </c>
      <c r="G1023">
        <v>-216.24770000000001</v>
      </c>
      <c r="H1023" s="1">
        <v>1.787951E-6</v>
      </c>
      <c r="I1023">
        <v>279.79250000000002</v>
      </c>
      <c r="J1023">
        <v>-194.07470000000001</v>
      </c>
      <c r="K1023">
        <v>1.092109</v>
      </c>
      <c r="L1023">
        <v>294.3322</v>
      </c>
      <c r="M1023">
        <v>-0.34359519999999999</v>
      </c>
      <c r="N1023">
        <v>0</v>
      </c>
      <c r="O1023">
        <v>-0.93903840000000005</v>
      </c>
      <c r="P1023">
        <v>-0.52084269999999999</v>
      </c>
      <c r="Q1023">
        <v>2.2640819999999999E-2</v>
      </c>
      <c r="R1023">
        <v>-0.85335249999999996</v>
      </c>
      <c r="S1023">
        <v>-2.7796940000000001</v>
      </c>
      <c r="T1023">
        <v>-0.1362399</v>
      </c>
      <c r="U1023">
        <v>-1.849091</v>
      </c>
      <c r="V1023">
        <v>0.19682450000000001</v>
      </c>
      <c r="W1023">
        <v>2.8896430000000001E-2</v>
      </c>
      <c r="X1023">
        <v>0.98001280000000002</v>
      </c>
      <c r="Y1023">
        <v>0.59080159999999904</v>
      </c>
      <c r="Z1023">
        <v>4.2878359999999997E-2</v>
      </c>
      <c r="AA1023">
        <v>0.80567670000000002</v>
      </c>
      <c r="AB1023">
        <v>31</v>
      </c>
      <c r="AC1023">
        <v>-22.172999999999998</v>
      </c>
      <c r="AD1023">
        <v>-1.0921072120490001</v>
      </c>
      <c r="AE1023">
        <v>-14.5396999999999</v>
      </c>
      <c r="AF1023">
        <v>15.799904055919701</v>
      </c>
      <c r="AG1023">
        <v>-1.0921072120490001</v>
      </c>
      <c r="AH1023">
        <v>21.2374315075079</v>
      </c>
      <c r="AI1023">
        <v>92.3625788348496</v>
      </c>
      <c r="AJ1023">
        <v>53.352046294752299</v>
      </c>
      <c r="AK1023">
        <v>26.492605824549798</v>
      </c>
      <c r="AL1023">
        <v>88.344125999806096</v>
      </c>
      <c r="AM1023">
        <v>78.643869063126303</v>
      </c>
      <c r="AN1023">
        <v>0.99999998781541699</v>
      </c>
    </row>
    <row r="1024" spans="1:40" x14ac:dyDescent="0.3">
      <c r="A1024" t="str">
        <f>"20200111153850814"</f>
        <v>20200111153850814</v>
      </c>
      <c r="B1024" t="str">
        <f>"1578728330811440"</f>
        <v>1578728330811440</v>
      </c>
      <c r="C1024" t="s">
        <v>40</v>
      </c>
      <c r="D1024">
        <v>5.8225939999999996</v>
      </c>
      <c r="E1024">
        <v>0.67407620000000001</v>
      </c>
      <c r="F1024" t="s">
        <v>55</v>
      </c>
      <c r="G1024">
        <v>-213.98939999999999</v>
      </c>
      <c r="H1024" s="1">
        <v>5.8615570000000002E-7</v>
      </c>
      <c r="I1024">
        <v>281.2672</v>
      </c>
      <c r="J1024">
        <v>-194.2029</v>
      </c>
      <c r="K1024">
        <v>1.0918219999999901</v>
      </c>
      <c r="L1024">
        <v>294.02550000000002</v>
      </c>
      <c r="M1024">
        <v>-0.358568099999999</v>
      </c>
      <c r="N1024">
        <v>0</v>
      </c>
      <c r="O1024">
        <v>-0.93342270000000005</v>
      </c>
      <c r="P1024">
        <v>-0.53520869999999998</v>
      </c>
      <c r="Q1024">
        <v>2.298741E-2</v>
      </c>
      <c r="R1024">
        <v>-0.84440740000000003</v>
      </c>
      <c r="S1024">
        <v>-2.7792210000000002</v>
      </c>
      <c r="T1024">
        <v>-0.15241070000000001</v>
      </c>
      <c r="U1024">
        <v>-1.8233029999999999</v>
      </c>
      <c r="V1024">
        <v>0.19777149999999999</v>
      </c>
      <c r="W1024">
        <v>2.9158099999999999E-2</v>
      </c>
      <c r="X1024">
        <v>0.97981439999999997</v>
      </c>
      <c r="Y1024">
        <v>0.58281329999999998</v>
      </c>
      <c r="Z1024">
        <v>4.8047520000000003E-2</v>
      </c>
      <c r="AA1024">
        <v>0.81118429999999997</v>
      </c>
      <c r="AB1024">
        <v>31</v>
      </c>
      <c r="AC1024">
        <v>-19.786499999999901</v>
      </c>
      <c r="AD1024">
        <v>-1.0918214138443001</v>
      </c>
      <c r="AE1024">
        <v>-12.7583</v>
      </c>
      <c r="AF1024">
        <v>13.8656773566877</v>
      </c>
      <c r="AG1024">
        <v>-1.0918214138443001</v>
      </c>
      <c r="AH1024">
        <v>18.964343222608498</v>
      </c>
      <c r="AI1024">
        <v>92.660910982516796</v>
      </c>
      <c r="AJ1024">
        <v>53.827796600278297</v>
      </c>
      <c r="AK1024">
        <v>23.517980279445499</v>
      </c>
      <c r="AL1024">
        <v>88.329127129341003</v>
      </c>
      <c r="AM1024">
        <v>78.588410310091803</v>
      </c>
      <c r="AN1024">
        <v>1.0000000097276001</v>
      </c>
    </row>
    <row r="1025" spans="1:40" x14ac:dyDescent="0.3">
      <c r="A1025" t="str">
        <f>"20200111153850858"</f>
        <v>20200111153850858</v>
      </c>
      <c r="B1025" t="str">
        <f>"1578728330851457"</f>
        <v>1578728330851457</v>
      </c>
      <c r="C1025" t="s">
        <v>40</v>
      </c>
      <c r="D1025">
        <v>5.8186689999999999</v>
      </c>
      <c r="E1025">
        <v>0.66990709999999998</v>
      </c>
      <c r="F1025" t="s">
        <v>55</v>
      </c>
      <c r="G1025">
        <v>-211.91040000000001</v>
      </c>
      <c r="H1025" s="1">
        <v>-5.2016159999999995E-7</v>
      </c>
      <c r="I1025">
        <v>282.59249999999997</v>
      </c>
      <c r="J1025">
        <v>-194.459</v>
      </c>
      <c r="K1025">
        <v>1.091278</v>
      </c>
      <c r="L1025">
        <v>293.45350000000002</v>
      </c>
      <c r="M1025">
        <v>-0.3874148</v>
      </c>
      <c r="N1025">
        <v>0</v>
      </c>
      <c r="O1025">
        <v>-0.92182140000000001</v>
      </c>
      <c r="P1025">
        <v>-0.5612528</v>
      </c>
      <c r="Q1025">
        <v>2.3743440000000001E-2</v>
      </c>
      <c r="R1025">
        <v>-0.82730400000000004</v>
      </c>
      <c r="S1025">
        <v>-2.7803800000000001</v>
      </c>
      <c r="T1025">
        <v>-0.17143429999999901</v>
      </c>
      <c r="U1025">
        <v>-1.795166</v>
      </c>
      <c r="V1025">
        <v>0.19790440000000001</v>
      </c>
      <c r="W1025">
        <v>2.9813940000000001E-2</v>
      </c>
      <c r="X1025">
        <v>0.97976779999999997</v>
      </c>
      <c r="Y1025">
        <v>0.5630522</v>
      </c>
      <c r="Z1025">
        <v>5.3881249999999999E-2</v>
      </c>
      <c r="AA1025">
        <v>0.82466299999999904</v>
      </c>
      <c r="AB1025">
        <v>31</v>
      </c>
      <c r="AC1025">
        <v>-17.4514</v>
      </c>
      <c r="AD1025">
        <v>-1.0912785201616</v>
      </c>
      <c r="AE1025">
        <v>-10.861000000000001</v>
      </c>
      <c r="AF1025">
        <v>11.846891569474099</v>
      </c>
      <c r="AG1025">
        <v>-1.0912785201616</v>
      </c>
      <c r="AH1025">
        <v>16.7269871060128</v>
      </c>
      <c r="AI1025">
        <v>93.047550470949801</v>
      </c>
      <c r="AJ1025">
        <v>54.691959371314802</v>
      </c>
      <c r="AK1025">
        <v>20.526369048425501</v>
      </c>
      <c r="AL1025">
        <v>88.291533872215894</v>
      </c>
      <c r="AM1025">
        <v>78.580414407048195</v>
      </c>
      <c r="AN1025">
        <v>0.99999998223726105</v>
      </c>
    </row>
    <row r="1026" spans="1:40" x14ac:dyDescent="0.3">
      <c r="A1026" t="str">
        <f>"20200111153850879"</f>
        <v>20200111153850879</v>
      </c>
      <c r="B1026" t="str">
        <f>"1578728330871953"</f>
        <v>1578728330871953</v>
      </c>
      <c r="C1026" t="s">
        <v>40</v>
      </c>
      <c r="D1026">
        <v>5.8411169999999997</v>
      </c>
      <c r="E1026">
        <v>0.65355769999999902</v>
      </c>
      <c r="F1026" t="s">
        <v>55</v>
      </c>
      <c r="G1026">
        <v>-210.89519999999999</v>
      </c>
      <c r="H1026" s="1">
        <v>-1.0604329999999999E-6</v>
      </c>
      <c r="I1026">
        <v>283.34690000000001</v>
      </c>
      <c r="J1026">
        <v>-194.59379999999999</v>
      </c>
      <c r="K1026">
        <v>1.0910260000000001</v>
      </c>
      <c r="L1026">
        <v>293.17129999999997</v>
      </c>
      <c r="M1026">
        <v>-0.40204210000000001</v>
      </c>
      <c r="N1026">
        <v>0</v>
      </c>
      <c r="O1026">
        <v>-0.91553519999999999</v>
      </c>
      <c r="P1026">
        <v>-0.57505450000000002</v>
      </c>
      <c r="Q1026">
        <v>2.515713E-2</v>
      </c>
      <c r="R1026">
        <v>-0.81772829999999996</v>
      </c>
      <c r="S1026">
        <v>-2.8079830000000001</v>
      </c>
      <c r="T1026">
        <v>-0.18643599999999999</v>
      </c>
      <c r="U1026">
        <v>-1.7266239999999999</v>
      </c>
      <c r="V1026">
        <v>0.1988258</v>
      </c>
      <c r="W1026">
        <v>3.115656E-2</v>
      </c>
      <c r="X1026">
        <v>0.97953950000000001</v>
      </c>
      <c r="Y1026">
        <v>0.56779569999999902</v>
      </c>
      <c r="Z1026">
        <v>5.8790549999999997E-2</v>
      </c>
      <c r="AA1026">
        <v>0.8210674</v>
      </c>
      <c r="AB1026">
        <v>31</v>
      </c>
      <c r="AC1026">
        <v>-16.301400000000001</v>
      </c>
      <c r="AD1026">
        <v>-1.0910270604329999</v>
      </c>
      <c r="AE1026">
        <v>-9.8243999999999598</v>
      </c>
      <c r="AF1026">
        <v>10.939600495017901</v>
      </c>
      <c r="AG1026">
        <v>-1.0910270604329999</v>
      </c>
      <c r="AH1026">
        <v>15.498729661856199</v>
      </c>
      <c r="AI1026">
        <v>93.291530319900303</v>
      </c>
      <c r="AJ1026">
        <v>54.784083076159902</v>
      </c>
      <c r="AK1026">
        <v>19.0019951628374</v>
      </c>
      <c r="AL1026">
        <v>88.214571721924003</v>
      </c>
      <c r="AM1026">
        <v>78.526050912564799</v>
      </c>
      <c r="AN1026">
        <v>1.00000003101846</v>
      </c>
    </row>
    <row r="1027" spans="1:40" x14ac:dyDescent="0.3">
      <c r="A1027" t="str">
        <f>"20200111153850902"</f>
        <v>20200111153850902</v>
      </c>
      <c r="B1027" t="str">
        <f>"1578728330891472"</f>
        <v>1578728330891472</v>
      </c>
      <c r="C1027" t="s">
        <v>40</v>
      </c>
      <c r="D1027">
        <v>5.7969379999999999</v>
      </c>
      <c r="E1027">
        <v>0.6532502</v>
      </c>
      <c r="F1027" t="s">
        <v>53</v>
      </c>
      <c r="G1027">
        <v>-204.57409999999999</v>
      </c>
      <c r="H1027" s="1">
        <v>4.0589880000000001E-6</v>
      </c>
      <c r="I1027">
        <v>286.74880000000002</v>
      </c>
      <c r="J1027">
        <v>-194.73670000000001</v>
      </c>
      <c r="K1027">
        <v>1.090794</v>
      </c>
      <c r="L1027">
        <v>292.88440000000003</v>
      </c>
      <c r="M1027">
        <v>-0.41714119999999999</v>
      </c>
      <c r="N1027">
        <v>0</v>
      </c>
      <c r="O1027">
        <v>-0.90875410000000001</v>
      </c>
      <c r="P1027">
        <v>-0.58838550000000001</v>
      </c>
      <c r="Q1027">
        <v>2.6575970000000001E-2</v>
      </c>
      <c r="R1027">
        <v>-0.80814370000000002</v>
      </c>
      <c r="S1027">
        <v>-2.7309109999999999</v>
      </c>
      <c r="T1027">
        <v>-0.29853580000000002</v>
      </c>
      <c r="U1027">
        <v>-1.75738499999999</v>
      </c>
      <c r="V1027">
        <v>0.1987575</v>
      </c>
      <c r="W1027">
        <v>3.2542979999999999E-2</v>
      </c>
      <c r="X1027">
        <v>0.97950820000000005</v>
      </c>
      <c r="Y1027">
        <v>0.53451359999999903</v>
      </c>
      <c r="Z1027">
        <v>9.4330739999999996E-2</v>
      </c>
      <c r="AA1027">
        <v>0.83987909999999899</v>
      </c>
      <c r="AB1027">
        <v>31</v>
      </c>
      <c r="AC1027">
        <v>-9.8373999999999704</v>
      </c>
      <c r="AD1027">
        <v>-1.0907899410119899</v>
      </c>
      <c r="AE1027">
        <v>-6.1356000000000099</v>
      </c>
      <c r="AF1027">
        <v>6.3248890544687502</v>
      </c>
      <c r="AG1027">
        <v>-1.0907899410119899</v>
      </c>
      <c r="AH1027">
        <v>9.5951751219300299</v>
      </c>
      <c r="AI1027">
        <v>95.4220050011334</v>
      </c>
      <c r="AJ1027">
        <v>56.608171356724</v>
      </c>
      <c r="AK1027">
        <v>11.5438914525066</v>
      </c>
      <c r="AL1027">
        <v>88.135095234289807</v>
      </c>
      <c r="AM1027">
        <v>78.529531112456795</v>
      </c>
      <c r="AN1027">
        <v>0.99999995161038402</v>
      </c>
    </row>
    <row r="1028" spans="1:40" x14ac:dyDescent="0.3">
      <c r="A1028" t="str">
        <f>"20200111153850923"</f>
        <v>20200111153850923</v>
      </c>
      <c r="B1028" t="str">
        <f>"1578728330911969"</f>
        <v>1578728330911969</v>
      </c>
      <c r="C1028" t="s">
        <v>40</v>
      </c>
      <c r="D1028">
        <v>5.7865080000000004</v>
      </c>
      <c r="E1028">
        <v>0.65355790000000002</v>
      </c>
      <c r="F1028" t="s">
        <v>53</v>
      </c>
      <c r="G1028">
        <v>-205.44120000000001</v>
      </c>
      <c r="H1028" s="1">
        <v>4.4885259999999998E-6</v>
      </c>
      <c r="I1028">
        <v>286.2337</v>
      </c>
      <c r="J1028">
        <v>-194.8759</v>
      </c>
      <c r="K1028">
        <v>1.0905849999999999</v>
      </c>
      <c r="L1028">
        <v>292.61610000000002</v>
      </c>
      <c r="M1028">
        <v>-0.4315021</v>
      </c>
      <c r="N1028">
        <v>0</v>
      </c>
      <c r="O1028">
        <v>-0.90202269999999896</v>
      </c>
      <c r="P1028">
        <v>-0.60134919999999903</v>
      </c>
      <c r="Q1028">
        <v>2.7440260000000001E-2</v>
      </c>
      <c r="R1028">
        <v>-0.79851530000000004</v>
      </c>
      <c r="S1028">
        <v>-2.757889</v>
      </c>
      <c r="T1028">
        <v>-0.28102919999999998</v>
      </c>
      <c r="U1028">
        <v>-1.71347</v>
      </c>
      <c r="V1028">
        <v>0.1990865</v>
      </c>
      <c r="W1028">
        <v>3.3363650000000002E-2</v>
      </c>
      <c r="X1028">
        <v>0.9794138</v>
      </c>
      <c r="Y1028">
        <v>0.53493049999999998</v>
      </c>
      <c r="Z1028">
        <v>8.8643299999999994E-2</v>
      </c>
      <c r="AA1028">
        <v>0.84023309999999996</v>
      </c>
      <c r="AB1028">
        <v>31</v>
      </c>
      <c r="AC1028">
        <v>-10.565300000000001</v>
      </c>
      <c r="AD1028">
        <v>-1.0905805114739999</v>
      </c>
      <c r="AE1028">
        <v>-6.3824000000000103</v>
      </c>
      <c r="AF1028">
        <v>6.7241762830110803</v>
      </c>
      <c r="AG1028">
        <v>-1.0905805114739999</v>
      </c>
      <c r="AH1028">
        <v>10.236937131739399</v>
      </c>
      <c r="AI1028">
        <v>95.088352944066401</v>
      </c>
      <c r="AJ1028">
        <v>56.700917059563501</v>
      </c>
      <c r="AK1028">
        <v>12.2962918953724</v>
      </c>
      <c r="AL1028">
        <v>88.088048805580698</v>
      </c>
      <c r="AM1028">
        <v>78.509970807858707</v>
      </c>
      <c r="AN1028">
        <v>0.99999997962700604</v>
      </c>
    </row>
    <row r="1029" spans="1:40" x14ac:dyDescent="0.3">
      <c r="A1029" t="str">
        <f>"20200111153850949"</f>
        <v>20200111153850949</v>
      </c>
      <c r="B1029" t="str">
        <f>"1578728330941249"</f>
        <v>1578728330941249</v>
      </c>
      <c r="C1029" t="s">
        <v>40</v>
      </c>
      <c r="D1029">
        <v>5.835267</v>
      </c>
      <c r="E1029">
        <v>0.65209879999999998</v>
      </c>
      <c r="F1029" t="s">
        <v>53</v>
      </c>
      <c r="G1029">
        <v>-205.94909999999999</v>
      </c>
      <c r="H1029" s="1">
        <v>4.7348400000000002E-6</v>
      </c>
      <c r="I1029">
        <v>285.99290000000002</v>
      </c>
      <c r="J1029">
        <v>-195.04570000000001</v>
      </c>
      <c r="K1029">
        <v>1.0903309999999999</v>
      </c>
      <c r="L1029">
        <v>292.30239999999998</v>
      </c>
      <c r="M1029">
        <v>-0.44857340000000001</v>
      </c>
      <c r="N1029">
        <v>0</v>
      </c>
      <c r="O1029">
        <v>-0.89365469999999902</v>
      </c>
      <c r="P1029">
        <v>-0.61673549999999999</v>
      </c>
      <c r="Q1029">
        <v>2.7698540000000001E-2</v>
      </c>
      <c r="R1029">
        <v>-0.78668340000000003</v>
      </c>
      <c r="S1029">
        <v>-2.7874150000000002</v>
      </c>
      <c r="T1029">
        <v>-0.27452690000000002</v>
      </c>
      <c r="U1029">
        <v>-1.6672359999999999</v>
      </c>
      <c r="V1029">
        <v>0.19951169999999999</v>
      </c>
      <c r="W1029">
        <v>3.3574769999999997E-2</v>
      </c>
      <c r="X1029">
        <v>0.97932010000000003</v>
      </c>
      <c r="Y1029">
        <v>0.53326680000000004</v>
      </c>
      <c r="Z1029">
        <v>8.6249000000000006E-2</v>
      </c>
      <c r="AA1029">
        <v>0.84153880000000003</v>
      </c>
      <c r="AB1029">
        <v>31</v>
      </c>
      <c r="AC1029">
        <v>-10.9033999999999</v>
      </c>
      <c r="AD1029">
        <v>-1.0903262651600001</v>
      </c>
      <c r="AE1029">
        <v>-6.3094999999999501</v>
      </c>
      <c r="AF1029">
        <v>6.86275452901479</v>
      </c>
      <c r="AG1029">
        <v>-1.0903262651600001</v>
      </c>
      <c r="AH1029">
        <v>10.4520501301932</v>
      </c>
      <c r="AI1029">
        <v>94.983598733866302</v>
      </c>
      <c r="AJ1029">
        <v>56.7113332334756</v>
      </c>
      <c r="AK1029">
        <v>12.5511578355976</v>
      </c>
      <c r="AL1029">
        <v>88.075945819106096</v>
      </c>
      <c r="AM1029">
        <v>78.485013390088099</v>
      </c>
      <c r="AN1029">
        <v>1.00000002094072</v>
      </c>
    </row>
    <row r="1030" spans="1:40" x14ac:dyDescent="0.3">
      <c r="A1030" t="str">
        <f>"20200111153850970"</f>
        <v>20200111153850970</v>
      </c>
      <c r="B1030" t="str">
        <f>"1578728330961745"</f>
        <v>1578728330961745</v>
      </c>
      <c r="C1030" t="s">
        <v>40</v>
      </c>
      <c r="D1030">
        <v>5.8191680000000003</v>
      </c>
      <c r="E1030">
        <v>0.65146179999999998</v>
      </c>
      <c r="F1030" t="s">
        <v>53</v>
      </c>
      <c r="G1030">
        <v>-206.24940000000001</v>
      </c>
      <c r="H1030" s="1">
        <v>4.8811970000000001E-6</v>
      </c>
      <c r="I1030">
        <v>285.84190000000001</v>
      </c>
      <c r="J1030">
        <v>-195.2022</v>
      </c>
      <c r="K1030">
        <v>1.0901110000000001</v>
      </c>
      <c r="L1030">
        <v>292.02550000000002</v>
      </c>
      <c r="M1030">
        <v>-0.46390290000000001</v>
      </c>
      <c r="N1030">
        <v>0</v>
      </c>
      <c r="O1030">
        <v>-0.88579289999999999</v>
      </c>
      <c r="P1030">
        <v>-0.6303704</v>
      </c>
      <c r="Q1030">
        <v>2.7484930000000001E-2</v>
      </c>
      <c r="R1030">
        <v>-0.77580819999999995</v>
      </c>
      <c r="S1030">
        <v>-2.80986</v>
      </c>
      <c r="T1030">
        <v>-0.27345049999999999</v>
      </c>
      <c r="U1030">
        <v>-1.6202700000000001</v>
      </c>
      <c r="V1030">
        <v>0.19973959999999999</v>
      </c>
      <c r="W1030">
        <v>3.332744E-2</v>
      </c>
      <c r="X1030">
        <v>0.97928210000000004</v>
      </c>
      <c r="Y1030">
        <v>0.53219510000000003</v>
      </c>
      <c r="Z1030">
        <v>8.5717269999999998E-2</v>
      </c>
      <c r="AA1030">
        <v>0.84227129999999995</v>
      </c>
      <c r="AB1030">
        <v>31</v>
      </c>
      <c r="AC1030">
        <v>-11.0472</v>
      </c>
      <c r="AD1030">
        <v>-1.0901061188029999</v>
      </c>
      <c r="AE1030">
        <v>-6.18360000000001</v>
      </c>
      <c r="AF1030">
        <v>6.8666017720934196</v>
      </c>
      <c r="AG1030">
        <v>-1.0901061188029999</v>
      </c>
      <c r="AH1030">
        <v>10.525057098457101</v>
      </c>
      <c r="AI1030">
        <v>94.957667505004096</v>
      </c>
      <c r="AJ1030">
        <v>56.8793624956161</v>
      </c>
      <c r="AK1030">
        <v>12.614094425385799</v>
      </c>
      <c r="AL1030">
        <v>88.090124734008398</v>
      </c>
      <c r="AM1030">
        <v>78.471776517846607</v>
      </c>
      <c r="AN1030">
        <v>1.0000000287227599</v>
      </c>
    </row>
    <row r="1031" spans="1:40" x14ac:dyDescent="0.3">
      <c r="A1031" t="str">
        <f>"20200111153850992"</f>
        <v>20200111153850992</v>
      </c>
      <c r="B1031" t="str">
        <f>"1578728330981463"</f>
        <v>1578728330981463</v>
      </c>
      <c r="C1031" t="s">
        <v>40</v>
      </c>
      <c r="D1031">
        <v>5.8598220000000003</v>
      </c>
      <c r="E1031">
        <v>0.65110829999999997</v>
      </c>
      <c r="F1031" t="s">
        <v>53</v>
      </c>
      <c r="G1031">
        <v>-206.57159999999999</v>
      </c>
      <c r="H1031" s="1">
        <v>5.035435E-6</v>
      </c>
      <c r="I1031">
        <v>285.71210000000002</v>
      </c>
      <c r="J1031">
        <v>-195.35669999999999</v>
      </c>
      <c r="K1031">
        <v>1.0899030000000001</v>
      </c>
      <c r="L1031">
        <v>291.76310000000001</v>
      </c>
      <c r="M1031">
        <v>-0.478659</v>
      </c>
      <c r="N1031">
        <v>0</v>
      </c>
      <c r="O1031">
        <v>-0.87790569999999901</v>
      </c>
      <c r="P1031">
        <v>-0.64320699999999997</v>
      </c>
      <c r="Q1031">
        <v>2.7674770000000001E-2</v>
      </c>
      <c r="R1031">
        <v>-0.76519269999999995</v>
      </c>
      <c r="S1031">
        <v>-2.8341219999999998</v>
      </c>
      <c r="T1031">
        <v>-0.27173700000000001</v>
      </c>
      <c r="U1031">
        <v>-1.5737920000000001</v>
      </c>
      <c r="V1031">
        <v>0.19969690000000001</v>
      </c>
      <c r="W1031">
        <v>3.3496140000000001E-2</v>
      </c>
      <c r="X1031">
        <v>0.97928510000000002</v>
      </c>
      <c r="Y1031">
        <v>0.53171659999999998</v>
      </c>
      <c r="Z1031">
        <v>8.4916630000000007E-2</v>
      </c>
      <c r="AA1031">
        <v>0.84265449999999997</v>
      </c>
      <c r="AB1031">
        <v>31</v>
      </c>
      <c r="AC1031">
        <v>-11.2149</v>
      </c>
      <c r="AD1031">
        <v>-1.089897964565</v>
      </c>
      <c r="AE1031">
        <v>-6.0509999999999797</v>
      </c>
      <c r="AF1031">
        <v>6.8993707477095301</v>
      </c>
      <c r="AG1031">
        <v>-1.089897964565</v>
      </c>
      <c r="AH1031">
        <v>10.6036468861949</v>
      </c>
      <c r="AI1031">
        <v>94.924078572809506</v>
      </c>
      <c r="AJ1031">
        <v>56.949549751281303</v>
      </c>
      <c r="AK1031">
        <v>12.697500603450401</v>
      </c>
      <c r="AL1031">
        <v>88.080453625751204</v>
      </c>
      <c r="AM1031">
        <v>78.474209409098506</v>
      </c>
      <c r="AN1031">
        <v>1.0000000751732501</v>
      </c>
    </row>
    <row r="1032" spans="1:40" x14ac:dyDescent="0.3">
      <c r="A1032" t="str">
        <f>"20200111153851014"</f>
        <v>20200111153851014</v>
      </c>
      <c r="B1032" t="str">
        <f>"1578728331011719"</f>
        <v>1578728331011719</v>
      </c>
      <c r="C1032" t="s">
        <v>40</v>
      </c>
      <c r="D1032">
        <v>5.5498250000000002</v>
      </c>
      <c r="E1032">
        <v>0.65430059999999901</v>
      </c>
      <c r="F1032" t="s">
        <v>53</v>
      </c>
      <c r="G1032">
        <v>-207.0728</v>
      </c>
      <c r="H1032" s="1">
        <v>5.2761439999999997E-6</v>
      </c>
      <c r="I1032">
        <v>285.50069999999999</v>
      </c>
      <c r="J1032">
        <v>-195.51990000000001</v>
      </c>
      <c r="K1032">
        <v>1.0896870000000001</v>
      </c>
      <c r="L1032">
        <v>291.49630000000002</v>
      </c>
      <c r="M1032">
        <v>-0.49387350000000002</v>
      </c>
      <c r="N1032">
        <v>0</v>
      </c>
      <c r="O1032">
        <v>-0.8694364</v>
      </c>
      <c r="P1032">
        <v>-0.65737709999999905</v>
      </c>
      <c r="Q1032">
        <v>2.8335389999999998E-2</v>
      </c>
      <c r="R1032">
        <v>-0.75302919999999995</v>
      </c>
      <c r="S1032">
        <v>-2.8581699999999999</v>
      </c>
      <c r="T1032">
        <v>-0.26588309999999998</v>
      </c>
      <c r="U1032">
        <v>-1.5277099999999999</v>
      </c>
      <c r="V1032">
        <v>0.20097699999999999</v>
      </c>
      <c r="W1032">
        <v>3.4087560000000003E-2</v>
      </c>
      <c r="X1032">
        <v>0.9790027</v>
      </c>
      <c r="Y1032">
        <v>0.53066610000000003</v>
      </c>
      <c r="Z1032">
        <v>8.2761959999999996E-2</v>
      </c>
      <c r="AA1032">
        <v>0.84353069999999897</v>
      </c>
      <c r="AB1032">
        <v>31</v>
      </c>
      <c r="AC1032">
        <v>-11.5528999999999</v>
      </c>
      <c r="AD1032">
        <v>-1.0896817238559999</v>
      </c>
      <c r="AE1032">
        <v>-5.99560000000002</v>
      </c>
      <c r="AF1032">
        <v>7.0347385545810104</v>
      </c>
      <c r="AG1032">
        <v>-1.0896817238559999</v>
      </c>
      <c r="AH1032">
        <v>10.843389427446301</v>
      </c>
      <c r="AI1032">
        <v>94.818941848136404</v>
      </c>
      <c r="AJ1032">
        <v>57.0261755521067</v>
      </c>
      <c r="AK1032">
        <v>12.9712777730595</v>
      </c>
      <c r="AL1032">
        <v>88.046548250261594</v>
      </c>
      <c r="AM1032">
        <v>78.399067414610101</v>
      </c>
      <c r="AN1032">
        <v>1.00000000144152</v>
      </c>
    </row>
    <row r="1033" spans="1:40" x14ac:dyDescent="0.3">
      <c r="A1033" t="str">
        <f>"20200111153851038"</f>
        <v>20200111153851038</v>
      </c>
      <c r="B1033" t="str">
        <f>"1578728331031240"</f>
        <v>1578728331031240</v>
      </c>
      <c r="C1033" t="s">
        <v>40</v>
      </c>
      <c r="D1033">
        <v>5.5624659999999997</v>
      </c>
      <c r="E1033">
        <v>0.70894880000000005</v>
      </c>
      <c r="F1033" t="s">
        <v>53</v>
      </c>
      <c r="G1033">
        <v>-207.5806</v>
      </c>
      <c r="H1033" s="1">
        <v>5.5062029999999998E-6</v>
      </c>
      <c r="I1033">
        <v>285.4452</v>
      </c>
      <c r="J1033">
        <v>-195.69640000000001</v>
      </c>
      <c r="K1033">
        <v>1.0894680000000001</v>
      </c>
      <c r="L1033">
        <v>291.2201</v>
      </c>
      <c r="M1033">
        <v>-0.50987769999999999</v>
      </c>
      <c r="N1033">
        <v>0</v>
      </c>
      <c r="O1033">
        <v>-0.86014709999999905</v>
      </c>
      <c r="P1033">
        <v>-0.67308179999999995</v>
      </c>
      <c r="Q1033">
        <v>2.847183E-2</v>
      </c>
      <c r="R1033">
        <v>-0.73902019999999902</v>
      </c>
      <c r="S1033">
        <v>-2.9052280000000001</v>
      </c>
      <c r="T1033">
        <v>-0.26248630000000001</v>
      </c>
      <c r="U1033">
        <v>-1.457611</v>
      </c>
      <c r="V1033">
        <v>0.20349400000000001</v>
      </c>
      <c r="W1033">
        <v>3.4109E-2</v>
      </c>
      <c r="X1033">
        <v>0.97848179999999996</v>
      </c>
      <c r="Y1033">
        <v>0.53690609999999905</v>
      </c>
      <c r="Z1033">
        <v>8.1261410000000006E-2</v>
      </c>
      <c r="AA1033">
        <v>0.83971929999999995</v>
      </c>
      <c r="AB1033">
        <v>31</v>
      </c>
      <c r="AC1033">
        <v>-11.8841999999999</v>
      </c>
      <c r="AD1033">
        <v>-1.0894624937970001</v>
      </c>
      <c r="AE1033">
        <v>-5.7748999999999997</v>
      </c>
      <c r="AF1033">
        <v>7.2291440736042203</v>
      </c>
      <c r="AG1033">
        <v>-1.0894624937970001</v>
      </c>
      <c r="AH1033">
        <v>10.953231915901799</v>
      </c>
      <c r="AI1033">
        <v>94.745489804826803</v>
      </c>
      <c r="AJ1033">
        <v>56.575148703128299</v>
      </c>
      <c r="AK1033">
        <v>13.1689309348119</v>
      </c>
      <c r="AL1033">
        <v>88.045318979029503</v>
      </c>
      <c r="AM1033">
        <v>78.251712297244595</v>
      </c>
      <c r="AN1033">
        <v>0.999999932424117</v>
      </c>
    </row>
    <row r="1034" spans="1:40" x14ac:dyDescent="0.3">
      <c r="A1034" t="str">
        <f>"20200111153851060"</f>
        <v>20200111153851060</v>
      </c>
      <c r="B1034" t="str">
        <f>"1578728331051737"</f>
        <v>1578728331051737</v>
      </c>
      <c r="C1034" t="s">
        <v>40</v>
      </c>
      <c r="D1034">
        <v>5.5567029999999997</v>
      </c>
      <c r="E1034">
        <v>0.70670140000000004</v>
      </c>
      <c r="F1034" t="s">
        <v>56</v>
      </c>
      <c r="G1034">
        <v>-266.90429999999998</v>
      </c>
      <c r="H1034">
        <v>3.0500639999999999</v>
      </c>
      <c r="I1034">
        <v>267.24419999999998</v>
      </c>
      <c r="J1034">
        <v>-195.87440000000001</v>
      </c>
      <c r="K1034">
        <v>1.0892580000000001</v>
      </c>
      <c r="L1034">
        <v>290.95260000000002</v>
      </c>
      <c r="M1034">
        <v>-0.52558300000000002</v>
      </c>
      <c r="N1034">
        <v>0</v>
      </c>
      <c r="O1034">
        <v>-0.85064010000000001</v>
      </c>
      <c r="P1034">
        <v>-0.68776099999999996</v>
      </c>
      <c r="Q1034">
        <v>2.7088520000000001E-2</v>
      </c>
      <c r="R1034">
        <v>-0.72543179999999996</v>
      </c>
      <c r="S1034">
        <v>-3.251312</v>
      </c>
      <c r="T1034">
        <v>8.9525220000000003E-2</v>
      </c>
      <c r="U1034">
        <v>-1.094727</v>
      </c>
      <c r="V1034">
        <v>0.20508580000000001</v>
      </c>
      <c r="W1034">
        <v>3.2646880000000003E-2</v>
      </c>
      <c r="X1034">
        <v>0.97819940000000005</v>
      </c>
      <c r="Y1034">
        <v>0.63812199999999997</v>
      </c>
      <c r="Z1034">
        <v>-2.713892E-2</v>
      </c>
      <c r="AA1034">
        <v>0.7694569</v>
      </c>
      <c r="AB1034">
        <v>31</v>
      </c>
      <c r="AC1034">
        <v>-71.029899999999898</v>
      </c>
      <c r="AD1034">
        <v>1.960806</v>
      </c>
      <c r="AE1034">
        <v>-23.708400000000001</v>
      </c>
      <c r="AF1034">
        <v>47.931455669247597</v>
      </c>
      <c r="AG1034">
        <v>1.960806</v>
      </c>
      <c r="AH1034">
        <v>57.465022953968798</v>
      </c>
      <c r="AI1034">
        <v>88.499011644465497</v>
      </c>
      <c r="AJ1034">
        <v>50.1685852326084</v>
      </c>
      <c r="AK1034">
        <v>74.856516522229697</v>
      </c>
      <c r="AL1034">
        <v>88.129139193989701</v>
      </c>
      <c r="AM1034">
        <v>78.159075510825801</v>
      </c>
      <c r="AN1034">
        <v>1.00000003514786</v>
      </c>
    </row>
    <row r="1035" spans="1:40" x14ac:dyDescent="0.3">
      <c r="A1035" t="str">
        <f>"20200111153851081"</f>
        <v>20200111153851081</v>
      </c>
      <c r="B1035" t="str">
        <f>"1578728331071256"</f>
        <v>1578728331071256</v>
      </c>
      <c r="C1035" t="s">
        <v>40</v>
      </c>
      <c r="D1035">
        <v>5.5024730000000002</v>
      </c>
      <c r="E1035">
        <v>0.70592330000000003</v>
      </c>
      <c r="F1035" t="s">
        <v>57</v>
      </c>
      <c r="G1035">
        <v>-324.8492</v>
      </c>
      <c r="H1035">
        <v>5.0465439999999999</v>
      </c>
      <c r="I1035">
        <v>249.73240000000001</v>
      </c>
      <c r="J1035">
        <v>-196.05529999999999</v>
      </c>
      <c r="K1035">
        <v>1.089062</v>
      </c>
      <c r="L1035">
        <v>290.69139999999999</v>
      </c>
      <c r="M1035">
        <v>-0.54110130000000001</v>
      </c>
      <c r="N1035">
        <v>0</v>
      </c>
      <c r="O1035">
        <v>-0.84085279999999996</v>
      </c>
      <c r="P1035">
        <v>-0.70225070000000001</v>
      </c>
      <c r="Q1035">
        <v>2.5760519999999999E-2</v>
      </c>
      <c r="R1035">
        <v>-0.71146390000000004</v>
      </c>
      <c r="S1035">
        <v>-3.2592620000000001</v>
      </c>
      <c r="T1035">
        <v>0.10000299999999999</v>
      </c>
      <c r="U1035">
        <v>-1.0416559999999999</v>
      </c>
      <c r="V1035">
        <v>0.2068064</v>
      </c>
      <c r="W1035">
        <v>3.1236159999999999E-2</v>
      </c>
      <c r="X1035">
        <v>0.97788319999999995</v>
      </c>
      <c r="Y1035">
        <v>0.63577980000000001</v>
      </c>
      <c r="Z1035">
        <v>-3.0243630000000001E-2</v>
      </c>
      <c r="AA1035">
        <v>0.77127780000000001</v>
      </c>
      <c r="AB1035">
        <v>31</v>
      </c>
      <c r="AC1035">
        <v>-128.79390000000001</v>
      </c>
      <c r="AD1035">
        <v>3.9574820000000002</v>
      </c>
      <c r="AE1035">
        <v>-40.958999999999897</v>
      </c>
      <c r="AF1035">
        <v>86.067523843708003</v>
      </c>
      <c r="AG1035">
        <v>3.9574820000000002</v>
      </c>
      <c r="AH1035">
        <v>104.05098082712</v>
      </c>
      <c r="AI1035">
        <v>88.321297921598003</v>
      </c>
      <c r="AJ1035">
        <v>50.4035745394808</v>
      </c>
      <c r="AK1035">
        <v>135.09214238975301</v>
      </c>
      <c r="AL1035">
        <v>88.210008824770398</v>
      </c>
      <c r="AM1035">
        <v>78.058823665888596</v>
      </c>
      <c r="AN1035">
        <v>1.00000006880737</v>
      </c>
    </row>
    <row r="1036" spans="1:40" x14ac:dyDescent="0.3">
      <c r="A1036" t="str">
        <f>"20200111153851104"</f>
        <v>20200111153851104</v>
      </c>
      <c r="B1036" t="str">
        <f>"1578728331101512"</f>
        <v>1578728331101512</v>
      </c>
      <c r="C1036" t="s">
        <v>40</v>
      </c>
      <c r="D1036">
        <v>5.5300940000000001</v>
      </c>
      <c r="E1036">
        <v>0.70383869999999904</v>
      </c>
      <c r="F1036" t="s">
        <v>58</v>
      </c>
      <c r="G1036">
        <v>-322.08190000000002</v>
      </c>
      <c r="H1036">
        <v>5.3050050000000004</v>
      </c>
      <c r="I1036">
        <v>252.98009999999999</v>
      </c>
      <c r="J1036">
        <v>-196.23500000000001</v>
      </c>
      <c r="K1036">
        <v>1.088884</v>
      </c>
      <c r="L1036">
        <v>290.44150000000002</v>
      </c>
      <c r="M1036">
        <v>-0.55609529999999996</v>
      </c>
      <c r="N1036">
        <v>0</v>
      </c>
      <c r="O1036">
        <v>-0.83101170000000002</v>
      </c>
      <c r="P1036">
        <v>-0.71682330000000005</v>
      </c>
      <c r="Q1036">
        <v>2.4180409999999999E-2</v>
      </c>
      <c r="R1036">
        <v>-0.69683549999999905</v>
      </c>
      <c r="S1036">
        <v>-3.2750849999999998</v>
      </c>
      <c r="T1036">
        <v>0.1095607</v>
      </c>
      <c r="U1036">
        <v>-0.98001099999999997</v>
      </c>
      <c r="V1036">
        <v>0.20942720000000001</v>
      </c>
      <c r="W1036">
        <v>2.9535120000000002E-2</v>
      </c>
      <c r="X1036">
        <v>0.97737810000000003</v>
      </c>
      <c r="Y1036">
        <v>0.6361774</v>
      </c>
      <c r="Z1036">
        <v>-3.302484E-2</v>
      </c>
      <c r="AA1036">
        <v>0.77083570000000001</v>
      </c>
      <c r="AB1036">
        <v>31</v>
      </c>
      <c r="AC1036">
        <v>-125.84690000000001</v>
      </c>
      <c r="AD1036">
        <v>4.2161210000000002</v>
      </c>
      <c r="AE1036">
        <v>-37.461399999999998</v>
      </c>
      <c r="AF1036">
        <v>83.669309419418795</v>
      </c>
      <c r="AG1036">
        <v>4.2161210000000002</v>
      </c>
      <c r="AH1036">
        <v>101.01855742502001</v>
      </c>
      <c r="AI1036">
        <v>88.158994660313994</v>
      </c>
      <c r="AJ1036">
        <v>50.366514660655199</v>
      </c>
      <c r="AK1036">
        <v>131.23672488766701</v>
      </c>
      <c r="AL1036">
        <v>88.307516172039598</v>
      </c>
      <c r="AM1036">
        <v>77.905857453684504</v>
      </c>
      <c r="AN1036">
        <v>1.0000000128864299</v>
      </c>
    </row>
    <row r="1037" spans="1:40" x14ac:dyDescent="0.3">
      <c r="A1037" t="str">
        <f>"20200111153851127"</f>
        <v>20200111153851127</v>
      </c>
      <c r="B1037" t="str">
        <f>"1578728331121032"</f>
        <v>1578728331121032</v>
      </c>
      <c r="C1037" t="s">
        <v>40</v>
      </c>
      <c r="D1037">
        <v>5.6919719999999998</v>
      </c>
      <c r="E1037">
        <v>0.70320640000000001</v>
      </c>
      <c r="F1037" t="s">
        <v>56</v>
      </c>
      <c r="G1037">
        <v>-321.77289999999999</v>
      </c>
      <c r="H1037">
        <v>5.162236</v>
      </c>
      <c r="I1037">
        <v>255.10550000000001</v>
      </c>
      <c r="J1037">
        <v>-196.43610000000001</v>
      </c>
      <c r="K1037">
        <v>1.0887</v>
      </c>
      <c r="L1037">
        <v>290.17270000000002</v>
      </c>
      <c r="M1037">
        <v>-0.57237569999999904</v>
      </c>
      <c r="N1037">
        <v>0</v>
      </c>
      <c r="O1037">
        <v>-0.81988229999999995</v>
      </c>
      <c r="P1037">
        <v>-0.73196729999999999</v>
      </c>
      <c r="Q1037">
        <v>2.1648150000000001E-2</v>
      </c>
      <c r="R1037">
        <v>-0.68099619999999905</v>
      </c>
      <c r="S1037">
        <v>-3.2831730000000001</v>
      </c>
      <c r="T1037">
        <v>0.1065297</v>
      </c>
      <c r="U1037">
        <v>-0.92413330000000005</v>
      </c>
      <c r="V1037">
        <v>0.21150530000000001</v>
      </c>
      <c r="W1037">
        <v>2.6900690000000001E-2</v>
      </c>
      <c r="X1037">
        <v>0.97700659999999895</v>
      </c>
      <c r="Y1037">
        <v>0.63362030000000003</v>
      </c>
      <c r="Z1037">
        <v>-3.1987189999999999E-2</v>
      </c>
      <c r="AA1037">
        <v>0.77298269999999902</v>
      </c>
      <c r="AB1037">
        <v>31</v>
      </c>
      <c r="AC1037">
        <v>-125.336799999999</v>
      </c>
      <c r="AD1037">
        <v>4.0735359999999998</v>
      </c>
      <c r="AE1037">
        <v>-35.0672</v>
      </c>
      <c r="AF1037">
        <v>82.616283397864606</v>
      </c>
      <c r="AG1037">
        <v>4.0735359999999998</v>
      </c>
      <c r="AH1037">
        <v>100.401359448596</v>
      </c>
      <c r="AI1037">
        <v>88.205542292704607</v>
      </c>
      <c r="AJ1037">
        <v>50.5503951143723</v>
      </c>
      <c r="AK1037">
        <v>130.08642110976001</v>
      </c>
      <c r="AL1037">
        <v>88.458518071410296</v>
      </c>
      <c r="AM1037">
        <v>77.784930279147204</v>
      </c>
      <c r="AN1037">
        <v>1.00000001774706</v>
      </c>
    </row>
    <row r="1038" spans="1:40" x14ac:dyDescent="0.3">
      <c r="A1038" t="str">
        <f>"20200111153851174"</f>
        <v>20200111153851174</v>
      </c>
      <c r="B1038" t="str">
        <f>"1578728331162024"</f>
        <v>1578728331162024</v>
      </c>
      <c r="C1038" t="s">
        <v>40</v>
      </c>
      <c r="D1038">
        <v>5.6342100000000004</v>
      </c>
      <c r="E1038">
        <v>0.70068189999999997</v>
      </c>
      <c r="F1038" t="s">
        <v>57</v>
      </c>
      <c r="G1038">
        <v>-327.30650000000003</v>
      </c>
      <c r="H1038">
        <v>5.0471019999999998</v>
      </c>
      <c r="I1038">
        <v>256.2269</v>
      </c>
      <c r="J1038">
        <v>-196.84389999999999</v>
      </c>
      <c r="K1038">
        <v>1.088363</v>
      </c>
      <c r="L1038">
        <v>289.65949999999998</v>
      </c>
      <c r="M1038">
        <v>-0.6038673</v>
      </c>
      <c r="N1038">
        <v>0</v>
      </c>
      <c r="O1038">
        <v>-0.79697039999999997</v>
      </c>
      <c r="P1038">
        <v>-0.75801929999999995</v>
      </c>
      <c r="Q1038">
        <v>1.7177029999999999E-2</v>
      </c>
      <c r="R1038">
        <v>-0.65200639999999999</v>
      </c>
      <c r="S1038">
        <v>-3.2993619999999999</v>
      </c>
      <c r="T1038">
        <v>9.9795579999999995E-2</v>
      </c>
      <c r="U1038">
        <v>-0.85580440000000002</v>
      </c>
      <c r="V1038">
        <v>0.21141080000000001</v>
      </c>
      <c r="W1038">
        <v>2.2401190000000001E-2</v>
      </c>
      <c r="X1038">
        <v>0.97714049999999997</v>
      </c>
      <c r="Y1038">
        <v>0.61938470000000001</v>
      </c>
      <c r="Z1038">
        <v>-2.9463159999999999E-2</v>
      </c>
      <c r="AA1038">
        <v>0.78453459999999997</v>
      </c>
      <c r="AB1038">
        <v>31</v>
      </c>
      <c r="AC1038">
        <v>-130.46260000000001</v>
      </c>
      <c r="AD1038">
        <v>3.958739</v>
      </c>
      <c r="AE1038">
        <v>-33.432599999999901</v>
      </c>
      <c r="AF1038">
        <v>83.721285641009999</v>
      </c>
      <c r="AG1038">
        <v>3.958739</v>
      </c>
      <c r="AH1038">
        <v>105.345490732893</v>
      </c>
      <c r="AI1038">
        <v>88.314875898714106</v>
      </c>
      <c r="AJ1038">
        <v>51.524759469678301</v>
      </c>
      <c r="AK1038">
        <v>134.62019797046699</v>
      </c>
      <c r="AL1038">
        <v>88.716398920486995</v>
      </c>
      <c r="AM1038">
        <v>77.791847120664897</v>
      </c>
      <c r="AN1038">
        <v>0.99999994820515103</v>
      </c>
    </row>
    <row r="1039" spans="1:40" x14ac:dyDescent="0.3">
      <c r="A1039" t="str">
        <f>"20200111153851214"</f>
        <v>20200111153851214</v>
      </c>
      <c r="B1039" t="str">
        <f>"1578728331211799"</f>
        <v>1578728331211799</v>
      </c>
      <c r="C1039" t="s">
        <v>40</v>
      </c>
      <c r="D1039">
        <v>5.8513609999999998</v>
      </c>
      <c r="E1039">
        <v>0.69061759999999905</v>
      </c>
      <c r="F1039" t="s">
        <v>57</v>
      </c>
      <c r="G1039">
        <v>-328.25580000000002</v>
      </c>
      <c r="H1039">
        <v>5.1320739999999896</v>
      </c>
      <c r="I1039">
        <v>260.26010000000002</v>
      </c>
      <c r="J1039">
        <v>-197.2253</v>
      </c>
      <c r="K1039">
        <v>1.0881559999999999</v>
      </c>
      <c r="L1039">
        <v>289.2149</v>
      </c>
      <c r="M1039">
        <v>-0.63153649999999995</v>
      </c>
      <c r="N1039">
        <v>0</v>
      </c>
      <c r="O1039">
        <v>-0.77522720000000001</v>
      </c>
      <c r="P1039">
        <v>-0.7828138</v>
      </c>
      <c r="Q1039">
        <v>1.9240670000000001E-2</v>
      </c>
      <c r="R1039">
        <v>-0.62195900000000004</v>
      </c>
      <c r="S1039">
        <v>-3.317078</v>
      </c>
      <c r="T1039">
        <v>0.1020708</v>
      </c>
      <c r="U1039">
        <v>-0.74209590000000003</v>
      </c>
      <c r="V1039">
        <v>0.21517649999999999</v>
      </c>
      <c r="W1039">
        <v>2.4292290000000001E-2</v>
      </c>
      <c r="X1039">
        <v>0.97627299999999995</v>
      </c>
      <c r="Y1039">
        <v>0.61817840000000002</v>
      </c>
      <c r="Z1039">
        <v>-2.983796E-2</v>
      </c>
      <c r="AA1039">
        <v>0.78547129999999998</v>
      </c>
      <c r="AB1039">
        <v>31</v>
      </c>
      <c r="AC1039">
        <v>-131.03049999999999</v>
      </c>
      <c r="AD1039">
        <v>4.0439179999999997</v>
      </c>
      <c r="AE1039">
        <v>-28.954799999999899</v>
      </c>
      <c r="AF1039">
        <v>83.224497003466993</v>
      </c>
      <c r="AG1039">
        <v>4.0439179999999997</v>
      </c>
      <c r="AH1039">
        <v>105.111338235617</v>
      </c>
      <c r="AI1039">
        <v>88.272323727553996</v>
      </c>
      <c r="AJ1039">
        <v>51.628710173256103</v>
      </c>
      <c r="AK1039">
        <v>134.13077051874799</v>
      </c>
      <c r="AL1039">
        <v>88.608017388719801</v>
      </c>
      <c r="AM1039">
        <v>77.570391090436004</v>
      </c>
      <c r="AN1039">
        <v>1.00000000601734</v>
      </c>
    </row>
    <row r="1040" spans="1:40" x14ac:dyDescent="0.3">
      <c r="A1040" t="str">
        <f>"20200111153851240"</f>
        <v>20200111153851240</v>
      </c>
      <c r="B1040" t="str">
        <f>"1578728331231320"</f>
        <v>1578728331231320</v>
      </c>
      <c r="C1040" t="s">
        <v>40</v>
      </c>
      <c r="D1040">
        <v>5.9070460000000002</v>
      </c>
      <c r="E1040">
        <v>0.688770199999999</v>
      </c>
      <c r="F1040" t="s">
        <v>57</v>
      </c>
      <c r="G1040">
        <v>-330.73349999999999</v>
      </c>
      <c r="H1040">
        <v>2.9439500000000001</v>
      </c>
      <c r="I1040">
        <v>261.82600000000002</v>
      </c>
      <c r="J1040">
        <v>-197.47389999999999</v>
      </c>
      <c r="K1040">
        <v>1.088047</v>
      </c>
      <c r="L1040">
        <v>288.94200000000001</v>
      </c>
      <c r="M1040">
        <v>-0.64868890000000001</v>
      </c>
      <c r="N1040">
        <v>0</v>
      </c>
      <c r="O1040">
        <v>-0.76093169999999899</v>
      </c>
      <c r="P1040">
        <v>-0.79757619999999996</v>
      </c>
      <c r="Q1040">
        <v>1.9710869999999998E-2</v>
      </c>
      <c r="R1040">
        <v>-0.60289669999999995</v>
      </c>
      <c r="S1040">
        <v>-3.2942659999999999</v>
      </c>
      <c r="T1040">
        <v>4.5791270000000002E-2</v>
      </c>
      <c r="U1040">
        <v>-0.67581179999999996</v>
      </c>
      <c r="V1040">
        <v>0.2169411</v>
      </c>
      <c r="W1040">
        <v>2.4679840000000001E-2</v>
      </c>
      <c r="X1040">
        <v>0.97587270000000004</v>
      </c>
      <c r="Y1040">
        <v>0.6149945</v>
      </c>
      <c r="Z1040">
        <v>-1.339918E-2</v>
      </c>
      <c r="AA1040">
        <v>0.78841749999999999</v>
      </c>
      <c r="AB1040">
        <v>31</v>
      </c>
      <c r="AC1040">
        <v>-133.25960000000001</v>
      </c>
      <c r="AD1040">
        <v>1.8559029999999901</v>
      </c>
      <c r="AE1040">
        <v>-27.116</v>
      </c>
      <c r="AF1040">
        <v>83.803778662534498</v>
      </c>
      <c r="AG1040">
        <v>1.8559029999999901</v>
      </c>
      <c r="AH1040">
        <v>107.06744744415199</v>
      </c>
      <c r="AI1040">
        <v>89.217969930990293</v>
      </c>
      <c r="AJ1040">
        <v>51.949020581284401</v>
      </c>
      <c r="AK1040">
        <v>135.977777582481</v>
      </c>
      <c r="AL1040">
        <v>88.585805784999593</v>
      </c>
      <c r="AM1040">
        <v>77.466688441555206</v>
      </c>
      <c r="AN1040">
        <v>1.00000003098846</v>
      </c>
    </row>
    <row r="1041" spans="1:40" x14ac:dyDescent="0.3">
      <c r="A1041" t="str">
        <f>"20200111153851261"</f>
        <v>20200111153851261</v>
      </c>
      <c r="B1041" t="str">
        <f>"1578728331251815"</f>
        <v>1578728331251815</v>
      </c>
      <c r="C1041" t="s">
        <v>40</v>
      </c>
      <c r="D1041">
        <v>5.9687159999999997</v>
      </c>
      <c r="E1041">
        <v>0.64936079999999996</v>
      </c>
      <c r="F1041" t="s">
        <v>57</v>
      </c>
      <c r="G1041">
        <v>-332.8895</v>
      </c>
      <c r="H1041">
        <v>2.475543</v>
      </c>
      <c r="I1041">
        <v>263.99990000000003</v>
      </c>
      <c r="J1041">
        <v>-197.6874</v>
      </c>
      <c r="K1041">
        <v>1.0879639999999999</v>
      </c>
      <c r="L1041">
        <v>288.7167</v>
      </c>
      <c r="M1041">
        <v>-0.66290059999999995</v>
      </c>
      <c r="N1041">
        <v>0</v>
      </c>
      <c r="O1041">
        <v>-0.74858279999999999</v>
      </c>
      <c r="P1041">
        <v>-0.80915950000000003</v>
      </c>
      <c r="Q1041">
        <v>1.9408089999999999E-2</v>
      </c>
      <c r="R1041">
        <v>-0.58726880000000004</v>
      </c>
      <c r="S1041">
        <v>-3.300964</v>
      </c>
      <c r="T1041">
        <v>3.3822659999999997E-2</v>
      </c>
      <c r="U1041">
        <v>-0.60800169999999998</v>
      </c>
      <c r="V1041">
        <v>0.2175484</v>
      </c>
      <c r="W1041">
        <v>2.4343770000000001E-2</v>
      </c>
      <c r="X1041">
        <v>0.97574590000000005</v>
      </c>
      <c r="Y1041">
        <v>0.61611780000000005</v>
      </c>
      <c r="Z1041">
        <v>-9.846189E-3</v>
      </c>
      <c r="AA1041">
        <v>0.78759250000000003</v>
      </c>
      <c r="AB1041">
        <v>31</v>
      </c>
      <c r="AC1041">
        <v>-135.2021</v>
      </c>
      <c r="AD1041">
        <v>1.3875789999999999</v>
      </c>
      <c r="AE1041">
        <v>-24.7167999999999</v>
      </c>
      <c r="AF1041">
        <v>84.824454194349002</v>
      </c>
      <c r="AG1041">
        <v>1.3875789999999999</v>
      </c>
      <c r="AH1041">
        <v>108.127192948662</v>
      </c>
      <c r="AI1041">
        <v>89.421520721312703</v>
      </c>
      <c r="AJ1041">
        <v>51.886251646737499</v>
      </c>
      <c r="AK1041">
        <v>137.43581505491099</v>
      </c>
      <c r="AL1041">
        <v>88.605066911906505</v>
      </c>
      <c r="AM1041">
        <v>77.431134777687404</v>
      </c>
      <c r="AN1041">
        <v>0.99999999342359103</v>
      </c>
    </row>
    <row r="1042" spans="1:40" x14ac:dyDescent="0.3">
      <c r="A1042" t="str">
        <f>"20200111153851305"</f>
        <v>20200111153851305</v>
      </c>
      <c r="B1042" t="str">
        <f>"1578728331301178"</f>
        <v>1578728331301178</v>
      </c>
      <c r="C1042" t="s">
        <v>40</v>
      </c>
      <c r="D1042">
        <v>6.0115730000000003</v>
      </c>
      <c r="E1042">
        <v>0.6432776</v>
      </c>
      <c r="F1042" t="s">
        <v>55</v>
      </c>
      <c r="G1042">
        <v>-220.07429999999999</v>
      </c>
      <c r="H1042" s="1">
        <v>-1.4972649999999999E-6</v>
      </c>
      <c r="I1042">
        <v>282.99799999999999</v>
      </c>
      <c r="J1042">
        <v>-198.11429999999999</v>
      </c>
      <c r="K1042">
        <v>1.087839</v>
      </c>
      <c r="L1042">
        <v>288.29039999999998</v>
      </c>
      <c r="M1042">
        <v>-0.68994719999999998</v>
      </c>
      <c r="N1042">
        <v>0</v>
      </c>
      <c r="O1042">
        <v>-0.72372939999999997</v>
      </c>
      <c r="P1042">
        <v>-0.82916990000000002</v>
      </c>
      <c r="Q1042">
        <v>2.1374110000000002E-2</v>
      </c>
      <c r="R1042">
        <v>-0.55858799999999997</v>
      </c>
      <c r="S1042">
        <v>-3.1307369999999999</v>
      </c>
      <c r="T1042">
        <v>-0.1521487</v>
      </c>
      <c r="U1042">
        <v>-0.79974369999999995</v>
      </c>
      <c r="V1042">
        <v>0.21591270000000001</v>
      </c>
      <c r="W1042">
        <v>2.6368249999999999E-2</v>
      </c>
      <c r="X1042">
        <v>0.97605660000000005</v>
      </c>
      <c r="Y1042">
        <v>0.52931419999999996</v>
      </c>
      <c r="Z1042">
        <v>4.3355789999999998E-2</v>
      </c>
      <c r="AA1042">
        <v>0.8473174</v>
      </c>
      <c r="AB1042">
        <v>31</v>
      </c>
      <c r="AC1042">
        <v>-21.96</v>
      </c>
      <c r="AD1042">
        <v>-1.087840497265</v>
      </c>
      <c r="AE1042">
        <v>-5.2923999999999802</v>
      </c>
      <c r="AF1042">
        <v>12.2144474261741</v>
      </c>
      <c r="AG1042">
        <v>-1.087840497265</v>
      </c>
      <c r="AH1042">
        <v>18.939371328273999</v>
      </c>
      <c r="AI1042">
        <v>92.763535104001093</v>
      </c>
      <c r="AJ1042">
        <v>57.181075599783597</v>
      </c>
      <c r="AK1042">
        <v>22.562710590363601</v>
      </c>
      <c r="AL1042">
        <v>88.489035484757693</v>
      </c>
      <c r="AM1042">
        <v>77.526514635893705</v>
      </c>
      <c r="AN1042">
        <v>1.00000003251645</v>
      </c>
    </row>
    <row r="1043" spans="1:40" x14ac:dyDescent="0.3">
      <c r="A1043" t="str">
        <f>"20200111153851327"</f>
        <v>20200111153851327</v>
      </c>
      <c r="B1043" t="str">
        <f>"1578728331321677"</f>
        <v>1578728331321677</v>
      </c>
      <c r="C1043" t="s">
        <v>40</v>
      </c>
      <c r="D1043">
        <v>6.0634499999999996</v>
      </c>
      <c r="E1043">
        <v>0.64217040000000003</v>
      </c>
      <c r="F1043" t="s">
        <v>55</v>
      </c>
      <c r="G1043">
        <v>-216.07650000000001</v>
      </c>
      <c r="H1043" s="1">
        <v>1.696809E-6</v>
      </c>
      <c r="I1043">
        <v>284.1037</v>
      </c>
      <c r="J1043">
        <v>-198.35679999999999</v>
      </c>
      <c r="K1043">
        <v>1.0877779999999999</v>
      </c>
      <c r="L1043">
        <v>288.0616</v>
      </c>
      <c r="M1043">
        <v>-0.70453350000000003</v>
      </c>
      <c r="N1043">
        <v>0</v>
      </c>
      <c r="O1043">
        <v>-0.70953759999999999</v>
      </c>
      <c r="P1043">
        <v>-0.83972860000000005</v>
      </c>
      <c r="Q1043">
        <v>2.2760209999999999E-2</v>
      </c>
      <c r="R1043">
        <v>-0.5425295</v>
      </c>
      <c r="S1043">
        <v>-3.1312709999999999</v>
      </c>
      <c r="T1043">
        <v>-0.18963840000000001</v>
      </c>
      <c r="U1043">
        <v>-0.72985840000000002</v>
      </c>
      <c r="V1043">
        <v>0.2148631</v>
      </c>
      <c r="W1043">
        <v>2.779442E-2</v>
      </c>
      <c r="X1043">
        <v>0.97624860000000002</v>
      </c>
      <c r="Y1043">
        <v>0.52927369999999996</v>
      </c>
      <c r="Z1043">
        <v>5.3698089999999997E-2</v>
      </c>
      <c r="AA1043">
        <v>0.84675009999999995</v>
      </c>
      <c r="AB1043">
        <v>31</v>
      </c>
      <c r="AC1043">
        <v>-17.7197</v>
      </c>
      <c r="AD1043">
        <v>-1.0877763031909999</v>
      </c>
      <c r="AE1043">
        <v>-3.9578999999999902</v>
      </c>
      <c r="AF1043">
        <v>9.7502471459200208</v>
      </c>
      <c r="AG1043">
        <v>-1.0877763031909999</v>
      </c>
      <c r="AH1043">
        <v>15.2391465438398</v>
      </c>
      <c r="AI1043">
        <v>93.440863229002801</v>
      </c>
      <c r="AJ1043">
        <v>57.388243611932197</v>
      </c>
      <c r="AK1043">
        <v>18.124076916547502</v>
      </c>
      <c r="AL1043">
        <v>88.407291934396596</v>
      </c>
      <c r="AM1043">
        <v>77.587632460586605</v>
      </c>
      <c r="AN1043">
        <v>1.00000000526335</v>
      </c>
    </row>
    <row r="1044" spans="1:40" x14ac:dyDescent="0.3">
      <c r="A1044" t="str">
        <f>"20200111153851350"</f>
        <v>20200111153851350</v>
      </c>
      <c r="B1044" t="str">
        <f>"1578728331341194"</f>
        <v>1578728331341194</v>
      </c>
      <c r="C1044" t="s">
        <v>40</v>
      </c>
      <c r="D1044">
        <v>6.0126730000000004</v>
      </c>
      <c r="E1044">
        <v>0.63898909999999998</v>
      </c>
      <c r="F1044" t="s">
        <v>55</v>
      </c>
      <c r="G1044">
        <v>-216.22229999999999</v>
      </c>
      <c r="H1044" s="1">
        <v>1.7744290000000001E-6</v>
      </c>
      <c r="I1044">
        <v>284.2097</v>
      </c>
      <c r="J1044">
        <v>-198.6027</v>
      </c>
      <c r="K1044">
        <v>1.087712</v>
      </c>
      <c r="L1044">
        <v>287.83859999999999</v>
      </c>
      <c r="M1044">
        <v>-0.71877939999999996</v>
      </c>
      <c r="N1044">
        <v>0</v>
      </c>
      <c r="O1044">
        <v>-0.69510190000000005</v>
      </c>
      <c r="P1044">
        <v>-0.85014129999999999</v>
      </c>
      <c r="Q1044">
        <v>2.438237E-2</v>
      </c>
      <c r="R1044">
        <v>-0.52599010000000002</v>
      </c>
      <c r="S1044">
        <v>-3.1403349999999999</v>
      </c>
      <c r="T1044">
        <v>-0.19120509999999999</v>
      </c>
      <c r="U1044">
        <v>-0.67706299999999997</v>
      </c>
      <c r="V1044">
        <v>0.21420700000000001</v>
      </c>
      <c r="W1044">
        <v>2.9441220000000001E-2</v>
      </c>
      <c r="X1044">
        <v>0.97634449999999995</v>
      </c>
      <c r="Y1044">
        <v>0.52616160000000001</v>
      </c>
      <c r="Z1044">
        <v>5.3486970000000002E-2</v>
      </c>
      <c r="AA1044">
        <v>0.84870089999999998</v>
      </c>
      <c r="AB1044">
        <v>31</v>
      </c>
      <c r="AC1044">
        <v>-17.619599999999899</v>
      </c>
      <c r="AD1044">
        <v>-1.0877102255710001</v>
      </c>
      <c r="AE1044">
        <v>-3.6288999999999798</v>
      </c>
      <c r="AF1044">
        <v>9.6048382599916096</v>
      </c>
      <c r="AG1044">
        <v>-1.0877102255710001</v>
      </c>
      <c r="AH1044">
        <v>15.133175056971201</v>
      </c>
      <c r="AI1044">
        <v>93.472731878686702</v>
      </c>
      <c r="AJ1044">
        <v>57.597211035984301</v>
      </c>
      <c r="AK1044">
        <v>17.956865507107501</v>
      </c>
      <c r="AL1044">
        <v>88.312898570451907</v>
      </c>
      <c r="AM1044">
        <v>77.625543041555204</v>
      </c>
      <c r="AN1044">
        <v>1.0000000034821599</v>
      </c>
    </row>
    <row r="1045" spans="1:40" x14ac:dyDescent="0.3">
      <c r="A1045" t="str">
        <f>"20200111153851393"</f>
        <v>20200111153851393</v>
      </c>
      <c r="B1045" t="str">
        <f>"1578728331381771"</f>
        <v>1578728331381771</v>
      </c>
      <c r="C1045" t="s">
        <v>40</v>
      </c>
      <c r="D1045">
        <v>5.8610389999999999</v>
      </c>
      <c r="E1045">
        <v>0.63557350000000001</v>
      </c>
      <c r="F1045" t="s">
        <v>55</v>
      </c>
      <c r="G1045">
        <v>-215.62909999999999</v>
      </c>
      <c r="H1045" s="1">
        <v>1.4587450000000001E-6</v>
      </c>
      <c r="I1045">
        <v>284.38279999999997</v>
      </c>
      <c r="J1045">
        <v>-199.06049999999999</v>
      </c>
      <c r="K1045">
        <v>1.0876269999999999</v>
      </c>
      <c r="L1045">
        <v>287.44670000000002</v>
      </c>
      <c r="M1045">
        <v>-0.74390780000000001</v>
      </c>
      <c r="N1045">
        <v>0</v>
      </c>
      <c r="O1045">
        <v>-0.6681395</v>
      </c>
      <c r="P1045">
        <v>-0.86702669999999904</v>
      </c>
      <c r="Q1045">
        <v>2.4871089999999998E-2</v>
      </c>
      <c r="R1045">
        <v>-0.49764059999999999</v>
      </c>
      <c r="S1045">
        <v>-3.140228</v>
      </c>
      <c r="T1045">
        <v>-0.20060900000000001</v>
      </c>
      <c r="U1045">
        <v>-0.63735959999999903</v>
      </c>
      <c r="V1045">
        <v>0.21046809999999999</v>
      </c>
      <c r="W1045">
        <v>3.0083229999999999E-2</v>
      </c>
      <c r="X1045">
        <v>0.9771377</v>
      </c>
      <c r="Y1045">
        <v>0.50483230000000001</v>
      </c>
      <c r="Z1045">
        <v>5.4393610000000002E-2</v>
      </c>
      <c r="AA1045">
        <v>0.86150199999999999</v>
      </c>
      <c r="AB1045">
        <v>31</v>
      </c>
      <c r="AC1045">
        <v>-16.5686</v>
      </c>
      <c r="AD1045">
        <v>-1.087625541255</v>
      </c>
      <c r="AE1045">
        <v>-3.0639000000000398</v>
      </c>
      <c r="AF1045">
        <v>8.7552359825049209</v>
      </c>
      <c r="AG1045">
        <v>-1.087625541255</v>
      </c>
      <c r="AH1045">
        <v>14.314352174195699</v>
      </c>
      <c r="AI1045">
        <v>93.708629275072695</v>
      </c>
      <c r="AJ1045">
        <v>58.548359828718901</v>
      </c>
      <c r="AK1045">
        <v>16.814807896441799</v>
      </c>
      <c r="AL1045">
        <v>88.276097717523896</v>
      </c>
      <c r="AM1045">
        <v>77.844628372163797</v>
      </c>
      <c r="AN1045">
        <v>0.99999995330306501</v>
      </c>
    </row>
    <row r="1046" spans="1:40" x14ac:dyDescent="0.3">
      <c r="A1046" t="str">
        <f>"20200111153851416"</f>
        <v>20200111153851416</v>
      </c>
      <c r="B1046" t="str">
        <f>"1578728331412027"</f>
        <v>1578728331412027</v>
      </c>
      <c r="C1046" t="s">
        <v>40</v>
      </c>
      <c r="D1046">
        <v>5.7714129999999999</v>
      </c>
      <c r="E1046">
        <v>0.61403699999999894</v>
      </c>
      <c r="F1046" t="s">
        <v>55</v>
      </c>
      <c r="G1046">
        <v>-213.98480000000001</v>
      </c>
      <c r="H1046" s="1">
        <v>5.837408E-7</v>
      </c>
      <c r="I1046">
        <v>284.80880000000002</v>
      </c>
      <c r="J1046">
        <v>-199.3212</v>
      </c>
      <c r="K1046">
        <v>1.087591</v>
      </c>
      <c r="L1046">
        <v>287.2362</v>
      </c>
      <c r="M1046">
        <v>-0.757449699999999</v>
      </c>
      <c r="N1046">
        <v>0</v>
      </c>
      <c r="O1046">
        <v>-0.65274719999999997</v>
      </c>
      <c r="P1046">
        <v>-0.87587870000000001</v>
      </c>
      <c r="Q1046">
        <v>2.5264620000000002E-2</v>
      </c>
      <c r="R1046">
        <v>-0.48186970000000001</v>
      </c>
      <c r="S1046">
        <v>-3.1473849999999999</v>
      </c>
      <c r="T1046">
        <v>-0.2293684</v>
      </c>
      <c r="U1046">
        <v>-0.55630489999999999</v>
      </c>
      <c r="V1046">
        <v>0.20812749999999999</v>
      </c>
      <c r="W1046">
        <v>3.057462E-2</v>
      </c>
      <c r="X1046">
        <v>0.97762369999999998</v>
      </c>
      <c r="Y1046">
        <v>0.50832089999999996</v>
      </c>
      <c r="Z1046">
        <v>6.1607139999999998E-2</v>
      </c>
      <c r="AA1046">
        <v>0.85896119999999898</v>
      </c>
      <c r="AB1046">
        <v>31</v>
      </c>
      <c r="AC1046">
        <v>-14.663600000000001</v>
      </c>
      <c r="AD1046">
        <v>-1.0875904162592001</v>
      </c>
      <c r="AE1046">
        <v>-2.4273999999999698</v>
      </c>
      <c r="AF1046">
        <v>7.6925404897099599</v>
      </c>
      <c r="AG1046">
        <v>-1.0875904162592001</v>
      </c>
      <c r="AH1046">
        <v>12.625031337372</v>
      </c>
      <c r="AI1046">
        <v>94.207406699790795</v>
      </c>
      <c r="AJ1046">
        <v>58.645688050962498</v>
      </c>
      <c r="AK1046">
        <v>14.8239484743098</v>
      </c>
      <c r="AL1046">
        <v>88.2479302339177</v>
      </c>
      <c r="AM1046">
        <v>77.981655723982698</v>
      </c>
      <c r="AN1046">
        <v>0.99999998122304201</v>
      </c>
    </row>
    <row r="1047" spans="1:40" x14ac:dyDescent="0.3">
      <c r="A1047" t="str">
        <f>"20200111153851440"</f>
        <v>20200111153851440</v>
      </c>
      <c r="B1047" t="str">
        <f>"1578728331431547"</f>
        <v>1578728331431547</v>
      </c>
      <c r="C1047" t="s">
        <v>40</v>
      </c>
      <c r="D1047">
        <v>5.7824150000000003</v>
      </c>
      <c r="E1047">
        <v>0.61276759999999997</v>
      </c>
      <c r="F1047" t="s">
        <v>53</v>
      </c>
      <c r="G1047">
        <v>-208.3152</v>
      </c>
      <c r="H1047" s="1">
        <v>5.8412769999999999E-6</v>
      </c>
      <c r="I1047">
        <v>285.33870000000002</v>
      </c>
      <c r="J1047">
        <v>-199.5915</v>
      </c>
      <c r="K1047">
        <v>1.087572</v>
      </c>
      <c r="L1047">
        <v>287.0274</v>
      </c>
      <c r="M1047">
        <v>-0.77091430000000005</v>
      </c>
      <c r="N1047">
        <v>0</v>
      </c>
      <c r="O1047">
        <v>-0.63678849999999998</v>
      </c>
      <c r="P1047">
        <v>-0.884941599999999</v>
      </c>
      <c r="Q1047">
        <v>2.594343E-2</v>
      </c>
      <c r="R1047">
        <v>-0.46497889999999997</v>
      </c>
      <c r="S1047">
        <v>-3.0785369999999999</v>
      </c>
      <c r="T1047">
        <v>-0.37226989999999999</v>
      </c>
      <c r="U1047">
        <v>-0.64950559999999902</v>
      </c>
      <c r="V1047">
        <v>0.20648459999999999</v>
      </c>
      <c r="W1047">
        <v>3.1322429999999998E-2</v>
      </c>
      <c r="X1047">
        <v>0.97794840000000005</v>
      </c>
      <c r="Y1047">
        <v>0.45715329999999899</v>
      </c>
      <c r="Z1047">
        <v>9.7035750000000004E-2</v>
      </c>
      <c r="AA1047">
        <v>0.88407860000000005</v>
      </c>
      <c r="AB1047">
        <v>31</v>
      </c>
      <c r="AC1047">
        <v>-8.7236999999999991</v>
      </c>
      <c r="AD1047">
        <v>-1.0875661587230001</v>
      </c>
      <c r="AE1047">
        <v>-1.6886999999999801</v>
      </c>
      <c r="AF1047">
        <v>4.1909329408318996</v>
      </c>
      <c r="AG1047">
        <v>-1.0875661587230001</v>
      </c>
      <c r="AH1047">
        <v>7.6861723647546398</v>
      </c>
      <c r="AI1047">
        <v>97.081543407440293</v>
      </c>
      <c r="AJ1047">
        <v>61.398300704148198</v>
      </c>
      <c r="AK1047">
        <v>8.8217891997523594</v>
      </c>
      <c r="AL1047">
        <v>88.205063426653396</v>
      </c>
      <c r="AM1047">
        <v>78.077644639400503</v>
      </c>
      <c r="AN1047">
        <v>1.0000000288604101</v>
      </c>
    </row>
    <row r="1048" spans="1:40" x14ac:dyDescent="0.3">
      <c r="A1048" t="str">
        <f>"20200111153851460"</f>
        <v>20200111153851460</v>
      </c>
      <c r="B1048" t="str">
        <f>"1578728331452043"</f>
        <v>1578728331452043</v>
      </c>
      <c r="C1048" t="s">
        <v>40</v>
      </c>
      <c r="D1048">
        <v>5.8503949999999998</v>
      </c>
      <c r="E1048">
        <v>0.61114690000000005</v>
      </c>
      <c r="F1048" t="s">
        <v>53</v>
      </c>
      <c r="G1048">
        <v>-208.55170000000001</v>
      </c>
      <c r="H1048" s="1">
        <v>5.95071299999999E-6</v>
      </c>
      <c r="I1048">
        <v>285.28680000000003</v>
      </c>
      <c r="J1048">
        <v>-199.82830000000001</v>
      </c>
      <c r="K1048">
        <v>1.087556</v>
      </c>
      <c r="L1048">
        <v>286.85140000000001</v>
      </c>
      <c r="M1048">
        <v>-0.78227259999999998</v>
      </c>
      <c r="N1048">
        <v>0</v>
      </c>
      <c r="O1048">
        <v>-0.62278250000000002</v>
      </c>
      <c r="P1048">
        <v>-0.8922795</v>
      </c>
      <c r="Q1048">
        <v>2.6732990000000002E-2</v>
      </c>
      <c r="R1048">
        <v>-0.45069160000000003</v>
      </c>
      <c r="S1048">
        <v>-3.0860599999999998</v>
      </c>
      <c r="T1048">
        <v>-0.3745754</v>
      </c>
      <c r="U1048">
        <v>-0.59948729999999995</v>
      </c>
      <c r="V1048">
        <v>0.20458999999999999</v>
      </c>
      <c r="W1048">
        <v>3.2192220000000001E-2</v>
      </c>
      <c r="X1048">
        <v>0.97831829999999997</v>
      </c>
      <c r="Y1048">
        <v>0.45535209999999998</v>
      </c>
      <c r="Z1048">
        <v>9.6281329999999998E-2</v>
      </c>
      <c r="AA1048">
        <v>0.88509009999999999</v>
      </c>
      <c r="AB1048">
        <v>31</v>
      </c>
      <c r="AC1048">
        <v>-8.7233999999999892</v>
      </c>
      <c r="AD1048">
        <v>-1.0875500492870001</v>
      </c>
      <c r="AE1048">
        <v>-1.56459999999998</v>
      </c>
      <c r="AF1048">
        <v>4.1467965398977498</v>
      </c>
      <c r="AG1048">
        <v>-1.0875500492870001</v>
      </c>
      <c r="AH1048">
        <v>7.6835283130545804</v>
      </c>
      <c r="AI1048">
        <v>97.100200630445002</v>
      </c>
      <c r="AJ1048">
        <v>61.644284782697497</v>
      </c>
      <c r="AK1048">
        <v>8.7985961374825905</v>
      </c>
      <c r="AL1048">
        <v>88.155203023295201</v>
      </c>
      <c r="AM1048">
        <v>78.188291310599993</v>
      </c>
      <c r="AN1048">
        <v>1.0000000516217</v>
      </c>
    </row>
    <row r="1049" spans="1:40" x14ac:dyDescent="0.3">
      <c r="A1049" t="str">
        <f>"20200111153851483"</f>
        <v>20200111153851483</v>
      </c>
      <c r="B1049" t="str">
        <f>"1578728331471320"</f>
        <v>1578728331471320</v>
      </c>
      <c r="C1049" t="s">
        <v>40</v>
      </c>
      <c r="D1049">
        <v>5.7501150000000001</v>
      </c>
      <c r="E1049">
        <v>0.63615119999999903</v>
      </c>
      <c r="F1049" t="s">
        <v>53</v>
      </c>
      <c r="G1049">
        <v>-208.6789</v>
      </c>
      <c r="H1049" s="1">
        <v>6.0107650000000002E-6</v>
      </c>
      <c r="I1049">
        <v>285.245</v>
      </c>
      <c r="J1049">
        <v>-200.08789999999999</v>
      </c>
      <c r="K1049">
        <v>1.087548</v>
      </c>
      <c r="L1049">
        <v>286.666</v>
      </c>
      <c r="M1049">
        <v>-0.79425869999999998</v>
      </c>
      <c r="N1049">
        <v>0</v>
      </c>
      <c r="O1049">
        <v>-0.60742159999999901</v>
      </c>
      <c r="P1049">
        <v>-0.8998294</v>
      </c>
      <c r="Q1049">
        <v>2.792389E-2</v>
      </c>
      <c r="R1049">
        <v>-0.43534729999999999</v>
      </c>
      <c r="S1049">
        <v>-3.0902250000000002</v>
      </c>
      <c r="T1049">
        <v>-0.37972240000000002</v>
      </c>
      <c r="U1049">
        <v>-0.56091309999999905</v>
      </c>
      <c r="V1049">
        <v>0.2023054</v>
      </c>
      <c r="W1049">
        <v>3.3480410000000002E-2</v>
      </c>
      <c r="X1049">
        <v>0.97875000000000001</v>
      </c>
      <c r="Y1049">
        <v>0.44886379999999998</v>
      </c>
      <c r="Z1049">
        <v>9.5822110000000002E-2</v>
      </c>
      <c r="AA1049">
        <v>0.88844780000000001</v>
      </c>
      <c r="AB1049">
        <v>31</v>
      </c>
      <c r="AC1049">
        <v>-8.5909999999999993</v>
      </c>
      <c r="AD1049">
        <v>-1.087541989235</v>
      </c>
      <c r="AE1049">
        <v>-1.42099999999999</v>
      </c>
      <c r="AF1049">
        <v>4.0272906345625001</v>
      </c>
      <c r="AG1049">
        <v>-1.087541989235</v>
      </c>
      <c r="AH1049">
        <v>7.5692915861885304</v>
      </c>
      <c r="AI1049">
        <v>97.228910399384006</v>
      </c>
      <c r="AJ1049">
        <v>61.984500435451302</v>
      </c>
      <c r="AK1049">
        <v>8.6426843370754103</v>
      </c>
      <c r="AL1049">
        <v>88.081355226024797</v>
      </c>
      <c r="AM1049">
        <v>78.321555466776999</v>
      </c>
      <c r="AN1049">
        <v>0.99999998761146403</v>
      </c>
    </row>
    <row r="1050" spans="1:40" x14ac:dyDescent="0.3">
      <c r="A1050" t="str">
        <f>"20200111153851527"</f>
        <v>20200111153851527</v>
      </c>
      <c r="B1050" t="str">
        <f>"1578728331522071"</f>
        <v>1578728331522071</v>
      </c>
      <c r="C1050" t="s">
        <v>40</v>
      </c>
      <c r="D1050">
        <v>5.7634379999999998</v>
      </c>
      <c r="E1050">
        <v>0.64488269999999903</v>
      </c>
      <c r="F1050" t="s">
        <v>55</v>
      </c>
      <c r="G1050">
        <v>-215.35570000000001</v>
      </c>
      <c r="H1050" s="1">
        <v>1.3132359999999999E-6</v>
      </c>
      <c r="I1050">
        <v>285.09210000000002</v>
      </c>
      <c r="J1050">
        <v>-200.61799999999999</v>
      </c>
      <c r="K1050">
        <v>1.0875549999999901</v>
      </c>
      <c r="L1050">
        <v>286.31</v>
      </c>
      <c r="M1050">
        <v>-0.817299199999999</v>
      </c>
      <c r="N1050">
        <v>0</v>
      </c>
      <c r="O1050">
        <v>-0.57604690000000003</v>
      </c>
      <c r="P1050">
        <v>-0.91444579999999998</v>
      </c>
      <c r="Q1050">
        <v>3.1198960000000001E-2</v>
      </c>
      <c r="R1050">
        <v>-0.40350439999999999</v>
      </c>
      <c r="S1050">
        <v>-3.1822970000000002</v>
      </c>
      <c r="T1050">
        <v>-0.22667989999999999</v>
      </c>
      <c r="U1050">
        <v>-0.32806400000000002</v>
      </c>
      <c r="V1050">
        <v>0.1986222</v>
      </c>
      <c r="W1050">
        <v>3.6913889999999998E-2</v>
      </c>
      <c r="X1050">
        <v>0.97938069999999999</v>
      </c>
      <c r="Y1050">
        <v>0.48676419999999998</v>
      </c>
      <c r="Z1050">
        <v>5.5795350000000001E-2</v>
      </c>
      <c r="AA1050">
        <v>0.87174959999999901</v>
      </c>
      <c r="AB1050">
        <v>31</v>
      </c>
      <c r="AC1050">
        <v>-14.7377</v>
      </c>
      <c r="AD1050">
        <v>-1.0875536867640001</v>
      </c>
      <c r="AE1050">
        <v>-1.21789999999998</v>
      </c>
      <c r="AF1050">
        <v>7.4546180276453402</v>
      </c>
      <c r="AG1050">
        <v>-1.0875536867640001</v>
      </c>
      <c r="AH1050">
        <v>12.6793241045296</v>
      </c>
      <c r="AI1050">
        <v>94.228815587080007</v>
      </c>
      <c r="AJ1050">
        <v>59.547240622710802</v>
      </c>
      <c r="AK1050">
        <v>14.748537646403999</v>
      </c>
      <c r="AL1050">
        <v>87.884509238933006</v>
      </c>
      <c r="AM1050">
        <v>78.535679856524595</v>
      </c>
      <c r="AN1050">
        <v>0.99999998457012995</v>
      </c>
    </row>
    <row r="1051" spans="1:40" x14ac:dyDescent="0.3">
      <c r="A1051" t="str">
        <f>"20200111153851549"</f>
        <v>20200111153851549</v>
      </c>
      <c r="B1051" t="str">
        <f>"1578728331541592"</f>
        <v>1578728331541592</v>
      </c>
      <c r="C1051" t="s">
        <v>40</v>
      </c>
      <c r="D1051">
        <v>5.7792960000000004</v>
      </c>
      <c r="E1051">
        <v>0.64369189999999998</v>
      </c>
      <c r="F1051" t="s">
        <v>55</v>
      </c>
      <c r="G1051">
        <v>-219.65430000000001</v>
      </c>
      <c r="H1051" s="1">
        <v>3.600728E-6</v>
      </c>
      <c r="I1051">
        <v>285.4128</v>
      </c>
      <c r="J1051">
        <v>-200.87989999999999</v>
      </c>
      <c r="K1051">
        <v>1.0875649999999999</v>
      </c>
      <c r="L1051">
        <v>286.14479999999998</v>
      </c>
      <c r="M1051">
        <v>-0.82800580000000001</v>
      </c>
      <c r="N1051">
        <v>0</v>
      </c>
      <c r="O1051">
        <v>-0.5605483</v>
      </c>
      <c r="P1051">
        <v>-0.92129419999999995</v>
      </c>
      <c r="Q1051">
        <v>3.2723820000000001E-2</v>
      </c>
      <c r="R1051">
        <v>-0.38748749999999998</v>
      </c>
      <c r="S1051">
        <v>-3.2199710000000001</v>
      </c>
      <c r="T1051">
        <v>-0.1839585</v>
      </c>
      <c r="U1051">
        <v>-0.15176389999999901</v>
      </c>
      <c r="V1051">
        <v>0.19729189999999999</v>
      </c>
      <c r="W1051">
        <v>3.8496349999999999E-2</v>
      </c>
      <c r="X1051">
        <v>0.97958860000000003</v>
      </c>
      <c r="Y1051">
        <v>0.51933459999999998</v>
      </c>
      <c r="Z1051">
        <v>4.518954E-2</v>
      </c>
      <c r="AA1051">
        <v>0.85337540000000001</v>
      </c>
      <c r="AB1051">
        <v>31</v>
      </c>
      <c r="AC1051">
        <v>-18.7744</v>
      </c>
      <c r="AD1051">
        <v>-1.0875613992719999</v>
      </c>
      <c r="AE1051">
        <v>-0.73199999999997001</v>
      </c>
      <c r="AF1051">
        <v>9.8856875394640795</v>
      </c>
      <c r="AG1051">
        <v>-1.0875613992719999</v>
      </c>
      <c r="AH1051">
        <v>15.9038787006691</v>
      </c>
      <c r="AI1051">
        <v>93.323882088388999</v>
      </c>
      <c r="AJ1051">
        <v>58.135340630844702</v>
      </c>
      <c r="AK1051">
        <v>18.757477592968002</v>
      </c>
      <c r="AL1051">
        <v>87.793776339967494</v>
      </c>
      <c r="AM1051">
        <v>78.612804486971896</v>
      </c>
      <c r="AN1051">
        <v>0.99999994400944403</v>
      </c>
    </row>
    <row r="1052" spans="1:40" x14ac:dyDescent="0.3">
      <c r="A1052" t="str">
        <f>"20200111153851571"</f>
        <v>20200111153851571</v>
      </c>
      <c r="B1052" t="str">
        <f>"1578728331561112"</f>
        <v>1578728331561112</v>
      </c>
      <c r="C1052" t="s">
        <v>40</v>
      </c>
      <c r="D1052">
        <v>5.7691049999999997</v>
      </c>
      <c r="E1052">
        <v>0.64245839999999999</v>
      </c>
      <c r="F1052" t="s">
        <v>55</v>
      </c>
      <c r="G1052">
        <v>-220.14689999999999</v>
      </c>
      <c r="H1052" s="1">
        <v>-1.4586159999999999E-6</v>
      </c>
      <c r="I1052">
        <v>285.52229999999997</v>
      </c>
      <c r="J1052">
        <v>-201.1567</v>
      </c>
      <c r="K1052">
        <v>1.0875760000000001</v>
      </c>
      <c r="L1052">
        <v>285.97739999999999</v>
      </c>
      <c r="M1052">
        <v>-0.83885159999999903</v>
      </c>
      <c r="N1052">
        <v>0</v>
      </c>
      <c r="O1052">
        <v>-0.54418369999999905</v>
      </c>
      <c r="P1052">
        <v>-0.92839470000000002</v>
      </c>
      <c r="Q1052">
        <v>3.4527269999999999E-2</v>
      </c>
      <c r="R1052">
        <v>-0.36998809999999999</v>
      </c>
      <c r="S1052">
        <v>-3.2190089999999998</v>
      </c>
      <c r="T1052">
        <v>-0.181704</v>
      </c>
      <c r="U1052">
        <v>-0.1040039</v>
      </c>
      <c r="V1052">
        <v>0.1966272</v>
      </c>
      <c r="W1052">
        <v>4.033026E-2</v>
      </c>
      <c r="X1052">
        <v>0.97964850000000003</v>
      </c>
      <c r="Y1052">
        <v>0.51525929999999998</v>
      </c>
      <c r="Z1052">
        <v>4.3803839999999997E-2</v>
      </c>
      <c r="AA1052">
        <v>0.85591419999999996</v>
      </c>
      <c r="AB1052">
        <v>31</v>
      </c>
      <c r="AC1052">
        <v>-18.990199999999898</v>
      </c>
      <c r="AD1052">
        <v>-1.0875774586159901</v>
      </c>
      <c r="AE1052">
        <v>-0.45510000000001499</v>
      </c>
      <c r="AF1052">
        <v>9.9208312605288995</v>
      </c>
      <c r="AG1052">
        <v>-1.0875774586159901</v>
      </c>
      <c r="AH1052">
        <v>16.126309281417701</v>
      </c>
      <c r="AI1052">
        <v>93.287554317195401</v>
      </c>
      <c r="AJ1052">
        <v>58.4003618818276</v>
      </c>
      <c r="AK1052">
        <v>18.964798144676202</v>
      </c>
      <c r="AL1052">
        <v>87.688619402464695</v>
      </c>
      <c r="AM1052">
        <v>78.650847877272497</v>
      </c>
      <c r="AN1052">
        <v>0.999999984601878</v>
      </c>
    </row>
    <row r="1053" spans="1:40" x14ac:dyDescent="0.3">
      <c r="A1053" t="str">
        <f>"20200111153851594"</f>
        <v>20200111153851594</v>
      </c>
      <c r="B1053" t="str">
        <f>"1578728331591368"</f>
        <v>1578728331591368</v>
      </c>
      <c r="C1053" t="s">
        <v>40</v>
      </c>
      <c r="D1053">
        <v>5.6830569999999998</v>
      </c>
      <c r="E1053">
        <v>0.64030469999999995</v>
      </c>
      <c r="F1053" t="s">
        <v>55</v>
      </c>
      <c r="G1053">
        <v>-220.2388</v>
      </c>
      <c r="H1053" s="1">
        <v>-1.4097039999999999E-6</v>
      </c>
      <c r="I1053">
        <v>285.66480000000001</v>
      </c>
      <c r="J1053">
        <v>-201.43879999999999</v>
      </c>
      <c r="K1053">
        <v>1.0875969999999999</v>
      </c>
      <c r="L1053">
        <v>285.8141</v>
      </c>
      <c r="M1053">
        <v>-0.84941630000000001</v>
      </c>
      <c r="N1053">
        <v>0</v>
      </c>
      <c r="O1053">
        <v>-0.52754209999999901</v>
      </c>
      <c r="P1053">
        <v>-0.93530150000000001</v>
      </c>
      <c r="Q1053">
        <v>3.4087230000000003E-2</v>
      </c>
      <c r="R1053">
        <v>-0.35220679999999999</v>
      </c>
      <c r="S1053">
        <v>-3.217209</v>
      </c>
      <c r="T1053">
        <v>-0.1833639</v>
      </c>
      <c r="U1053">
        <v>-5.2703859999999998E-2</v>
      </c>
      <c r="V1053">
        <v>0.19599639999999999</v>
      </c>
      <c r="W1053">
        <v>3.9920039999999997E-2</v>
      </c>
      <c r="X1053">
        <v>0.97979170000000004</v>
      </c>
      <c r="Y1053">
        <v>0.5119939</v>
      </c>
      <c r="Z1053">
        <v>4.3365830000000001E-2</v>
      </c>
      <c r="AA1053">
        <v>0.85789369999999998</v>
      </c>
      <c r="AB1053">
        <v>31</v>
      </c>
      <c r="AC1053">
        <v>-18.8</v>
      </c>
      <c r="AD1053">
        <v>-1.0875984097039999</v>
      </c>
      <c r="AE1053">
        <v>-0.149299999999982</v>
      </c>
      <c r="AF1053">
        <v>9.7592506057633805</v>
      </c>
      <c r="AG1053">
        <v>-1.0875984097039999</v>
      </c>
      <c r="AH1053">
        <v>15.9957932047257</v>
      </c>
      <c r="AI1053">
        <v>93.321877452684205</v>
      </c>
      <c r="AJ1053">
        <v>58.612066474242901</v>
      </c>
      <c r="AK1053">
        <v>18.769423084773599</v>
      </c>
      <c r="AL1053">
        <v>87.712142226742998</v>
      </c>
      <c r="AM1053">
        <v>78.6879274899931</v>
      </c>
      <c r="AN1053">
        <v>0.99999998689772496</v>
      </c>
    </row>
    <row r="1054" spans="1:40" x14ac:dyDescent="0.3">
      <c r="A1054" t="str">
        <f>"20200111153851618"</f>
        <v>20200111153851618</v>
      </c>
      <c r="B1054" t="str">
        <f>"1578728331611863"</f>
        <v>1578728331611863</v>
      </c>
      <c r="C1054" t="s">
        <v>40</v>
      </c>
      <c r="D1054">
        <v>5.686458</v>
      </c>
      <c r="E1054">
        <v>0.61837549999999997</v>
      </c>
      <c r="F1054" t="s">
        <v>55</v>
      </c>
      <c r="G1054">
        <v>-219.05529999999999</v>
      </c>
      <c r="H1054" s="1">
        <v>3.2819930000000001E-6</v>
      </c>
      <c r="I1054">
        <v>285.77390000000003</v>
      </c>
      <c r="J1054">
        <v>-201.73490000000001</v>
      </c>
      <c r="K1054">
        <v>1.0876300000000001</v>
      </c>
      <c r="L1054">
        <v>285.65109999999999</v>
      </c>
      <c r="M1054">
        <v>-0.8599696</v>
      </c>
      <c r="N1054">
        <v>0</v>
      </c>
      <c r="O1054">
        <v>-0.51015809999999995</v>
      </c>
      <c r="P1054">
        <v>-0.94201299999999999</v>
      </c>
      <c r="Q1054">
        <v>3.3020670000000002E-2</v>
      </c>
      <c r="R1054">
        <v>-0.33394829999999998</v>
      </c>
      <c r="S1054">
        <v>-3.2119900000000001</v>
      </c>
      <c r="T1054">
        <v>-0.19829920000000001</v>
      </c>
      <c r="U1054">
        <v>-7.3242189999999999E-3</v>
      </c>
      <c r="V1054">
        <v>0.19509969999999999</v>
      </c>
      <c r="W1054">
        <v>3.8894680000000001E-2</v>
      </c>
      <c r="X1054">
        <v>0.98001190000000005</v>
      </c>
      <c r="Y1054">
        <v>0.50638249999999996</v>
      </c>
      <c r="Z1054">
        <v>4.5895730000000003E-2</v>
      </c>
      <c r="AA1054">
        <v>0.86108669999999998</v>
      </c>
      <c r="AB1054">
        <v>31</v>
      </c>
      <c r="AC1054">
        <v>-17.3203999999999</v>
      </c>
      <c r="AD1054">
        <v>-1.0876267180069901</v>
      </c>
      <c r="AE1054">
        <v>0.12280000000004</v>
      </c>
      <c r="AF1054">
        <v>8.9074788730662497</v>
      </c>
      <c r="AG1054">
        <v>-1.0876267180069901</v>
      </c>
      <c r="AH1054">
        <v>14.775527466628001</v>
      </c>
      <c r="AI1054">
        <v>93.607184712414394</v>
      </c>
      <c r="AJ1054">
        <v>58.916177768805703</v>
      </c>
      <c r="AK1054">
        <v>17.287056535712601</v>
      </c>
      <c r="AL1054">
        <v>87.770936744423693</v>
      </c>
      <c r="AM1054">
        <v>78.7408213284547</v>
      </c>
      <c r="AN1054">
        <v>1.0000000066070001</v>
      </c>
    </row>
    <row r="1055" spans="1:40" x14ac:dyDescent="0.3">
      <c r="A1055" t="str">
        <f>"20200111153851641"</f>
        <v>20200111153851641</v>
      </c>
      <c r="B1055" t="str">
        <f>"1578728331631383"</f>
        <v>1578728331631383</v>
      </c>
      <c r="C1055" t="s">
        <v>40</v>
      </c>
      <c r="D1055">
        <v>5.6481059999999896</v>
      </c>
      <c r="E1055">
        <v>0.61649759999999998</v>
      </c>
      <c r="F1055" t="s">
        <v>55</v>
      </c>
      <c r="G1055">
        <v>-210.77260000000001</v>
      </c>
      <c r="H1055" s="1">
        <v>-1.125675E-6</v>
      </c>
      <c r="I1055">
        <v>285.34050000000002</v>
      </c>
      <c r="J1055">
        <v>-202.02459999999999</v>
      </c>
      <c r="K1055">
        <v>1.0876749999999999</v>
      </c>
      <c r="L1055">
        <v>285.49889999999999</v>
      </c>
      <c r="M1055">
        <v>-0.86979059999999897</v>
      </c>
      <c r="N1055">
        <v>0</v>
      </c>
      <c r="O1055">
        <v>-0.4932281</v>
      </c>
      <c r="P1055">
        <v>-0.94781570000000004</v>
      </c>
      <c r="Q1055">
        <v>3.074938E-2</v>
      </c>
      <c r="R1055">
        <v>-0.31733270000000002</v>
      </c>
      <c r="S1055">
        <v>-3.1594850000000001</v>
      </c>
      <c r="T1055">
        <v>-0.38022600000000001</v>
      </c>
      <c r="U1055">
        <v>-0.1086121</v>
      </c>
      <c r="V1055">
        <v>0.1930914</v>
      </c>
      <c r="W1055">
        <v>3.6712330000000001E-2</v>
      </c>
      <c r="X1055">
        <v>0.98049370000000002</v>
      </c>
      <c r="Y1055">
        <v>0.4565302</v>
      </c>
      <c r="Z1055">
        <v>8.4307839999999995E-2</v>
      </c>
      <c r="AA1055">
        <v>0.88570450000000001</v>
      </c>
      <c r="AB1055">
        <v>31</v>
      </c>
      <c r="AC1055">
        <v>-8.74800000000001</v>
      </c>
      <c r="AD1055">
        <v>-1.087676125675</v>
      </c>
      <c r="AE1055">
        <v>-0.15839999999997101</v>
      </c>
      <c r="AF1055">
        <v>4.1138076516447599</v>
      </c>
      <c r="AG1055">
        <v>-1.087676125675</v>
      </c>
      <c r="AH1055">
        <v>7.5707887040153299</v>
      </c>
      <c r="AI1055">
        <v>97.194678772762003</v>
      </c>
      <c r="AJ1055">
        <v>61.4812716795402</v>
      </c>
      <c r="AK1055">
        <v>8.6846585626575106</v>
      </c>
      <c r="AL1055">
        <v>87.896065620810205</v>
      </c>
      <c r="AM1055">
        <v>78.859143538026899</v>
      </c>
      <c r="AN1055">
        <v>0.99999998983383898</v>
      </c>
    </row>
    <row r="1056" spans="1:40" x14ac:dyDescent="0.3">
      <c r="A1056" t="str">
        <f>"20200111153851661"</f>
        <v>20200111153851661</v>
      </c>
      <c r="B1056" t="str">
        <f>"1578728331651880"</f>
        <v>1578728331651880</v>
      </c>
      <c r="C1056" t="s">
        <v>40</v>
      </c>
      <c r="D1056">
        <v>5.6385589999999999</v>
      </c>
      <c r="E1056">
        <v>0.61437089999999905</v>
      </c>
      <c r="F1056" t="s">
        <v>55</v>
      </c>
      <c r="G1056">
        <v>-211.11760000000001</v>
      </c>
      <c r="H1056" s="1">
        <v>-9.4204390000000005E-7</v>
      </c>
      <c r="I1056">
        <v>285.30860000000001</v>
      </c>
      <c r="J1056">
        <v>-202.291</v>
      </c>
      <c r="K1056">
        <v>1.087726</v>
      </c>
      <c r="L1056">
        <v>285.36509999999998</v>
      </c>
      <c r="M1056">
        <v>-0.87839560000000005</v>
      </c>
      <c r="N1056">
        <v>0</v>
      </c>
      <c r="O1056">
        <v>-0.47773579999999999</v>
      </c>
      <c r="P1056">
        <v>-0.95253500000000002</v>
      </c>
      <c r="Q1056">
        <v>2.855098E-2</v>
      </c>
      <c r="R1056">
        <v>-0.3030872</v>
      </c>
      <c r="S1056">
        <v>-3.1552889999999998</v>
      </c>
      <c r="T1056">
        <v>-0.3774245</v>
      </c>
      <c r="U1056">
        <v>-6.6040039999999994E-2</v>
      </c>
      <c r="V1056">
        <v>0.19035350000000001</v>
      </c>
      <c r="W1056">
        <v>3.4633209999999998E-2</v>
      </c>
      <c r="X1056">
        <v>0.98110450000000005</v>
      </c>
      <c r="Y1056">
        <v>0.45289980000000002</v>
      </c>
      <c r="Z1056">
        <v>8.2011039999999993E-2</v>
      </c>
      <c r="AA1056">
        <v>0.8877815</v>
      </c>
      <c r="AB1056">
        <v>31</v>
      </c>
      <c r="AC1056">
        <v>-8.8266000000000098</v>
      </c>
      <c r="AD1056">
        <v>-1.0877269420439</v>
      </c>
      <c r="AE1056">
        <v>-5.6499999999971302E-2</v>
      </c>
      <c r="AF1056">
        <v>4.10520822100308</v>
      </c>
      <c r="AG1056">
        <v>-1.0877269420439</v>
      </c>
      <c r="AH1056">
        <v>7.6645844873542197</v>
      </c>
      <c r="AI1056">
        <v>97.1307508000844</v>
      </c>
      <c r="AJ1056">
        <v>61.826168270147299</v>
      </c>
      <c r="AK1056">
        <v>8.7625190329054607</v>
      </c>
      <c r="AL1056">
        <v>88.015266287681399</v>
      </c>
      <c r="AM1056">
        <v>79.019916155340596</v>
      </c>
      <c r="AN1056">
        <v>0.99999997705870103</v>
      </c>
    </row>
    <row r="1057" spans="1:40" x14ac:dyDescent="0.3">
      <c r="A1057" t="str">
        <f>"20200111153851684"</f>
        <v>20200111153851684</v>
      </c>
      <c r="B1057" t="str">
        <f>"1578728331671400"</f>
        <v>1578728331671400</v>
      </c>
      <c r="C1057" t="s">
        <v>40</v>
      </c>
      <c r="D1057">
        <v>5.6083410000000002</v>
      </c>
      <c r="E1057">
        <v>0.61309769999999997</v>
      </c>
      <c r="F1057" t="s">
        <v>55</v>
      </c>
      <c r="G1057">
        <v>-211.3451</v>
      </c>
      <c r="H1057" s="1">
        <v>-8.2099710000000002E-7</v>
      </c>
      <c r="I1057">
        <v>285.26990000000001</v>
      </c>
      <c r="J1057">
        <v>-202.5745</v>
      </c>
      <c r="K1057">
        <v>1.08779</v>
      </c>
      <c r="L1057">
        <v>285.22890000000001</v>
      </c>
      <c r="M1057">
        <v>-0.88710840000000002</v>
      </c>
      <c r="N1057">
        <v>0</v>
      </c>
      <c r="O1057">
        <v>-0.4613563</v>
      </c>
      <c r="P1057">
        <v>-0.95764910000000003</v>
      </c>
      <c r="Q1057">
        <v>2.5824779999999999E-2</v>
      </c>
      <c r="R1057">
        <v>-0.2867787</v>
      </c>
      <c r="S1057">
        <v>-3.1503450000000002</v>
      </c>
      <c r="T1057">
        <v>-0.37847049999999999</v>
      </c>
      <c r="U1057">
        <v>-3.311157E-2</v>
      </c>
      <c r="V1057">
        <v>0.18882409999999999</v>
      </c>
      <c r="W1057">
        <v>3.1977760000000001E-2</v>
      </c>
      <c r="X1057">
        <v>0.98149010000000003</v>
      </c>
      <c r="Y1057">
        <v>0.44573489999999999</v>
      </c>
      <c r="Z1057">
        <v>8.0219109999999996E-2</v>
      </c>
      <c r="AA1057">
        <v>0.89156340000000001</v>
      </c>
      <c r="AB1057">
        <v>31</v>
      </c>
      <c r="AC1057">
        <v>-8.7706</v>
      </c>
      <c r="AD1057">
        <v>-1.0877908209970999</v>
      </c>
      <c r="AE1057">
        <v>4.0999999999996803E-2</v>
      </c>
      <c r="AF1057">
        <v>4.0212723696649704</v>
      </c>
      <c r="AG1057">
        <v>-1.0877908209970999</v>
      </c>
      <c r="AH1057">
        <v>7.6446976812817802</v>
      </c>
      <c r="AI1057">
        <v>97.177667742296194</v>
      </c>
      <c r="AJ1057">
        <v>62.254682388563097</v>
      </c>
      <c r="AK1057">
        <v>8.7060509405511493</v>
      </c>
      <c r="AL1057">
        <v>88.167496850314706</v>
      </c>
      <c r="AM1057">
        <v>79.110194413979798</v>
      </c>
      <c r="AN1057">
        <v>0.99999996713671802</v>
      </c>
    </row>
    <row r="1058" spans="1:40" x14ac:dyDescent="0.3">
      <c r="A1058" t="str">
        <f>"20200111153851708"</f>
        <v>20200111153851708</v>
      </c>
      <c r="B1058" t="str">
        <f>"1578728331701656"</f>
        <v>1578728331701656</v>
      </c>
      <c r="C1058" t="s">
        <v>40</v>
      </c>
      <c r="D1058">
        <v>5.661022</v>
      </c>
      <c r="E1058">
        <v>0.60207639999999996</v>
      </c>
      <c r="F1058" t="s">
        <v>55</v>
      </c>
      <c r="G1058">
        <v>-211.47280000000001</v>
      </c>
      <c r="H1058" s="1">
        <v>-7.5305549999999998E-7</v>
      </c>
      <c r="I1058">
        <v>285.2611</v>
      </c>
      <c r="J1058">
        <v>-202.89240000000001</v>
      </c>
      <c r="K1058">
        <v>1.0878950000000001</v>
      </c>
      <c r="L1058">
        <v>285.08339999999998</v>
      </c>
      <c r="M1058">
        <v>-0.89634219999999898</v>
      </c>
      <c r="N1058">
        <v>0</v>
      </c>
      <c r="O1058">
        <v>-0.44315149999999998</v>
      </c>
      <c r="P1058">
        <v>-0.96323510000000001</v>
      </c>
      <c r="Q1058">
        <v>2.381223E-2</v>
      </c>
      <c r="R1058">
        <v>-0.2676037</v>
      </c>
      <c r="S1058">
        <v>-3.1464539999999999</v>
      </c>
      <c r="T1058">
        <v>-0.3846444</v>
      </c>
      <c r="U1058">
        <v>1.138306E-2</v>
      </c>
      <c r="V1058">
        <v>0.18831590000000001</v>
      </c>
      <c r="W1058">
        <v>2.999506E-2</v>
      </c>
      <c r="X1058">
        <v>0.98165040000000003</v>
      </c>
      <c r="Y1058">
        <v>0.44003619999999999</v>
      </c>
      <c r="Z1058">
        <v>7.9306189999999999E-2</v>
      </c>
      <c r="AA1058">
        <v>0.89447119999999902</v>
      </c>
      <c r="AB1058">
        <v>31</v>
      </c>
      <c r="AC1058">
        <v>-8.5803999999999903</v>
      </c>
      <c r="AD1058">
        <v>-1.0878957530555</v>
      </c>
      <c r="AE1058">
        <v>0.17770000000001501</v>
      </c>
      <c r="AF1058">
        <v>3.8994110326383802</v>
      </c>
      <c r="AG1058">
        <v>-1.0878957530555</v>
      </c>
      <c r="AH1058">
        <v>7.4925465798281401</v>
      </c>
      <c r="AI1058">
        <v>97.339184589994304</v>
      </c>
      <c r="AJ1058">
        <v>62.505787318630901</v>
      </c>
      <c r="AK1058">
        <v>8.5162889700780209</v>
      </c>
      <c r="AL1058">
        <v>88.281151924766107</v>
      </c>
      <c r="AM1058">
        <v>79.140536584817198</v>
      </c>
      <c r="AN1058">
        <v>1.0000000448186801</v>
      </c>
    </row>
    <row r="1059" spans="1:40" x14ac:dyDescent="0.3">
      <c r="A1059" t="str">
        <f>"20200111153851730"</f>
        <v>20200111153851730</v>
      </c>
      <c r="B1059" t="str">
        <f>"1578728331721176"</f>
        <v>1578728331721176</v>
      </c>
      <c r="C1059" t="s">
        <v>40</v>
      </c>
      <c r="D1059">
        <v>5.6506460000000001</v>
      </c>
      <c r="E1059">
        <v>0.60139480000000001</v>
      </c>
      <c r="F1059" t="s">
        <v>55</v>
      </c>
      <c r="G1059">
        <v>-211.78290000000001</v>
      </c>
      <c r="H1059" s="1">
        <v>-5.8799980000000004E-7</v>
      </c>
      <c r="I1059">
        <v>285.05149999999998</v>
      </c>
      <c r="J1059">
        <v>-203.18979999999999</v>
      </c>
      <c r="K1059">
        <v>1.088025</v>
      </c>
      <c r="L1059">
        <v>284.95420000000001</v>
      </c>
      <c r="M1059">
        <v>-0.90446230000000005</v>
      </c>
      <c r="N1059">
        <v>0</v>
      </c>
      <c r="O1059">
        <v>-0.42633549999999998</v>
      </c>
      <c r="P1059">
        <v>-0.9676768</v>
      </c>
      <c r="Q1059">
        <v>2.125136E-2</v>
      </c>
      <c r="R1059">
        <v>-0.25129770000000001</v>
      </c>
      <c r="S1059">
        <v>-3.1208339999999999</v>
      </c>
      <c r="T1059">
        <v>-0.38188369999999999</v>
      </c>
      <c r="U1059">
        <v>-1.119995E-2</v>
      </c>
      <c r="V1059">
        <v>0.1864767</v>
      </c>
      <c r="W1059">
        <v>2.7516530000000001E-2</v>
      </c>
      <c r="X1059">
        <v>0.982074</v>
      </c>
      <c r="Y1059">
        <v>0.41699799999999998</v>
      </c>
      <c r="Z1059">
        <v>7.6080990000000001E-2</v>
      </c>
      <c r="AA1059">
        <v>0.90571760000000001</v>
      </c>
      <c r="AB1059">
        <v>31</v>
      </c>
      <c r="AC1059">
        <v>-8.5931000000000193</v>
      </c>
      <c r="AD1059">
        <v>-1.0880255879998</v>
      </c>
      <c r="AE1059">
        <v>9.7299999999961501E-2</v>
      </c>
      <c r="AF1059">
        <v>3.6927041028790799</v>
      </c>
      <c r="AG1059">
        <v>-1.0880255879998</v>
      </c>
      <c r="AH1059">
        <v>7.6093959476674797</v>
      </c>
      <c r="AI1059">
        <v>97.330133613582504</v>
      </c>
      <c r="AJ1059">
        <v>64.113528255640205</v>
      </c>
      <c r="AK1059">
        <v>8.5277646520023396</v>
      </c>
      <c r="AL1059">
        <v>88.423219990214605</v>
      </c>
      <c r="AM1059">
        <v>79.248641464369598</v>
      </c>
      <c r="AN1059">
        <v>1.0000000302710601</v>
      </c>
    </row>
    <row r="1060" spans="1:40" x14ac:dyDescent="0.3">
      <c r="A1060" t="str">
        <f>"20200111153851772"</f>
        <v>20200111153851772</v>
      </c>
      <c r="B1060" t="str">
        <f>"1578728331761191"</f>
        <v>1578728331761191</v>
      </c>
      <c r="C1060" t="s">
        <v>40</v>
      </c>
      <c r="D1060">
        <v>5.5774749999999997</v>
      </c>
      <c r="E1060">
        <v>0.59366070000000004</v>
      </c>
      <c r="F1060" t="s">
        <v>55</v>
      </c>
      <c r="G1060">
        <v>-211.99340000000001</v>
      </c>
      <c r="H1060" s="1">
        <v>-4.7598390000000002E-7</v>
      </c>
      <c r="I1060">
        <v>285.05689999999998</v>
      </c>
      <c r="J1060">
        <v>-203.7441</v>
      </c>
      <c r="K1060">
        <v>1.088382</v>
      </c>
      <c r="L1060">
        <v>284.72980000000001</v>
      </c>
      <c r="M1060">
        <v>-0.91826799999999997</v>
      </c>
      <c r="N1060">
        <v>0</v>
      </c>
      <c r="O1060">
        <v>-0.39572960000000001</v>
      </c>
      <c r="P1060">
        <v>-0.97347340000000004</v>
      </c>
      <c r="Q1060">
        <v>1.9123850000000001E-2</v>
      </c>
      <c r="R1060">
        <v>-0.22800049999999999</v>
      </c>
      <c r="S1060">
        <v>-3.118134</v>
      </c>
      <c r="T1060">
        <v>-0.38536340000000002</v>
      </c>
      <c r="U1060">
        <v>3.6407469999999997E-2</v>
      </c>
      <c r="V1060">
        <v>0.1769733</v>
      </c>
      <c r="W1060">
        <v>2.5797670000000002E-2</v>
      </c>
      <c r="X1060">
        <v>0.98387749999999996</v>
      </c>
      <c r="Y1060">
        <v>0.40052490000000002</v>
      </c>
      <c r="Z1060">
        <v>7.2367550000000003E-2</v>
      </c>
      <c r="AA1060">
        <v>0.91342369999999995</v>
      </c>
      <c r="AB1060">
        <v>31</v>
      </c>
      <c r="AC1060">
        <v>-8.2492999999999999</v>
      </c>
      <c r="AD1060">
        <v>-1.0883824759839</v>
      </c>
      <c r="AE1060">
        <v>0.32709999999997302</v>
      </c>
      <c r="AF1060">
        <v>3.50427812582658</v>
      </c>
      <c r="AG1060">
        <v>-1.0883824759839</v>
      </c>
      <c r="AH1060">
        <v>7.3190975848591702</v>
      </c>
      <c r="AI1060">
        <v>97.639148299588697</v>
      </c>
      <c r="AJ1060">
        <v>64.415574237403206</v>
      </c>
      <c r="AK1060">
        <v>8.1874129646590408</v>
      </c>
      <c r="AL1060">
        <v>88.521738390809205</v>
      </c>
      <c r="AM1060">
        <v>79.803057575894798</v>
      </c>
      <c r="AN1060">
        <v>1.00000000184828</v>
      </c>
    </row>
    <row r="1061" spans="1:40" x14ac:dyDescent="0.3">
      <c r="A1061" t="str">
        <f>"20200111153851793"</f>
        <v>20200111153851793</v>
      </c>
      <c r="B1061" t="str">
        <f>"1578728331781687"</f>
        <v>1578728331781687</v>
      </c>
      <c r="C1061" t="s">
        <v>40</v>
      </c>
      <c r="D1061">
        <v>5.54549</v>
      </c>
      <c r="E1061">
        <v>0.59396110000000002</v>
      </c>
      <c r="F1061" t="s">
        <v>55</v>
      </c>
      <c r="G1061">
        <v>-212.97460000000001</v>
      </c>
      <c r="H1061" s="1">
        <v>4.6150059999999999E-8</v>
      </c>
      <c r="I1061">
        <v>284.88299999999998</v>
      </c>
      <c r="J1061">
        <v>-204.0282</v>
      </c>
      <c r="K1061">
        <v>1.088608</v>
      </c>
      <c r="L1061">
        <v>284.62270000000001</v>
      </c>
      <c r="M1061">
        <v>-0.92470909999999995</v>
      </c>
      <c r="N1061">
        <v>0</v>
      </c>
      <c r="O1061">
        <v>-0.380438</v>
      </c>
      <c r="P1061">
        <v>-0.97616720000000001</v>
      </c>
      <c r="Q1061">
        <v>1.931654E-2</v>
      </c>
      <c r="R1061">
        <v>-0.21615899999999999</v>
      </c>
      <c r="S1061">
        <v>-3.1009829999999998</v>
      </c>
      <c r="T1061">
        <v>-0.36564029999999997</v>
      </c>
      <c r="U1061">
        <v>5.1452640000000001E-2</v>
      </c>
      <c r="V1061">
        <v>0.17258599999999999</v>
      </c>
      <c r="W1061">
        <v>2.6177579999999999E-2</v>
      </c>
      <c r="X1061">
        <v>0.98464660000000004</v>
      </c>
      <c r="Y1061">
        <v>0.39051760000000002</v>
      </c>
      <c r="Z1061">
        <v>6.6805030000000001E-2</v>
      </c>
      <c r="AA1061">
        <v>0.9181684</v>
      </c>
      <c r="AB1061">
        <v>31</v>
      </c>
      <c r="AC1061">
        <v>-8.9464000000000095</v>
      </c>
      <c r="AD1061">
        <v>-1.08860795384994</v>
      </c>
      <c r="AE1061">
        <v>0.260299999999972</v>
      </c>
      <c r="AF1061">
        <v>3.5914492670664</v>
      </c>
      <c r="AG1061">
        <v>-1.08860795384994</v>
      </c>
      <c r="AH1061">
        <v>8.0553561630656905</v>
      </c>
      <c r="AI1061">
        <v>97.036372817034007</v>
      </c>
      <c r="AJ1061">
        <v>65.970482996033198</v>
      </c>
      <c r="AK1061">
        <v>8.8866381736254798</v>
      </c>
      <c r="AL1061">
        <v>88.499963884309395</v>
      </c>
      <c r="AM1061">
        <v>80.058350364976505</v>
      </c>
      <c r="AN1061">
        <v>1.0000000599911001</v>
      </c>
    </row>
    <row r="1062" spans="1:40" x14ac:dyDescent="0.3">
      <c r="A1062" t="str">
        <f>"20200111153851820"</f>
        <v>20200111153851820</v>
      </c>
      <c r="B1062" t="str">
        <f>"1578728331811944"</f>
        <v>1578728331811944</v>
      </c>
      <c r="C1062" t="s">
        <v>40</v>
      </c>
      <c r="D1062">
        <v>5.6586259999999999</v>
      </c>
      <c r="E1062">
        <v>0.59310430000000003</v>
      </c>
      <c r="F1062" t="s">
        <v>55</v>
      </c>
      <c r="G1062">
        <v>-213.66470000000001</v>
      </c>
      <c r="H1062" s="1">
        <v>4.1340510000000001E-7</v>
      </c>
      <c r="I1062">
        <v>284.9024</v>
      </c>
      <c r="J1062">
        <v>-204.38470000000001</v>
      </c>
      <c r="K1062">
        <v>1.088948</v>
      </c>
      <c r="L1062">
        <v>284.4957</v>
      </c>
      <c r="M1062">
        <v>-0.93216529999999997</v>
      </c>
      <c r="N1062">
        <v>0</v>
      </c>
      <c r="O1062">
        <v>-0.36178900000000003</v>
      </c>
      <c r="P1062">
        <v>-0.97932149999999996</v>
      </c>
      <c r="Q1062">
        <v>1.8732809999999999E-2</v>
      </c>
      <c r="R1062">
        <v>-0.20144219999999999</v>
      </c>
      <c r="S1062">
        <v>-3.100098</v>
      </c>
      <c r="T1062">
        <v>-0.35020679999999998</v>
      </c>
      <c r="U1062">
        <v>8.9996339999999994E-2</v>
      </c>
      <c r="V1062">
        <v>0.16758529999999999</v>
      </c>
      <c r="W1062">
        <v>2.5817690000000001E-2</v>
      </c>
      <c r="X1062">
        <v>0.98551949999999999</v>
      </c>
      <c r="Y1062">
        <v>0.38404880000000002</v>
      </c>
      <c r="Z1062">
        <v>6.1691549999999998E-2</v>
      </c>
      <c r="AA1062">
        <v>0.9212496</v>
      </c>
      <c r="AB1062">
        <v>31</v>
      </c>
      <c r="AC1062">
        <v>-9.2799999999999994</v>
      </c>
      <c r="AD1062">
        <v>-1.0889475865949001</v>
      </c>
      <c r="AE1062">
        <v>0.40670000000000001</v>
      </c>
      <c r="AF1062">
        <v>3.6861838858718299</v>
      </c>
      <c r="AG1062">
        <v>-1.0889475865949001</v>
      </c>
      <c r="AH1062">
        <v>8.3888168898911797</v>
      </c>
      <c r="AI1062">
        <v>96.777362327822303</v>
      </c>
      <c r="AJ1062">
        <v>66.278524828900203</v>
      </c>
      <c r="AK1062">
        <v>9.2274594173551101</v>
      </c>
      <c r="AL1062">
        <v>88.520590996750201</v>
      </c>
      <c r="AM1062">
        <v>80.349299833505199</v>
      </c>
      <c r="AN1062">
        <v>1.0000000353866301</v>
      </c>
    </row>
    <row r="1063" spans="1:40" x14ac:dyDescent="0.3">
      <c r="A1063" t="str">
        <f>"20200111153851840"</f>
        <v>20200111153851840</v>
      </c>
      <c r="B1063" t="str">
        <f>"1578728331831465"</f>
        <v>1578728331831465</v>
      </c>
      <c r="C1063" t="s">
        <v>40</v>
      </c>
      <c r="D1063">
        <v>5.2940420000000001</v>
      </c>
      <c r="E1063">
        <v>0.59273699999999996</v>
      </c>
      <c r="F1063" t="s">
        <v>55</v>
      </c>
      <c r="G1063">
        <v>-214.79910000000001</v>
      </c>
      <c r="H1063" s="1">
        <v>1.0170589999999999E-6</v>
      </c>
      <c r="I1063">
        <v>284.92959999999999</v>
      </c>
      <c r="J1063">
        <v>-204.65979999999999</v>
      </c>
      <c r="K1063">
        <v>1.0892520000000001</v>
      </c>
      <c r="L1063">
        <v>284.40260000000001</v>
      </c>
      <c r="M1063">
        <v>-0.93747320000000001</v>
      </c>
      <c r="N1063">
        <v>0</v>
      </c>
      <c r="O1063">
        <v>-0.34780729999999999</v>
      </c>
      <c r="P1063">
        <v>-0.9810046</v>
      </c>
      <c r="Q1063">
        <v>1.868324E-2</v>
      </c>
      <c r="R1063">
        <v>-0.1930837</v>
      </c>
      <c r="S1063">
        <v>-3.096069</v>
      </c>
      <c r="T1063">
        <v>-0.32373089999999999</v>
      </c>
      <c r="U1063">
        <v>0.1289978</v>
      </c>
      <c r="V1063">
        <v>0.16122410000000001</v>
      </c>
      <c r="W1063">
        <v>2.6034100000000001E-2</v>
      </c>
      <c r="X1063">
        <v>0.98657439999999996</v>
      </c>
      <c r="Y1063">
        <v>0.3826367</v>
      </c>
      <c r="Z1063">
        <v>5.5677610000000002E-2</v>
      </c>
      <c r="AA1063">
        <v>0.92221969999999998</v>
      </c>
      <c r="AB1063">
        <v>31</v>
      </c>
      <c r="AC1063">
        <v>-10.1393</v>
      </c>
      <c r="AD1063">
        <v>-1.089250982941</v>
      </c>
      <c r="AE1063">
        <v>0.52699999999998604</v>
      </c>
      <c r="AF1063">
        <v>3.9751674933072301</v>
      </c>
      <c r="AG1063">
        <v>-1.089250982941</v>
      </c>
      <c r="AH1063">
        <v>9.2167559238416992</v>
      </c>
      <c r="AI1063">
        <v>96.1934228586328</v>
      </c>
      <c r="AJ1063">
        <v>66.669564775502593</v>
      </c>
      <c r="AK1063">
        <v>10.096386188303001</v>
      </c>
      <c r="AL1063">
        <v>88.508187418998105</v>
      </c>
      <c r="AM1063">
        <v>80.718872071106503</v>
      </c>
      <c r="AN1063">
        <v>1.0000000157594799</v>
      </c>
    </row>
    <row r="1064" spans="1:40" x14ac:dyDescent="0.3">
      <c r="A1064" t="str">
        <f>"20200111153851862"</f>
        <v>20200111153851862</v>
      </c>
      <c r="B1064" t="str">
        <f>"1578728331851960"</f>
        <v>1578728331851960</v>
      </c>
      <c r="C1064" t="s">
        <v>40</v>
      </c>
      <c r="D1064">
        <v>5.2933370000000002</v>
      </c>
      <c r="E1064">
        <v>0.60213119999999998</v>
      </c>
      <c r="F1064" t="s">
        <v>55</v>
      </c>
      <c r="G1064">
        <v>-215.3554</v>
      </c>
      <c r="H1064" s="1">
        <v>1.3130869999999901E-6</v>
      </c>
      <c r="I1064">
        <v>284.92770000000002</v>
      </c>
      <c r="J1064">
        <v>-204.96430000000001</v>
      </c>
      <c r="K1064">
        <v>1.089604</v>
      </c>
      <c r="L1064">
        <v>284.30450000000002</v>
      </c>
      <c r="M1064">
        <v>-0.94292549999999997</v>
      </c>
      <c r="N1064">
        <v>0</v>
      </c>
      <c r="O1064">
        <v>-0.3327464</v>
      </c>
      <c r="P1064">
        <v>-0.98299020000000004</v>
      </c>
      <c r="Q1064">
        <v>1.8772380000000002E-2</v>
      </c>
      <c r="R1064">
        <v>-0.182697</v>
      </c>
      <c r="S1064">
        <v>-3.093979</v>
      </c>
      <c r="T1064">
        <v>-0.31509340000000002</v>
      </c>
      <c r="U1064">
        <v>0.15188599999999999</v>
      </c>
      <c r="V1064">
        <v>0.15583129999999901</v>
      </c>
      <c r="W1064">
        <v>2.6346319999999999E-2</v>
      </c>
      <c r="X1064">
        <v>0.98743219999999998</v>
      </c>
      <c r="Y1064">
        <v>0.37499539999999998</v>
      </c>
      <c r="Z1064">
        <v>5.2389039999999998E-2</v>
      </c>
      <c r="AA1064">
        <v>0.92554519999999996</v>
      </c>
      <c r="AB1064">
        <v>31</v>
      </c>
      <c r="AC1064">
        <v>-10.3910999999999</v>
      </c>
      <c r="AD1064">
        <v>-1.089602686913</v>
      </c>
      <c r="AE1064">
        <v>0.62319999999999698</v>
      </c>
      <c r="AF1064">
        <v>4.0017356662607702</v>
      </c>
      <c r="AG1064">
        <v>-1.089602686913</v>
      </c>
      <c r="AH1064">
        <v>9.4875413530071295</v>
      </c>
      <c r="AI1064">
        <v>96.040441799215699</v>
      </c>
      <c r="AJ1064">
        <v>67.130543089367194</v>
      </c>
      <c r="AK1064">
        <v>10.3544465464346</v>
      </c>
      <c r="AL1064">
        <v>88.490292272268505</v>
      </c>
      <c r="AM1064">
        <v>81.031848596925798</v>
      </c>
      <c r="AN1064">
        <v>0.99999993611703397</v>
      </c>
    </row>
    <row r="1065" spans="1:40" x14ac:dyDescent="0.3">
      <c r="A1065" t="str">
        <f>"20200111153851885"</f>
        <v>20200111153851885</v>
      </c>
      <c r="B1065" t="str">
        <f>"1578728331881240"</f>
        <v>1578728331881240</v>
      </c>
      <c r="C1065" t="s">
        <v>40</v>
      </c>
      <c r="D1065">
        <v>5.2362310000000001</v>
      </c>
      <c r="E1065">
        <v>0.5997962</v>
      </c>
      <c r="F1065" t="s">
        <v>55</v>
      </c>
      <c r="G1065">
        <v>-227.96350000000001</v>
      </c>
      <c r="H1065" s="1">
        <v>2.7009700000000001E-6</v>
      </c>
      <c r="I1065">
        <v>286.19959999999998</v>
      </c>
      <c r="J1065">
        <v>-205.2654</v>
      </c>
      <c r="K1065">
        <v>1.0899730000000001</v>
      </c>
      <c r="L1065">
        <v>284.2124</v>
      </c>
      <c r="M1065">
        <v>-0.94789400000000001</v>
      </c>
      <c r="N1065">
        <v>0</v>
      </c>
      <c r="O1065">
        <v>-0.31832110000000002</v>
      </c>
      <c r="P1065">
        <v>-0.98499599999999998</v>
      </c>
      <c r="Q1065">
        <v>2.0085970000000002E-2</v>
      </c>
      <c r="R1065">
        <v>-0.171404</v>
      </c>
      <c r="S1065">
        <v>-3.1022340000000002</v>
      </c>
      <c r="T1065">
        <v>-0.14697060000000001</v>
      </c>
      <c r="U1065">
        <v>0.25561519999999999</v>
      </c>
      <c r="V1065">
        <v>0.1521062</v>
      </c>
      <c r="W1065">
        <v>2.782159E-2</v>
      </c>
      <c r="X1065">
        <v>0.98797250000000003</v>
      </c>
      <c r="Y1065">
        <v>0.3943295</v>
      </c>
      <c r="Z1065">
        <v>2.4216339999999999E-2</v>
      </c>
      <c r="AA1065">
        <v>0.91864999999999997</v>
      </c>
      <c r="AB1065">
        <v>31</v>
      </c>
      <c r="AC1065">
        <v>-22.6981</v>
      </c>
      <c r="AD1065">
        <v>-1.08997029902999</v>
      </c>
      <c r="AE1065">
        <v>1.9871999999999701</v>
      </c>
      <c r="AF1065">
        <v>9.0889081231521693</v>
      </c>
      <c r="AG1065">
        <v>-1.08997029902999</v>
      </c>
      <c r="AH1065">
        <v>20.836902778492899</v>
      </c>
      <c r="AI1065">
        <v>92.745048205442401</v>
      </c>
      <c r="AJ1065">
        <v>66.4335141655055</v>
      </c>
      <c r="AK1065">
        <v>22.759015873368401</v>
      </c>
      <c r="AL1065">
        <v>88.405734595606006</v>
      </c>
      <c r="AM1065">
        <v>81.247581673518894</v>
      </c>
      <c r="AN1065">
        <v>0.99999999885240898</v>
      </c>
    </row>
    <row r="1066" spans="1:40" x14ac:dyDescent="0.3">
      <c r="A1066" t="str">
        <f>"20200111153851907"</f>
        <v>20200111153851907</v>
      </c>
      <c r="B1066" t="str">
        <f>"1578728331901736"</f>
        <v>1578728331901736</v>
      </c>
      <c r="C1066" t="s">
        <v>40</v>
      </c>
      <c r="D1066">
        <v>5.2745839999999999</v>
      </c>
      <c r="E1066">
        <v>0.59823590000000004</v>
      </c>
      <c r="F1066" t="s">
        <v>55</v>
      </c>
      <c r="G1066">
        <v>-227.929</v>
      </c>
      <c r="H1066" s="1">
        <v>2.6826509999999999E-6</v>
      </c>
      <c r="I1066">
        <v>286.209</v>
      </c>
      <c r="J1066">
        <v>-205.58170000000001</v>
      </c>
      <c r="K1066">
        <v>1.0903940000000001</v>
      </c>
      <c r="L1066">
        <v>284.12049999999999</v>
      </c>
      <c r="M1066">
        <v>-0.95267900000000005</v>
      </c>
      <c r="N1066">
        <v>0</v>
      </c>
      <c r="O1066">
        <v>-0.30370589999999997</v>
      </c>
      <c r="P1066">
        <v>-0.98709259999999999</v>
      </c>
      <c r="Q1066">
        <v>2.1301580000000001E-2</v>
      </c>
      <c r="R1066">
        <v>-0.1587287</v>
      </c>
      <c r="S1066">
        <v>-3.0961910000000001</v>
      </c>
      <c r="T1066">
        <v>-0.14890619999999999</v>
      </c>
      <c r="U1066">
        <v>0.27276610000000001</v>
      </c>
      <c r="V1066">
        <v>0.14961199999999999</v>
      </c>
      <c r="W1066">
        <v>2.9156669999999999E-2</v>
      </c>
      <c r="X1066">
        <v>0.98831480000000005</v>
      </c>
      <c r="Y1066">
        <v>0.38538349999999999</v>
      </c>
      <c r="Z1066">
        <v>2.3687369999999999E-2</v>
      </c>
      <c r="AA1066">
        <v>0.92245239999999995</v>
      </c>
      <c r="AB1066">
        <v>31</v>
      </c>
      <c r="AC1066">
        <v>-22.347299999999901</v>
      </c>
      <c r="AD1066">
        <v>-1.0903913173490001</v>
      </c>
      <c r="AE1066">
        <v>2.08850000000001</v>
      </c>
      <c r="AF1066">
        <v>8.7567359568133298</v>
      </c>
      <c r="AG1066">
        <v>-1.0903913173490001</v>
      </c>
      <c r="AH1066">
        <v>20.6085834144701</v>
      </c>
      <c r="AI1066">
        <v>92.787869652942405</v>
      </c>
      <c r="AJ1066">
        <v>66.979010594115294</v>
      </c>
      <c r="AK1066">
        <v>22.418364975917999</v>
      </c>
      <c r="AL1066">
        <v>88.329209085784697</v>
      </c>
      <c r="AM1066">
        <v>81.391870476284893</v>
      </c>
      <c r="AN1066">
        <v>1.0000000029242599</v>
      </c>
    </row>
    <row r="1067" spans="1:40" x14ac:dyDescent="0.3">
      <c r="A1067" t="str">
        <f>"20200111153851928"</f>
        <v>20200111153851928</v>
      </c>
      <c r="B1067" t="str">
        <f>"1578728331921256"</f>
        <v>1578728331921256</v>
      </c>
      <c r="C1067" t="s">
        <v>40</v>
      </c>
      <c r="D1067">
        <v>5.2087669999999999</v>
      </c>
      <c r="E1067">
        <v>0.59737530000000005</v>
      </c>
      <c r="F1067" t="s">
        <v>55</v>
      </c>
      <c r="G1067">
        <v>-228.43889999999999</v>
      </c>
      <c r="H1067" s="1">
        <v>2.953961E-6</v>
      </c>
      <c r="I1067">
        <v>286.33569999999997</v>
      </c>
      <c r="J1067">
        <v>-205.87270000000001</v>
      </c>
      <c r="K1067">
        <v>1.0908009999999999</v>
      </c>
      <c r="L1067">
        <v>284.04020000000003</v>
      </c>
      <c r="M1067">
        <v>-0.95669910000000002</v>
      </c>
      <c r="N1067">
        <v>0</v>
      </c>
      <c r="O1067">
        <v>-0.29079909999999998</v>
      </c>
      <c r="P1067">
        <v>-0.98897179999999996</v>
      </c>
      <c r="Q1067">
        <v>2.2017419999999999E-2</v>
      </c>
      <c r="R1067">
        <v>-0.14645839999999999</v>
      </c>
      <c r="S1067">
        <v>-3.0905909999999999</v>
      </c>
      <c r="T1067">
        <v>-0.14743529999999999</v>
      </c>
      <c r="U1067">
        <v>0.29953000000000002</v>
      </c>
      <c r="V1067">
        <v>0.14851010000000001</v>
      </c>
      <c r="W1067">
        <v>2.9943589999999999E-2</v>
      </c>
      <c r="X1067">
        <v>0.98845740000000004</v>
      </c>
      <c r="Y1067">
        <v>0.38100669999999998</v>
      </c>
      <c r="Z1067">
        <v>2.2790910000000001E-2</v>
      </c>
      <c r="AA1067">
        <v>0.92429139999999999</v>
      </c>
      <c r="AB1067">
        <v>31</v>
      </c>
      <c r="AC1067">
        <v>-22.566199999999899</v>
      </c>
      <c r="AD1067">
        <v>-1.0907980460390001</v>
      </c>
      <c r="AE1067">
        <v>2.2954999999999401</v>
      </c>
      <c r="AF1067">
        <v>8.7388366219253193</v>
      </c>
      <c r="AG1067">
        <v>-1.0907980460390001</v>
      </c>
      <c r="AH1067">
        <v>20.874960740920301</v>
      </c>
      <c r="AI1067">
        <v>92.759563226191304</v>
      </c>
      <c r="AJ1067">
        <v>67.284464381914603</v>
      </c>
      <c r="AK1067">
        <v>22.656590472021801</v>
      </c>
      <c r="AL1067">
        <v>88.284102100893307</v>
      </c>
      <c r="AM1067">
        <v>81.4555449735536</v>
      </c>
      <c r="AN1067">
        <v>0.99999994999942698</v>
      </c>
    </row>
    <row r="1068" spans="1:40" x14ac:dyDescent="0.3">
      <c r="A1068" t="str">
        <f>"20200111153851950"</f>
        <v>20200111153851950</v>
      </c>
      <c r="B1068" t="str">
        <f>"1578728331941751"</f>
        <v>1578728331941751</v>
      </c>
      <c r="C1068" t="s">
        <v>40</v>
      </c>
      <c r="D1068">
        <v>5.2172530000000004</v>
      </c>
      <c r="E1068">
        <v>0.58681830000000001</v>
      </c>
      <c r="F1068" t="s">
        <v>55</v>
      </c>
      <c r="G1068">
        <v>-228.4845</v>
      </c>
      <c r="H1068" s="1">
        <v>2.9782160000000002E-6</v>
      </c>
      <c r="I1068">
        <v>286.459</v>
      </c>
      <c r="J1068">
        <v>-206.17850000000001</v>
      </c>
      <c r="K1068">
        <v>1.0912770000000001</v>
      </c>
      <c r="L1068">
        <v>283.95979999999997</v>
      </c>
      <c r="M1068">
        <v>-0.96054810000000002</v>
      </c>
      <c r="N1068">
        <v>0</v>
      </c>
      <c r="O1068">
        <v>-0.27782689999999999</v>
      </c>
      <c r="P1068">
        <v>-0.99047940000000001</v>
      </c>
      <c r="Q1068">
        <v>2.099726E-2</v>
      </c>
      <c r="R1068">
        <v>-0.13605100000000001</v>
      </c>
      <c r="S1068">
        <v>-3.0856479999999999</v>
      </c>
      <c r="T1068">
        <v>-0.1488527</v>
      </c>
      <c r="U1068">
        <v>0.33007809999999999</v>
      </c>
      <c r="V1068">
        <v>0.14546529999999999</v>
      </c>
      <c r="W1068">
        <v>2.9067059999999999E-2</v>
      </c>
      <c r="X1068">
        <v>0.98893620000000004</v>
      </c>
      <c r="Y1068">
        <v>0.377697</v>
      </c>
      <c r="Z1068">
        <v>2.2352279999999999E-2</v>
      </c>
      <c r="AA1068">
        <v>0.92565940000000002</v>
      </c>
      <c r="AB1068">
        <v>32</v>
      </c>
      <c r="AC1068">
        <v>-22.305999999999901</v>
      </c>
      <c r="AD1068">
        <v>-1.091274021784</v>
      </c>
      <c r="AE1068">
        <v>2.4992000000000298</v>
      </c>
      <c r="AF1068">
        <v>8.5782176776021295</v>
      </c>
      <c r="AG1068">
        <v>-1.091274021784</v>
      </c>
      <c r="AH1068">
        <v>20.6844018166071</v>
      </c>
      <c r="AI1068">
        <v>92.790022500494501</v>
      </c>
      <c r="AJ1068">
        <v>67.475278328093594</v>
      </c>
      <c r="AK1068">
        <v>22.419214438195699</v>
      </c>
      <c r="AL1068">
        <v>88.334345412068203</v>
      </c>
      <c r="AM1068">
        <v>81.632213755065294</v>
      </c>
      <c r="AN1068">
        <v>0.99999992757578404</v>
      </c>
    </row>
    <row r="1069" spans="1:40" x14ac:dyDescent="0.3">
      <c r="A1069" t="str">
        <f>"20200111153851972"</f>
        <v>20200111153851972</v>
      </c>
      <c r="B1069" t="str">
        <f>"1578728331961272"</f>
        <v>1578728331961272</v>
      </c>
      <c r="C1069" t="s">
        <v>40</v>
      </c>
      <c r="D1069">
        <v>5.193479</v>
      </c>
      <c r="E1069">
        <v>0.58488859999999998</v>
      </c>
      <c r="F1069" t="s">
        <v>55</v>
      </c>
      <c r="G1069">
        <v>-226.5866</v>
      </c>
      <c r="H1069" s="1">
        <v>1.9682839999999998E-6</v>
      </c>
      <c r="I1069">
        <v>285.81400000000002</v>
      </c>
      <c r="J1069">
        <v>-206.49019999999999</v>
      </c>
      <c r="K1069">
        <v>1.091799</v>
      </c>
      <c r="L1069">
        <v>283.8818</v>
      </c>
      <c r="M1069">
        <v>-0.96409480000000003</v>
      </c>
      <c r="N1069">
        <v>0</v>
      </c>
      <c r="O1069">
        <v>-0.26526379999999999</v>
      </c>
      <c r="P1069">
        <v>-0.99191410000000002</v>
      </c>
      <c r="Q1069">
        <v>2.0995320000000001E-2</v>
      </c>
      <c r="R1069">
        <v>-0.12516279999999999</v>
      </c>
      <c r="S1069">
        <v>-3.0706329999999999</v>
      </c>
      <c r="T1069">
        <v>-0.16419510000000001</v>
      </c>
      <c r="U1069">
        <v>0.27899170000000001</v>
      </c>
      <c r="V1069">
        <v>0.14337759999999999</v>
      </c>
      <c r="W1069">
        <v>2.9185740000000002E-2</v>
      </c>
      <c r="X1069">
        <v>0.98923760000000005</v>
      </c>
      <c r="Y1069">
        <v>0.3505684</v>
      </c>
      <c r="Z1069">
        <v>2.3406940000000001E-2</v>
      </c>
      <c r="AA1069">
        <v>0.93624450000000004</v>
      </c>
      <c r="AB1069">
        <v>32</v>
      </c>
      <c r="AC1069">
        <v>-20.096399999999999</v>
      </c>
      <c r="AD1069">
        <v>-1.091797031716</v>
      </c>
      <c r="AE1069">
        <v>1.9322000000000199</v>
      </c>
      <c r="AF1069">
        <v>7.1732556152999898</v>
      </c>
      <c r="AG1069">
        <v>-1.091797031716</v>
      </c>
      <c r="AH1069">
        <v>18.808760451165298</v>
      </c>
      <c r="AI1069">
        <v>93.104495886413403</v>
      </c>
      <c r="AJ1069">
        <v>69.124227593679905</v>
      </c>
      <c r="AK1069">
        <v>20.159788852818298</v>
      </c>
      <c r="AL1069">
        <v>88.327542760754596</v>
      </c>
      <c r="AM1069">
        <v>81.753121446916893</v>
      </c>
      <c r="AN1069">
        <v>0.99999998642743304</v>
      </c>
    </row>
    <row r="1070" spans="1:40" x14ac:dyDescent="0.3">
      <c r="A1070" t="str">
        <f>"20200111153851996"</f>
        <v>20200111153851996</v>
      </c>
      <c r="B1070" t="str">
        <f>"1578728331991527"</f>
        <v>1578728331991527</v>
      </c>
      <c r="C1070" t="s">
        <v>40</v>
      </c>
      <c r="D1070">
        <v>5.1171819999999997</v>
      </c>
      <c r="E1070">
        <v>0.57465599999999994</v>
      </c>
      <c r="F1070" t="s">
        <v>55</v>
      </c>
      <c r="G1070">
        <v>-226.6918</v>
      </c>
      <c r="H1070" s="1">
        <v>2.024253E-6</v>
      </c>
      <c r="I1070">
        <v>285.84179999999998</v>
      </c>
      <c r="J1070">
        <v>-206.8134</v>
      </c>
      <c r="K1070">
        <v>1.092382</v>
      </c>
      <c r="L1070">
        <v>283.80489999999998</v>
      </c>
      <c r="M1070">
        <v>-0.9673889</v>
      </c>
      <c r="N1070">
        <v>0</v>
      </c>
      <c r="O1070">
        <v>-0.25299339999999998</v>
      </c>
      <c r="P1070">
        <v>-0.99335050000000003</v>
      </c>
      <c r="Q1070">
        <v>2.086563E-2</v>
      </c>
      <c r="R1070">
        <v>-0.11322359999999999</v>
      </c>
      <c r="S1070">
        <v>-3.0654750000000002</v>
      </c>
      <c r="T1070">
        <v>-0.16567390000000001</v>
      </c>
      <c r="U1070">
        <v>0.29742429999999997</v>
      </c>
      <c r="V1070">
        <v>0.14265890000000001</v>
      </c>
      <c r="W1070">
        <v>2.9146189999999999E-2</v>
      </c>
      <c r="X1070">
        <v>0.98934270000000002</v>
      </c>
      <c r="Y1070">
        <v>0.34439550000000002</v>
      </c>
      <c r="Z1070">
        <v>2.283926E-2</v>
      </c>
      <c r="AA1070">
        <v>0.93854680000000001</v>
      </c>
      <c r="AB1070">
        <v>32</v>
      </c>
      <c r="AC1070">
        <v>-19.878399999999999</v>
      </c>
      <c r="AD1070">
        <v>-1.0923799757470001</v>
      </c>
      <c r="AE1070">
        <v>2.0369000000000002</v>
      </c>
      <c r="AF1070">
        <v>6.9792569001799798</v>
      </c>
      <c r="AG1070">
        <v>-1.0923799757470001</v>
      </c>
      <c r="AH1070">
        <v>18.660487377251599</v>
      </c>
      <c r="AI1070">
        <v>93.138398845666799</v>
      </c>
      <c r="AJ1070">
        <v>69.493571218093393</v>
      </c>
      <c r="AK1070">
        <v>19.9528722254889</v>
      </c>
      <c r="AL1070">
        <v>88.329809829533602</v>
      </c>
      <c r="AM1070">
        <v>81.794755553305194</v>
      </c>
      <c r="AN1070">
        <v>1.0000000200920001</v>
      </c>
    </row>
    <row r="1071" spans="1:40" x14ac:dyDescent="0.3">
      <c r="A1071" t="str">
        <f>"20200111153852019"</f>
        <v>20200111153852019</v>
      </c>
      <c r="B1071" t="str">
        <f>"1578728332012023"</f>
        <v>1578728332012023</v>
      </c>
      <c r="C1071" t="s">
        <v>40</v>
      </c>
      <c r="D1071">
        <v>5.093388</v>
      </c>
      <c r="E1071">
        <v>0.57123419999999903</v>
      </c>
      <c r="F1071" t="s">
        <v>55</v>
      </c>
      <c r="G1071">
        <v>-237.7346</v>
      </c>
      <c r="H1071" s="1">
        <v>2.5031070000000002E-6</v>
      </c>
      <c r="I1071">
        <v>286.35680000000002</v>
      </c>
      <c r="J1071">
        <v>-207.15180000000001</v>
      </c>
      <c r="K1071">
        <v>1.0930200000000001</v>
      </c>
      <c r="L1071">
        <v>283.72859999999997</v>
      </c>
      <c r="M1071">
        <v>-0.97044410000000003</v>
      </c>
      <c r="N1071">
        <v>0</v>
      </c>
      <c r="O1071">
        <v>-0.24101600000000001</v>
      </c>
      <c r="P1071">
        <v>-0.9945174</v>
      </c>
      <c r="Q1071">
        <v>1.9141350000000001E-2</v>
      </c>
      <c r="R1071">
        <v>-0.1028057</v>
      </c>
      <c r="S1071">
        <v>-3.051056</v>
      </c>
      <c r="T1071">
        <v>-0.1077871</v>
      </c>
      <c r="U1071">
        <v>0.25180049999999998</v>
      </c>
      <c r="V1071">
        <v>0.1407128</v>
      </c>
      <c r="W1071">
        <v>2.755848E-2</v>
      </c>
      <c r="X1071">
        <v>0.98966679999999996</v>
      </c>
      <c r="Y1071">
        <v>0.3196948</v>
      </c>
      <c r="Z1071">
        <v>1.409143E-2</v>
      </c>
      <c r="AA1071">
        <v>0.94741580000000003</v>
      </c>
      <c r="AB1071">
        <v>32</v>
      </c>
      <c r="AC1071">
        <v>-30.582799999999899</v>
      </c>
      <c r="AD1071">
        <v>-1.093017496893</v>
      </c>
      <c r="AE1071">
        <v>2.6282000000000401</v>
      </c>
      <c r="AF1071">
        <v>9.9096422123294001</v>
      </c>
      <c r="AG1071">
        <v>-1.093017496893</v>
      </c>
      <c r="AH1071">
        <v>29.010847015700399</v>
      </c>
      <c r="AI1071">
        <v>92.041931252209096</v>
      </c>
      <c r="AJ1071">
        <v>71.140652037116496</v>
      </c>
      <c r="AK1071">
        <v>30.676129817714401</v>
      </c>
      <c r="AL1071">
        <v>88.420815422860997</v>
      </c>
      <c r="AM1071">
        <v>81.9078106847101</v>
      </c>
      <c r="AN1071">
        <v>0.99999996846299399</v>
      </c>
    </row>
    <row r="1072" spans="1:40" x14ac:dyDescent="0.3">
      <c r="A1072" t="str">
        <f>"20200111153852041"</f>
        <v>20200111153852041</v>
      </c>
      <c r="B1072" t="str">
        <f>"1578728332031544"</f>
        <v>1578728332031544</v>
      </c>
      <c r="C1072" t="s">
        <v>40</v>
      </c>
      <c r="D1072">
        <v>5.0977499999999996</v>
      </c>
      <c r="E1072">
        <v>0.56874639999999999</v>
      </c>
      <c r="F1072" t="s">
        <v>55</v>
      </c>
      <c r="G1072">
        <v>-223.7439</v>
      </c>
      <c r="H1072" s="1">
        <v>4.5551080000000002E-7</v>
      </c>
      <c r="I1072">
        <v>285.12520000000001</v>
      </c>
      <c r="J1072">
        <v>-207.45230000000001</v>
      </c>
      <c r="K1072">
        <v>1.093556</v>
      </c>
      <c r="L1072">
        <v>283.66390000000001</v>
      </c>
      <c r="M1072">
        <v>-0.97288699999999995</v>
      </c>
      <c r="N1072">
        <v>0</v>
      </c>
      <c r="O1072">
        <v>-0.2309631</v>
      </c>
      <c r="P1072">
        <v>-0.99514210000000003</v>
      </c>
      <c r="Q1072">
        <v>1.6821889999999999E-2</v>
      </c>
      <c r="R1072">
        <v>-9.7002820000000003E-2</v>
      </c>
      <c r="S1072">
        <v>-3.0469059999999999</v>
      </c>
      <c r="T1072">
        <v>-0.2007178</v>
      </c>
      <c r="U1072">
        <v>0.25646970000000002</v>
      </c>
      <c r="V1072">
        <v>0.13615849999999999</v>
      </c>
      <c r="W1072">
        <v>2.5426810000000001E-2</v>
      </c>
      <c r="X1072">
        <v>0.99036069999999998</v>
      </c>
      <c r="Y1072">
        <v>0.31061070000000002</v>
      </c>
      <c r="Z1072">
        <v>2.53075E-2</v>
      </c>
      <c r="AA1072">
        <v>0.9502003</v>
      </c>
      <c r="AB1072">
        <v>32</v>
      </c>
      <c r="AC1072">
        <v>-16.291599999999899</v>
      </c>
      <c r="AD1072">
        <v>-1.0935555444892</v>
      </c>
      <c r="AE1072">
        <v>1.4612999999999901</v>
      </c>
      <c r="AF1072">
        <v>5.16174789688493</v>
      </c>
      <c r="AG1072">
        <v>-1.0935555444892</v>
      </c>
      <c r="AH1072">
        <v>15.4444876803214</v>
      </c>
      <c r="AI1072">
        <v>93.841890016758299</v>
      </c>
      <c r="AJ1072">
        <v>71.519704302061996</v>
      </c>
      <c r="AK1072">
        <v>16.3208977935492</v>
      </c>
      <c r="AL1072">
        <v>88.542994056292002</v>
      </c>
      <c r="AM1072">
        <v>82.171837436219903</v>
      </c>
      <c r="AN1072">
        <v>0.99999998794675704</v>
      </c>
    </row>
    <row r="1073" spans="1:40" x14ac:dyDescent="0.3">
      <c r="A1073" t="str">
        <f>"20200111153852062"</f>
        <v>20200111153852062</v>
      </c>
      <c r="B1073" t="str">
        <f>"1578728332052040"</f>
        <v>1578728332052040</v>
      </c>
      <c r="C1073" t="s">
        <v>40</v>
      </c>
      <c r="D1073">
        <v>5.0116630000000004</v>
      </c>
      <c r="E1073">
        <v>0.56972959999999995</v>
      </c>
      <c r="F1073" t="s">
        <v>55</v>
      </c>
      <c r="G1073">
        <v>-223.2097</v>
      </c>
      <c r="H1073" s="1">
        <v>1.7126259999999999E-7</v>
      </c>
      <c r="I1073">
        <v>284.98540000000003</v>
      </c>
      <c r="J1073">
        <v>-207.7516</v>
      </c>
      <c r="K1073">
        <v>1.094076</v>
      </c>
      <c r="L1073">
        <v>283.60219999999998</v>
      </c>
      <c r="M1073">
        <v>-0.97507969999999999</v>
      </c>
      <c r="N1073">
        <v>0</v>
      </c>
      <c r="O1073">
        <v>-0.2215297</v>
      </c>
      <c r="P1073">
        <v>-0.99569010000000002</v>
      </c>
      <c r="Q1073">
        <v>1.7447190000000001E-2</v>
      </c>
      <c r="R1073">
        <v>-9.1088600000000006E-2</v>
      </c>
      <c r="S1073">
        <v>-3.0430760000000001</v>
      </c>
      <c r="T1073">
        <v>-0.21118709999999999</v>
      </c>
      <c r="U1073">
        <v>0.25518800000000003</v>
      </c>
      <c r="V1073">
        <v>0.13242809999999999</v>
      </c>
      <c r="W1073">
        <v>2.6206179999999999E-2</v>
      </c>
      <c r="X1073">
        <v>0.99084609999999995</v>
      </c>
      <c r="Y1073">
        <v>0.30101209999999901</v>
      </c>
      <c r="Z1073">
        <v>2.5683170000000002E-2</v>
      </c>
      <c r="AA1073">
        <v>0.95327439999999997</v>
      </c>
      <c r="AB1073">
        <v>32</v>
      </c>
      <c r="AC1073">
        <v>-15.4581</v>
      </c>
      <c r="AD1073">
        <v>-1.0940758287373999</v>
      </c>
      <c r="AE1073">
        <v>1.38320000000004</v>
      </c>
      <c r="AF1073">
        <v>4.7498976402946598</v>
      </c>
      <c r="AG1073">
        <v>-1.0940758287373999</v>
      </c>
      <c r="AH1073">
        <v>14.694498789349799</v>
      </c>
      <c r="AI1073">
        <v>94.052379582141</v>
      </c>
      <c r="AJ1073">
        <v>72.086923447005901</v>
      </c>
      <c r="AK1073">
        <v>15.4818223792455</v>
      </c>
      <c r="AL1073">
        <v>88.498324542172298</v>
      </c>
      <c r="AM1073">
        <v>82.387444348030101</v>
      </c>
      <c r="AN1073">
        <v>0.99999997971250598</v>
      </c>
    </row>
    <row r="1074" spans="1:40" x14ac:dyDescent="0.3">
      <c r="A1074" t="str">
        <f>"20200111153852085"</f>
        <v>20200111153852085</v>
      </c>
      <c r="B1074" t="str">
        <f>"1578728332081320"</f>
        <v>1578728332081320</v>
      </c>
      <c r="C1074" t="s">
        <v>40</v>
      </c>
      <c r="D1074">
        <v>4.9765269999999999</v>
      </c>
      <c r="E1074">
        <v>0.56893149999999904</v>
      </c>
      <c r="F1074" t="s">
        <v>55</v>
      </c>
      <c r="G1074">
        <v>-222.8861</v>
      </c>
      <c r="H1074" s="1">
        <v>-9.5434419999999993E-10</v>
      </c>
      <c r="I1074">
        <v>285</v>
      </c>
      <c r="J1074">
        <v>-208.0675</v>
      </c>
      <c r="K1074">
        <v>1.094627</v>
      </c>
      <c r="L1074">
        <v>283.53989999999999</v>
      </c>
      <c r="M1074">
        <v>-0.97714880000000004</v>
      </c>
      <c r="N1074">
        <v>0</v>
      </c>
      <c r="O1074">
        <v>-0.2122233</v>
      </c>
      <c r="P1074">
        <v>-0.99623519999999999</v>
      </c>
      <c r="Q1074">
        <v>1.8427860000000001E-2</v>
      </c>
      <c r="R1074">
        <v>-8.4711960000000003E-2</v>
      </c>
      <c r="S1074">
        <v>-3.0425260000000001</v>
      </c>
      <c r="T1074">
        <v>-0.21994549999999999</v>
      </c>
      <c r="U1074">
        <v>0.28100589999999998</v>
      </c>
      <c r="V1074">
        <v>0.1293059</v>
      </c>
      <c r="W1074">
        <v>2.731681E-2</v>
      </c>
      <c r="X1074">
        <v>0.99122840000000001</v>
      </c>
      <c r="Y1074">
        <v>0.29988629999999999</v>
      </c>
      <c r="Z1074">
        <v>2.6042139999999998E-2</v>
      </c>
      <c r="AA1074">
        <v>0.95361940000000001</v>
      </c>
      <c r="AB1074">
        <v>32</v>
      </c>
      <c r="AC1074">
        <v>-14.8186</v>
      </c>
      <c r="AD1074">
        <v>-1.09462700095434</v>
      </c>
      <c r="AE1074">
        <v>1.4601000000000099</v>
      </c>
      <c r="AF1074">
        <v>4.5473364349223599</v>
      </c>
      <c r="AG1074">
        <v>-1.09462700095434</v>
      </c>
      <c r="AH1074">
        <v>14.0949423337916</v>
      </c>
      <c r="AI1074">
        <v>94.227029945116101</v>
      </c>
      <c r="AJ1074">
        <v>72.119164845608495</v>
      </c>
      <c r="AK1074">
        <v>14.8507197238551</v>
      </c>
      <c r="AL1074">
        <v>88.4346673312278</v>
      </c>
      <c r="AM1074">
        <v>82.567725901738001</v>
      </c>
      <c r="AN1074">
        <v>0.99999998242497201</v>
      </c>
    </row>
    <row r="1075" spans="1:40" x14ac:dyDescent="0.3">
      <c r="A1075" t="str">
        <f>"20200111153852106"</f>
        <v>20200111153852106</v>
      </c>
      <c r="B1075" t="str">
        <f>"1578728332101815"</f>
        <v>1578728332101815</v>
      </c>
      <c r="C1075" t="s">
        <v>40</v>
      </c>
      <c r="D1075">
        <v>4.9654850000000001</v>
      </c>
      <c r="E1075">
        <v>0.56853779999999998</v>
      </c>
      <c r="F1075" t="s">
        <v>55</v>
      </c>
      <c r="G1075">
        <v>-223.53880000000001</v>
      </c>
      <c r="H1075" s="1">
        <v>3.4635970000000001E-7</v>
      </c>
      <c r="I1075">
        <v>285.03930000000003</v>
      </c>
      <c r="J1075">
        <v>-208.36510000000001</v>
      </c>
      <c r="K1075">
        <v>1.095159</v>
      </c>
      <c r="L1075">
        <v>283.48349999999999</v>
      </c>
      <c r="M1075">
        <v>-0.97889060000000006</v>
      </c>
      <c r="N1075">
        <v>0</v>
      </c>
      <c r="O1075">
        <v>-0.2040449</v>
      </c>
      <c r="P1075">
        <v>-0.99655660000000001</v>
      </c>
      <c r="Q1075">
        <v>1.8499720000000001E-2</v>
      </c>
      <c r="R1075">
        <v>-8.0826220000000004E-2</v>
      </c>
      <c r="S1075">
        <v>-3.040375</v>
      </c>
      <c r="T1075">
        <v>-0.2151139</v>
      </c>
      <c r="U1075">
        <v>0.29467769999999999</v>
      </c>
      <c r="V1075">
        <v>0.1248457</v>
      </c>
      <c r="W1075">
        <v>2.7541800000000002E-2</v>
      </c>
      <c r="X1075">
        <v>0.99179379999999995</v>
      </c>
      <c r="Y1075">
        <v>0.29630689999999998</v>
      </c>
      <c r="Z1075">
        <v>2.4789849999999999E-2</v>
      </c>
      <c r="AA1075">
        <v>0.95477100000000004</v>
      </c>
      <c r="AB1075">
        <v>32</v>
      </c>
      <c r="AC1075">
        <v>-15.173699999999901</v>
      </c>
      <c r="AD1075">
        <v>-1.0951586536403</v>
      </c>
      <c r="AE1075">
        <v>1.55580000000003</v>
      </c>
      <c r="AF1075">
        <v>4.59570397468742</v>
      </c>
      <c r="AG1075">
        <v>-1.0951586536403</v>
      </c>
      <c r="AH1075">
        <v>14.4623949261404</v>
      </c>
      <c r="AI1075">
        <v>94.127793812296602</v>
      </c>
      <c r="AJ1075">
        <v>72.371345106469704</v>
      </c>
      <c r="AK1075">
        <v>15.2144909378938</v>
      </c>
      <c r="AL1075">
        <v>88.421771482822706</v>
      </c>
      <c r="AM1075">
        <v>82.825418581454898</v>
      </c>
      <c r="AN1075">
        <v>0.99999997063708401</v>
      </c>
    </row>
    <row r="1076" spans="1:40" x14ac:dyDescent="0.3">
      <c r="A1076" t="str">
        <f>"20200111153852131"</f>
        <v>20200111153852131</v>
      </c>
      <c r="B1076" t="str">
        <f>"1578728332121338"</f>
        <v>1578728332121338</v>
      </c>
      <c r="C1076" t="s">
        <v>40</v>
      </c>
      <c r="D1076">
        <v>4.9398419999999996</v>
      </c>
      <c r="E1076">
        <v>0.56797439999999999</v>
      </c>
      <c r="F1076" t="s">
        <v>55</v>
      </c>
      <c r="G1076">
        <v>-224.0155</v>
      </c>
      <c r="H1076" s="1">
        <v>6.0008130000000001E-7</v>
      </c>
      <c r="I1076">
        <v>285.05029999999999</v>
      </c>
      <c r="J1076">
        <v>-208.70740000000001</v>
      </c>
      <c r="K1076">
        <v>1.0957809999999999</v>
      </c>
      <c r="L1076">
        <v>283.42129999999997</v>
      </c>
      <c r="M1076">
        <v>-0.98067519999999997</v>
      </c>
      <c r="N1076">
        <v>0</v>
      </c>
      <c r="O1076">
        <v>-0.19529589999999999</v>
      </c>
      <c r="P1076">
        <v>-0.9968283</v>
      </c>
      <c r="Q1076">
        <v>1.8113790000000001E-2</v>
      </c>
      <c r="R1076">
        <v>-7.7497109999999994E-2</v>
      </c>
      <c r="S1076">
        <v>-3.038986</v>
      </c>
      <c r="T1076">
        <v>-0.21265609999999999</v>
      </c>
      <c r="U1076">
        <v>0.30422969999999999</v>
      </c>
      <c r="V1076">
        <v>0.1192507</v>
      </c>
      <c r="W1076">
        <v>2.7336829999999999E-2</v>
      </c>
      <c r="X1076">
        <v>0.99248780000000003</v>
      </c>
      <c r="Y1076">
        <v>0.29085220000000001</v>
      </c>
      <c r="Z1076">
        <v>2.3722070000000001E-2</v>
      </c>
      <c r="AA1076">
        <v>0.95647389999999999</v>
      </c>
      <c r="AB1076">
        <v>32</v>
      </c>
      <c r="AC1076">
        <v>-15.3080999999999</v>
      </c>
      <c r="AD1076">
        <v>-1.0957803999186999</v>
      </c>
      <c r="AE1076">
        <v>1.62900000000001</v>
      </c>
      <c r="AF1076">
        <v>4.5643148255647299</v>
      </c>
      <c r="AG1076">
        <v>-1.0957803999186999</v>
      </c>
      <c r="AH1076">
        <v>14.621055219146299</v>
      </c>
      <c r="AI1076">
        <v>94.091996642319501</v>
      </c>
      <c r="AJ1076">
        <v>72.662988109314199</v>
      </c>
      <c r="AK1076">
        <v>15.3560724221085</v>
      </c>
      <c r="AL1076">
        <v>88.433519919536906</v>
      </c>
      <c r="AM1076">
        <v>83.148567098641394</v>
      </c>
      <c r="AN1076">
        <v>1.0000000324368801</v>
      </c>
    </row>
    <row r="1077" spans="1:40" x14ac:dyDescent="0.3">
      <c r="A1077" t="str">
        <f>"20200111153852150"</f>
        <v>20200111153852150</v>
      </c>
      <c r="B1077" t="str">
        <f>"1578728332141832"</f>
        <v>1578728332141832</v>
      </c>
      <c r="C1077" t="s">
        <v>40</v>
      </c>
      <c r="D1077">
        <v>4.9850269999999997</v>
      </c>
      <c r="E1077">
        <v>0.56746219999999903</v>
      </c>
      <c r="F1077" t="s">
        <v>55</v>
      </c>
      <c r="G1077">
        <v>-224.298</v>
      </c>
      <c r="H1077" s="1">
        <v>7.5038619999999996E-7</v>
      </c>
      <c r="I1077">
        <v>285.01609999999999</v>
      </c>
      <c r="J1077">
        <v>-209.00239999999999</v>
      </c>
      <c r="K1077">
        <v>1.096322</v>
      </c>
      <c r="L1077">
        <v>283.36970000000002</v>
      </c>
      <c r="M1077">
        <v>-0.98203910000000005</v>
      </c>
      <c r="N1077">
        <v>0</v>
      </c>
      <c r="O1077">
        <v>-0.18832260000000001</v>
      </c>
      <c r="P1077">
        <v>-0.99704219999999999</v>
      </c>
      <c r="Q1077">
        <v>1.9609689999999999E-2</v>
      </c>
      <c r="R1077">
        <v>-7.4311450000000001E-2</v>
      </c>
      <c r="S1077">
        <v>-3.0375670000000001</v>
      </c>
      <c r="T1077">
        <v>-0.2134942</v>
      </c>
      <c r="U1077">
        <v>0.31073000000000001</v>
      </c>
      <c r="V1077">
        <v>0.1153536</v>
      </c>
      <c r="W1077">
        <v>2.8962680000000001E-2</v>
      </c>
      <c r="X1077">
        <v>0.99290219999999996</v>
      </c>
      <c r="Y1077">
        <v>0.28614119999999998</v>
      </c>
      <c r="Z1077">
        <v>2.3175899999999999E-2</v>
      </c>
      <c r="AA1077">
        <v>0.95790710000000001</v>
      </c>
      <c r="AB1077">
        <v>32</v>
      </c>
      <c r="AC1077">
        <v>-15.2956</v>
      </c>
      <c r="AD1077">
        <v>-1.0963212496138</v>
      </c>
      <c r="AE1077">
        <v>1.6463999999999701</v>
      </c>
      <c r="AF1077">
        <v>4.4749111845030898</v>
      </c>
      <c r="AG1077">
        <v>-1.0963212496138</v>
      </c>
      <c r="AH1077">
        <v>14.6374700842974</v>
      </c>
      <c r="AI1077">
        <v>94.096863426368003</v>
      </c>
      <c r="AJ1077">
        <v>73.000760762642699</v>
      </c>
      <c r="AK1077">
        <v>15.3454319215931</v>
      </c>
      <c r="AL1077">
        <v>88.340328642156905</v>
      </c>
      <c r="AM1077">
        <v>83.373187214656895</v>
      </c>
      <c r="AN1077">
        <v>1.0000000343152899</v>
      </c>
    </row>
    <row r="1078" spans="1:40" x14ac:dyDescent="0.3">
      <c r="A1078" t="str">
        <f>"20200111153852173"</f>
        <v>20200111153852173</v>
      </c>
      <c r="B1078" t="str">
        <f>"1578728332161354"</f>
        <v>1578728332161354</v>
      </c>
      <c r="C1078" t="s">
        <v>40</v>
      </c>
      <c r="D1078">
        <v>5.0082519999999997</v>
      </c>
      <c r="E1078">
        <v>0.56696029999999997</v>
      </c>
      <c r="F1078" t="s">
        <v>55</v>
      </c>
      <c r="G1078">
        <v>-224.9348</v>
      </c>
      <c r="H1078" s="1">
        <v>1.0892540000000001E-6</v>
      </c>
      <c r="I1078">
        <v>285.02910000000003</v>
      </c>
      <c r="J1078">
        <v>-209.31620000000001</v>
      </c>
      <c r="K1078">
        <v>1.096894</v>
      </c>
      <c r="L1078">
        <v>283.31670000000003</v>
      </c>
      <c r="M1078">
        <v>-0.98333250000000005</v>
      </c>
      <c r="N1078">
        <v>0</v>
      </c>
      <c r="O1078">
        <v>-0.1814549</v>
      </c>
      <c r="P1078">
        <v>-0.99739270000000002</v>
      </c>
      <c r="Q1078">
        <v>1.9861790000000001E-2</v>
      </c>
      <c r="R1078">
        <v>-6.9380410000000003E-2</v>
      </c>
      <c r="S1078">
        <v>-3.0365600000000001</v>
      </c>
      <c r="T1078">
        <v>-0.2089483</v>
      </c>
      <c r="U1078">
        <v>0.31625370000000003</v>
      </c>
      <c r="V1078">
        <v>0.11328630000000001</v>
      </c>
      <c r="W1078">
        <v>2.9309189999999999E-2</v>
      </c>
      <c r="X1078">
        <v>0.99312999999999996</v>
      </c>
      <c r="Y1078">
        <v>0.281275</v>
      </c>
      <c r="Z1078">
        <v>2.2055890000000002E-2</v>
      </c>
      <c r="AA1078">
        <v>0.9593737</v>
      </c>
      <c r="AB1078">
        <v>32</v>
      </c>
      <c r="AC1078">
        <v>-15.618599999999899</v>
      </c>
      <c r="AD1078">
        <v>-1.0968929107459999</v>
      </c>
      <c r="AE1078">
        <v>1.7123999999999999</v>
      </c>
      <c r="AF1078">
        <v>4.49631325094792</v>
      </c>
      <c r="AG1078">
        <v>-1.0968929107459999</v>
      </c>
      <c r="AH1078">
        <v>14.975555973094</v>
      </c>
      <c r="AI1078">
        <v>94.012828787591104</v>
      </c>
      <c r="AJ1078">
        <v>73.287957374073798</v>
      </c>
      <c r="AK1078">
        <v>15.6744149368187</v>
      </c>
      <c r="AL1078">
        <v>88.320466601770804</v>
      </c>
      <c r="AM1078">
        <v>83.492400940852605</v>
      </c>
      <c r="AN1078">
        <v>1.00000000564307</v>
      </c>
    </row>
    <row r="1079" spans="1:40" x14ac:dyDescent="0.3">
      <c r="A1079" t="str">
        <f>"20200111153852198"</f>
        <v>20200111153852198</v>
      </c>
      <c r="B1079" t="str">
        <f>"1578728332191607"</f>
        <v>1578728332191607</v>
      </c>
      <c r="C1079" t="s">
        <v>40</v>
      </c>
      <c r="D1079">
        <v>4.9940730000000002</v>
      </c>
      <c r="E1079">
        <v>0.56629259999999904</v>
      </c>
      <c r="F1079" t="s">
        <v>55</v>
      </c>
      <c r="G1079">
        <v>-225.03380000000001</v>
      </c>
      <c r="H1079" s="1">
        <v>1.1419240000000001E-6</v>
      </c>
      <c r="I1079">
        <v>285.00990000000002</v>
      </c>
      <c r="J1079">
        <v>-209.65610000000001</v>
      </c>
      <c r="K1079">
        <v>1.0974889999999999</v>
      </c>
      <c r="L1079">
        <v>283.26119999999997</v>
      </c>
      <c r="M1079">
        <v>-0.98456250000000001</v>
      </c>
      <c r="N1079">
        <v>0</v>
      </c>
      <c r="O1079">
        <v>-0.17466419999999999</v>
      </c>
      <c r="P1079">
        <v>-0.9976701</v>
      </c>
      <c r="Q1079">
        <v>1.822849E-2</v>
      </c>
      <c r="R1079">
        <v>-6.5745239999999996E-2</v>
      </c>
      <c r="S1079">
        <v>-3.034805</v>
      </c>
      <c r="T1079">
        <v>-0.21179200000000001</v>
      </c>
      <c r="U1079">
        <v>0.32693480000000003</v>
      </c>
      <c r="V1079">
        <v>0.1099866</v>
      </c>
      <c r="W1079">
        <v>2.779156E-2</v>
      </c>
      <c r="X1079">
        <v>0.99354450000000005</v>
      </c>
      <c r="Y1079">
        <v>0.27804230000000002</v>
      </c>
      <c r="Z1079">
        <v>2.1784209999999998E-2</v>
      </c>
      <c r="AA1079">
        <v>0.9603218</v>
      </c>
      <c r="AB1079">
        <v>32</v>
      </c>
      <c r="AC1079">
        <v>-15.377700000000001</v>
      </c>
      <c r="AD1079">
        <v>-1.0974878580759999</v>
      </c>
      <c r="AE1079">
        <v>1.7487000000000399</v>
      </c>
      <c r="AF1079">
        <v>4.3858684085523096</v>
      </c>
      <c r="AG1079">
        <v>-1.0974878580759999</v>
      </c>
      <c r="AH1079">
        <v>14.761600764242999</v>
      </c>
      <c r="AI1079">
        <v>94.076483004802796</v>
      </c>
      <c r="AJ1079">
        <v>73.452613507100097</v>
      </c>
      <c r="AK1079">
        <v>15.438431863977</v>
      </c>
      <c r="AL1079">
        <v>88.407455932100405</v>
      </c>
      <c r="AM1079">
        <v>83.6830072564304</v>
      </c>
      <c r="AN1079">
        <v>1.0000000482335201</v>
      </c>
    </row>
    <row r="1080" spans="1:40" x14ac:dyDescent="0.3">
      <c r="A1080" t="str">
        <f>"20200111153852218"</f>
        <v>20200111153852218</v>
      </c>
      <c r="B1080" t="str">
        <f>"1578728332211127"</f>
        <v>1578728332211127</v>
      </c>
      <c r="C1080" t="s">
        <v>40</v>
      </c>
      <c r="D1080">
        <v>5.056292</v>
      </c>
      <c r="E1080">
        <v>0.56598879999999996</v>
      </c>
      <c r="F1080" t="s">
        <v>55</v>
      </c>
      <c r="G1080">
        <v>-224.87520000000001</v>
      </c>
      <c r="H1080" s="1">
        <v>1.0575569999999999E-6</v>
      </c>
      <c r="I1080">
        <v>284.93209999999999</v>
      </c>
      <c r="J1080">
        <v>-209.9639</v>
      </c>
      <c r="K1080">
        <v>1.0979829999999999</v>
      </c>
      <c r="L1080">
        <v>283.21260000000001</v>
      </c>
      <c r="M1080">
        <v>-0.98554600000000003</v>
      </c>
      <c r="N1080">
        <v>0</v>
      </c>
      <c r="O1080">
        <v>-0.169032399999999</v>
      </c>
      <c r="P1080">
        <v>-0.9977009</v>
      </c>
      <c r="Q1080">
        <v>1.645131E-2</v>
      </c>
      <c r="R1080">
        <v>-6.5746990000000005E-2</v>
      </c>
      <c r="S1080">
        <v>-3.0329280000000001</v>
      </c>
      <c r="T1080">
        <v>-0.2187113</v>
      </c>
      <c r="U1080">
        <v>0.33297729999999998</v>
      </c>
      <c r="V1080">
        <v>0.104246699999999</v>
      </c>
      <c r="W1080">
        <v>2.615137E-2</v>
      </c>
      <c r="X1080">
        <v>0.99420759999999997</v>
      </c>
      <c r="Y1080">
        <v>0.27445439999999999</v>
      </c>
      <c r="Z1080">
        <v>2.1975519999999998E-2</v>
      </c>
      <c r="AA1080">
        <v>0.96134900000000001</v>
      </c>
      <c r="AB1080">
        <v>32</v>
      </c>
      <c r="AC1080">
        <v>-14.911300000000001</v>
      </c>
      <c r="AD1080">
        <v>-1.097981942443</v>
      </c>
      <c r="AE1080">
        <v>1.71949999999998</v>
      </c>
      <c r="AF1080">
        <v>4.19297119458572</v>
      </c>
      <c r="AG1080">
        <v>-1.097981942443</v>
      </c>
      <c r="AH1080">
        <v>14.329362408077399</v>
      </c>
      <c r="AI1080">
        <v>94.206010618506298</v>
      </c>
      <c r="AJ1080">
        <v>73.6897884051143</v>
      </c>
      <c r="AK1080">
        <v>14.970544372419401</v>
      </c>
      <c r="AL1080">
        <v>88.501466046341704</v>
      </c>
      <c r="AM1080">
        <v>84.0141779298459</v>
      </c>
      <c r="AN1080">
        <v>1.00000001025576</v>
      </c>
    </row>
    <row r="1081" spans="1:40" x14ac:dyDescent="0.3">
      <c r="A1081" t="str">
        <f>"20200111153852240"</f>
        <v>20200111153852240</v>
      </c>
      <c r="B1081" t="str">
        <f>"1578728332231624"</f>
        <v>1578728332231624</v>
      </c>
      <c r="C1081" t="s">
        <v>40</v>
      </c>
      <c r="D1081">
        <v>5.1175280000000001</v>
      </c>
      <c r="E1081">
        <v>0.56544839999999996</v>
      </c>
      <c r="F1081" t="s">
        <v>55</v>
      </c>
      <c r="G1081">
        <v>-224.7868</v>
      </c>
      <c r="H1081" s="1">
        <v>1.010503E-6</v>
      </c>
      <c r="I1081">
        <v>284.8297</v>
      </c>
      <c r="J1081">
        <v>-210.2704</v>
      </c>
      <c r="K1081">
        <v>1.0984160000000001</v>
      </c>
      <c r="L1081">
        <v>283.16550000000001</v>
      </c>
      <c r="M1081">
        <v>-0.98642929999999995</v>
      </c>
      <c r="N1081">
        <v>0</v>
      </c>
      <c r="O1081">
        <v>-0.163803799999999</v>
      </c>
      <c r="P1081">
        <v>-0.9977509</v>
      </c>
      <c r="Q1081">
        <v>1.6719629999999999E-2</v>
      </c>
      <c r="R1081">
        <v>-6.4914399999999997E-2</v>
      </c>
      <c r="S1081">
        <v>-3.032394</v>
      </c>
      <c r="T1081">
        <v>-0.22462029999999999</v>
      </c>
      <c r="U1081">
        <v>0.33081050000000001</v>
      </c>
      <c r="V1081">
        <v>9.977722E-2</v>
      </c>
      <c r="W1081">
        <v>2.6515540000000001E-2</v>
      </c>
      <c r="X1081">
        <v>0.9946564</v>
      </c>
      <c r="Y1081">
        <v>0.26865850000000002</v>
      </c>
      <c r="Z1081">
        <v>2.197522E-2</v>
      </c>
      <c r="AA1081">
        <v>0.96298479999999997</v>
      </c>
      <c r="AB1081">
        <v>32</v>
      </c>
      <c r="AC1081">
        <v>-14.516400000000001</v>
      </c>
      <c r="AD1081">
        <v>-1.0984149894969999</v>
      </c>
      <c r="AE1081">
        <v>1.6641999999999899</v>
      </c>
      <c r="AF1081">
        <v>3.9971207528754</v>
      </c>
      <c r="AG1081">
        <v>-1.0984149894969999</v>
      </c>
      <c r="AH1081">
        <v>13.968741074789</v>
      </c>
      <c r="AI1081">
        <v>94.323314755006393</v>
      </c>
      <c r="AJ1081">
        <v>74.031657107445795</v>
      </c>
      <c r="AK1081">
        <v>14.570834465352901</v>
      </c>
      <c r="AL1081">
        <v>88.480593328887593</v>
      </c>
      <c r="AM1081">
        <v>84.271636991840595</v>
      </c>
      <c r="AN1081">
        <v>0.99999996077668896</v>
      </c>
    </row>
    <row r="1082" spans="1:40" x14ac:dyDescent="0.3">
      <c r="A1082" t="str">
        <f>"20200111153852262"</f>
        <v>20200111153852262</v>
      </c>
      <c r="B1082" t="str">
        <f>"1578728332252119"</f>
        <v>1578728332252119</v>
      </c>
      <c r="C1082" t="s">
        <v>40</v>
      </c>
      <c r="D1082">
        <v>5.0833170000000001</v>
      </c>
      <c r="E1082">
        <v>0.52878590000000003</v>
      </c>
      <c r="F1082" t="s">
        <v>55</v>
      </c>
      <c r="G1082">
        <v>-224.97290000000001</v>
      </c>
      <c r="H1082" s="1">
        <v>1.1095290000000001E-6</v>
      </c>
      <c r="I1082">
        <v>284.75880000000001</v>
      </c>
      <c r="J1082">
        <v>-210.59379999999999</v>
      </c>
      <c r="K1082">
        <v>1.098816</v>
      </c>
      <c r="L1082">
        <v>283.11739999999998</v>
      </c>
      <c r="M1082">
        <v>-0.98726860000000005</v>
      </c>
      <c r="N1082">
        <v>0</v>
      </c>
      <c r="O1082">
        <v>-0.15867210000000001</v>
      </c>
      <c r="P1082">
        <v>-0.99791099999999999</v>
      </c>
      <c r="Q1082">
        <v>1.696019E-2</v>
      </c>
      <c r="R1082">
        <v>-6.2339859999999997E-2</v>
      </c>
      <c r="S1082">
        <v>-3.0319210000000001</v>
      </c>
      <c r="T1082">
        <v>-0.2265142</v>
      </c>
      <c r="U1082">
        <v>0.32855220000000002</v>
      </c>
      <c r="V1082">
        <v>9.7146830000000003E-2</v>
      </c>
      <c r="W1082">
        <v>2.6812030000000001E-2</v>
      </c>
      <c r="X1082">
        <v>0.99490889999999998</v>
      </c>
      <c r="Y1082">
        <v>0.26296330000000001</v>
      </c>
      <c r="Z1082">
        <v>2.157266E-2</v>
      </c>
      <c r="AA1082">
        <v>0.96456459999999999</v>
      </c>
      <c r="AB1082">
        <v>32</v>
      </c>
      <c r="AC1082">
        <v>-14.379099999999999</v>
      </c>
      <c r="AD1082">
        <v>-1.098814890471</v>
      </c>
      <c r="AE1082">
        <v>1.6414000000000299</v>
      </c>
      <c r="AF1082">
        <v>3.8799403912434101</v>
      </c>
      <c r="AG1082">
        <v>-1.098814890471</v>
      </c>
      <c r="AH1082">
        <v>13.856576265689601</v>
      </c>
      <c r="AI1082">
        <v>94.366751354350399</v>
      </c>
      <c r="AJ1082">
        <v>74.357373805864896</v>
      </c>
      <c r="AK1082">
        <v>14.431425342286699</v>
      </c>
      <c r="AL1082">
        <v>88.463599805966993</v>
      </c>
      <c r="AM1082">
        <v>84.423093253575999</v>
      </c>
      <c r="AN1082">
        <v>1.00000005541548</v>
      </c>
    </row>
    <row r="1083" spans="1:40" x14ac:dyDescent="0.3">
      <c r="A1083" t="str">
        <f>"20200111153852287"</f>
        <v>20200111153852287</v>
      </c>
      <c r="B1083" t="str">
        <f>"1578728332281400"</f>
        <v>1578728332281400</v>
      </c>
      <c r="C1083" t="s">
        <v>40</v>
      </c>
      <c r="D1083">
        <v>5.1173070000000003</v>
      </c>
      <c r="E1083">
        <v>0.51497789999999999</v>
      </c>
      <c r="F1083" t="s">
        <v>41</v>
      </c>
      <c r="G1083">
        <v>-211.4975</v>
      </c>
      <c r="H1083">
        <v>1.025479</v>
      </c>
      <c r="I1083">
        <v>283.13080000000002</v>
      </c>
      <c r="J1083">
        <v>-210.9435</v>
      </c>
      <c r="K1083">
        <v>1.099207</v>
      </c>
      <c r="L1083">
        <v>283.0668</v>
      </c>
      <c r="M1083">
        <v>-0.98808450000000003</v>
      </c>
      <c r="N1083">
        <v>0</v>
      </c>
      <c r="O1083">
        <v>-0.15351489999999901</v>
      </c>
      <c r="P1083">
        <v>-0.99805089999999996</v>
      </c>
      <c r="Q1083">
        <v>1.6207249999999999E-2</v>
      </c>
      <c r="R1083">
        <v>-6.0263379999999998E-2</v>
      </c>
      <c r="S1083">
        <v>-3.0131839999999999</v>
      </c>
      <c r="T1083">
        <v>-0.24452399999999999</v>
      </c>
      <c r="U1083">
        <v>4.4189449999999998E-2</v>
      </c>
      <c r="V1083">
        <v>9.39884E-2</v>
      </c>
      <c r="W1083">
        <v>2.611132E-2</v>
      </c>
      <c r="X1083">
        <v>0.99523079999999997</v>
      </c>
      <c r="Y1083">
        <v>0.16694690000000001</v>
      </c>
      <c r="Z1083">
        <v>1.9166450000000002E-2</v>
      </c>
      <c r="AA1083">
        <v>0.98577959999999998</v>
      </c>
      <c r="AB1083">
        <v>32</v>
      </c>
      <c r="AC1083">
        <v>-0.55400000000000205</v>
      </c>
      <c r="AD1083">
        <v>-7.3728000000000002E-2</v>
      </c>
      <c r="AE1083">
        <v>6.4000000000021304E-2</v>
      </c>
      <c r="AF1083">
        <v>0.14574639124045199</v>
      </c>
      <c r="AG1083">
        <v>-7.3728000000000002E-2</v>
      </c>
      <c r="AH1083">
        <v>0.528371907512038</v>
      </c>
      <c r="AI1083">
        <v>97.661122233648896</v>
      </c>
      <c r="AJ1083">
        <v>74.578985079833998</v>
      </c>
      <c r="AK1083">
        <v>0.55304131960598002</v>
      </c>
      <c r="AL1083">
        <v>88.503761485089299</v>
      </c>
      <c r="AM1083">
        <v>84.605056116859501</v>
      </c>
      <c r="AN1083">
        <v>0.999999982817671</v>
      </c>
    </row>
    <row r="1084" spans="1:40" x14ac:dyDescent="0.3">
      <c r="A1084" t="str">
        <f>"20200111153852307"</f>
        <v>20200111153852307</v>
      </c>
      <c r="B1084" t="str">
        <f>"1578728332301895"</f>
        <v>1578728332301895</v>
      </c>
      <c r="C1084" t="s">
        <v>40</v>
      </c>
      <c r="D1084">
        <v>5.1445660000000002</v>
      </c>
      <c r="E1084">
        <v>0.5131561</v>
      </c>
      <c r="F1084" t="s">
        <v>41</v>
      </c>
      <c r="G1084">
        <v>-211.78219999999999</v>
      </c>
      <c r="H1084">
        <v>1.039776</v>
      </c>
      <c r="I1084">
        <v>283.05040000000002</v>
      </c>
      <c r="J1084">
        <v>-211.23240000000001</v>
      </c>
      <c r="K1084">
        <v>1.0995010000000001</v>
      </c>
      <c r="L1084">
        <v>283.02620000000002</v>
      </c>
      <c r="M1084">
        <v>-0.98869779999999996</v>
      </c>
      <c r="N1084">
        <v>0</v>
      </c>
      <c r="O1084">
        <v>-0.14951879999999901</v>
      </c>
      <c r="P1084">
        <v>-0.99807509999999999</v>
      </c>
      <c r="Q1084">
        <v>1.5979980000000001E-2</v>
      </c>
      <c r="R1084">
        <v>-5.992252E-2</v>
      </c>
      <c r="S1084">
        <v>-3.0057070000000001</v>
      </c>
      <c r="T1084">
        <v>-0.21300150000000001</v>
      </c>
      <c r="U1084">
        <v>-5.9509279999999998E-2</v>
      </c>
      <c r="V1084">
        <v>9.0282429999999997E-2</v>
      </c>
      <c r="W1084">
        <v>2.592732E-2</v>
      </c>
      <c r="X1084">
        <v>0.99557859999999998</v>
      </c>
      <c r="Y1084">
        <v>0.12923009999999999</v>
      </c>
      <c r="Z1084">
        <v>1.512105E-2</v>
      </c>
      <c r="AA1084">
        <v>0.99149940000000003</v>
      </c>
      <c r="AB1084">
        <v>32</v>
      </c>
      <c r="AC1084">
        <v>-0.54979999999997597</v>
      </c>
      <c r="AD1084">
        <v>-5.9725E-2</v>
      </c>
      <c r="AE1084">
        <v>2.42000000000075E-2</v>
      </c>
      <c r="AF1084">
        <v>0.104902814448371</v>
      </c>
      <c r="AG1084">
        <v>-5.9725E-2</v>
      </c>
      <c r="AH1084">
        <v>0.53371435630209296</v>
      </c>
      <c r="AI1084">
        <v>96.266175193123701</v>
      </c>
      <c r="AJ1084">
        <v>78.880130746388602</v>
      </c>
      <c r="AK1084">
        <v>0.54719529441246695</v>
      </c>
      <c r="AL1084">
        <v>88.514307424354996</v>
      </c>
      <c r="AM1084">
        <v>84.818397776160595</v>
      </c>
      <c r="AN1084">
        <v>0.99999994593352204</v>
      </c>
    </row>
    <row r="1085" spans="1:40" x14ac:dyDescent="0.3">
      <c r="A1085" t="str">
        <f>"20200111153852330"</f>
        <v>20200111153852330</v>
      </c>
      <c r="B1085" t="str">
        <f>"1578728332321415"</f>
        <v>1578728332321415</v>
      </c>
      <c r="C1085" t="s">
        <v>40</v>
      </c>
      <c r="D1085">
        <v>5.1498819999999998</v>
      </c>
      <c r="E1085">
        <v>0.51268919999999996</v>
      </c>
      <c r="F1085" t="s">
        <v>41</v>
      </c>
      <c r="G1085">
        <v>-212.0693</v>
      </c>
      <c r="H1085">
        <v>1.0431010000000001</v>
      </c>
      <c r="I1085">
        <v>283.0059</v>
      </c>
      <c r="J1085">
        <v>-211.55799999999999</v>
      </c>
      <c r="K1085">
        <v>1.0998049999999999</v>
      </c>
      <c r="L1085">
        <v>282.98149999999998</v>
      </c>
      <c r="M1085">
        <v>-0.98933729999999998</v>
      </c>
      <c r="N1085">
        <v>0</v>
      </c>
      <c r="O1085">
        <v>-0.14523329999999901</v>
      </c>
      <c r="P1085">
        <v>-0.99813289999999999</v>
      </c>
      <c r="Q1085">
        <v>1.7036809999999999E-2</v>
      </c>
      <c r="R1085">
        <v>-5.8655680000000002E-2</v>
      </c>
      <c r="S1085">
        <v>-3.0046390000000001</v>
      </c>
      <c r="T1085">
        <v>-0.2024696</v>
      </c>
      <c r="U1085">
        <v>-7.2784420000000002E-2</v>
      </c>
      <c r="V1085">
        <v>8.7220549999999994E-2</v>
      </c>
      <c r="W1085">
        <v>2.70046E-2</v>
      </c>
      <c r="X1085">
        <v>0.99582300000000001</v>
      </c>
      <c r="Y1085">
        <v>0.12063889999999999</v>
      </c>
      <c r="Z1085">
        <v>1.380381E-2</v>
      </c>
      <c r="AA1085">
        <v>0.9926005</v>
      </c>
      <c r="AB1085">
        <v>32</v>
      </c>
      <c r="AC1085">
        <v>-0.51130000000000497</v>
      </c>
      <c r="AD1085">
        <v>-5.6703999999999803E-2</v>
      </c>
      <c r="AE1085">
        <v>2.4400000000014101E-2</v>
      </c>
      <c r="AF1085">
        <v>9.7210578551529703E-2</v>
      </c>
      <c r="AG1085">
        <v>-5.6703999999999803E-2</v>
      </c>
      <c r="AH1085">
        <v>0.49624482603445502</v>
      </c>
      <c r="AI1085">
        <v>96.3981292078808</v>
      </c>
      <c r="AJ1085">
        <v>78.916542805185401</v>
      </c>
      <c r="AK1085">
        <v>0.50884591731121298</v>
      </c>
      <c r="AL1085">
        <v>88.452562368873203</v>
      </c>
      <c r="AM1085">
        <v>84.994442788911797</v>
      </c>
      <c r="AN1085">
        <v>1.00000006004622</v>
      </c>
    </row>
    <row r="1086" spans="1:40" x14ac:dyDescent="0.3">
      <c r="A1086" t="str">
        <f>"20200111153852352"</f>
        <v>20200111153852352</v>
      </c>
      <c r="B1086" t="str">
        <f>"1578728332341912"</f>
        <v>1578728332341912</v>
      </c>
      <c r="C1086" t="s">
        <v>40</v>
      </c>
      <c r="D1086">
        <v>5.1480249999999996</v>
      </c>
      <c r="E1086">
        <v>0.51220449999999995</v>
      </c>
      <c r="F1086" t="s">
        <v>41</v>
      </c>
      <c r="G1086">
        <v>-212.358</v>
      </c>
      <c r="H1086">
        <v>1.0475969999999999</v>
      </c>
      <c r="I1086">
        <v>282.9624</v>
      </c>
      <c r="J1086">
        <v>-211.87129999999999</v>
      </c>
      <c r="K1086">
        <v>1.1000570000000001</v>
      </c>
      <c r="L1086">
        <v>282.93979999999999</v>
      </c>
      <c r="M1086">
        <v>-0.98991099999999999</v>
      </c>
      <c r="N1086">
        <v>0</v>
      </c>
      <c r="O1086">
        <v>-0.14127709999999999</v>
      </c>
      <c r="P1086">
        <v>-0.99816579999999999</v>
      </c>
      <c r="Q1086">
        <v>1.9076840000000001E-2</v>
      </c>
      <c r="R1086">
        <v>-5.7458410000000001E-2</v>
      </c>
      <c r="S1086">
        <v>-3.0046840000000001</v>
      </c>
      <c r="T1086">
        <v>-0.1961695</v>
      </c>
      <c r="U1086">
        <v>-7.2540279999999999E-2</v>
      </c>
      <c r="V1086">
        <v>8.4431800000000001E-2</v>
      </c>
      <c r="W1086">
        <v>2.9042749999999999E-2</v>
      </c>
      <c r="X1086">
        <v>0.9960059</v>
      </c>
      <c r="Y1086">
        <v>0.1168038</v>
      </c>
      <c r="Z1086">
        <v>1.2994240000000001E-2</v>
      </c>
      <c r="AA1086">
        <v>0.99307000000000001</v>
      </c>
      <c r="AB1086">
        <v>32</v>
      </c>
      <c r="AC1086">
        <v>-0.48670000000001301</v>
      </c>
      <c r="AD1086">
        <v>-5.2460000000000097E-2</v>
      </c>
      <c r="AE1086">
        <v>2.2600000000011201E-2</v>
      </c>
      <c r="AF1086">
        <v>9.0092436611460103E-2</v>
      </c>
      <c r="AG1086">
        <v>-5.2460000000000097E-2</v>
      </c>
      <c r="AH1086">
        <v>0.47313967863109002</v>
      </c>
      <c r="AI1086">
        <v>96.216115305987998</v>
      </c>
      <c r="AJ1086">
        <v>79.219138585433896</v>
      </c>
      <c r="AK1086">
        <v>0.48448927153211602</v>
      </c>
      <c r="AL1086">
        <v>88.335738950640007</v>
      </c>
      <c r="AM1086">
        <v>85.154599140108402</v>
      </c>
      <c r="AN1086">
        <v>0.99999998150680602</v>
      </c>
    </row>
    <row r="1087" spans="1:40" x14ac:dyDescent="0.3">
      <c r="A1087" t="str">
        <f>"20200111153852376"</f>
        <v>20200111153852376</v>
      </c>
      <c r="B1087" t="str">
        <f>"1578728332371194"</f>
        <v>1578728332371194</v>
      </c>
      <c r="C1087" t="s">
        <v>40</v>
      </c>
      <c r="D1087">
        <v>5.1992640000000003</v>
      </c>
      <c r="E1087">
        <v>0.51166869999999998</v>
      </c>
      <c r="F1087" t="s">
        <v>41</v>
      </c>
      <c r="G1087">
        <v>-212.65639999999999</v>
      </c>
      <c r="H1087">
        <v>1.0512360000000001</v>
      </c>
      <c r="I1087">
        <v>282.92090000000002</v>
      </c>
      <c r="J1087">
        <v>-212.20769999999999</v>
      </c>
      <c r="K1087">
        <v>1.100257</v>
      </c>
      <c r="L1087">
        <v>282.89609999999999</v>
      </c>
      <c r="M1087">
        <v>-0.99049180000000003</v>
      </c>
      <c r="N1087">
        <v>0</v>
      </c>
      <c r="O1087">
        <v>-0.1371531</v>
      </c>
      <c r="P1087">
        <v>-0.99815889999999996</v>
      </c>
      <c r="Q1087">
        <v>2.2207339999999999E-2</v>
      </c>
      <c r="R1087">
        <v>-5.6443140000000003E-2</v>
      </c>
      <c r="S1087">
        <v>-3.0049130000000002</v>
      </c>
      <c r="T1087">
        <v>-0.1868184</v>
      </c>
      <c r="U1087">
        <v>-7.2204589999999999E-2</v>
      </c>
      <c r="V1087">
        <v>8.1301440000000003E-2</v>
      </c>
      <c r="W1087">
        <v>3.2146939999999999E-2</v>
      </c>
      <c r="X1087">
        <v>0.99617100000000003</v>
      </c>
      <c r="Y1087">
        <v>0.1128458</v>
      </c>
      <c r="Z1087">
        <v>1.199822E-2</v>
      </c>
      <c r="AA1087">
        <v>0.99353999999999998</v>
      </c>
      <c r="AB1087">
        <v>32</v>
      </c>
      <c r="AC1087">
        <v>-0.44870000000000199</v>
      </c>
      <c r="AD1087">
        <v>-4.9020999999999898E-2</v>
      </c>
      <c r="AE1087">
        <v>2.4800000000027401E-2</v>
      </c>
      <c r="AF1087">
        <v>8.5097134440021802E-2</v>
      </c>
      <c r="AG1087">
        <v>-4.9020999999999898E-2</v>
      </c>
      <c r="AH1087">
        <v>0.43587100736915702</v>
      </c>
      <c r="AI1087">
        <v>96.298964090119497</v>
      </c>
      <c r="AJ1087">
        <v>78.952838234801405</v>
      </c>
      <c r="AK1087">
        <v>0.44679762286286501</v>
      </c>
      <c r="AL1087">
        <v>88.157798634657695</v>
      </c>
      <c r="AM1087">
        <v>85.3342067248022</v>
      </c>
      <c r="AN1087">
        <v>1.00000000556921</v>
      </c>
    </row>
    <row r="1088" spans="1:40" x14ac:dyDescent="0.3">
      <c r="A1088" t="str">
        <f>"20200111153852398"</f>
        <v>20200111153852398</v>
      </c>
      <c r="B1088" t="str">
        <f>"1578728332391687"</f>
        <v>1578728332391687</v>
      </c>
      <c r="C1088" t="s">
        <v>40</v>
      </c>
      <c r="D1088">
        <v>5.2385199999999896</v>
      </c>
      <c r="E1088">
        <v>0.51150580000000001</v>
      </c>
      <c r="F1088" t="s">
        <v>41</v>
      </c>
      <c r="G1088">
        <v>-213.21549999999999</v>
      </c>
      <c r="H1088">
        <v>1.0407329999999999</v>
      </c>
      <c r="I1088">
        <v>282.8716</v>
      </c>
      <c r="J1088">
        <v>-212.5334</v>
      </c>
      <c r="K1088">
        <v>1.100395</v>
      </c>
      <c r="L1088">
        <v>282.85520000000002</v>
      </c>
      <c r="M1088">
        <v>-0.99102659999999998</v>
      </c>
      <c r="N1088">
        <v>0</v>
      </c>
      <c r="O1088">
        <v>-0.13324179999999999</v>
      </c>
      <c r="P1088">
        <v>-0.99815430000000005</v>
      </c>
      <c r="Q1088">
        <v>2.5071260000000001E-2</v>
      </c>
      <c r="R1088">
        <v>-5.5312890000000003E-2</v>
      </c>
      <c r="S1088">
        <v>-3.005341</v>
      </c>
      <c r="T1088">
        <v>-0.17748849999999999</v>
      </c>
      <c r="U1088">
        <v>-7.3211670000000006E-2</v>
      </c>
      <c r="V1088">
        <v>7.8501459999999995E-2</v>
      </c>
      <c r="W1088">
        <v>3.4966320000000002E-2</v>
      </c>
      <c r="X1088">
        <v>0.99630059999999998</v>
      </c>
      <c r="Y1088">
        <v>0.10865379999999999</v>
      </c>
      <c r="Z1088">
        <v>1.104574E-2</v>
      </c>
      <c r="AA1088">
        <v>0.99401830000000002</v>
      </c>
      <c r="AB1088">
        <v>32</v>
      </c>
      <c r="AC1088">
        <v>-0.68209999999999105</v>
      </c>
      <c r="AD1088">
        <v>-5.9662000000000097E-2</v>
      </c>
      <c r="AE1088">
        <v>1.6399999999975899E-2</v>
      </c>
      <c r="AF1088">
        <v>0.106330089945374</v>
      </c>
      <c r="AG1088">
        <v>-5.9662000000000097E-2</v>
      </c>
      <c r="AH1088">
        <v>0.66871892500543795</v>
      </c>
      <c r="AI1088">
        <v>95.035410179801403</v>
      </c>
      <c r="AJ1088">
        <v>80.9652814412715</v>
      </c>
      <c r="AK1088">
        <v>0.67974307126459199</v>
      </c>
      <c r="AL1088">
        <v>87.996168977182904</v>
      </c>
      <c r="AM1088">
        <v>85.494804562063294</v>
      </c>
      <c r="AN1088">
        <v>1.0000000041584101</v>
      </c>
    </row>
    <row r="1089" spans="1:40" x14ac:dyDescent="0.3">
      <c r="A1089" t="str">
        <f>"20200111153852420"</f>
        <v>20200111153852420</v>
      </c>
      <c r="B1089" t="str">
        <f>"1578728332412183"</f>
        <v>1578728332412183</v>
      </c>
      <c r="C1089" t="s">
        <v>40</v>
      </c>
      <c r="D1089">
        <v>5.2210710000000002</v>
      </c>
      <c r="E1089">
        <v>0.51112609999999903</v>
      </c>
      <c r="F1089" t="s">
        <v>41</v>
      </c>
      <c r="G1089">
        <v>-213.50659999999999</v>
      </c>
      <c r="H1089">
        <v>1.0455460000000001</v>
      </c>
      <c r="I1089">
        <v>282.83249999999998</v>
      </c>
      <c r="J1089">
        <v>-212.8545</v>
      </c>
      <c r="K1089">
        <v>1.100479</v>
      </c>
      <c r="L1089">
        <v>282.81599999999997</v>
      </c>
      <c r="M1089">
        <v>-0.99153349999999996</v>
      </c>
      <c r="N1089">
        <v>0</v>
      </c>
      <c r="O1089">
        <v>-0.12942200000000001</v>
      </c>
      <c r="P1089">
        <v>-0.99817040000000001</v>
      </c>
      <c r="Q1089">
        <v>2.6349480000000002E-2</v>
      </c>
      <c r="R1089">
        <v>-5.4418670000000002E-2</v>
      </c>
      <c r="S1089">
        <v>-3.00589</v>
      </c>
      <c r="T1089">
        <v>-0.16949249999999999</v>
      </c>
      <c r="U1089">
        <v>-7.0922849999999996E-2</v>
      </c>
      <c r="V1089">
        <v>7.5552610000000006E-2</v>
      </c>
      <c r="W1089">
        <v>3.6196730000000003E-2</v>
      </c>
      <c r="X1089">
        <v>0.99648460000000005</v>
      </c>
      <c r="Y1089">
        <v>0.1056315</v>
      </c>
      <c r="Z1089">
        <v>1.0248439999999999E-2</v>
      </c>
      <c r="AA1089">
        <v>0.99435249999999997</v>
      </c>
      <c r="AB1089">
        <v>32</v>
      </c>
      <c r="AC1089">
        <v>-0.65209999999999002</v>
      </c>
      <c r="AD1089">
        <v>-5.49330000000001E-2</v>
      </c>
      <c r="AE1089">
        <v>1.6500000000007699E-2</v>
      </c>
      <c r="AF1089">
        <v>0.10005243664418199</v>
      </c>
      <c r="AG1089">
        <v>-5.49330000000001E-2</v>
      </c>
      <c r="AH1089">
        <v>0.63994101379708401</v>
      </c>
      <c r="AI1089">
        <v>94.847678628274807</v>
      </c>
      <c r="AJ1089">
        <v>81.1139524887043</v>
      </c>
      <c r="AK1089">
        <v>0.65004048005264803</v>
      </c>
      <c r="AL1089">
        <v>87.925626952113802</v>
      </c>
      <c r="AM1089">
        <v>85.664178527371703</v>
      </c>
      <c r="AN1089">
        <v>0.99999997908883198</v>
      </c>
    </row>
    <row r="1090" spans="1:40" x14ac:dyDescent="0.3">
      <c r="A1090" t="str">
        <f>"20200111153852443"</f>
        <v>20200111153852443</v>
      </c>
      <c r="B1090" t="str">
        <f>"1578728332431705"</f>
        <v>1578728332431705</v>
      </c>
      <c r="C1090" t="s">
        <v>40</v>
      </c>
      <c r="D1090">
        <v>5.3027069999999998</v>
      </c>
      <c r="E1090">
        <v>0.51118430000000004</v>
      </c>
      <c r="F1090" t="s">
        <v>41</v>
      </c>
      <c r="G1090">
        <v>-213.7963</v>
      </c>
      <c r="H1090">
        <v>1.048335</v>
      </c>
      <c r="I1090">
        <v>282.79390000000001</v>
      </c>
      <c r="J1090">
        <v>-213.1764</v>
      </c>
      <c r="K1090">
        <v>1.100528</v>
      </c>
      <c r="L1090">
        <v>282.77800000000002</v>
      </c>
      <c r="M1090">
        <v>-0.99202590000000002</v>
      </c>
      <c r="N1090">
        <v>0</v>
      </c>
      <c r="O1090">
        <v>-0.12560009999999999</v>
      </c>
      <c r="P1090">
        <v>-0.99825269999999999</v>
      </c>
      <c r="Q1090">
        <v>2.5658199999999999E-2</v>
      </c>
      <c r="R1090">
        <v>-5.322412E-2</v>
      </c>
      <c r="S1090">
        <v>-3.0059969999999998</v>
      </c>
      <c r="T1090">
        <v>-0.166459</v>
      </c>
      <c r="U1090">
        <v>-7.0983889999999994E-2</v>
      </c>
      <c r="V1090">
        <v>7.2894539999999994E-2</v>
      </c>
      <c r="W1090">
        <v>3.5442380000000002E-2</v>
      </c>
      <c r="X1090">
        <v>0.99670970000000003</v>
      </c>
      <c r="Y1090">
        <v>0.1018042</v>
      </c>
      <c r="Z1090">
        <v>9.7490649999999995E-3</v>
      </c>
      <c r="AA1090">
        <v>0.99475670000000005</v>
      </c>
      <c r="AB1090">
        <v>32</v>
      </c>
      <c r="AC1090">
        <v>-0.61990000000000101</v>
      </c>
      <c r="AD1090">
        <v>-5.21930000000001E-2</v>
      </c>
      <c r="AE1090">
        <v>1.5899999999987799E-2</v>
      </c>
      <c r="AF1090">
        <v>9.2979137798407205E-2</v>
      </c>
      <c r="AG1090">
        <v>-5.21930000000001E-2</v>
      </c>
      <c r="AH1090">
        <v>0.60868122562162996</v>
      </c>
      <c r="AI1090">
        <v>94.845062115962605</v>
      </c>
      <c r="AJ1090">
        <v>81.3149173068511</v>
      </c>
      <c r="AK1090">
        <v>0.61794988772471304</v>
      </c>
      <c r="AL1090">
        <v>87.968875824092805</v>
      </c>
      <c r="AM1090">
        <v>85.817110184853306</v>
      </c>
      <c r="AN1090">
        <v>1.0000000011679799</v>
      </c>
    </row>
    <row r="1091" spans="1:40" x14ac:dyDescent="0.3">
      <c r="A1091" t="str">
        <f>"20200111153852468"</f>
        <v>20200111153852468</v>
      </c>
      <c r="B1091" t="str">
        <f>"1578728332461959"</f>
        <v>1578728332461959</v>
      </c>
      <c r="C1091" t="s">
        <v>40</v>
      </c>
      <c r="D1091">
        <v>5.3045269999999896</v>
      </c>
      <c r="E1091">
        <v>0.51064869999999996</v>
      </c>
      <c r="F1091" t="s">
        <v>41</v>
      </c>
      <c r="G1091">
        <v>-214.0848</v>
      </c>
      <c r="H1091">
        <v>1.0487770000000001</v>
      </c>
      <c r="I1091">
        <v>282.75799999999998</v>
      </c>
      <c r="J1091">
        <v>-213.5377</v>
      </c>
      <c r="K1091">
        <v>1.100552</v>
      </c>
      <c r="L1091">
        <v>282.73669999999998</v>
      </c>
      <c r="M1091">
        <v>-0.99256239999999996</v>
      </c>
      <c r="N1091">
        <v>0</v>
      </c>
      <c r="O1091">
        <v>-0.12129860000000001</v>
      </c>
      <c r="P1091">
        <v>-0.99834199999999995</v>
      </c>
      <c r="Q1091">
        <v>2.5366690000000001E-2</v>
      </c>
      <c r="R1091">
        <v>-5.167182E-2</v>
      </c>
      <c r="S1091">
        <v>-3.0061040000000001</v>
      </c>
      <c r="T1091">
        <v>-0.17135739999999999</v>
      </c>
      <c r="U1091">
        <v>-6.6528320000000002E-2</v>
      </c>
      <c r="V1091">
        <v>7.0116819999999996E-2</v>
      </c>
      <c r="W1091">
        <v>3.5064489999999997E-2</v>
      </c>
      <c r="X1091">
        <v>0.99692230000000004</v>
      </c>
      <c r="Y1091">
        <v>9.8956749999999996E-2</v>
      </c>
      <c r="Z1091">
        <v>9.7109899999999992E-3</v>
      </c>
      <c r="AA1091">
        <v>0.99504440000000005</v>
      </c>
      <c r="AB1091">
        <v>32</v>
      </c>
      <c r="AC1091">
        <v>-0.54710000000000003</v>
      </c>
      <c r="AD1091">
        <v>-5.1774999999999897E-2</v>
      </c>
      <c r="AE1091">
        <v>2.1299999999996499E-2</v>
      </c>
      <c r="AF1091">
        <v>8.6733111441415794E-2</v>
      </c>
      <c r="AG1091">
        <v>-5.1774999999999897E-2</v>
      </c>
      <c r="AH1091">
        <v>0.53568575834258503</v>
      </c>
      <c r="AI1091">
        <v>95.450054521080901</v>
      </c>
      <c r="AJ1091">
        <v>80.803027650023395</v>
      </c>
      <c r="AK1091">
        <v>0.54512614589320496</v>
      </c>
      <c r="AL1091">
        <v>87.990540749750195</v>
      </c>
      <c r="AM1091">
        <v>85.976824804780705</v>
      </c>
      <c r="AN1091">
        <v>0.99999997957158104</v>
      </c>
    </row>
    <row r="1092" spans="1:40" x14ac:dyDescent="0.3">
      <c r="A1092" t="str">
        <f>"20200111153852488"</f>
        <v>20200111153852488</v>
      </c>
      <c r="B1092" t="str">
        <f>"1578728332481479"</f>
        <v>1578728332481479</v>
      </c>
      <c r="C1092" t="s">
        <v>40</v>
      </c>
      <c r="D1092">
        <v>5.3181450000000003</v>
      </c>
      <c r="E1092">
        <v>0.51015999999999995</v>
      </c>
      <c r="F1092" t="s">
        <v>41</v>
      </c>
      <c r="G1092">
        <v>-214.37559999999999</v>
      </c>
      <c r="H1092">
        <v>1.052135</v>
      </c>
      <c r="I1092">
        <v>282.7183</v>
      </c>
      <c r="J1092">
        <v>-213.8339</v>
      </c>
      <c r="K1092">
        <v>1.100563</v>
      </c>
      <c r="L1092">
        <v>282.70409999999998</v>
      </c>
      <c r="M1092">
        <v>-0.99299020000000005</v>
      </c>
      <c r="N1092">
        <v>0</v>
      </c>
      <c r="O1092">
        <v>-0.117754399999999</v>
      </c>
      <c r="P1092">
        <v>-0.99837830000000005</v>
      </c>
      <c r="Q1092">
        <v>2.5014930000000001E-2</v>
      </c>
      <c r="R1092">
        <v>-5.1137309999999998E-2</v>
      </c>
      <c r="S1092">
        <v>-3.0059659999999999</v>
      </c>
      <c r="T1092">
        <v>-0.17372979999999999</v>
      </c>
      <c r="U1092">
        <v>-6.6345210000000002E-2</v>
      </c>
      <c r="V1092">
        <v>6.708575E-2</v>
      </c>
      <c r="W1092">
        <v>3.4639410000000002E-2</v>
      </c>
      <c r="X1092">
        <v>0.99714570000000002</v>
      </c>
      <c r="Y1092">
        <v>9.5464919999999995E-2</v>
      </c>
      <c r="Z1092">
        <v>9.5414499999999999E-3</v>
      </c>
      <c r="AA1092">
        <v>0.99538709999999997</v>
      </c>
      <c r="AB1092">
        <v>32</v>
      </c>
      <c r="AC1092">
        <v>-0.54169999999999097</v>
      </c>
      <c r="AD1092">
        <v>-4.8427999999999902E-2</v>
      </c>
      <c r="AE1092">
        <v>1.42000000000166E-2</v>
      </c>
      <c r="AF1092">
        <v>7.7274898776199197E-2</v>
      </c>
      <c r="AG1092">
        <v>-4.8427999999999902E-2</v>
      </c>
      <c r="AH1092">
        <v>0.532009566957236</v>
      </c>
      <c r="AI1092">
        <v>95.147488603514304</v>
      </c>
      <c r="AJ1092">
        <v>81.735530580360901</v>
      </c>
      <c r="AK1092">
        <v>0.53976926598213903</v>
      </c>
      <c r="AL1092">
        <v>88.014910820200001</v>
      </c>
      <c r="AM1092">
        <v>86.151067243877705</v>
      </c>
      <c r="AN1092">
        <v>0.99999996680334902</v>
      </c>
    </row>
    <row r="1093" spans="1:40" x14ac:dyDescent="0.3">
      <c r="A1093" t="str">
        <f>"20200111153852509"</f>
        <v>20200111153852509</v>
      </c>
      <c r="B1093" t="str">
        <f>"1578728332501975"</f>
        <v>1578728332501975</v>
      </c>
      <c r="C1093" t="s">
        <v>40</v>
      </c>
      <c r="D1093">
        <v>5.3931199999999997</v>
      </c>
      <c r="E1093">
        <v>0.50984510000000005</v>
      </c>
      <c r="F1093" t="s">
        <v>41</v>
      </c>
      <c r="G1093">
        <v>-214.66550000000001</v>
      </c>
      <c r="H1093">
        <v>1.0524180000000001</v>
      </c>
      <c r="I1093">
        <v>282.685</v>
      </c>
      <c r="J1093">
        <v>-214.1465</v>
      </c>
      <c r="K1093">
        <v>1.100552</v>
      </c>
      <c r="L1093">
        <v>282.67079999999999</v>
      </c>
      <c r="M1093">
        <v>-0.99342980000000003</v>
      </c>
      <c r="N1093">
        <v>0</v>
      </c>
      <c r="O1093">
        <v>-0.1139969</v>
      </c>
      <c r="P1093">
        <v>-0.99841550000000001</v>
      </c>
      <c r="Q1093">
        <v>2.4906910000000001E-2</v>
      </c>
      <c r="R1093">
        <v>-5.0460770000000002E-2</v>
      </c>
      <c r="S1093">
        <v>-3.0056919999999998</v>
      </c>
      <c r="T1093">
        <v>-0.17400370000000001</v>
      </c>
      <c r="U1093">
        <v>-6.9000240000000004E-2</v>
      </c>
      <c r="V1093">
        <v>6.3984949999999999E-2</v>
      </c>
      <c r="W1093">
        <v>3.4432589999999999E-2</v>
      </c>
      <c r="X1093">
        <v>0.99735669999999998</v>
      </c>
      <c r="Y1093">
        <v>9.0829950000000007E-2</v>
      </c>
      <c r="Z1093">
        <v>9.2070380000000007E-3</v>
      </c>
      <c r="AA1093">
        <v>0.99582389999999998</v>
      </c>
      <c r="AB1093">
        <v>32</v>
      </c>
      <c r="AC1093">
        <v>-0.51900000000000501</v>
      </c>
      <c r="AD1093">
        <v>-4.8133999999999899E-2</v>
      </c>
      <c r="AE1093">
        <v>1.42000000000166E-2</v>
      </c>
      <c r="AF1093">
        <v>7.2650401354612495E-2</v>
      </c>
      <c r="AG1093">
        <v>-4.8133999999999899E-2</v>
      </c>
      <c r="AH1093">
        <v>0.50961736479231601</v>
      </c>
      <c r="AI1093">
        <v>95.341959274595297</v>
      </c>
      <c r="AJ1093">
        <v>81.886654512473598</v>
      </c>
      <c r="AK1093">
        <v>0.51701530080922198</v>
      </c>
      <c r="AL1093">
        <v>88.026767935780001</v>
      </c>
      <c r="AM1093">
        <v>86.329246731226206</v>
      </c>
      <c r="AN1093">
        <v>1.00000003205774</v>
      </c>
    </row>
    <row r="1094" spans="1:40" x14ac:dyDescent="0.3">
      <c r="A1094" t="str">
        <f>"20200111153852530"</f>
        <v>20200111153852530</v>
      </c>
      <c r="B1094" t="str">
        <f>"1578728332521496"</f>
        <v>1578728332521496</v>
      </c>
      <c r="C1094" t="s">
        <v>40</v>
      </c>
      <c r="D1094">
        <v>5.338552</v>
      </c>
      <c r="E1094">
        <v>0.50951020000000002</v>
      </c>
      <c r="F1094" t="s">
        <v>41</v>
      </c>
      <c r="G1094">
        <v>-214.95670000000001</v>
      </c>
      <c r="H1094">
        <v>1.053212</v>
      </c>
      <c r="I1094">
        <v>282.65230000000003</v>
      </c>
      <c r="J1094">
        <v>-214.44810000000001</v>
      </c>
      <c r="K1094">
        <v>1.100533</v>
      </c>
      <c r="L1094">
        <v>282.6397</v>
      </c>
      <c r="M1094">
        <v>-0.99384289999999997</v>
      </c>
      <c r="N1094">
        <v>0</v>
      </c>
      <c r="O1094">
        <v>-0.1103503</v>
      </c>
      <c r="P1094">
        <v>-0.99838260000000001</v>
      </c>
      <c r="Q1094">
        <v>2.6434699999999998E-2</v>
      </c>
      <c r="R1094">
        <v>-5.0331439999999998E-2</v>
      </c>
      <c r="S1094">
        <v>-3.005646</v>
      </c>
      <c r="T1094">
        <v>-0.1756712</v>
      </c>
      <c r="U1094">
        <v>-6.9061280000000003E-2</v>
      </c>
      <c r="V1094">
        <v>6.0459430000000002E-2</v>
      </c>
      <c r="W1094">
        <v>3.5850769999999997E-2</v>
      </c>
      <c r="X1094">
        <v>0.99752660000000004</v>
      </c>
      <c r="Y1094">
        <v>8.7159739999999999E-2</v>
      </c>
      <c r="Z1094">
        <v>8.976319E-3</v>
      </c>
      <c r="AA1094">
        <v>0.99615390000000004</v>
      </c>
      <c r="AB1094">
        <v>33</v>
      </c>
      <c r="AC1094">
        <v>-0.50860000000000105</v>
      </c>
      <c r="AD1094">
        <v>-4.7320999999999898E-2</v>
      </c>
      <c r="AE1094">
        <v>1.26000000000203E-2</v>
      </c>
      <c r="AF1094">
        <v>6.8061157498769398E-2</v>
      </c>
      <c r="AG1094">
        <v>-4.7320999999999898E-2</v>
      </c>
      <c r="AH1094">
        <v>0.49977925173302601</v>
      </c>
      <c r="AI1094">
        <v>95.359678231495593</v>
      </c>
      <c r="AJ1094">
        <v>82.245026542271503</v>
      </c>
      <c r="AK1094">
        <v>0.50660724300378401</v>
      </c>
      <c r="AL1094">
        <v>87.945461854039806</v>
      </c>
      <c r="AM1094">
        <v>86.531583467991197</v>
      </c>
      <c r="AN1094">
        <v>0.99999996904653798</v>
      </c>
    </row>
    <row r="1095" spans="1:40" x14ac:dyDescent="0.3">
      <c r="A1095" t="str">
        <f>"20200111153852552"</f>
        <v>20200111153852552</v>
      </c>
      <c r="B1095" t="str">
        <f>"1578728332541992"</f>
        <v>1578728332541992</v>
      </c>
      <c r="C1095" t="s">
        <v>40</v>
      </c>
      <c r="D1095">
        <v>5.3503270000000001</v>
      </c>
      <c r="E1095">
        <v>0.50953820000000005</v>
      </c>
      <c r="F1095" t="s">
        <v>55</v>
      </c>
      <c r="G1095">
        <v>-233.64830000000001</v>
      </c>
      <c r="H1095" s="1">
        <v>5.1091429999999899E-7</v>
      </c>
      <c r="I1095">
        <v>282.1859</v>
      </c>
      <c r="J1095">
        <v>-214.7757</v>
      </c>
      <c r="K1095">
        <v>1.1004969999999901</v>
      </c>
      <c r="L1095">
        <v>282.60719999999998</v>
      </c>
      <c r="M1095">
        <v>-0.99428070000000002</v>
      </c>
      <c r="N1095">
        <v>0</v>
      </c>
      <c r="O1095">
        <v>-0.106349</v>
      </c>
      <c r="P1095">
        <v>-0.99838700000000002</v>
      </c>
      <c r="Q1095">
        <v>2.7047399999999999E-2</v>
      </c>
      <c r="R1095">
        <v>-4.9917419999999997E-2</v>
      </c>
      <c r="S1095">
        <v>-3.0058289999999999</v>
      </c>
      <c r="T1095">
        <v>-0.17228979999999999</v>
      </c>
      <c r="U1095">
        <v>-7.1044919999999998E-2</v>
      </c>
      <c r="V1095">
        <v>5.6859659999999999E-2</v>
      </c>
      <c r="W1095">
        <v>3.6325870000000003E-2</v>
      </c>
      <c r="X1095">
        <v>0.99772110000000003</v>
      </c>
      <c r="Y1095">
        <v>8.2520159999999995E-2</v>
      </c>
      <c r="Z1095">
        <v>8.4423429999999997E-3</v>
      </c>
      <c r="AA1095">
        <v>0.99655369999999999</v>
      </c>
      <c r="AB1095">
        <v>33</v>
      </c>
      <c r="AC1095">
        <v>-18.872599999999998</v>
      </c>
      <c r="AD1095">
        <v>-1.1004964890857001</v>
      </c>
      <c r="AE1095">
        <v>-0.42129999999997297</v>
      </c>
      <c r="AF1095">
        <v>1.5828881703997</v>
      </c>
      <c r="AG1095">
        <v>-1.1004964890857001</v>
      </c>
      <c r="AH1095">
        <v>18.746655614047199</v>
      </c>
      <c r="AI1095">
        <v>93.347728612672199</v>
      </c>
      <c r="AJ1095">
        <v>85.173635107727193</v>
      </c>
      <c r="AK1095">
        <v>18.845522656433999</v>
      </c>
      <c r="AL1095">
        <v>87.918222931669604</v>
      </c>
      <c r="AM1095">
        <v>86.738268362140502</v>
      </c>
      <c r="AN1095">
        <v>0.99999999157589103</v>
      </c>
    </row>
    <row r="1096" spans="1:40" x14ac:dyDescent="0.3">
      <c r="A1096" t="str">
        <f>"20200111153852577"</f>
        <v>20200111153852577</v>
      </c>
      <c r="B1096" t="str">
        <f>"1578728332571272"</f>
        <v>1578728332571272</v>
      </c>
      <c r="C1096" t="s">
        <v>40</v>
      </c>
      <c r="D1096">
        <v>5.3648059999999997</v>
      </c>
      <c r="E1096">
        <v>0.53267219999999904</v>
      </c>
      <c r="F1096" t="s">
        <v>55</v>
      </c>
      <c r="G1096">
        <v>-233.88210000000001</v>
      </c>
      <c r="H1096" s="1">
        <v>6.3619069999999998E-7</v>
      </c>
      <c r="I1096">
        <v>282.16609999999997</v>
      </c>
      <c r="J1096">
        <v>-215.1206</v>
      </c>
      <c r="K1096">
        <v>1.10043</v>
      </c>
      <c r="L1096">
        <v>282.5745</v>
      </c>
      <c r="M1096">
        <v>-0.99473049999999996</v>
      </c>
      <c r="N1096">
        <v>0</v>
      </c>
      <c r="O1096">
        <v>-0.10207620000000001</v>
      </c>
      <c r="P1096">
        <v>-0.99843079999999995</v>
      </c>
      <c r="Q1096">
        <v>2.7331930000000001E-2</v>
      </c>
      <c r="R1096">
        <v>-4.8877219999999999E-2</v>
      </c>
      <c r="S1096">
        <v>-3.0060730000000002</v>
      </c>
      <c r="T1096">
        <v>-0.1731442</v>
      </c>
      <c r="U1096">
        <v>-6.9396970000000002E-2</v>
      </c>
      <c r="V1096">
        <v>5.3614559999999999E-2</v>
      </c>
      <c r="W1096">
        <v>3.6445480000000002E-2</v>
      </c>
      <c r="X1096">
        <v>0.99789640000000002</v>
      </c>
      <c r="Y1096">
        <v>7.8795779999999996E-2</v>
      </c>
      <c r="Z1096">
        <v>8.1316589999999994E-3</v>
      </c>
      <c r="AA1096">
        <v>0.99685760000000001</v>
      </c>
      <c r="AB1096">
        <v>33</v>
      </c>
      <c r="AC1096">
        <v>-18.761500000000002</v>
      </c>
      <c r="AD1096">
        <v>-1.1004293638092999</v>
      </c>
      <c r="AE1096">
        <v>-0.40840000000002802</v>
      </c>
      <c r="AF1096">
        <v>1.50375303514207</v>
      </c>
      <c r="AG1096">
        <v>-1.1004293638092999</v>
      </c>
      <c r="AH1096">
        <v>18.6410821826037</v>
      </c>
      <c r="AI1096">
        <v>93.367477601824305</v>
      </c>
      <c r="AJ1096">
        <v>85.388007160258596</v>
      </c>
      <c r="AK1096">
        <v>18.7339841708596</v>
      </c>
      <c r="AL1096">
        <v>87.911365280061204</v>
      </c>
      <c r="AM1096">
        <v>86.924593281952994</v>
      </c>
      <c r="AN1096">
        <v>1.0000000095946899</v>
      </c>
    </row>
    <row r="1097" spans="1:40" x14ac:dyDescent="0.3">
      <c r="A1097" t="str">
        <f>"20200111153852597"</f>
        <v>20200111153852597</v>
      </c>
      <c r="B1097" t="str">
        <f>"1578728332591769"</f>
        <v>1578728332591769</v>
      </c>
      <c r="C1097" t="s">
        <v>40</v>
      </c>
      <c r="D1097">
        <v>5.3296519999999896</v>
      </c>
      <c r="E1097">
        <v>0.53268260000000001</v>
      </c>
      <c r="F1097" t="s">
        <v>55</v>
      </c>
      <c r="G1097">
        <v>-236.8964</v>
      </c>
      <c r="H1097" s="1">
        <v>2.1850630000000001E-6</v>
      </c>
      <c r="I1097">
        <v>283.428</v>
      </c>
      <c r="J1097">
        <v>-215.43119999999999</v>
      </c>
      <c r="K1097">
        <v>1.1003719999999999</v>
      </c>
      <c r="L1097">
        <v>282.54640000000001</v>
      </c>
      <c r="M1097">
        <v>-0.99512480000000003</v>
      </c>
      <c r="N1097">
        <v>0</v>
      </c>
      <c r="O1097">
        <v>-9.8174220000000006E-2</v>
      </c>
      <c r="P1097">
        <v>-0.99842030000000004</v>
      </c>
      <c r="Q1097">
        <v>2.8476499999999998E-2</v>
      </c>
      <c r="R1097">
        <v>-4.8437710000000002E-2</v>
      </c>
      <c r="S1097">
        <v>-3.0146790000000001</v>
      </c>
      <c r="T1097">
        <v>-0.15234529999999999</v>
      </c>
      <c r="U1097">
        <v>0.11816409999999999</v>
      </c>
      <c r="V1097">
        <v>5.014805E-2</v>
      </c>
      <c r="W1097">
        <v>3.7439479999999997E-2</v>
      </c>
      <c r="X1097">
        <v>0.99803980000000003</v>
      </c>
      <c r="Y1097">
        <v>0.13678080000000001</v>
      </c>
      <c r="Z1097">
        <v>8.4052699999999994E-3</v>
      </c>
      <c r="AA1097">
        <v>0.99056569999999999</v>
      </c>
      <c r="AB1097">
        <v>33</v>
      </c>
      <c r="AC1097">
        <v>-21.465199999999999</v>
      </c>
      <c r="AD1097">
        <v>-1.10036981493699</v>
      </c>
      <c r="AE1097">
        <v>0.88159999999999095</v>
      </c>
      <c r="AF1097">
        <v>2.9769533654370601</v>
      </c>
      <c r="AG1097">
        <v>-1.10036981493699</v>
      </c>
      <c r="AH1097">
        <v>21.219275368464899</v>
      </c>
      <c r="AI1097">
        <v>92.939793989235199</v>
      </c>
      <c r="AJ1097">
        <v>82.013825840823401</v>
      </c>
      <c r="AK1097">
        <v>21.455318972980798</v>
      </c>
      <c r="AL1097">
        <v>87.854374333249993</v>
      </c>
      <c r="AM1097">
        <v>87.123504285016196</v>
      </c>
      <c r="AN1097">
        <v>0.99999999198275602</v>
      </c>
    </row>
    <row r="1098" spans="1:40" x14ac:dyDescent="0.3">
      <c r="A1098" t="str">
        <f>"20200111153852620"</f>
        <v>20200111153852620</v>
      </c>
      <c r="B1098" t="str">
        <f>"1578728332611288"</f>
        <v>1578728332611288</v>
      </c>
      <c r="C1098" t="s">
        <v>40</v>
      </c>
      <c r="D1098">
        <v>5.3788519999999904</v>
      </c>
      <c r="E1098">
        <v>0.53189949999999997</v>
      </c>
      <c r="F1098" t="s">
        <v>55</v>
      </c>
      <c r="G1098">
        <v>-240.2064</v>
      </c>
      <c r="H1098" s="1">
        <v>-1.4269639999999999E-6</v>
      </c>
      <c r="I1098">
        <v>283.5324</v>
      </c>
      <c r="J1098">
        <v>-215.76390000000001</v>
      </c>
      <c r="K1098">
        <v>1.1003229999999999</v>
      </c>
      <c r="L1098">
        <v>282.51760000000002</v>
      </c>
      <c r="M1098">
        <v>-0.99553440000000004</v>
      </c>
      <c r="N1098">
        <v>0</v>
      </c>
      <c r="O1098">
        <v>-9.3947459999999997E-2</v>
      </c>
      <c r="P1098">
        <v>-0.99835419999999997</v>
      </c>
      <c r="Q1098">
        <v>3.1849910000000002E-2</v>
      </c>
      <c r="R1098">
        <v>-4.7694090000000001E-2</v>
      </c>
      <c r="S1098">
        <v>-3.0143589999999998</v>
      </c>
      <c r="T1098">
        <v>-0.1338809</v>
      </c>
      <c r="U1098">
        <v>0.1199646</v>
      </c>
      <c r="V1098">
        <v>4.6675510000000003E-2</v>
      </c>
      <c r="W1098">
        <v>4.065568E-2</v>
      </c>
      <c r="X1098">
        <v>0.99808240000000004</v>
      </c>
      <c r="Y1098">
        <v>0.1332439</v>
      </c>
      <c r="Z1098">
        <v>7.1227670000000003E-3</v>
      </c>
      <c r="AA1098">
        <v>0.99105770000000004</v>
      </c>
      <c r="AB1098">
        <v>33</v>
      </c>
      <c r="AC1098">
        <v>-24.4424999999999</v>
      </c>
      <c r="AD1098">
        <v>-1.100324426964</v>
      </c>
      <c r="AE1098">
        <v>1.0147999999999699</v>
      </c>
      <c r="AF1098">
        <v>3.3000437717788502</v>
      </c>
      <c r="AG1098">
        <v>-1.100324426964</v>
      </c>
      <c r="AH1098">
        <v>24.190106177235901</v>
      </c>
      <c r="AI1098">
        <v>92.580522757822706</v>
      </c>
      <c r="AJ1098">
        <v>82.231594995613307</v>
      </c>
      <c r="AK1098">
        <v>24.438949232857301</v>
      </c>
      <c r="AL1098">
        <v>87.669958899416997</v>
      </c>
      <c r="AM1098">
        <v>87.3225029041281</v>
      </c>
      <c r="AN1098">
        <v>0.99999998236989096</v>
      </c>
    </row>
    <row r="1099" spans="1:40" x14ac:dyDescent="0.3">
      <c r="A1099" t="str">
        <f>"20200111153852641"</f>
        <v>20200111153852641</v>
      </c>
      <c r="B1099" t="str">
        <f>"1578728332631784"</f>
        <v>1578728332631784</v>
      </c>
      <c r="C1099" t="s">
        <v>40</v>
      </c>
      <c r="D1099">
        <v>5.4000959999999996</v>
      </c>
      <c r="E1099">
        <v>0.53138929999999995</v>
      </c>
      <c r="F1099" t="s">
        <v>55</v>
      </c>
      <c r="G1099">
        <v>-242.05959999999999</v>
      </c>
      <c r="H1099" s="1">
        <v>-4.407842E-7</v>
      </c>
      <c r="I1099">
        <v>283.52760000000001</v>
      </c>
      <c r="J1099">
        <v>-216.08770000000001</v>
      </c>
      <c r="K1099">
        <v>1.1002670000000001</v>
      </c>
      <c r="L1099">
        <v>282.49099999999999</v>
      </c>
      <c r="M1099">
        <v>-0.99591980000000002</v>
      </c>
      <c r="N1099">
        <v>0</v>
      </c>
      <c r="O1099">
        <v>-8.9787619999999999E-2</v>
      </c>
      <c r="P1099">
        <v>-0.9982972</v>
      </c>
      <c r="Q1099">
        <v>3.5495029999999997E-2</v>
      </c>
      <c r="R1099">
        <v>-4.6291400000000003E-2</v>
      </c>
      <c r="S1099">
        <v>-3.0145110000000002</v>
      </c>
      <c r="T1099">
        <v>-0.12614020000000001</v>
      </c>
      <c r="U1099">
        <v>0.1157837</v>
      </c>
      <c r="V1099">
        <v>4.3932100000000002E-2</v>
      </c>
      <c r="W1099">
        <v>4.4139169999999998E-2</v>
      </c>
      <c r="X1099">
        <v>0.99805900000000003</v>
      </c>
      <c r="Y1099">
        <v>0.1277605</v>
      </c>
      <c r="Z1099">
        <v>6.4229209999999998E-3</v>
      </c>
      <c r="AA1099">
        <v>0.99178429999999995</v>
      </c>
      <c r="AB1099">
        <v>33</v>
      </c>
      <c r="AC1099">
        <v>-25.971899999999899</v>
      </c>
      <c r="AD1099">
        <v>-1.1002674407841999</v>
      </c>
      <c r="AE1099">
        <v>1.0366000000000199</v>
      </c>
      <c r="AF1099">
        <v>3.3584456120759798</v>
      </c>
      <c r="AG1099">
        <v>-1.1002674407841999</v>
      </c>
      <c r="AH1099">
        <v>25.727811554167602</v>
      </c>
      <c r="AI1099">
        <v>92.428224837963697</v>
      </c>
      <c r="AJ1099">
        <v>82.562802194243304</v>
      </c>
      <c r="AK1099">
        <v>25.969405706278302</v>
      </c>
      <c r="AL1099">
        <v>87.4701900166082</v>
      </c>
      <c r="AM1099">
        <v>87.479607795458307</v>
      </c>
      <c r="AN1099">
        <v>1.0000000316098401</v>
      </c>
    </row>
    <row r="1100" spans="1:40" x14ac:dyDescent="0.3">
      <c r="A1100" t="str">
        <f>"20200111153852666"</f>
        <v>20200111153852666</v>
      </c>
      <c r="B1100" t="str">
        <f>"1578728332662039"</f>
        <v>1578728332662039</v>
      </c>
      <c r="C1100" t="s">
        <v>40</v>
      </c>
      <c r="D1100">
        <v>5.4508900000000002</v>
      </c>
      <c r="E1100">
        <v>0.53094609999999998</v>
      </c>
      <c r="F1100" t="s">
        <v>55</v>
      </c>
      <c r="G1100">
        <v>-243.7961</v>
      </c>
      <c r="H1100" s="1">
        <v>4.8332439999999999E-7</v>
      </c>
      <c r="I1100">
        <v>283.55630000000002</v>
      </c>
      <c r="J1100">
        <v>-216.4468</v>
      </c>
      <c r="K1100">
        <v>1.100206</v>
      </c>
      <c r="L1100">
        <v>282.4631</v>
      </c>
      <c r="M1100">
        <v>-0.99633110000000003</v>
      </c>
      <c r="N1100">
        <v>0</v>
      </c>
      <c r="O1100">
        <v>-8.512583E-2</v>
      </c>
      <c r="P1100">
        <v>-0.99822949999999999</v>
      </c>
      <c r="Q1100">
        <v>3.8636320000000002E-2</v>
      </c>
      <c r="R1100">
        <v>-4.5228909999999997E-2</v>
      </c>
      <c r="S1100">
        <v>-3.0147400000000002</v>
      </c>
      <c r="T1100">
        <v>-0.11971130000000001</v>
      </c>
      <c r="U1100">
        <v>0.1159058</v>
      </c>
      <c r="V1100">
        <v>4.0344350000000001E-2</v>
      </c>
      <c r="W1100">
        <v>4.7101070000000002E-2</v>
      </c>
      <c r="X1100">
        <v>0.99807509999999999</v>
      </c>
      <c r="Y1100">
        <v>0.1231809</v>
      </c>
      <c r="Z1100">
        <v>5.8199039999999999E-3</v>
      </c>
      <c r="AA1100">
        <v>0.99236709999999995</v>
      </c>
      <c r="AB1100">
        <v>33</v>
      </c>
      <c r="AC1100">
        <v>-27.349299999999999</v>
      </c>
      <c r="AD1100">
        <v>-1.1002055166756</v>
      </c>
      <c r="AE1100">
        <v>1.0932000000000199</v>
      </c>
      <c r="AF1100">
        <v>3.4119415000569</v>
      </c>
      <c r="AG1100">
        <v>-1.1002055166756</v>
      </c>
      <c r="AH1100">
        <v>27.1131499858738</v>
      </c>
      <c r="AI1100">
        <v>92.305526950574603</v>
      </c>
      <c r="AJ1100">
        <v>82.827553309356105</v>
      </c>
      <c r="AK1100">
        <v>27.349126112825299</v>
      </c>
      <c r="AL1100">
        <v>87.300308746133197</v>
      </c>
      <c r="AM1100">
        <v>87.685241097938203</v>
      </c>
      <c r="AN1100">
        <v>1.0000000413060299</v>
      </c>
    </row>
    <row r="1101" spans="1:40" x14ac:dyDescent="0.3">
      <c r="A1101" t="str">
        <f>"20200111153852687"</f>
        <v>20200111153852687</v>
      </c>
      <c r="B1101" t="str">
        <f>"1578728332681560"</f>
        <v>1578728332681560</v>
      </c>
      <c r="C1101" t="s">
        <v>40</v>
      </c>
      <c r="D1101">
        <v>5.4106050000000003</v>
      </c>
      <c r="E1101">
        <v>0.53066559999999996</v>
      </c>
      <c r="F1101" t="s">
        <v>55</v>
      </c>
      <c r="G1101">
        <v>-246.42500000000001</v>
      </c>
      <c r="H1101" s="1">
        <v>1.882287E-6</v>
      </c>
      <c r="I1101">
        <v>283.61750000000001</v>
      </c>
      <c r="J1101">
        <v>-216.75749999999999</v>
      </c>
      <c r="K1101">
        <v>1.1001609999999999</v>
      </c>
      <c r="L1101">
        <v>282.44040000000001</v>
      </c>
      <c r="M1101">
        <v>-0.99667139999999999</v>
      </c>
      <c r="N1101">
        <v>0</v>
      </c>
      <c r="O1101">
        <v>-8.1062599999999999E-2</v>
      </c>
      <c r="P1101">
        <v>-0.99798520000000002</v>
      </c>
      <c r="Q1101">
        <v>4.1951820000000001E-2</v>
      </c>
      <c r="R1101">
        <v>-4.759936E-2</v>
      </c>
      <c r="S1101">
        <v>-3.0148470000000001</v>
      </c>
      <c r="T1101">
        <v>-0.1106452</v>
      </c>
      <c r="U1101">
        <v>0.11608889999999999</v>
      </c>
      <c r="V1101">
        <v>3.3923889999999998E-2</v>
      </c>
      <c r="W1101">
        <v>5.0283509999999997E-2</v>
      </c>
      <c r="X1101">
        <v>0.99815869999999995</v>
      </c>
      <c r="Y1101">
        <v>0.11922149999999999</v>
      </c>
      <c r="Z1101">
        <v>5.1579019999999998E-3</v>
      </c>
      <c r="AA1101">
        <v>0.99285429999999997</v>
      </c>
      <c r="AB1101">
        <v>33</v>
      </c>
      <c r="AC1101">
        <v>-29.6675</v>
      </c>
      <c r="AD1101">
        <v>-1.1001591177129999</v>
      </c>
      <c r="AE1101">
        <v>1.17709999999999</v>
      </c>
      <c r="AF1101">
        <v>3.5733345960349898</v>
      </c>
      <c r="AG1101">
        <v>-1.1001591177129999</v>
      </c>
      <c r="AH1101">
        <v>29.4340224336548</v>
      </c>
      <c r="AI1101">
        <v>92.124967534277303</v>
      </c>
      <c r="AJ1101">
        <v>83.078079397389104</v>
      </c>
      <c r="AK1101">
        <v>29.6705366794131</v>
      </c>
      <c r="AL1101">
        <v>87.117751707217906</v>
      </c>
      <c r="AM1101">
        <v>88.053467985449402</v>
      </c>
      <c r="AN1101">
        <v>1.0000000260381701</v>
      </c>
    </row>
    <row r="1102" spans="1:40" x14ac:dyDescent="0.3">
      <c r="A1102" t="str">
        <f>"20200111153852709"</f>
        <v>20200111153852709</v>
      </c>
      <c r="B1102" t="str">
        <f>"1578728332702056"</f>
        <v>1578728332702056</v>
      </c>
      <c r="C1102" t="s">
        <v>40</v>
      </c>
      <c r="D1102">
        <v>5.4331969999999998</v>
      </c>
      <c r="E1102">
        <v>0.53067449999999905</v>
      </c>
      <c r="F1102" t="s">
        <v>55</v>
      </c>
      <c r="G1102">
        <v>-249.01669999999999</v>
      </c>
      <c r="H1102" s="1">
        <v>3.2614619999999998E-6</v>
      </c>
      <c r="I1102">
        <v>283.59120000000001</v>
      </c>
      <c r="J1102">
        <v>-217.10120000000001</v>
      </c>
      <c r="K1102">
        <v>1.100096</v>
      </c>
      <c r="L1102">
        <v>282.41660000000002</v>
      </c>
      <c r="M1102">
        <v>-0.99703019999999998</v>
      </c>
      <c r="N1102">
        <v>0</v>
      </c>
      <c r="O1102">
        <v>-7.6548809999999995E-2</v>
      </c>
      <c r="P1102">
        <v>-0.99780519999999995</v>
      </c>
      <c r="Q1102">
        <v>4.3514240000000003E-2</v>
      </c>
      <c r="R1102">
        <v>-4.9913810000000003E-2</v>
      </c>
      <c r="S1102">
        <v>-3.0155180000000001</v>
      </c>
      <c r="T1102">
        <v>-0.1028403</v>
      </c>
      <c r="U1102">
        <v>0.1075745</v>
      </c>
      <c r="V1102">
        <v>2.7097610000000001E-2</v>
      </c>
      <c r="W1102">
        <v>5.167977E-2</v>
      </c>
      <c r="X1102">
        <v>0.99829599999999996</v>
      </c>
      <c r="Y1102">
        <v>0.11193980000000001</v>
      </c>
      <c r="Z1102">
        <v>4.5156939999999998E-3</v>
      </c>
      <c r="AA1102">
        <v>0.9937047</v>
      </c>
      <c r="AB1102">
        <v>33</v>
      </c>
      <c r="AC1102">
        <v>-31.915499999999899</v>
      </c>
      <c r="AD1102">
        <v>-1.1000927385379999</v>
      </c>
      <c r="AE1102">
        <v>1.1745999999999901</v>
      </c>
      <c r="AF1102">
        <v>3.6100503162696498</v>
      </c>
      <c r="AG1102">
        <v>-1.1000927385379999</v>
      </c>
      <c r="AH1102">
        <v>31.694325280257502</v>
      </c>
      <c r="AI1102">
        <v>91.975146231592902</v>
      </c>
      <c r="AJ1102">
        <v>83.501895094047299</v>
      </c>
      <c r="AK1102">
        <v>31.9182224174554</v>
      </c>
      <c r="AL1102">
        <v>87.037647626842499</v>
      </c>
      <c r="AM1102">
        <v>88.445152992121095</v>
      </c>
      <c r="AN1102">
        <v>0.99999999135548201</v>
      </c>
    </row>
    <row r="1103" spans="1:40" x14ac:dyDescent="0.3">
      <c r="A1103" t="str">
        <f>"20200111153852733"</f>
        <v>20200111153852733</v>
      </c>
      <c r="B1103" t="str">
        <f>"1578728332721576"</f>
        <v>1578728332721576</v>
      </c>
      <c r="C1103" t="s">
        <v>40</v>
      </c>
      <c r="D1103">
        <v>5.4422119999999996</v>
      </c>
      <c r="E1103">
        <v>0.53264619999999996</v>
      </c>
      <c r="F1103" t="s">
        <v>55</v>
      </c>
      <c r="G1103">
        <v>-250.42189999999999</v>
      </c>
      <c r="H1103" s="1">
        <v>-1.3122659999999901E-6</v>
      </c>
      <c r="I1103">
        <v>283.53590000000003</v>
      </c>
      <c r="J1103">
        <v>-217.44229999999999</v>
      </c>
      <c r="K1103">
        <v>1.1000270000000001</v>
      </c>
      <c r="L1103">
        <v>282.39440000000002</v>
      </c>
      <c r="M1103">
        <v>-0.9973668</v>
      </c>
      <c r="N1103">
        <v>0</v>
      </c>
      <c r="O1103">
        <v>-7.2059269999999995E-2</v>
      </c>
      <c r="P1103">
        <v>-0.99767209999999995</v>
      </c>
      <c r="Q1103">
        <v>4.3447479999999997E-2</v>
      </c>
      <c r="R1103">
        <v>-5.2564569999999998E-2</v>
      </c>
      <c r="S1103">
        <v>-3.016022</v>
      </c>
      <c r="T1103">
        <v>-9.9575159999999996E-2</v>
      </c>
      <c r="U1103">
        <v>0.1013184</v>
      </c>
      <c r="V1103">
        <v>1.9948770000000001E-2</v>
      </c>
      <c r="W1103">
        <v>5.143263E-2</v>
      </c>
      <c r="X1103">
        <v>0.99847719999999995</v>
      </c>
      <c r="Y1103">
        <v>0.10541159999999999</v>
      </c>
      <c r="Z1103">
        <v>4.1161380000000001E-3</v>
      </c>
      <c r="AA1103">
        <v>0.99442019999999998</v>
      </c>
      <c r="AB1103">
        <v>33</v>
      </c>
      <c r="AC1103">
        <v>-32.979599999999998</v>
      </c>
      <c r="AD1103">
        <v>-1.100028312266</v>
      </c>
      <c r="AE1103">
        <v>1.1415</v>
      </c>
      <c r="AF1103">
        <v>3.5111960503543398</v>
      </c>
      <c r="AG1103">
        <v>-1.100028312266</v>
      </c>
      <c r="AH1103">
        <v>32.775180305678298</v>
      </c>
      <c r="AI1103">
        <v>91.911359164894506</v>
      </c>
      <c r="AJ1103">
        <v>83.885240316232498</v>
      </c>
      <c r="AK1103">
        <v>32.9810703898696</v>
      </c>
      <c r="AL1103">
        <v>87.051826570059504</v>
      </c>
      <c r="AM1103">
        <v>88.855428763499603</v>
      </c>
      <c r="AN1103">
        <v>0.99999999388653404</v>
      </c>
    </row>
    <row r="1104" spans="1:40" x14ac:dyDescent="0.3">
      <c r="A1104" t="str">
        <f>"20200111153852755"</f>
        <v>20200111153852755</v>
      </c>
      <c r="B1104" t="str">
        <f>"1578728332751832"</f>
        <v>1578728332751832</v>
      </c>
      <c r="C1104" t="s">
        <v>40</v>
      </c>
      <c r="D1104">
        <v>5.5918809999999999</v>
      </c>
      <c r="E1104">
        <v>0.533632199999999</v>
      </c>
      <c r="F1104" t="s">
        <v>41</v>
      </c>
      <c r="G1104">
        <v>-218.20769999999999</v>
      </c>
      <c r="H1104">
        <v>1.051898</v>
      </c>
      <c r="I1104">
        <v>282.423</v>
      </c>
      <c r="J1104">
        <v>-217.78540000000001</v>
      </c>
      <c r="K1104">
        <v>1.099966</v>
      </c>
      <c r="L1104">
        <v>282.37369999999999</v>
      </c>
      <c r="M1104">
        <v>-0.99768509999999999</v>
      </c>
      <c r="N1104">
        <v>0</v>
      </c>
      <c r="O1104">
        <v>-6.7543049999999993E-2</v>
      </c>
      <c r="P1104">
        <v>-0.99757859999999998</v>
      </c>
      <c r="Q1104">
        <v>4.3121859999999998E-2</v>
      </c>
      <c r="R1104">
        <v>-5.4570390000000003E-2</v>
      </c>
      <c r="S1104">
        <v>-3.0211939999999999</v>
      </c>
      <c r="T1104">
        <v>-0.19003059999999999</v>
      </c>
      <c r="U1104">
        <v>0.1121521</v>
      </c>
      <c r="V1104">
        <v>1.341649E-2</v>
      </c>
      <c r="W1104">
        <v>5.0905449999999998E-2</v>
      </c>
      <c r="X1104">
        <v>0.99861339999999998</v>
      </c>
      <c r="Y1104">
        <v>0.10417120000000001</v>
      </c>
      <c r="Z1104">
        <v>7.5135719999999996E-3</v>
      </c>
      <c r="AA1104">
        <v>0.99453100000000005</v>
      </c>
      <c r="AB1104">
        <v>33</v>
      </c>
      <c r="AC1104">
        <v>-0.42229999999997803</v>
      </c>
      <c r="AD1104">
        <v>-4.8068E-2</v>
      </c>
      <c r="AE1104">
        <v>4.9300000000016497E-2</v>
      </c>
      <c r="AF1104">
        <v>7.6730971406015494E-2</v>
      </c>
      <c r="AG1104">
        <v>-4.8068E-2</v>
      </c>
      <c r="AH1104">
        <v>0.41273015969781901</v>
      </c>
      <c r="AI1104">
        <v>96.5320092517088</v>
      </c>
      <c r="AJ1104">
        <v>79.468335074744402</v>
      </c>
      <c r="AK1104">
        <v>0.42254509738144902</v>
      </c>
      <c r="AL1104">
        <v>87.082071528983505</v>
      </c>
      <c r="AM1104">
        <v>89.230270686681095</v>
      </c>
      <c r="AN1104">
        <v>1.00000004485159</v>
      </c>
    </row>
    <row r="1105" spans="1:40" x14ac:dyDescent="0.3">
      <c r="A1105" t="str">
        <f>"20200111153852777"</f>
        <v>20200111153852777</v>
      </c>
      <c r="B1105" t="str">
        <f>"1578728332771351"</f>
        <v>1578728332771351</v>
      </c>
      <c r="C1105" t="s">
        <v>40</v>
      </c>
      <c r="D1105">
        <v>5.5203949999999997</v>
      </c>
      <c r="E1105">
        <v>0.55364769999999996</v>
      </c>
      <c r="F1105" t="s">
        <v>41</v>
      </c>
      <c r="G1105">
        <v>-218.80260000000001</v>
      </c>
      <c r="H1105">
        <v>1.0377749999999999</v>
      </c>
      <c r="I1105">
        <v>282.41239999999999</v>
      </c>
      <c r="J1105">
        <v>-218.10769999999999</v>
      </c>
      <c r="K1105">
        <v>1.0999019999999999</v>
      </c>
      <c r="L1105">
        <v>282.35570000000001</v>
      </c>
      <c r="M1105">
        <v>-0.99796459999999998</v>
      </c>
      <c r="N1105">
        <v>0</v>
      </c>
      <c r="O1105">
        <v>-6.330761E-2</v>
      </c>
      <c r="P1105">
        <v>-0.99748110000000001</v>
      </c>
      <c r="Q1105">
        <v>4.3339549999999998E-2</v>
      </c>
      <c r="R1105">
        <v>-5.615349E-2</v>
      </c>
      <c r="S1105">
        <v>-3.0215000000000001</v>
      </c>
      <c r="T1105">
        <v>-0.18469869999999999</v>
      </c>
      <c r="U1105">
        <v>0.1140442</v>
      </c>
      <c r="V1105">
        <v>7.5924299999999998E-3</v>
      </c>
      <c r="W1105">
        <v>5.0925449999999997E-2</v>
      </c>
      <c r="X1105">
        <v>0.99867360000000005</v>
      </c>
      <c r="Y1105">
        <v>0.1006005</v>
      </c>
      <c r="Z1105">
        <v>6.9350260000000004E-3</v>
      </c>
      <c r="AA1105">
        <v>0.99490270000000003</v>
      </c>
      <c r="AB1105">
        <v>34</v>
      </c>
      <c r="AC1105">
        <v>-0.69490000000001795</v>
      </c>
      <c r="AD1105">
        <v>-6.2127000000000002E-2</v>
      </c>
      <c r="AE1105">
        <v>5.66999999999779E-2</v>
      </c>
      <c r="AF1105">
        <v>9.9787668951261996E-2</v>
      </c>
      <c r="AG1105">
        <v>-6.2127000000000002E-2</v>
      </c>
      <c r="AH1105">
        <v>0.68448138875554099</v>
      </c>
      <c r="AI1105">
        <v>95.132286101186693</v>
      </c>
      <c r="AJ1105">
        <v>81.705521620371698</v>
      </c>
      <c r="AK1105">
        <v>0.69450134237195005</v>
      </c>
      <c r="AL1105">
        <v>87.080924002641098</v>
      </c>
      <c r="AM1105">
        <v>89.5644164274254</v>
      </c>
      <c r="AN1105">
        <v>1.0000000028939799</v>
      </c>
    </row>
    <row r="1106" spans="1:40" x14ac:dyDescent="0.3">
      <c r="A1106" t="str">
        <f>"20200111153852798"</f>
        <v>20200111153852798</v>
      </c>
      <c r="B1106" t="str">
        <f>"1578728332791847"</f>
        <v>1578728332791847</v>
      </c>
      <c r="C1106" t="s">
        <v>40</v>
      </c>
      <c r="D1106">
        <v>5.3346739999999997</v>
      </c>
      <c r="E1106">
        <v>0.57349569999999905</v>
      </c>
      <c r="F1106" t="s">
        <v>41</v>
      </c>
      <c r="G1106">
        <v>-219.11240000000001</v>
      </c>
      <c r="H1106">
        <v>1.0371030000000001</v>
      </c>
      <c r="I1106">
        <v>282.44499999999999</v>
      </c>
      <c r="J1106">
        <v>-218.44220000000001</v>
      </c>
      <c r="K1106">
        <v>1.0998490000000001</v>
      </c>
      <c r="L1106">
        <v>282.33850000000001</v>
      </c>
      <c r="M1106">
        <v>-0.99823519999999999</v>
      </c>
      <c r="N1106">
        <v>0</v>
      </c>
      <c r="O1106">
        <v>-5.8922229999999999E-2</v>
      </c>
      <c r="P1106">
        <v>-0.99741900000000006</v>
      </c>
      <c r="Q1106">
        <v>4.4257930000000001E-2</v>
      </c>
      <c r="R1106">
        <v>-5.6543129999999997E-2</v>
      </c>
      <c r="S1106">
        <v>-3.0309599999999999</v>
      </c>
      <c r="T1106">
        <v>-0.18949830000000001</v>
      </c>
      <c r="U1106">
        <v>0.26953129999999997</v>
      </c>
      <c r="V1106">
        <v>2.819888E-3</v>
      </c>
      <c r="W1106">
        <v>5.1635960000000002E-2</v>
      </c>
      <c r="X1106">
        <v>0.99866200000000005</v>
      </c>
      <c r="Y1106">
        <v>0.14671600000000001</v>
      </c>
      <c r="Z1106">
        <v>8.2468929999999999E-3</v>
      </c>
      <c r="AA1106">
        <v>0.98914429999999998</v>
      </c>
      <c r="AB1106">
        <v>34</v>
      </c>
      <c r="AC1106">
        <v>-0.67019999999999402</v>
      </c>
      <c r="AD1106">
        <v>-6.2745999999999899E-2</v>
      </c>
      <c r="AE1106">
        <v>0.106499999999982</v>
      </c>
      <c r="AF1106">
        <v>0.14456973571343201</v>
      </c>
      <c r="AG1106">
        <v>-6.2745999999999899E-2</v>
      </c>
      <c r="AH1106">
        <v>0.65714199336629397</v>
      </c>
      <c r="AI1106">
        <v>95.327604549357204</v>
      </c>
      <c r="AJ1106">
        <v>77.592706454072797</v>
      </c>
      <c r="AK1106">
        <v>0.67577590105424501</v>
      </c>
      <c r="AL1106">
        <v>87.040161157770896</v>
      </c>
      <c r="AM1106">
        <v>89.838216281681099</v>
      </c>
      <c r="AN1106">
        <v>1.0000000071887201</v>
      </c>
    </row>
    <row r="1107" spans="1:40" x14ac:dyDescent="0.3">
      <c r="A1107" t="str">
        <f>"20200111153852822"</f>
        <v>20200111153852822</v>
      </c>
      <c r="B1107" t="str">
        <f>"1578728332811367"</f>
        <v>1578728332811367</v>
      </c>
      <c r="C1107" t="s">
        <v>40</v>
      </c>
      <c r="D1107">
        <v>5.5673750000000002</v>
      </c>
      <c r="E1107">
        <v>0.57714719999999997</v>
      </c>
      <c r="F1107" t="s">
        <v>41</v>
      </c>
      <c r="G1107">
        <v>-219.39429999999999</v>
      </c>
      <c r="H1107">
        <v>0.99062530000000004</v>
      </c>
      <c r="I1107">
        <v>282.47379999999998</v>
      </c>
      <c r="J1107">
        <v>-218.79310000000001</v>
      </c>
      <c r="K1107">
        <v>1.0997870000000001</v>
      </c>
      <c r="L1107">
        <v>282.32190000000003</v>
      </c>
      <c r="M1107">
        <v>-0.99849730000000003</v>
      </c>
      <c r="N1107">
        <v>0</v>
      </c>
      <c r="O1107">
        <v>-5.4331629999999999E-2</v>
      </c>
      <c r="P1107">
        <v>-0.99744759999999999</v>
      </c>
      <c r="Q1107">
        <v>4.5410300000000001E-2</v>
      </c>
      <c r="R1107">
        <v>-5.5104889999999997E-2</v>
      </c>
      <c r="S1107">
        <v>-3.0477750000000001</v>
      </c>
      <c r="T1107">
        <v>-0.34957569999999999</v>
      </c>
      <c r="U1107">
        <v>0.43209839999999999</v>
      </c>
      <c r="V1107">
        <v>-3.2457880000000001E-4</v>
      </c>
      <c r="W1107">
        <v>5.2556909999999998E-2</v>
      </c>
      <c r="X1107">
        <v>0.99861789999999995</v>
      </c>
      <c r="Y1107">
        <v>0.1923705</v>
      </c>
      <c r="Z1107">
        <v>1.712667E-2</v>
      </c>
      <c r="AA1107">
        <v>0.98117290000000001</v>
      </c>
      <c r="AB1107">
        <v>34</v>
      </c>
      <c r="AC1107">
        <v>-0.60119999999997698</v>
      </c>
      <c r="AD1107">
        <v>-0.1091617</v>
      </c>
      <c r="AE1107">
        <v>0.15189999999995499</v>
      </c>
      <c r="AF1107">
        <v>0.17879956569245201</v>
      </c>
      <c r="AG1107">
        <v>-0.1091617</v>
      </c>
      <c r="AH1107">
        <v>0.57426214779372797</v>
      </c>
      <c r="AI1107">
        <v>100.28700395385501</v>
      </c>
      <c r="AJ1107">
        <v>72.705745986650001</v>
      </c>
      <c r="AK1107">
        <v>0.611279458044653</v>
      </c>
      <c r="AL1107">
        <v>86.987322901990197</v>
      </c>
      <c r="AM1107">
        <v>90.018622733184003</v>
      </c>
      <c r="AN1107">
        <v>1.0000000221702701</v>
      </c>
    </row>
    <row r="1108" spans="1:40" x14ac:dyDescent="0.3">
      <c r="A1108" t="str">
        <f>"20200111153852843"</f>
        <v>20200111153852843</v>
      </c>
      <c r="B1108" t="str">
        <f>"1578728332831863"</f>
        <v>1578728332831863</v>
      </c>
      <c r="C1108" t="s">
        <v>40</v>
      </c>
      <c r="D1108">
        <v>5.7616050000000003</v>
      </c>
      <c r="E1108">
        <v>0.57658769999999904</v>
      </c>
      <c r="F1108" t="s">
        <v>41</v>
      </c>
      <c r="G1108">
        <v>-219.7063</v>
      </c>
      <c r="H1108">
        <v>1.0041389999999999</v>
      </c>
      <c r="I1108">
        <v>282.46140000000003</v>
      </c>
      <c r="J1108">
        <v>-219.12739999999999</v>
      </c>
      <c r="K1108">
        <v>1.0997300000000001</v>
      </c>
      <c r="L1108">
        <v>282.30759999999998</v>
      </c>
      <c r="M1108">
        <v>-0.99872709999999998</v>
      </c>
      <c r="N1108">
        <v>0</v>
      </c>
      <c r="O1108">
        <v>-4.9966249999999997E-2</v>
      </c>
      <c r="P1108">
        <v>-0.99757410000000002</v>
      </c>
      <c r="Q1108">
        <v>4.5947719999999997E-2</v>
      </c>
      <c r="R1108">
        <v>-5.2299270000000002E-2</v>
      </c>
      <c r="S1108">
        <v>-3.0479280000000002</v>
      </c>
      <c r="T1108">
        <v>-0.31919720000000001</v>
      </c>
      <c r="U1108">
        <v>0.46560669999999998</v>
      </c>
      <c r="V1108">
        <v>-1.876412E-3</v>
      </c>
      <c r="W1108">
        <v>5.2860240000000003E-2</v>
      </c>
      <c r="X1108">
        <v>0.99860020000000005</v>
      </c>
      <c r="Y1108">
        <v>0.19888330000000001</v>
      </c>
      <c r="Z1108">
        <v>1.551837E-2</v>
      </c>
      <c r="AA1108">
        <v>0.97990029999999995</v>
      </c>
      <c r="AB1108">
        <v>34</v>
      </c>
      <c r="AC1108">
        <v>-0.57890000000000397</v>
      </c>
      <c r="AD1108">
        <v>-9.5590999999999898E-2</v>
      </c>
      <c r="AE1108">
        <v>0.15380000000004601</v>
      </c>
      <c r="AF1108">
        <v>0.178000592489651</v>
      </c>
      <c r="AG1108">
        <v>-9.5590999999999898E-2</v>
      </c>
      <c r="AH1108">
        <v>0.556323066868599</v>
      </c>
      <c r="AI1108">
        <v>99.294269060672804</v>
      </c>
      <c r="AJ1108">
        <v>72.257457420944206</v>
      </c>
      <c r="AK1108">
        <v>0.59187600469840795</v>
      </c>
      <c r="AL1108">
        <v>86.969919243405897</v>
      </c>
      <c r="AM1108">
        <v>90.107661065654995</v>
      </c>
      <c r="AN1108">
        <v>1.00000004266744</v>
      </c>
    </row>
    <row r="1109" spans="1:40" x14ac:dyDescent="0.3">
      <c r="A1109" t="str">
        <f>"20200111153852866"</f>
        <v>20200111153852866</v>
      </c>
      <c r="B1109" t="str">
        <f>"1578728332861145"</f>
        <v>1578728332861145</v>
      </c>
      <c r="C1109" t="s">
        <v>40</v>
      </c>
      <c r="D1109">
        <v>5.936731</v>
      </c>
      <c r="E1109">
        <v>0.57784399999999903</v>
      </c>
      <c r="F1109" t="s">
        <v>55</v>
      </c>
      <c r="G1109">
        <v>-232.02690000000001</v>
      </c>
      <c r="H1109" s="1">
        <v>-4.4396849999999998E-7</v>
      </c>
      <c r="I1109">
        <v>284.291</v>
      </c>
      <c r="J1109">
        <v>-219.46950000000001</v>
      </c>
      <c r="K1109">
        <v>1.0996729999999999</v>
      </c>
      <c r="L1109">
        <v>282.2944</v>
      </c>
      <c r="M1109">
        <v>-0.99894170000000004</v>
      </c>
      <c r="N1109">
        <v>0</v>
      </c>
      <c r="O1109">
        <v>-4.5510780000000001E-2</v>
      </c>
      <c r="P1109">
        <v>-0.99772819999999995</v>
      </c>
      <c r="Q1109">
        <v>4.6906299999999998E-2</v>
      </c>
      <c r="R1109">
        <v>-4.8355919999999997E-2</v>
      </c>
      <c r="S1109">
        <v>-3.0437620000000001</v>
      </c>
      <c r="T1109">
        <v>-0.25949290000000003</v>
      </c>
      <c r="U1109">
        <v>0.46801759999999898</v>
      </c>
      <c r="V1109">
        <v>-2.3758239999999999E-3</v>
      </c>
      <c r="W1109">
        <v>5.357162E-2</v>
      </c>
      <c r="X1109">
        <v>0.99856120000000004</v>
      </c>
      <c r="Y1109">
        <v>0.19594529999999999</v>
      </c>
      <c r="Z1109">
        <v>1.2141870000000001E-2</v>
      </c>
      <c r="AA1109">
        <v>0.98053970000000001</v>
      </c>
      <c r="AB1109">
        <v>34</v>
      </c>
      <c r="AC1109">
        <v>-12.557399999999999</v>
      </c>
      <c r="AD1109">
        <v>-1.0996734439685001</v>
      </c>
      <c r="AE1109">
        <v>1.9965999999999999</v>
      </c>
      <c r="AF1109">
        <v>2.54699006499213</v>
      </c>
      <c r="AG1109">
        <v>-1.0996734439685001</v>
      </c>
      <c r="AH1109">
        <v>12.3610619171377</v>
      </c>
      <c r="AI1109">
        <v>94.979734431256702</v>
      </c>
      <c r="AJ1109">
        <v>78.357181415418495</v>
      </c>
      <c r="AK1109">
        <v>12.668555237036699</v>
      </c>
      <c r="AL1109">
        <v>86.929102256059195</v>
      </c>
      <c r="AM1109">
        <v>90.136320569242699</v>
      </c>
      <c r="AN1109">
        <v>1.00000001657727</v>
      </c>
    </row>
    <row r="1110" spans="1:40" x14ac:dyDescent="0.3">
      <c r="A1110" t="str">
        <f>"20200111153852887"</f>
        <v>20200111153852887</v>
      </c>
      <c r="B1110" t="str">
        <f>"1578728332881640"</f>
        <v>1578728332881640</v>
      </c>
      <c r="C1110" t="s">
        <v>40</v>
      </c>
      <c r="D1110">
        <v>5.5449590000000004</v>
      </c>
      <c r="E1110">
        <v>0.57838259999999997</v>
      </c>
      <c r="F1110" t="s">
        <v>55</v>
      </c>
      <c r="G1110">
        <v>-234.78970000000001</v>
      </c>
      <c r="H1110" s="1">
        <v>1.0058810000000001E-6</v>
      </c>
      <c r="I1110">
        <v>284.75720000000001</v>
      </c>
      <c r="J1110">
        <v>-219.7937</v>
      </c>
      <c r="K1110">
        <v>1.0996300000000001</v>
      </c>
      <c r="L1110">
        <v>282.2833</v>
      </c>
      <c r="M1110">
        <v>-0.99912650000000003</v>
      </c>
      <c r="N1110">
        <v>0</v>
      </c>
      <c r="O1110">
        <v>-4.1296840000000001E-2</v>
      </c>
      <c r="P1110">
        <v>-0.99787369999999997</v>
      </c>
      <c r="Q1110">
        <v>4.8408880000000001E-2</v>
      </c>
      <c r="R1110">
        <v>-4.3648079999999999E-2</v>
      </c>
      <c r="S1110">
        <v>-3.0407869999999999</v>
      </c>
      <c r="T1110">
        <v>-0.21826490000000001</v>
      </c>
      <c r="U1110">
        <v>0.4888306</v>
      </c>
      <c r="V1110">
        <v>-1.8643100000000001E-3</v>
      </c>
      <c r="W1110">
        <v>5.4830530000000002E-2</v>
      </c>
      <c r="X1110">
        <v>0.99849390000000005</v>
      </c>
      <c r="Y1110">
        <v>0.19875580000000001</v>
      </c>
      <c r="Z1110">
        <v>1.002231E-2</v>
      </c>
      <c r="AA1110">
        <v>0.97999780000000003</v>
      </c>
      <c r="AB1110">
        <v>34</v>
      </c>
      <c r="AC1110">
        <v>-14.996</v>
      </c>
      <c r="AD1110">
        <v>-1.0996289941189901</v>
      </c>
      <c r="AE1110">
        <v>2.4739000000000102</v>
      </c>
      <c r="AF1110">
        <v>3.0749933015182398</v>
      </c>
      <c r="AG1110">
        <v>-1.0996289941189901</v>
      </c>
      <c r="AH1110">
        <v>14.8035503349224</v>
      </c>
      <c r="AI1110">
        <v>94.159738841674098</v>
      </c>
      <c r="AJ1110">
        <v>78.265395457157695</v>
      </c>
      <c r="AK1110">
        <v>15.159481199819099</v>
      </c>
      <c r="AL1110">
        <v>86.856865677414703</v>
      </c>
      <c r="AM1110">
        <v>90.106978090279398</v>
      </c>
      <c r="AN1110">
        <v>0.99999996550453196</v>
      </c>
    </row>
    <row r="1111" spans="1:40" x14ac:dyDescent="0.3">
      <c r="A1111" t="str">
        <f>"20200111153852909"</f>
        <v>20200111153852909</v>
      </c>
      <c r="B1111" t="str">
        <f>"1578728332901160"</f>
        <v>1578728332901160</v>
      </c>
      <c r="C1111" t="s">
        <v>40</v>
      </c>
      <c r="D1111">
        <v>5.5519869999999996</v>
      </c>
      <c r="E1111">
        <v>0.57879080000000005</v>
      </c>
      <c r="F1111" t="s">
        <v>55</v>
      </c>
      <c r="G1111">
        <v>-235.76849999999999</v>
      </c>
      <c r="H1111" s="1">
        <v>1.518235E-6</v>
      </c>
      <c r="I1111">
        <v>284.95269999999999</v>
      </c>
      <c r="J1111">
        <v>-220.15430000000001</v>
      </c>
      <c r="K1111">
        <v>1.0995760000000001</v>
      </c>
      <c r="L1111">
        <v>282.2724</v>
      </c>
      <c r="M1111">
        <v>-0.99931040000000004</v>
      </c>
      <c r="N1111">
        <v>0</v>
      </c>
      <c r="O1111">
        <v>-3.6618199999999997E-2</v>
      </c>
      <c r="P1111">
        <v>-0.99795999999999996</v>
      </c>
      <c r="Q1111">
        <v>5.0471290000000002E-2</v>
      </c>
      <c r="R1111">
        <v>-3.9097409999999999E-2</v>
      </c>
      <c r="S1111">
        <v>-3.0387569999999999</v>
      </c>
      <c r="T1111">
        <v>-0.20917259999999999</v>
      </c>
      <c r="U1111">
        <v>0.50778199999999996</v>
      </c>
      <c r="V1111">
        <v>-1.968858E-3</v>
      </c>
      <c r="W1111">
        <v>5.6628270000000001E-2</v>
      </c>
      <c r="X1111">
        <v>0.99839339999999999</v>
      </c>
      <c r="Y1111">
        <v>0.20027800000000001</v>
      </c>
      <c r="Z1111">
        <v>9.3395639999999999E-3</v>
      </c>
      <c r="AA1111">
        <v>0.97969459999999997</v>
      </c>
      <c r="AB1111">
        <v>34</v>
      </c>
      <c r="AC1111">
        <v>-15.614199999999901</v>
      </c>
      <c r="AD1111">
        <v>-1.0995744817649999</v>
      </c>
      <c r="AE1111">
        <v>2.6802999999999799</v>
      </c>
      <c r="AF1111">
        <v>3.2346947680773699</v>
      </c>
      <c r="AG1111">
        <v>-1.0995744817649999</v>
      </c>
      <c r="AH1111">
        <v>15.4312421041794</v>
      </c>
      <c r="AI1111">
        <v>93.989384615230605</v>
      </c>
      <c r="AJ1111">
        <v>78.161083091395497</v>
      </c>
      <c r="AK1111">
        <v>15.8049216119971</v>
      </c>
      <c r="AL1111">
        <v>86.753702562304696</v>
      </c>
      <c r="AM1111">
        <v>90.112988635170595</v>
      </c>
      <c r="AN1111">
        <v>1.00000000926428</v>
      </c>
    </row>
    <row r="1112" spans="1:40" x14ac:dyDescent="0.3">
      <c r="A1112" t="str">
        <f>"20200111153852933"</f>
        <v>20200111153852933</v>
      </c>
      <c r="B1112" t="str">
        <f>"1578728332921656"</f>
        <v>1578728332921656</v>
      </c>
      <c r="C1112" t="s">
        <v>40</v>
      </c>
      <c r="D1112">
        <v>5.5624190000000002</v>
      </c>
      <c r="E1112">
        <v>0.57921979999999995</v>
      </c>
      <c r="F1112" t="s">
        <v>55</v>
      </c>
      <c r="G1112">
        <v>-237.0059</v>
      </c>
      <c r="H1112" s="1">
        <v>2.1664979999999999E-6</v>
      </c>
      <c r="I1112">
        <v>285.18599999999998</v>
      </c>
      <c r="J1112">
        <v>-220.50899999999999</v>
      </c>
      <c r="K1112">
        <v>1.0995250000000001</v>
      </c>
      <c r="L1112">
        <v>282.26319999999998</v>
      </c>
      <c r="M1112">
        <v>-0.99946979999999996</v>
      </c>
      <c r="N1112">
        <v>0</v>
      </c>
      <c r="O1112">
        <v>-3.2027319999999998E-2</v>
      </c>
      <c r="P1112">
        <v>-0.9980308</v>
      </c>
      <c r="Q1112">
        <v>5.2049039999999998E-2</v>
      </c>
      <c r="R1112">
        <v>-3.5009190000000003E-2</v>
      </c>
      <c r="S1112">
        <v>-3.0367280000000001</v>
      </c>
      <c r="T1112">
        <v>-0.19814780000000001</v>
      </c>
      <c r="U1112">
        <v>0.52505489999999999</v>
      </c>
      <c r="V1112">
        <v>-2.451408E-3</v>
      </c>
      <c r="W1112">
        <v>5.7948840000000001E-2</v>
      </c>
      <c r="X1112">
        <v>0.99831650000000005</v>
      </c>
      <c r="Y1112">
        <v>0.2013633</v>
      </c>
      <c r="Z1112">
        <v>8.5878099999999995E-3</v>
      </c>
      <c r="AA1112">
        <v>0.97947899999999999</v>
      </c>
      <c r="AB1112">
        <v>34</v>
      </c>
      <c r="AC1112">
        <v>-16.496899999999901</v>
      </c>
      <c r="AD1112">
        <v>-1.099522833502</v>
      </c>
      <c r="AE1112">
        <v>2.9227999999999899</v>
      </c>
      <c r="AF1112">
        <v>3.4348669339617302</v>
      </c>
      <c r="AG1112">
        <v>-1.099522833502</v>
      </c>
      <c r="AH1112">
        <v>16.324514985426301</v>
      </c>
      <c r="AI1112">
        <v>93.770959381489405</v>
      </c>
      <c r="AJ1112">
        <v>78.117637176125299</v>
      </c>
      <c r="AK1112">
        <v>16.718165294816998</v>
      </c>
      <c r="AL1112">
        <v>86.677914823340402</v>
      </c>
      <c r="AM1112">
        <v>90.140691904786806</v>
      </c>
      <c r="AN1112">
        <v>0.99999995581538803</v>
      </c>
    </row>
    <row r="1113" spans="1:40" x14ac:dyDescent="0.3">
      <c r="A1113" t="str">
        <f>"20200111153852954"</f>
        <v>20200111153852954</v>
      </c>
      <c r="B1113" t="str">
        <f>"1578728332951911"</f>
        <v>1578728332951911</v>
      </c>
      <c r="C1113" t="s">
        <v>40</v>
      </c>
      <c r="D1113">
        <v>5.5586500000000001</v>
      </c>
      <c r="E1113">
        <v>0.57944359999999995</v>
      </c>
      <c r="F1113" t="s">
        <v>55</v>
      </c>
      <c r="G1113">
        <v>-238.1995</v>
      </c>
      <c r="H1113" s="1">
        <v>2.7914940000000001E-6</v>
      </c>
      <c r="I1113">
        <v>285.41919999999999</v>
      </c>
      <c r="J1113">
        <v>-220.8476</v>
      </c>
      <c r="K1113">
        <v>1.0994759999999999</v>
      </c>
      <c r="L1113">
        <v>282.25599999999997</v>
      </c>
      <c r="M1113">
        <v>-0.99960179999999998</v>
      </c>
      <c r="N1113">
        <v>0</v>
      </c>
      <c r="O1113">
        <v>-2.765509E-2</v>
      </c>
      <c r="P1113">
        <v>-0.99805710000000003</v>
      </c>
      <c r="Q1113">
        <v>5.3786470000000003E-2</v>
      </c>
      <c r="R1113">
        <v>-3.1459609999999999E-2</v>
      </c>
      <c r="S1113">
        <v>-3.034729</v>
      </c>
      <c r="T1113">
        <v>-0.1886178</v>
      </c>
      <c r="U1113">
        <v>0.54138180000000002</v>
      </c>
      <c r="V1113">
        <v>-3.2527620000000002E-3</v>
      </c>
      <c r="W1113">
        <v>5.9443999999999997E-2</v>
      </c>
      <c r="X1113">
        <v>0.99822630000000001</v>
      </c>
      <c r="Y1113">
        <v>0.20235059999999999</v>
      </c>
      <c r="Z1113">
        <v>7.9379169999999992E-3</v>
      </c>
      <c r="AA1113">
        <v>0.97928099999999996</v>
      </c>
      <c r="AB1113">
        <v>35</v>
      </c>
      <c r="AC1113">
        <v>-17.351900000000001</v>
      </c>
      <c r="AD1113">
        <v>-1.0994732085059999</v>
      </c>
      <c r="AE1113">
        <v>3.16320000000001</v>
      </c>
      <c r="AF1113">
        <v>3.6277693320387798</v>
      </c>
      <c r="AG1113">
        <v>-1.0994732085059999</v>
      </c>
      <c r="AH1113">
        <v>17.1909829282259</v>
      </c>
      <c r="AI1113">
        <v>93.580796451447696</v>
      </c>
      <c r="AJ1113">
        <v>78.083850315065007</v>
      </c>
      <c r="AK1113">
        <v>17.603961079861001</v>
      </c>
      <c r="AL1113">
        <v>86.592100506249494</v>
      </c>
      <c r="AM1113">
        <v>90.186700024568495</v>
      </c>
      <c r="AN1113">
        <v>0.99999995780415796</v>
      </c>
    </row>
    <row r="1114" spans="1:40" x14ac:dyDescent="0.3">
      <c r="A1114" t="str">
        <f>"20200111153852977"</f>
        <v>20200111153852977</v>
      </c>
      <c r="B1114" t="str">
        <f>"1578728332971432"</f>
        <v>1578728332971432</v>
      </c>
      <c r="C1114" t="s">
        <v>40</v>
      </c>
      <c r="D1114">
        <v>5.4185160000000003</v>
      </c>
      <c r="E1114">
        <v>0.57943579999999995</v>
      </c>
      <c r="F1114" t="s">
        <v>55</v>
      </c>
      <c r="G1114">
        <v>-239.58600000000001</v>
      </c>
      <c r="H1114" s="1">
        <v>3.517922E-6</v>
      </c>
      <c r="I1114">
        <v>285.67950000000002</v>
      </c>
      <c r="J1114">
        <v>-221.1935</v>
      </c>
      <c r="K1114">
        <v>1.099423</v>
      </c>
      <c r="L1114">
        <v>282.25020000000001</v>
      </c>
      <c r="M1114">
        <v>-0.99971639999999995</v>
      </c>
      <c r="N1114">
        <v>0</v>
      </c>
      <c r="O1114">
        <v>-2.3201719999999999E-2</v>
      </c>
      <c r="P1114">
        <v>-0.99809879999999995</v>
      </c>
      <c r="Q1114">
        <v>5.5147849999999998E-2</v>
      </c>
      <c r="R1114">
        <v>-2.7530010000000001E-2</v>
      </c>
      <c r="S1114">
        <v>-3.0328979999999999</v>
      </c>
      <c r="T1114">
        <v>-0.1779549</v>
      </c>
      <c r="U1114">
        <v>0.55410769999999998</v>
      </c>
      <c r="V1114">
        <v>-3.7570619999999998E-3</v>
      </c>
      <c r="W1114">
        <v>6.0555409999999997E-2</v>
      </c>
      <c r="X1114">
        <v>0.99815770000000004</v>
      </c>
      <c r="Y1114">
        <v>0.20212469999999999</v>
      </c>
      <c r="Z1114">
        <v>7.2259059999999998E-3</v>
      </c>
      <c r="AA1114">
        <v>0.97933320000000001</v>
      </c>
      <c r="AB1114">
        <v>35</v>
      </c>
      <c r="AC1114">
        <v>-18.392499999999899</v>
      </c>
      <c r="AD1114">
        <v>-1.0994194820780001</v>
      </c>
      <c r="AE1114">
        <v>3.4293000000000098</v>
      </c>
      <c r="AF1114">
        <v>3.8418544483510901</v>
      </c>
      <c r="AG1114">
        <v>-1.0994194820780001</v>
      </c>
      <c r="AH1114">
        <v>18.244980863768799</v>
      </c>
      <c r="AI1114">
        <v>93.374575307430405</v>
      </c>
      <c r="AJ1114">
        <v>78.108918739705899</v>
      </c>
      <c r="AK1114">
        <v>18.677470265514501</v>
      </c>
      <c r="AL1114">
        <v>86.528306382225196</v>
      </c>
      <c r="AM1114">
        <v>90.215660089965894</v>
      </c>
      <c r="AN1114">
        <v>0.99999993363221196</v>
      </c>
    </row>
    <row r="1115" spans="1:40" x14ac:dyDescent="0.3">
      <c r="A1115" t="str">
        <f>"20200111153852999"</f>
        <v>20200111153852999</v>
      </c>
      <c r="B1115" t="str">
        <f>"1578728332991895"</f>
        <v>1578728332991895</v>
      </c>
      <c r="C1115" t="s">
        <v>40</v>
      </c>
      <c r="D1115">
        <v>5.6142149999999997</v>
      </c>
      <c r="E1115">
        <v>0.579318</v>
      </c>
      <c r="F1115" t="s">
        <v>55</v>
      </c>
      <c r="G1115">
        <v>-240.93610000000001</v>
      </c>
      <c r="H1115" s="1">
        <v>-1.038649E-6</v>
      </c>
      <c r="I1115">
        <v>285.93680000000001</v>
      </c>
      <c r="J1115">
        <v>-221.56100000000001</v>
      </c>
      <c r="K1115">
        <v>1.099369</v>
      </c>
      <c r="L1115">
        <v>282.2457</v>
      </c>
      <c r="M1115">
        <v>-0.99981609999999999</v>
      </c>
      <c r="N1115">
        <v>0</v>
      </c>
      <c r="O1115">
        <v>-1.8486510000000001E-2</v>
      </c>
      <c r="P1115">
        <v>-0.99813249999999998</v>
      </c>
      <c r="Q1115">
        <v>5.6140660000000002E-2</v>
      </c>
      <c r="R1115">
        <v>-2.407859E-2</v>
      </c>
      <c r="S1115">
        <v>-3.0306549999999999</v>
      </c>
      <c r="T1115">
        <v>-0.16877049999999999</v>
      </c>
      <c r="U1115">
        <v>0.56591800000000003</v>
      </c>
      <c r="V1115">
        <v>-5.0033660000000004E-3</v>
      </c>
      <c r="W1115">
        <v>6.1300750000000001E-2</v>
      </c>
      <c r="X1115">
        <v>0.99810679999999996</v>
      </c>
      <c r="Y1115">
        <v>0.2013703</v>
      </c>
      <c r="Z1115">
        <v>6.5749859999999997E-3</v>
      </c>
      <c r="AA1115">
        <v>0.97949310000000001</v>
      </c>
      <c r="AB1115">
        <v>35</v>
      </c>
      <c r="AC1115">
        <v>-19.3751</v>
      </c>
      <c r="AD1115">
        <v>-1.099370038649</v>
      </c>
      <c r="AE1115">
        <v>3.6911</v>
      </c>
      <c r="AF1115">
        <v>4.03611234080961</v>
      </c>
      <c r="AG1115">
        <v>-1.099370038649</v>
      </c>
      <c r="AH1115">
        <v>19.243765375290199</v>
      </c>
      <c r="AI1115">
        <v>93.2001955701231</v>
      </c>
      <c r="AJ1115">
        <v>78.154703241261203</v>
      </c>
      <c r="AK1115">
        <v>19.693179609416401</v>
      </c>
      <c r="AL1115">
        <v>86.485522288826502</v>
      </c>
      <c r="AM1115">
        <v>90.287213105815098</v>
      </c>
      <c r="AN1115">
        <v>0.99999999991406596</v>
      </c>
    </row>
    <row r="1116" spans="1:40" x14ac:dyDescent="0.3">
      <c r="A1116" t="str">
        <f>"20200111153853022"</f>
        <v>20200111153853022</v>
      </c>
      <c r="B1116" t="str">
        <f>"1578728333011415"</f>
        <v>1578728333011415</v>
      </c>
      <c r="C1116" t="s">
        <v>40</v>
      </c>
      <c r="D1116">
        <v>5.5706989999999896</v>
      </c>
      <c r="E1116">
        <v>0.57934189999999997</v>
      </c>
      <c r="F1116" t="s">
        <v>55</v>
      </c>
      <c r="G1116">
        <v>-242.98910000000001</v>
      </c>
      <c r="H1116" s="1">
        <v>5.3882800000000003E-8</v>
      </c>
      <c r="I1116">
        <v>286.31650000000002</v>
      </c>
      <c r="J1116">
        <v>-221.9136</v>
      </c>
      <c r="K1116">
        <v>1.099316</v>
      </c>
      <c r="L1116">
        <v>282.24290000000002</v>
      </c>
      <c r="M1116">
        <v>-0.99989030000000001</v>
      </c>
      <c r="N1116">
        <v>0</v>
      </c>
      <c r="O1116">
        <v>-1.3984419999999999E-2</v>
      </c>
      <c r="P1116">
        <v>-0.99817549999999999</v>
      </c>
      <c r="Q1116">
        <v>5.6837430000000001E-2</v>
      </c>
      <c r="R1116">
        <v>-2.0382020000000001E-2</v>
      </c>
      <c r="S1116">
        <v>-3.0282290000000001</v>
      </c>
      <c r="T1116">
        <v>-0.15536320000000001</v>
      </c>
      <c r="U1116">
        <v>0.57528690000000005</v>
      </c>
      <c r="V1116">
        <v>-5.7932460000000002E-3</v>
      </c>
      <c r="W1116">
        <v>6.1774780000000001E-2</v>
      </c>
      <c r="X1116">
        <v>0.99807330000000005</v>
      </c>
      <c r="Y1116">
        <v>0.20008529999999999</v>
      </c>
      <c r="Z1116">
        <v>5.7948189999999997E-3</v>
      </c>
      <c r="AA1116">
        <v>0.9797614</v>
      </c>
      <c r="AB1116">
        <v>35</v>
      </c>
      <c r="AC1116">
        <v>-21.075500000000002</v>
      </c>
      <c r="AD1116">
        <v>-1.0993159461172</v>
      </c>
      <c r="AE1116">
        <v>4.0735999999999901</v>
      </c>
      <c r="AF1116">
        <v>4.3565076887463299</v>
      </c>
      <c r="AG1116">
        <v>-1.0993159461172</v>
      </c>
      <c r="AH1116">
        <v>20.961494282093</v>
      </c>
      <c r="AI1116">
        <v>92.939401757864303</v>
      </c>
      <c r="AJ1116">
        <v>78.259142612505002</v>
      </c>
      <c r="AK1116">
        <v>21.437628071447399</v>
      </c>
      <c r="AL1116">
        <v>86.458310793327897</v>
      </c>
      <c r="AM1116">
        <v>90.332565571931298</v>
      </c>
      <c r="AN1116">
        <v>0.99999999865807698</v>
      </c>
    </row>
    <row r="1117" spans="1:40" x14ac:dyDescent="0.3">
      <c r="A1117" t="str">
        <f>"20200111153853044"</f>
        <v>20200111153853044</v>
      </c>
      <c r="B1117" t="str">
        <f>"1578728333041672"</f>
        <v>1578728333041672</v>
      </c>
      <c r="C1117" t="s">
        <v>40</v>
      </c>
      <c r="D1117">
        <v>5.5879430000000001</v>
      </c>
      <c r="E1117">
        <v>0.57925550000000003</v>
      </c>
      <c r="F1117" t="s">
        <v>55</v>
      </c>
      <c r="G1117">
        <v>-244.73949999999999</v>
      </c>
      <c r="H1117" s="1">
        <v>9.8534570000000009E-7</v>
      </c>
      <c r="I1117">
        <v>286.66919999999999</v>
      </c>
      <c r="J1117">
        <v>-222.2705</v>
      </c>
      <c r="K1117">
        <v>1.0992599999999999</v>
      </c>
      <c r="L1117">
        <v>282.24160000000001</v>
      </c>
      <c r="M1117">
        <v>-0.99994439999999996</v>
      </c>
      <c r="N1117">
        <v>0</v>
      </c>
      <c r="O1117">
        <v>-9.4517879999999992E-3</v>
      </c>
      <c r="P1117">
        <v>-0.99823450000000002</v>
      </c>
      <c r="Q1117">
        <v>5.6918419999999997E-2</v>
      </c>
      <c r="R1117">
        <v>-1.6986540000000001E-2</v>
      </c>
      <c r="S1117">
        <v>-3.025757</v>
      </c>
      <c r="T1117">
        <v>-0.14572270000000001</v>
      </c>
      <c r="U1117">
        <v>0.586731</v>
      </c>
      <c r="V1117">
        <v>-6.9207440000000004E-3</v>
      </c>
      <c r="W1117">
        <v>6.165723E-2</v>
      </c>
      <c r="X1117">
        <v>0.9980734</v>
      </c>
      <c r="Y1117">
        <v>0.1994032</v>
      </c>
      <c r="Z1117">
        <v>5.2055679999999998E-3</v>
      </c>
      <c r="AA1117">
        <v>0.97990370000000004</v>
      </c>
      <c r="AB1117">
        <v>35</v>
      </c>
      <c r="AC1117">
        <v>-22.468999999999902</v>
      </c>
      <c r="AD1117">
        <v>-1.0992590146543</v>
      </c>
      <c r="AE1117">
        <v>4.4275999999999804</v>
      </c>
      <c r="AF1117">
        <v>4.6291111559400102</v>
      </c>
      <c r="AG1117">
        <v>-1.0992590146543</v>
      </c>
      <c r="AH1117">
        <v>22.374595385865</v>
      </c>
      <c r="AI1117">
        <v>92.754427705808297</v>
      </c>
      <c r="AJ1117">
        <v>78.310914390840395</v>
      </c>
      <c r="AK1117">
        <v>22.874867412873002</v>
      </c>
      <c r="AL1117">
        <v>86.465058820122394</v>
      </c>
      <c r="AM1117">
        <v>90.397288483184298</v>
      </c>
      <c r="AN1117">
        <v>1.00000001124817</v>
      </c>
    </row>
    <row r="1118" spans="1:40" x14ac:dyDescent="0.3">
      <c r="A1118" t="str">
        <f>"20200111153853068"</f>
        <v>20200111153853068</v>
      </c>
      <c r="B1118" t="str">
        <f>"1578728333061191"</f>
        <v>1578728333061191</v>
      </c>
      <c r="C1118" t="s">
        <v>40</v>
      </c>
      <c r="D1118">
        <v>5.5604789999999999</v>
      </c>
      <c r="E1118">
        <v>0.57910989999999996</v>
      </c>
      <c r="F1118" t="s">
        <v>55</v>
      </c>
      <c r="G1118">
        <v>-245.67750000000001</v>
      </c>
      <c r="H1118" s="1">
        <v>1.4844820000000001E-6</v>
      </c>
      <c r="I1118">
        <v>286.85890000000001</v>
      </c>
      <c r="J1118">
        <v>-222.6448</v>
      </c>
      <c r="K1118">
        <v>1.099216</v>
      </c>
      <c r="L1118">
        <v>282.24200000000002</v>
      </c>
      <c r="M1118">
        <v>-0.9999787</v>
      </c>
      <c r="N1118">
        <v>0</v>
      </c>
      <c r="O1118">
        <v>-4.7342309999999898E-3</v>
      </c>
      <c r="P1118">
        <v>-0.99827500000000002</v>
      </c>
      <c r="Q1118">
        <v>5.7095300000000002E-2</v>
      </c>
      <c r="R1118">
        <v>-1.368013E-2</v>
      </c>
      <c r="S1118">
        <v>-3.02359</v>
      </c>
      <c r="T1118">
        <v>-0.14199639999999999</v>
      </c>
      <c r="U1118">
        <v>0.59643550000000001</v>
      </c>
      <c r="V1118">
        <v>-8.3204149999999994E-3</v>
      </c>
      <c r="W1118">
        <v>6.1651520000000001E-2</v>
      </c>
      <c r="X1118">
        <v>0.99806300000000003</v>
      </c>
      <c r="Y1118">
        <v>0.19795889999999999</v>
      </c>
      <c r="Z1118">
        <v>4.8216530000000004E-3</v>
      </c>
      <c r="AA1118">
        <v>0.98019840000000003</v>
      </c>
      <c r="AB1118">
        <v>36</v>
      </c>
      <c r="AC1118">
        <v>-23.032699999999998</v>
      </c>
      <c r="AD1118">
        <v>-1.099214515518</v>
      </c>
      <c r="AE1118">
        <v>4.6168999999999798</v>
      </c>
      <c r="AF1118">
        <v>4.71556623409775</v>
      </c>
      <c r="AG1118">
        <v>-1.099214515518</v>
      </c>
      <c r="AH1118">
        <v>22.9603100744764</v>
      </c>
      <c r="AI1118">
        <v>92.684959827496499</v>
      </c>
      <c r="AJ1118">
        <v>78.394034298885501</v>
      </c>
      <c r="AK1118">
        <v>23.465307928416099</v>
      </c>
      <c r="AL1118">
        <v>86.4653863702585</v>
      </c>
      <c r="AM1118">
        <v>90.477638806277298</v>
      </c>
      <c r="AN1118">
        <v>0.99999994559653904</v>
      </c>
    </row>
    <row r="1119" spans="1:40" x14ac:dyDescent="0.3">
      <c r="A1119" t="str">
        <f>"20200111153853089"</f>
        <v>20200111153853089</v>
      </c>
      <c r="B1119" t="str">
        <f>"1578728333081993"</f>
        <v>1578728333081993</v>
      </c>
      <c r="C1119" t="s">
        <v>40</v>
      </c>
      <c r="D1119">
        <v>5.6283450000000004</v>
      </c>
      <c r="E1119">
        <v>0.57891510000000002</v>
      </c>
      <c r="F1119" t="s">
        <v>55</v>
      </c>
      <c r="G1119">
        <v>-246.08410000000001</v>
      </c>
      <c r="H1119" s="1">
        <v>1.700851E-6</v>
      </c>
      <c r="I1119">
        <v>286.93990000000002</v>
      </c>
      <c r="J1119">
        <v>-223.00319999999999</v>
      </c>
      <c r="K1119">
        <v>1.0991869999999999</v>
      </c>
      <c r="L1119">
        <v>282.2439</v>
      </c>
      <c r="M1119">
        <v>-0.99999079999999996</v>
      </c>
      <c r="N1119">
        <v>0</v>
      </c>
      <c r="O1119">
        <v>-2.6391050000000002E-4</v>
      </c>
      <c r="P1119">
        <v>-0.99828439999999996</v>
      </c>
      <c r="Q1119">
        <v>5.7673019999999998E-2</v>
      </c>
      <c r="R1119">
        <v>-1.0121140000000001E-2</v>
      </c>
      <c r="S1119">
        <v>-3.0216059999999998</v>
      </c>
      <c r="T1119">
        <v>-0.1417023</v>
      </c>
      <c r="U1119">
        <v>0.60562130000000003</v>
      </c>
      <c r="V1119">
        <v>-9.2177449999999994E-3</v>
      </c>
      <c r="W1119">
        <v>6.2070319999999998E-2</v>
      </c>
      <c r="X1119">
        <v>0.99802919999999995</v>
      </c>
      <c r="Y1119">
        <v>0.19657250000000001</v>
      </c>
      <c r="Z1119">
        <v>4.5736980000000002E-3</v>
      </c>
      <c r="AA1119">
        <v>0.98047859999999998</v>
      </c>
      <c r="AB1119">
        <v>36</v>
      </c>
      <c r="AC1119">
        <v>-23.0809</v>
      </c>
      <c r="AD1119">
        <v>-1.0991852991490001</v>
      </c>
      <c r="AE1119">
        <v>4.6960000000000202</v>
      </c>
      <c r="AF1119">
        <v>4.6918731580707496</v>
      </c>
      <c r="AG1119">
        <v>-1.0991852991490001</v>
      </c>
      <c r="AH1119">
        <v>23.029505885576601</v>
      </c>
      <c r="AI1119">
        <v>92.677697066016194</v>
      </c>
      <c r="AJ1119">
        <v>78.484550374141193</v>
      </c>
      <c r="AK1119">
        <v>23.528281352174901</v>
      </c>
      <c r="AL1119">
        <v>86.441345001697897</v>
      </c>
      <c r="AM1119">
        <v>90.529165748554107</v>
      </c>
      <c r="AN1119">
        <v>0.99999998775021304</v>
      </c>
    </row>
    <row r="1120" spans="1:40" x14ac:dyDescent="0.3">
      <c r="A1120" t="str">
        <f>"20200111153853111"</f>
        <v>20200111153853111</v>
      </c>
      <c r="B1120" t="str">
        <f>"1578728333101514"</f>
        <v>1578728333101514</v>
      </c>
      <c r="C1120" t="s">
        <v>40</v>
      </c>
      <c r="D1120">
        <v>5.6002549999999998</v>
      </c>
      <c r="E1120">
        <v>0.57868750000000002</v>
      </c>
      <c r="F1120" t="s">
        <v>55</v>
      </c>
      <c r="G1120">
        <v>-246.58019999999999</v>
      </c>
      <c r="H1120" s="1">
        <v>1.9648580000000001E-6</v>
      </c>
      <c r="I1120">
        <v>287.04250000000002</v>
      </c>
      <c r="J1120">
        <v>-223.34569999999999</v>
      </c>
      <c r="K1120">
        <v>1.099162</v>
      </c>
      <c r="L1120">
        <v>282.24709999999999</v>
      </c>
      <c r="M1120">
        <v>-0.99998350000000003</v>
      </c>
      <c r="N1120">
        <v>0</v>
      </c>
      <c r="O1120">
        <v>3.9573960000000002E-3</v>
      </c>
      <c r="P1120">
        <v>-0.9983206</v>
      </c>
      <c r="Q1120">
        <v>5.754915E-2</v>
      </c>
      <c r="R1120">
        <v>-6.6550860000000002E-3</v>
      </c>
      <c r="S1120">
        <v>-3.019501</v>
      </c>
      <c r="T1120">
        <v>-0.14077219999999999</v>
      </c>
      <c r="U1120">
        <v>0.61456299999999997</v>
      </c>
      <c r="V1120">
        <v>-9.9674410000000005E-3</v>
      </c>
      <c r="W1120">
        <v>6.1812369999999998E-2</v>
      </c>
      <c r="X1120">
        <v>0.99803799999999998</v>
      </c>
      <c r="Y1120">
        <v>0.19536319999999999</v>
      </c>
      <c r="Z1120">
        <v>4.3229200000000001E-3</v>
      </c>
      <c r="AA1120">
        <v>0.98072139999999997</v>
      </c>
      <c r="AB1120">
        <v>36</v>
      </c>
      <c r="AC1120">
        <v>-23.234500000000001</v>
      </c>
      <c r="AD1120">
        <v>-1.0991600351419999</v>
      </c>
      <c r="AE1120">
        <v>4.7954000000000203</v>
      </c>
      <c r="AF1120">
        <v>4.6933391040663901</v>
      </c>
      <c r="AG1120">
        <v>-1.0991600351419999</v>
      </c>
      <c r="AH1120">
        <v>23.2034883525839</v>
      </c>
      <c r="AI1120">
        <v>92.658345082063093</v>
      </c>
      <c r="AJ1120">
        <v>78.5651355535324</v>
      </c>
      <c r="AK1120">
        <v>23.6988914605116</v>
      </c>
      <c r="AL1120">
        <v>86.456152869887006</v>
      </c>
      <c r="AM1120">
        <v>90.572195964381095</v>
      </c>
      <c r="AN1120">
        <v>0.99999998420455205</v>
      </c>
    </row>
    <row r="1121" spans="1:40" x14ac:dyDescent="0.3">
      <c r="A1121" t="str">
        <f>"20200111153853138"</f>
        <v>20200111153853138</v>
      </c>
      <c r="B1121" t="str">
        <f>"1578728333131769"</f>
        <v>1578728333131769</v>
      </c>
      <c r="C1121" t="s">
        <v>40</v>
      </c>
      <c r="D1121">
        <v>5.633222</v>
      </c>
      <c r="E1121">
        <v>0.57839609999999997</v>
      </c>
      <c r="F1121" t="s">
        <v>55</v>
      </c>
      <c r="G1121">
        <v>-246.56700000000001</v>
      </c>
      <c r="H1121" s="1">
        <v>1.957865E-6</v>
      </c>
      <c r="I1121">
        <v>287.0428</v>
      </c>
      <c r="J1121">
        <v>-223.78440000000001</v>
      </c>
      <c r="K1121">
        <v>1.0991500000000001</v>
      </c>
      <c r="L1121">
        <v>282.2534</v>
      </c>
      <c r="M1121">
        <v>-0.99994910000000004</v>
      </c>
      <c r="N1121">
        <v>0</v>
      </c>
      <c r="O1121">
        <v>9.270024E-3</v>
      </c>
      <c r="P1121">
        <v>-0.99837019999999999</v>
      </c>
      <c r="Q1121">
        <v>5.7030879999999999E-2</v>
      </c>
      <c r="R1121">
        <v>-2.0597860000000001E-3</v>
      </c>
      <c r="S1121">
        <v>-3.0174560000000001</v>
      </c>
      <c r="T1121">
        <v>-0.14282819999999999</v>
      </c>
      <c r="U1121">
        <v>0.62316890000000003</v>
      </c>
      <c r="V1121">
        <v>-1.068554E-2</v>
      </c>
      <c r="W1121">
        <v>6.1139400000000003E-2</v>
      </c>
      <c r="X1121">
        <v>0.99807199999999996</v>
      </c>
      <c r="Y1121">
        <v>0.1929688</v>
      </c>
      <c r="Z1121">
        <v>4.0829880000000001E-3</v>
      </c>
      <c r="AA1121">
        <v>0.98119639999999997</v>
      </c>
      <c r="AB1121">
        <v>36</v>
      </c>
      <c r="AC1121">
        <v>-22.782599999999999</v>
      </c>
      <c r="AD1121">
        <v>-1.0991480421349999</v>
      </c>
      <c r="AE1121">
        <v>4.7893999999999997</v>
      </c>
      <c r="AF1121">
        <v>4.56781527477807</v>
      </c>
      <c r="AG1121">
        <v>-1.0991480421349999</v>
      </c>
      <c r="AH1121">
        <v>22.775251501828599</v>
      </c>
      <c r="AI1121">
        <v>92.709120255928397</v>
      </c>
      <c r="AJ1121">
        <v>78.659193077328993</v>
      </c>
      <c r="AK1121">
        <v>23.254787545246899</v>
      </c>
      <c r="AL1121">
        <v>86.494784203012202</v>
      </c>
      <c r="AM1121">
        <v>90.613395580121306</v>
      </c>
      <c r="AN1121">
        <v>0.99999996209072495</v>
      </c>
    </row>
    <row r="1122" spans="1:40" x14ac:dyDescent="0.3">
      <c r="A1122" t="str">
        <f>"20200111153853156"</f>
        <v>20200111153853156</v>
      </c>
      <c r="B1122" t="str">
        <f>"1578728333151288"</f>
        <v>1578728333151288</v>
      </c>
      <c r="C1122" t="s">
        <v>40</v>
      </c>
      <c r="D1122">
        <v>5.5883799999999999</v>
      </c>
      <c r="E1122">
        <v>0.57830059999999905</v>
      </c>
      <c r="F1122" t="s">
        <v>55</v>
      </c>
      <c r="G1122">
        <v>-246.37520000000001</v>
      </c>
      <c r="H1122" s="1">
        <v>1.8557949999999999E-6</v>
      </c>
      <c r="I1122">
        <v>287.0086</v>
      </c>
      <c r="J1122">
        <v>-224.07849999999999</v>
      </c>
      <c r="K1122">
        <v>1.099156</v>
      </c>
      <c r="L1122">
        <v>282.25880000000001</v>
      </c>
      <c r="M1122">
        <v>-0.99991099999999999</v>
      </c>
      <c r="N1122">
        <v>0</v>
      </c>
      <c r="O1122">
        <v>1.276337E-2</v>
      </c>
      <c r="P1122">
        <v>-0.99842399999999998</v>
      </c>
      <c r="Q1122">
        <v>5.6117790000000001E-2</v>
      </c>
      <c r="R1122">
        <v>7.1739060000000003E-4</v>
      </c>
      <c r="S1122">
        <v>-3.0145870000000001</v>
      </c>
      <c r="T1122">
        <v>-0.14667379999999999</v>
      </c>
      <c r="U1122">
        <v>0.634552</v>
      </c>
      <c r="V1122">
        <v>-1.1410109999999999E-2</v>
      </c>
      <c r="W1122">
        <v>6.0135599999999997E-2</v>
      </c>
      <c r="X1122">
        <v>0.99812500000000004</v>
      </c>
      <c r="Y1122">
        <v>0.1932691</v>
      </c>
      <c r="Z1122">
        <v>4.034401E-3</v>
      </c>
      <c r="AA1122">
        <v>0.9811375</v>
      </c>
      <c r="AB1122">
        <v>36</v>
      </c>
      <c r="AC1122">
        <v>-22.296700000000001</v>
      </c>
      <c r="AD1122">
        <v>-1.0991541442049999</v>
      </c>
      <c r="AE1122">
        <v>4.7497999999999898</v>
      </c>
      <c r="AF1122">
        <v>4.4544747286425599</v>
      </c>
      <c r="AG1122">
        <v>-1.0991541442049999</v>
      </c>
      <c r="AH1122">
        <v>22.303659020477902</v>
      </c>
      <c r="AI1122">
        <v>92.766776683377898</v>
      </c>
      <c r="AJ1122">
        <v>78.7055239131722</v>
      </c>
      <c r="AK1122">
        <v>22.770676112987601</v>
      </c>
      <c r="AL1122">
        <v>86.552403864526198</v>
      </c>
      <c r="AM1122">
        <v>90.654950704138997</v>
      </c>
      <c r="AN1122">
        <v>0.99999999831128605</v>
      </c>
    </row>
    <row r="1123" spans="1:40" x14ac:dyDescent="0.3">
      <c r="A1123" t="str">
        <f>"20200111153853178"</f>
        <v>20200111153853178</v>
      </c>
      <c r="B1123" t="str">
        <f>"1578728333171785"</f>
        <v>1578728333171785</v>
      </c>
      <c r="C1123" t="s">
        <v>40</v>
      </c>
      <c r="D1123">
        <v>5.6382830000000004</v>
      </c>
      <c r="E1123">
        <v>0.57816149999999999</v>
      </c>
      <c r="F1123" t="s">
        <v>55</v>
      </c>
      <c r="G1123">
        <v>-245.98050000000001</v>
      </c>
      <c r="H1123" s="1">
        <v>1.6457340000000001E-6</v>
      </c>
      <c r="I1123">
        <v>286.9264</v>
      </c>
      <c r="J1123">
        <v>-224.44300000000001</v>
      </c>
      <c r="K1123">
        <v>1.0991679999999999</v>
      </c>
      <c r="L1123">
        <v>282.26690000000002</v>
      </c>
      <c r="M1123">
        <v>-0.99984810000000002</v>
      </c>
      <c r="N1123">
        <v>0</v>
      </c>
      <c r="O1123">
        <v>1.7012909999999999E-2</v>
      </c>
      <c r="P1123">
        <v>-0.99845680000000003</v>
      </c>
      <c r="Q1123">
        <v>5.5386379999999999E-2</v>
      </c>
      <c r="R1123">
        <v>4.0678829999999996E-3</v>
      </c>
      <c r="S1123">
        <v>-3.012756</v>
      </c>
      <c r="T1123">
        <v>-0.15119540000000001</v>
      </c>
      <c r="U1123">
        <v>0.6420593</v>
      </c>
      <c r="V1123">
        <v>-1.2315960000000001E-2</v>
      </c>
      <c r="W1123">
        <v>5.9306440000000002E-2</v>
      </c>
      <c r="X1123">
        <v>0.99816380000000005</v>
      </c>
      <c r="Y1123">
        <v>0.19155340000000001</v>
      </c>
      <c r="Z1123">
        <v>3.906901E-3</v>
      </c>
      <c r="AA1123">
        <v>0.98147439999999997</v>
      </c>
      <c r="AB1123">
        <v>36</v>
      </c>
      <c r="AC1123">
        <v>-21.537500000000001</v>
      </c>
      <c r="AD1123">
        <v>-1.099166354266</v>
      </c>
      <c r="AE1123">
        <v>4.65949999999998</v>
      </c>
      <c r="AF1123">
        <v>4.2817539431806502</v>
      </c>
      <c r="AG1123">
        <v>-1.099166354266</v>
      </c>
      <c r="AH1123">
        <v>21.560011240115202</v>
      </c>
      <c r="AI1123">
        <v>92.862698471195699</v>
      </c>
      <c r="AJ1123">
        <v>78.767381550029398</v>
      </c>
      <c r="AK1123">
        <v>22.0085362570569</v>
      </c>
      <c r="AL1123">
        <v>86.599996031444107</v>
      </c>
      <c r="AM1123">
        <v>90.7069147589485</v>
      </c>
      <c r="AN1123">
        <v>0.999999954163316</v>
      </c>
    </row>
    <row r="1124" spans="1:40" x14ac:dyDescent="0.3">
      <c r="A1124" t="str">
        <f>"20200111153853201"</f>
        <v>20200111153853201</v>
      </c>
      <c r="B1124" t="str">
        <f>"1578728333192002"</f>
        <v>1578728333192002</v>
      </c>
      <c r="C1124" t="s">
        <v>40</v>
      </c>
      <c r="D1124">
        <v>5.7484010000000003</v>
      </c>
      <c r="E1124">
        <v>0.57782369999999905</v>
      </c>
      <c r="F1124" t="s">
        <v>55</v>
      </c>
      <c r="G1124">
        <v>-245.88300000000001</v>
      </c>
      <c r="H1124" s="1">
        <v>1.5938450000000001E-6</v>
      </c>
      <c r="I1124">
        <v>286.90260000000001</v>
      </c>
      <c r="J1124">
        <v>-224.83840000000001</v>
      </c>
      <c r="K1124">
        <v>1.0991899999999999</v>
      </c>
      <c r="L1124">
        <v>282.27730000000003</v>
      </c>
      <c r="M1124">
        <v>-0.99976189999999998</v>
      </c>
      <c r="N1124">
        <v>0</v>
      </c>
      <c r="O1124">
        <v>2.151225E-2</v>
      </c>
      <c r="P1124">
        <v>-0.99847839999999999</v>
      </c>
      <c r="Q1124">
        <v>5.4731750000000003E-2</v>
      </c>
      <c r="R1124">
        <v>6.7528619999999897E-3</v>
      </c>
      <c r="S1124">
        <v>-3.010529</v>
      </c>
      <c r="T1124">
        <v>-0.15434129999999999</v>
      </c>
      <c r="U1124">
        <v>0.65093990000000002</v>
      </c>
      <c r="V1124">
        <v>-1.413853E-2</v>
      </c>
      <c r="W1124">
        <v>5.8569580000000003E-2</v>
      </c>
      <c r="X1124">
        <v>0.99818320000000005</v>
      </c>
      <c r="Y1124">
        <v>0.19005079999999999</v>
      </c>
      <c r="Z1124">
        <v>3.7240820000000001E-3</v>
      </c>
      <c r="AA1124">
        <v>0.98176719999999895</v>
      </c>
      <c r="AB1124">
        <v>37</v>
      </c>
      <c r="AC1124">
        <v>-21.0445999999999</v>
      </c>
      <c r="AD1124">
        <v>-1.0991884061549999</v>
      </c>
      <c r="AE1124">
        <v>4.6252999999999798</v>
      </c>
      <c r="AF1124">
        <v>4.16068211664345</v>
      </c>
      <c r="AG1124">
        <v>-1.0991884061549999</v>
      </c>
      <c r="AH1124">
        <v>21.0843611106136</v>
      </c>
      <c r="AI1124">
        <v>92.927929336619002</v>
      </c>
      <c r="AJ1124">
        <v>78.836963663711003</v>
      </c>
      <c r="AK1124">
        <v>21.519056072949301</v>
      </c>
      <c r="AL1124">
        <v>86.642288666656398</v>
      </c>
      <c r="AM1124">
        <v>90.811498259736496</v>
      </c>
      <c r="AN1124">
        <v>0.99999999724708799</v>
      </c>
    </row>
    <row r="1125" spans="1:40" x14ac:dyDescent="0.3">
      <c r="A1125" t="str">
        <f>"20200111153853223"</f>
        <v>20200111153853223</v>
      </c>
      <c r="B1125" t="str">
        <f>"1578728333211521"</f>
        <v>1578728333211521</v>
      </c>
      <c r="C1125" t="s">
        <v>40</v>
      </c>
      <c r="D1125">
        <v>5.5718259999999997</v>
      </c>
      <c r="E1125">
        <v>0.52472600000000003</v>
      </c>
      <c r="F1125" t="s">
        <v>55</v>
      </c>
      <c r="G1125">
        <v>-245.89769999999999</v>
      </c>
      <c r="H1125" s="1">
        <v>1.601669E-6</v>
      </c>
      <c r="I1125">
        <v>286.87110000000001</v>
      </c>
      <c r="J1125">
        <v>-225.18180000000001</v>
      </c>
      <c r="K1125">
        <v>1.0992150000000001</v>
      </c>
      <c r="L1125">
        <v>282.28769999999997</v>
      </c>
      <c r="M1125">
        <v>-0.99967280000000003</v>
      </c>
      <c r="N1125">
        <v>0</v>
      </c>
      <c r="O1125">
        <v>2.531978E-2</v>
      </c>
      <c r="P1125">
        <v>-0.9984845</v>
      </c>
      <c r="Q1125">
        <v>5.43779E-2</v>
      </c>
      <c r="R1125">
        <v>8.4814599999999997E-3</v>
      </c>
      <c r="S1125">
        <v>-3.0087280000000001</v>
      </c>
      <c r="T1125">
        <v>-0.15704070000000001</v>
      </c>
      <c r="U1125">
        <v>0.65631099999999998</v>
      </c>
      <c r="V1125">
        <v>-1.6223169999999999E-2</v>
      </c>
      <c r="W1125">
        <v>5.8159240000000001E-2</v>
      </c>
      <c r="X1125">
        <v>0.99817549999999999</v>
      </c>
      <c r="Y1125">
        <v>0.1881063</v>
      </c>
      <c r="Z1125">
        <v>3.544508E-3</v>
      </c>
      <c r="AA1125">
        <v>0.98214230000000002</v>
      </c>
      <c r="AB1125">
        <v>37</v>
      </c>
      <c r="AC1125">
        <v>-20.715899999999898</v>
      </c>
      <c r="AD1125">
        <v>-1.099213398331</v>
      </c>
      <c r="AE1125">
        <v>4.5834000000000401</v>
      </c>
      <c r="AF1125">
        <v>4.0465436798381003</v>
      </c>
      <c r="AG1125">
        <v>-1.099213398331</v>
      </c>
      <c r="AH1125">
        <v>20.769562035027299</v>
      </c>
      <c r="AI1125">
        <v>92.973699141689593</v>
      </c>
      <c r="AJ1125">
        <v>78.975148437669006</v>
      </c>
      <c r="AK1125">
        <v>21.1886170614025</v>
      </c>
      <c r="AL1125">
        <v>86.665839601176103</v>
      </c>
      <c r="AM1125">
        <v>90.9311361967994</v>
      </c>
      <c r="AN1125">
        <v>1.00000000862123</v>
      </c>
    </row>
    <row r="1126" spans="1:40" x14ac:dyDescent="0.3">
      <c r="A1126" t="str">
        <f>"20200111153853245"</f>
        <v>20200111153853245</v>
      </c>
      <c r="B1126" t="str">
        <f>"1578728333241778"</f>
        <v>1578728333241778</v>
      </c>
      <c r="C1126" t="s">
        <v>40</v>
      </c>
      <c r="D1126">
        <v>5.6063689999999999</v>
      </c>
      <c r="E1126">
        <v>0.50354239999999995</v>
      </c>
      <c r="F1126" t="s">
        <v>41</v>
      </c>
      <c r="G1126">
        <v>-226.11340000000001</v>
      </c>
      <c r="H1126">
        <v>1.0539700000000001</v>
      </c>
      <c r="I1126">
        <v>282.36099999999999</v>
      </c>
      <c r="J1126">
        <v>-225.5668</v>
      </c>
      <c r="K1126">
        <v>1.0992599999999999</v>
      </c>
      <c r="L1126">
        <v>282.30070000000001</v>
      </c>
      <c r="M1126">
        <v>-0.99955959999999999</v>
      </c>
      <c r="N1126">
        <v>0</v>
      </c>
      <c r="O1126">
        <v>2.9462769999999999E-2</v>
      </c>
      <c r="P1126">
        <v>-0.99845930000000005</v>
      </c>
      <c r="Q1126">
        <v>5.446877E-2</v>
      </c>
      <c r="R1126">
        <v>1.059322E-2</v>
      </c>
      <c r="S1126">
        <v>-3.0104980000000001</v>
      </c>
      <c r="T1126">
        <v>-0.14618879999999901</v>
      </c>
      <c r="U1126">
        <v>0.2367554</v>
      </c>
      <c r="V1126">
        <v>-1.82569E-2</v>
      </c>
      <c r="W1126">
        <v>5.8194469999999998E-2</v>
      </c>
      <c r="X1126">
        <v>0.99813830000000003</v>
      </c>
      <c r="Y1126">
        <v>4.8972040000000001E-2</v>
      </c>
      <c r="Z1126">
        <v>-2.4059679999999999E-4</v>
      </c>
      <c r="AA1126">
        <v>0.99880009999999997</v>
      </c>
      <c r="AB1126">
        <v>37</v>
      </c>
      <c r="AC1126">
        <v>-0.54660000000001197</v>
      </c>
      <c r="AD1126">
        <v>-4.5289999999999997E-2</v>
      </c>
      <c r="AE1126">
        <v>6.0299999999983797E-2</v>
      </c>
      <c r="AF1126">
        <v>4.3871795417609598E-2</v>
      </c>
      <c r="AG1126">
        <v>-4.5289999999999997E-2</v>
      </c>
      <c r="AH1126">
        <v>0.54444642680007305</v>
      </c>
      <c r="AI1126">
        <v>94.739931254587901</v>
      </c>
      <c r="AJ1126">
        <v>85.393028430732898</v>
      </c>
      <c r="AK1126">
        <v>0.54808560479959001</v>
      </c>
      <c r="AL1126">
        <v>86.663817578514099</v>
      </c>
      <c r="AM1126">
        <v>91.047877519602395</v>
      </c>
      <c r="AN1126">
        <v>0.99999998833154002</v>
      </c>
    </row>
    <row r="1127" spans="1:40" x14ac:dyDescent="0.3">
      <c r="A1127" t="str">
        <f>"20200111153853268"</f>
        <v>20200111153853268</v>
      </c>
      <c r="B1127" t="str">
        <f>"1578728333261298"</f>
        <v>1578728333261298</v>
      </c>
      <c r="C1127" t="s">
        <v>40</v>
      </c>
      <c r="D1127">
        <v>5.5104240000000004</v>
      </c>
      <c r="E1127">
        <v>0.50023960000000001</v>
      </c>
      <c r="F1127" t="s">
        <v>55</v>
      </c>
      <c r="G1127">
        <v>-246.37979999999999</v>
      </c>
      <c r="H1127" s="1">
        <v>1.8582409999999999E-6</v>
      </c>
      <c r="I1127">
        <v>282.81479999999999</v>
      </c>
      <c r="J1127">
        <v>-225.94649999999999</v>
      </c>
      <c r="K1127">
        <v>1.0993120000000001</v>
      </c>
      <c r="L1127">
        <v>282.315</v>
      </c>
      <c r="M1127">
        <v>-0.99943550000000003</v>
      </c>
      <c r="N1127">
        <v>0</v>
      </c>
      <c r="O1127">
        <v>3.3414949999999999E-2</v>
      </c>
      <c r="P1127">
        <v>-0.99843440000000006</v>
      </c>
      <c r="Q1127">
        <v>5.4534659999999999E-2</v>
      </c>
      <c r="R1127">
        <v>1.245565E-2</v>
      </c>
      <c r="S1127">
        <v>-3.0125120000000001</v>
      </c>
      <c r="T1127">
        <v>-0.15910839999999901</v>
      </c>
      <c r="U1127">
        <v>7.440186E-2</v>
      </c>
      <c r="V1127">
        <v>-2.035149E-2</v>
      </c>
      <c r="W1127">
        <v>5.8215889999999999E-2</v>
      </c>
      <c r="X1127">
        <v>0.99809650000000005</v>
      </c>
      <c r="Y1127">
        <v>-8.6700679999999995E-3</v>
      </c>
      <c r="Z1127">
        <v>-1.9916880000000001E-3</v>
      </c>
      <c r="AA1127">
        <v>0.99996039999999997</v>
      </c>
      <c r="AB1127">
        <v>37</v>
      </c>
      <c r="AC1127">
        <v>-20.433299999999999</v>
      </c>
      <c r="AD1127">
        <v>-1.0993101417589899</v>
      </c>
      <c r="AE1127">
        <v>0.49979999999999303</v>
      </c>
      <c r="AF1127">
        <v>-0.1827323554842</v>
      </c>
      <c r="AG1127">
        <v>-1.0993101417589899</v>
      </c>
      <c r="AH1127">
        <v>20.379637859368302</v>
      </c>
      <c r="AI1127">
        <v>93.087509408770401</v>
      </c>
      <c r="AJ1127">
        <v>90.513724152349297</v>
      </c>
      <c r="AK1127">
        <v>20.410083615225901</v>
      </c>
      <c r="AL1127">
        <v>86.662588084452594</v>
      </c>
      <c r="AM1127">
        <v>91.168116432397298</v>
      </c>
      <c r="AN1127">
        <v>0.99999994815297899</v>
      </c>
    </row>
    <row r="1128" spans="1:40" x14ac:dyDescent="0.3">
      <c r="A1128" t="str">
        <f>"20200111153853291"</f>
        <v>20200111153853291</v>
      </c>
      <c r="B1128" t="str">
        <f>"1578728333281826"</f>
        <v>1578728333281826</v>
      </c>
      <c r="C1128" t="s">
        <v>40</v>
      </c>
      <c r="D1128">
        <v>5.4321549999999998</v>
      </c>
      <c r="E1128">
        <v>0.49912630000000002</v>
      </c>
      <c r="F1128" t="s">
        <v>55</v>
      </c>
      <c r="G1128">
        <v>-247.33359999999999</v>
      </c>
      <c r="H1128" s="1">
        <v>2.3658170000000001E-6</v>
      </c>
      <c r="I1128">
        <v>282.69260000000003</v>
      </c>
      <c r="J1128">
        <v>-226.327</v>
      </c>
      <c r="K1128">
        <v>1.099377</v>
      </c>
      <c r="L1128">
        <v>282.33069999999998</v>
      </c>
      <c r="M1128">
        <v>-0.99930070000000004</v>
      </c>
      <c r="N1128">
        <v>0</v>
      </c>
      <c r="O1128">
        <v>3.723506E-2</v>
      </c>
      <c r="P1128">
        <v>-0.99842609999999998</v>
      </c>
      <c r="Q1128">
        <v>5.421513E-2</v>
      </c>
      <c r="R1128">
        <v>1.4359739999999999E-2</v>
      </c>
      <c r="S1128">
        <v>-3.0124970000000002</v>
      </c>
      <c r="T1128">
        <v>-0.15484400000000001</v>
      </c>
      <c r="U1128">
        <v>5.3192139999999999E-2</v>
      </c>
      <c r="V1128">
        <v>-2.227991E-2</v>
      </c>
      <c r="W1128">
        <v>5.7857440000000003E-2</v>
      </c>
      <c r="X1128">
        <v>0.99807619999999997</v>
      </c>
      <c r="Y1128">
        <v>-1.9512450000000001E-2</v>
      </c>
      <c r="Z1128">
        <v>-2.413119E-3</v>
      </c>
      <c r="AA1128">
        <v>0.99980670000000005</v>
      </c>
      <c r="AB1128">
        <v>37</v>
      </c>
      <c r="AC1128">
        <v>-21.006599999999899</v>
      </c>
      <c r="AD1128">
        <v>-1.099374634183</v>
      </c>
      <c r="AE1128">
        <v>0.36190000000004802</v>
      </c>
      <c r="AF1128">
        <v>-0.41938920597727702</v>
      </c>
      <c r="AG1128">
        <v>-1.099374634183</v>
      </c>
      <c r="AH1128">
        <v>20.948149574927101</v>
      </c>
      <c r="AI1128">
        <v>93.003568763605699</v>
      </c>
      <c r="AJ1128">
        <v>91.146928120892198</v>
      </c>
      <c r="AK1128">
        <v>20.981169712527699</v>
      </c>
      <c r="AL1128">
        <v>86.683160570371498</v>
      </c>
      <c r="AM1128">
        <v>91.278792977955007</v>
      </c>
      <c r="AN1128">
        <v>0.99999998937970003</v>
      </c>
    </row>
    <row r="1129" spans="1:40" x14ac:dyDescent="0.3">
      <c r="A1129" t="str">
        <f>"20200111153853313"</f>
        <v>20200111153853313</v>
      </c>
      <c r="B1129" t="str">
        <f>"1578728333301346"</f>
        <v>1578728333301346</v>
      </c>
      <c r="C1129" t="s">
        <v>40</v>
      </c>
      <c r="D1129">
        <v>5.4643709999999999</v>
      </c>
      <c r="E1129">
        <v>0.49839230000000001</v>
      </c>
      <c r="F1129" t="s">
        <v>55</v>
      </c>
      <c r="G1129">
        <v>-247.89699999999999</v>
      </c>
      <c r="H1129" s="1">
        <v>2.6655760000000001E-6</v>
      </c>
      <c r="I1129">
        <v>282.68729999999999</v>
      </c>
      <c r="J1129">
        <v>-226.68870000000001</v>
      </c>
      <c r="K1129">
        <v>1.099442</v>
      </c>
      <c r="L1129">
        <v>282.34679999999997</v>
      </c>
      <c r="M1129">
        <v>-0.99916450000000001</v>
      </c>
      <c r="N1129">
        <v>0</v>
      </c>
      <c r="O1129">
        <v>4.072953E-2</v>
      </c>
      <c r="P1129">
        <v>-0.99846970000000002</v>
      </c>
      <c r="Q1129">
        <v>5.2983299999999997E-2</v>
      </c>
      <c r="R1129">
        <v>1.5850199999999998E-2</v>
      </c>
      <c r="S1129">
        <v>-3.0123600000000001</v>
      </c>
      <c r="T1129">
        <v>-0.15353359999999999</v>
      </c>
      <c r="U1129">
        <v>4.9804689999999999E-2</v>
      </c>
      <c r="V1129">
        <v>-2.430618E-2</v>
      </c>
      <c r="W1129">
        <v>5.659732E-2</v>
      </c>
      <c r="X1129">
        <v>0.99810120000000002</v>
      </c>
      <c r="Y1129">
        <v>-2.4122609999999999E-2</v>
      </c>
      <c r="Z1129">
        <v>-2.688115E-3</v>
      </c>
      <c r="AA1129">
        <v>0.99970539999999997</v>
      </c>
      <c r="AB1129">
        <v>37</v>
      </c>
      <c r="AC1129">
        <v>-21.208300000000001</v>
      </c>
      <c r="AD1129">
        <v>-1.0994393344239899</v>
      </c>
      <c r="AE1129">
        <v>0.34050000000002001</v>
      </c>
      <c r="AF1129">
        <v>-0.52218860203912398</v>
      </c>
      <c r="AG1129">
        <v>-1.0994393344239899</v>
      </c>
      <c r="AH1129">
        <v>21.1477521853921</v>
      </c>
      <c r="AI1129">
        <v>92.975135552667794</v>
      </c>
      <c r="AJ1129">
        <v>91.414482458770195</v>
      </c>
      <c r="AK1129">
        <v>21.182749356042802</v>
      </c>
      <c r="AL1129">
        <v>86.7554787703438</v>
      </c>
      <c r="AM1129">
        <v>91.395015185281906</v>
      </c>
      <c r="AN1129">
        <v>1.0000000262294</v>
      </c>
    </row>
    <row r="1130" spans="1:40" x14ac:dyDescent="0.3">
      <c r="A1130" t="str">
        <f>"20200111153853337"</f>
        <v>20200111153853337</v>
      </c>
      <c r="B1130" t="str">
        <f>"1578728333331602"</f>
        <v>1578728333331602</v>
      </c>
      <c r="C1130" t="s">
        <v>40</v>
      </c>
      <c r="D1130">
        <v>5.4457060000000004</v>
      </c>
      <c r="E1130">
        <v>0.49778349999999999</v>
      </c>
      <c r="F1130" t="s">
        <v>55</v>
      </c>
      <c r="G1130">
        <v>-247.7456</v>
      </c>
      <c r="H1130" s="1">
        <v>2.5850569999999999E-6</v>
      </c>
      <c r="I1130">
        <v>282.68430000000001</v>
      </c>
      <c r="J1130">
        <v>-227.09020000000001</v>
      </c>
      <c r="K1130">
        <v>1.099526</v>
      </c>
      <c r="L1130">
        <v>282.36610000000002</v>
      </c>
      <c r="M1130">
        <v>-0.99900599999999995</v>
      </c>
      <c r="N1130">
        <v>0</v>
      </c>
      <c r="O1130">
        <v>4.4450539999999997E-2</v>
      </c>
      <c r="P1130">
        <v>-0.99850490000000003</v>
      </c>
      <c r="Q1130">
        <v>5.1688339999999999E-2</v>
      </c>
      <c r="R1130">
        <v>1.7798950000000001E-2</v>
      </c>
      <c r="S1130">
        <v>-3.0121769999999999</v>
      </c>
      <c r="T1130">
        <v>-0.15727349999999901</v>
      </c>
      <c r="U1130">
        <v>4.8278809999999998E-2</v>
      </c>
      <c r="V1130">
        <v>-2.6104720000000001E-2</v>
      </c>
      <c r="W1130">
        <v>5.5272830000000002E-2</v>
      </c>
      <c r="X1130">
        <v>0.99812999999999996</v>
      </c>
      <c r="Y1130">
        <v>-2.833602E-2</v>
      </c>
      <c r="Z1130">
        <v>-3.057578E-3</v>
      </c>
      <c r="AA1130">
        <v>0.99959379999999998</v>
      </c>
      <c r="AB1130">
        <v>38</v>
      </c>
      <c r="AC1130">
        <v>-20.655399999999901</v>
      </c>
      <c r="AD1130">
        <v>-1.099523414943</v>
      </c>
      <c r="AE1130">
        <v>0.31819999999998999</v>
      </c>
      <c r="AF1130">
        <v>-0.59856761336498798</v>
      </c>
      <c r="AG1130">
        <v>-1.099523414943</v>
      </c>
      <c r="AH1130">
        <v>20.590795267625399</v>
      </c>
      <c r="AI1130">
        <v>93.055333644816997</v>
      </c>
      <c r="AJ1130">
        <v>91.665100451723006</v>
      </c>
      <c r="AK1130">
        <v>20.628816851216701</v>
      </c>
      <c r="AL1130">
        <v>86.831485435142497</v>
      </c>
      <c r="AM1130">
        <v>91.498150940042194</v>
      </c>
      <c r="AN1130">
        <v>1.00000001952124</v>
      </c>
    </row>
    <row r="1131" spans="1:40" x14ac:dyDescent="0.3">
      <c r="A1131" t="str">
        <f>"20200111153853356"</f>
        <v>20200111153853356</v>
      </c>
      <c r="B1131" t="str">
        <f>"1578728333352098"</f>
        <v>1578728333352098</v>
      </c>
      <c r="C1131" t="s">
        <v>40</v>
      </c>
      <c r="D1131">
        <v>5.468229</v>
      </c>
      <c r="E1131">
        <v>0.49768869999999998</v>
      </c>
      <c r="F1131" t="s">
        <v>55</v>
      </c>
      <c r="G1131">
        <v>-247.67410000000001</v>
      </c>
      <c r="H1131" s="1">
        <v>2.5469760000000001E-6</v>
      </c>
      <c r="I1131">
        <v>282.70569999999998</v>
      </c>
      <c r="J1131">
        <v>-227.43270000000001</v>
      </c>
      <c r="K1131">
        <v>1.099602</v>
      </c>
      <c r="L1131">
        <v>282.3836</v>
      </c>
      <c r="M1131">
        <v>-0.99886609999999998</v>
      </c>
      <c r="N1131">
        <v>0</v>
      </c>
      <c r="O1131">
        <v>4.7492630000000001E-2</v>
      </c>
      <c r="P1131">
        <v>-0.99847980000000003</v>
      </c>
      <c r="Q1131">
        <v>5.1515949999999998E-2</v>
      </c>
      <c r="R1131">
        <v>1.9612310000000001E-2</v>
      </c>
      <c r="S1131">
        <v>-3.0119479999999998</v>
      </c>
      <c r="T1131">
        <v>-0.16088839999999999</v>
      </c>
      <c r="U1131">
        <v>4.9682619999999997E-2</v>
      </c>
      <c r="V1131">
        <v>-2.7345789999999998E-2</v>
      </c>
      <c r="W1131">
        <v>5.5078099999999998E-2</v>
      </c>
      <c r="X1131">
        <v>0.99810750000000004</v>
      </c>
      <c r="Y1131">
        <v>-3.090043E-2</v>
      </c>
      <c r="Z1131">
        <v>-3.3586279999999998E-3</v>
      </c>
      <c r="AA1131">
        <v>0.99951679999999998</v>
      </c>
      <c r="AB1131">
        <v>38</v>
      </c>
      <c r="AC1131">
        <v>-20.241399999999999</v>
      </c>
      <c r="AD1131">
        <v>-1.0995994530240001</v>
      </c>
      <c r="AE1131">
        <v>0.32209999999997702</v>
      </c>
      <c r="AF1131">
        <v>-0.63770458546098396</v>
      </c>
      <c r="AG1131">
        <v>-1.0995994530240001</v>
      </c>
      <c r="AH1131">
        <v>20.174334622327301</v>
      </c>
      <c r="AI1131">
        <v>93.118257564076501</v>
      </c>
      <c r="AJ1131">
        <v>91.810499335433505</v>
      </c>
      <c r="AK1131">
        <v>20.214340542027202</v>
      </c>
      <c r="AL1131">
        <v>86.842659556377797</v>
      </c>
      <c r="AM1131">
        <v>91.569376547062006</v>
      </c>
      <c r="AN1131">
        <v>0.99999998544329105</v>
      </c>
    </row>
    <row r="1132" spans="1:40" x14ac:dyDescent="0.3">
      <c r="A1132" t="str">
        <f>"20200111153853380"</f>
        <v>20200111153853380</v>
      </c>
      <c r="B1132" t="str">
        <f>"1578728333371618"</f>
        <v>1578728333371618</v>
      </c>
      <c r="C1132" t="s">
        <v>40</v>
      </c>
      <c r="D1132">
        <v>5.4348739999999998</v>
      </c>
      <c r="E1132">
        <v>0.49761499999999997</v>
      </c>
      <c r="F1132" t="s">
        <v>55</v>
      </c>
      <c r="G1132">
        <v>-247.9555</v>
      </c>
      <c r="H1132" s="1">
        <v>2.6967279999999999E-6</v>
      </c>
      <c r="I1132">
        <v>282.75360000000001</v>
      </c>
      <c r="J1132">
        <v>-227.83179999999999</v>
      </c>
      <c r="K1132">
        <v>1.0996900000000001</v>
      </c>
      <c r="L1132">
        <v>282.40530000000001</v>
      </c>
      <c r="M1132">
        <v>-0.99869810000000003</v>
      </c>
      <c r="N1132">
        <v>0</v>
      </c>
      <c r="O1132">
        <v>5.090455E-2</v>
      </c>
      <c r="P1132">
        <v>-0.99838919999999998</v>
      </c>
      <c r="Q1132">
        <v>5.2280199999999999E-2</v>
      </c>
      <c r="R1132">
        <v>2.2042929999999999E-2</v>
      </c>
      <c r="S1132">
        <v>-3.011841</v>
      </c>
      <c r="T1132">
        <v>-0.16137279999999901</v>
      </c>
      <c r="U1132">
        <v>5.4290770000000002E-2</v>
      </c>
      <c r="V1132">
        <v>-2.8330270000000001E-2</v>
      </c>
      <c r="W1132">
        <v>5.5817970000000001E-2</v>
      </c>
      <c r="X1132">
        <v>0.99803889999999995</v>
      </c>
      <c r="Y1132">
        <v>-3.2777170000000001E-2</v>
      </c>
      <c r="Z1132">
        <v>-3.6014720000000001E-3</v>
      </c>
      <c r="AA1132">
        <v>0.99945620000000002</v>
      </c>
      <c r="AB1132">
        <v>38</v>
      </c>
      <c r="AC1132">
        <v>-20.123699999999999</v>
      </c>
      <c r="AD1132">
        <v>-1.099687303272</v>
      </c>
      <c r="AE1132">
        <v>0.348299999999994</v>
      </c>
      <c r="AF1132">
        <v>-0.6745313086593</v>
      </c>
      <c r="AG1132">
        <v>-1.099687303272</v>
      </c>
      <c r="AH1132">
        <v>20.055467718536001</v>
      </c>
      <c r="AI1132">
        <v>93.136746053368995</v>
      </c>
      <c r="AJ1132">
        <v>91.926319285599703</v>
      </c>
      <c r="AK1132">
        <v>20.096917426824</v>
      </c>
      <c r="AL1132">
        <v>86.800202689725296</v>
      </c>
      <c r="AM1132">
        <v>91.625957807993103</v>
      </c>
      <c r="AN1132">
        <v>0.99999994794320002</v>
      </c>
    </row>
    <row r="1133" spans="1:40" x14ac:dyDescent="0.3">
      <c r="A1133" t="str">
        <f>"20200111153853401"</f>
        <v>20200111153853401</v>
      </c>
      <c r="B1133" t="str">
        <f>"1578728333392115"</f>
        <v>1578728333392115</v>
      </c>
      <c r="C1133" t="s">
        <v>40</v>
      </c>
      <c r="D1133">
        <v>5.4400639999999996</v>
      </c>
      <c r="E1133">
        <v>0.49753700000000001</v>
      </c>
      <c r="F1133" t="s">
        <v>55</v>
      </c>
      <c r="G1133">
        <v>-248.82509999999999</v>
      </c>
      <c r="H1133" s="1">
        <v>3.1594720000000001E-6</v>
      </c>
      <c r="I1133">
        <v>282.83120000000002</v>
      </c>
      <c r="J1133">
        <v>-228.21619999999999</v>
      </c>
      <c r="K1133">
        <v>1.0997859999999999</v>
      </c>
      <c r="L1133">
        <v>282.42739999999998</v>
      </c>
      <c r="M1133">
        <v>-0.99853199999999998</v>
      </c>
      <c r="N1133">
        <v>0</v>
      </c>
      <c r="O1133">
        <v>5.4066379999999997E-2</v>
      </c>
      <c r="P1133">
        <v>-0.99829000000000001</v>
      </c>
      <c r="Q1133">
        <v>5.3033360000000002E-2</v>
      </c>
      <c r="R1133">
        <v>2.4590270000000001E-2</v>
      </c>
      <c r="S1133">
        <v>-3.011765</v>
      </c>
      <c r="T1133">
        <v>-0.1577645</v>
      </c>
      <c r="U1133">
        <v>6.1096190000000002E-2</v>
      </c>
      <c r="V1133">
        <v>-2.894774E-2</v>
      </c>
      <c r="W1133">
        <v>5.6550179999999999E-2</v>
      </c>
      <c r="X1133">
        <v>0.99797999999999998</v>
      </c>
      <c r="Y1133">
        <v>-3.3683360000000002E-2</v>
      </c>
      <c r="Z1133">
        <v>-3.710025E-3</v>
      </c>
      <c r="AA1133">
        <v>0.99942560000000003</v>
      </c>
      <c r="AB1133">
        <v>38</v>
      </c>
      <c r="AC1133">
        <v>-20.608899999999998</v>
      </c>
      <c r="AD1133">
        <v>-1.0997828405279999</v>
      </c>
      <c r="AE1133">
        <v>0.40380000000004601</v>
      </c>
      <c r="AF1133">
        <v>-0.70902682375364301</v>
      </c>
      <c r="AG1133">
        <v>-1.0997828405279999</v>
      </c>
      <c r="AH1133">
        <v>20.542111388480802</v>
      </c>
      <c r="AI1133">
        <v>93.062753293610896</v>
      </c>
      <c r="AJ1133">
        <v>91.976823263574005</v>
      </c>
      <c r="AK1133">
        <v>20.583745568527501</v>
      </c>
      <c r="AL1133">
        <v>86.758183900159594</v>
      </c>
      <c r="AM1133">
        <v>91.661474582497306</v>
      </c>
      <c r="AN1133">
        <v>0.99999998745456897</v>
      </c>
    </row>
    <row r="1134" spans="1:40" x14ac:dyDescent="0.3">
      <c r="A1134" t="str">
        <f>"20200111153853425"</f>
        <v>20200111153853425</v>
      </c>
      <c r="B1134" t="str">
        <f>"1578728333421394"</f>
        <v>1578728333421394</v>
      </c>
      <c r="C1134" t="s">
        <v>40</v>
      </c>
      <c r="D1134">
        <v>5.362241</v>
      </c>
      <c r="E1134">
        <v>0.4974169</v>
      </c>
      <c r="F1134" t="s">
        <v>55</v>
      </c>
      <c r="G1134">
        <v>-249.673</v>
      </c>
      <c r="H1134" s="1">
        <v>3.6107189999999999E-6</v>
      </c>
      <c r="I1134">
        <v>282.91489999999999</v>
      </c>
      <c r="J1134">
        <v>-228.6104</v>
      </c>
      <c r="K1134">
        <v>1.099877</v>
      </c>
      <c r="L1134">
        <v>282.45119999999997</v>
      </c>
      <c r="M1134">
        <v>-0.99835850000000004</v>
      </c>
      <c r="N1134">
        <v>0</v>
      </c>
      <c r="O1134">
        <v>5.718177E-2</v>
      </c>
      <c r="P1134">
        <v>-0.9981757</v>
      </c>
      <c r="Q1134">
        <v>5.4050880000000003E-2</v>
      </c>
      <c r="R1134">
        <v>2.6904620000000001E-2</v>
      </c>
      <c r="S1134">
        <v>-3.0116580000000002</v>
      </c>
      <c r="T1134">
        <v>-0.1543641</v>
      </c>
      <c r="U1134">
        <v>6.8420410000000001E-2</v>
      </c>
      <c r="V1134">
        <v>-2.9749299999999999E-2</v>
      </c>
      <c r="W1134">
        <v>5.7552300000000001E-2</v>
      </c>
      <c r="X1134">
        <v>0.99789919999999999</v>
      </c>
      <c r="Y1134">
        <v>-3.4371789999999999E-2</v>
      </c>
      <c r="Z1134">
        <v>-3.807104E-3</v>
      </c>
      <c r="AA1134">
        <v>0.99940189999999995</v>
      </c>
      <c r="AB1134">
        <v>38</v>
      </c>
      <c r="AC1134">
        <v>-21.0626</v>
      </c>
      <c r="AD1134">
        <v>-1.099873389281</v>
      </c>
      <c r="AE1134">
        <v>0.46370000000001699</v>
      </c>
      <c r="AF1134">
        <v>-0.73944644025901796</v>
      </c>
      <c r="AG1134">
        <v>-1.099873389281</v>
      </c>
      <c r="AH1134">
        <v>20.997422890450501</v>
      </c>
      <c r="AI1134">
        <v>92.9966357403665</v>
      </c>
      <c r="AJ1134">
        <v>92.016897943847297</v>
      </c>
      <c r="AK1134">
        <v>21.039207935444601</v>
      </c>
      <c r="AL1134">
        <v>86.700673188592106</v>
      </c>
      <c r="AM1134">
        <v>91.707591950220007</v>
      </c>
      <c r="AN1134">
        <v>1.0000000507232001</v>
      </c>
    </row>
    <row r="1135" spans="1:40" x14ac:dyDescent="0.3">
      <c r="A1135" t="str">
        <f>"20200111153853446"</f>
        <v>20200111153853446</v>
      </c>
      <c r="B1135" t="str">
        <f>"1578728333441891"</f>
        <v>1578728333441891</v>
      </c>
      <c r="C1135" t="s">
        <v>40</v>
      </c>
      <c r="D1135">
        <v>5.3780429999999999</v>
      </c>
      <c r="E1135">
        <v>0.49725580000000003</v>
      </c>
      <c r="F1135" t="s">
        <v>55</v>
      </c>
      <c r="G1135">
        <v>-250.65379999999999</v>
      </c>
      <c r="H1135" s="1">
        <v>-1.188849E-6</v>
      </c>
      <c r="I1135">
        <v>282.99459999999999</v>
      </c>
      <c r="J1135">
        <v>-228.97329999999999</v>
      </c>
      <c r="K1135">
        <v>1.0999570000000001</v>
      </c>
      <c r="L1135">
        <v>282.47399999999999</v>
      </c>
      <c r="M1135">
        <v>-0.99819669999999905</v>
      </c>
      <c r="N1135">
        <v>0</v>
      </c>
      <c r="O1135">
        <v>5.9941139999999997E-2</v>
      </c>
      <c r="P1135">
        <v>-0.99805779999999999</v>
      </c>
      <c r="Q1135">
        <v>5.5195950000000001E-2</v>
      </c>
      <c r="R1135">
        <v>2.8884549999999998E-2</v>
      </c>
      <c r="S1135">
        <v>-3.0116269999999998</v>
      </c>
      <c r="T1135">
        <v>-0.15026819999999999</v>
      </c>
      <c r="U1135">
        <v>7.4249270000000006E-2</v>
      </c>
      <c r="V1135">
        <v>-3.0526689999999999E-2</v>
      </c>
      <c r="W1135">
        <v>5.8685719999999997E-2</v>
      </c>
      <c r="X1135">
        <v>0.99780959999999996</v>
      </c>
      <c r="Y1135">
        <v>-3.5202669999999998E-2</v>
      </c>
      <c r="Z1135">
        <v>-3.8641880000000002E-3</v>
      </c>
      <c r="AA1135">
        <v>0.9993727</v>
      </c>
      <c r="AB1135">
        <v>38</v>
      </c>
      <c r="AC1135">
        <v>-21.680499999999899</v>
      </c>
      <c r="AD1135">
        <v>-1.099958188849</v>
      </c>
      <c r="AE1135">
        <v>0.52060000000000095</v>
      </c>
      <c r="AF1135">
        <v>-0.77789556886483002</v>
      </c>
      <c r="AG1135">
        <v>-1.099958188849</v>
      </c>
      <c r="AH1135">
        <v>21.6171106480855</v>
      </c>
      <c r="AI1135">
        <v>92.911027047842097</v>
      </c>
      <c r="AJ1135">
        <v>92.060909536488893</v>
      </c>
      <c r="AK1135">
        <v>21.6590512789653</v>
      </c>
      <c r="AL1135">
        <v>86.635622693765995</v>
      </c>
      <c r="AM1135">
        <v>91.752343449878296</v>
      </c>
      <c r="AN1135">
        <v>0.999999945193215</v>
      </c>
    </row>
    <row r="1136" spans="1:40" x14ac:dyDescent="0.3">
      <c r="A1136" t="str">
        <f>"20200111153853468"</f>
        <v>20200111153853468</v>
      </c>
      <c r="B1136" t="str">
        <f>"1578728333461409"</f>
        <v>1578728333461409</v>
      </c>
      <c r="C1136" t="s">
        <v>40</v>
      </c>
      <c r="D1136">
        <v>5.3880460000000001</v>
      </c>
      <c r="E1136">
        <v>0.49697989999999997</v>
      </c>
      <c r="F1136" t="s">
        <v>55</v>
      </c>
      <c r="G1136">
        <v>-251.53870000000001</v>
      </c>
      <c r="H1136" s="1">
        <v>-7.1797019999999899E-7</v>
      </c>
      <c r="I1136">
        <v>283.06459999999998</v>
      </c>
      <c r="J1136">
        <v>-229.36369999999999</v>
      </c>
      <c r="K1136">
        <v>1.100036</v>
      </c>
      <c r="L1136">
        <v>282.49959999999999</v>
      </c>
      <c r="M1136">
        <v>-0.99802009999999997</v>
      </c>
      <c r="N1136">
        <v>0</v>
      </c>
      <c r="O1136">
        <v>6.2812259999999995E-2</v>
      </c>
      <c r="P1136">
        <v>-0.99799640000000001</v>
      </c>
      <c r="Q1136">
        <v>5.5180680000000003E-2</v>
      </c>
      <c r="R1136">
        <v>3.095736E-2</v>
      </c>
      <c r="S1136">
        <v>-3.0116879999999999</v>
      </c>
      <c r="T1136">
        <v>-0.14680550000000001</v>
      </c>
      <c r="U1136">
        <v>7.8826899999999894E-2</v>
      </c>
      <c r="V1136">
        <v>-3.1337469999999999E-2</v>
      </c>
      <c r="W1136">
        <v>5.8661919999999999E-2</v>
      </c>
      <c r="X1136">
        <v>0.9977859</v>
      </c>
      <c r="Y1136">
        <v>-3.6560269999999999E-2</v>
      </c>
      <c r="Z1136">
        <v>-3.947725E-3</v>
      </c>
      <c r="AA1136">
        <v>0.99932370000000004</v>
      </c>
      <c r="AB1136">
        <v>39</v>
      </c>
      <c r="AC1136">
        <v>-22.175000000000001</v>
      </c>
      <c r="AD1136">
        <v>-1.1000367179702</v>
      </c>
      <c r="AE1136">
        <v>0.56499999999999695</v>
      </c>
      <c r="AF1136">
        <v>-0.82695116943513403</v>
      </c>
      <c r="AG1136">
        <v>-1.1000367179702</v>
      </c>
      <c r="AH1136">
        <v>22.1123209714324</v>
      </c>
      <c r="AI1136">
        <v>92.845998130128393</v>
      </c>
      <c r="AJ1136">
        <v>92.141735444275</v>
      </c>
      <c r="AK1136">
        <v>22.155104778835099</v>
      </c>
      <c r="AL1136">
        <v>86.636988804113102</v>
      </c>
      <c r="AM1136">
        <v>91.7988976980959</v>
      </c>
      <c r="AN1136">
        <v>0.99999998006144797</v>
      </c>
    </row>
    <row r="1137" spans="1:40" x14ac:dyDescent="0.3">
      <c r="A1137" t="str">
        <f>"20200111153853491"</f>
        <v>20200111153853491</v>
      </c>
      <c r="B1137" t="str">
        <f>"1578728333481906"</f>
        <v>1578728333481906</v>
      </c>
      <c r="C1137" t="s">
        <v>40</v>
      </c>
      <c r="D1137">
        <v>5.343782</v>
      </c>
      <c r="E1137">
        <v>0.4966159</v>
      </c>
      <c r="F1137" t="s">
        <v>55</v>
      </c>
      <c r="G1137">
        <v>-251.96279999999999</v>
      </c>
      <c r="H1137" s="1">
        <v>-4.9228949999999996E-7</v>
      </c>
      <c r="I1137">
        <v>283.12110000000001</v>
      </c>
      <c r="J1137">
        <v>-229.76259999999999</v>
      </c>
      <c r="K1137">
        <v>1.100101</v>
      </c>
      <c r="L1137">
        <v>282.52679999999998</v>
      </c>
      <c r="M1137">
        <v>-0.99783670000000002</v>
      </c>
      <c r="N1137">
        <v>0</v>
      </c>
      <c r="O1137">
        <v>6.5664009999999995E-2</v>
      </c>
      <c r="P1137">
        <v>-0.99796830000000003</v>
      </c>
      <c r="Q1137">
        <v>5.4664919999999999E-2</v>
      </c>
      <c r="R1137">
        <v>3.2731639999999999E-2</v>
      </c>
      <c r="S1137">
        <v>-3.0115660000000002</v>
      </c>
      <c r="T1137">
        <v>-0.14659140000000001</v>
      </c>
      <c r="U1137">
        <v>8.2824709999999996E-2</v>
      </c>
      <c r="V1137">
        <v>-3.2431309999999998E-2</v>
      </c>
      <c r="W1137">
        <v>5.8144010000000003E-2</v>
      </c>
      <c r="X1137">
        <v>0.99778129999999998</v>
      </c>
      <c r="Y1137">
        <v>-3.8084439999999997E-2</v>
      </c>
      <c r="Z1137">
        <v>-4.117524E-3</v>
      </c>
      <c r="AA1137">
        <v>0.99926599999999999</v>
      </c>
      <c r="AB1137">
        <v>39</v>
      </c>
      <c r="AC1137">
        <v>-22.200199999999899</v>
      </c>
      <c r="AD1137">
        <v>-1.1001014922895</v>
      </c>
      <c r="AE1137">
        <v>0.59430000000003202</v>
      </c>
      <c r="AF1137">
        <v>-0.86262747363148295</v>
      </c>
      <c r="AG1137">
        <v>-1.1001014922895</v>
      </c>
      <c r="AH1137">
        <v>22.1369912068891</v>
      </c>
      <c r="AI1137">
        <v>92.842828888633804</v>
      </c>
      <c r="AJ1137">
        <v>92.231555268973807</v>
      </c>
      <c r="AK1137">
        <v>22.1810894490214</v>
      </c>
      <c r="AL1137">
        <v>86.666713730361707</v>
      </c>
      <c r="AM1137">
        <v>91.8616536814543</v>
      </c>
      <c r="AN1137">
        <v>1.0000000191984399</v>
      </c>
    </row>
    <row r="1138" spans="1:40" x14ac:dyDescent="0.3">
      <c r="A1138" t="str">
        <f>"20200111153853513"</f>
        <v>20200111153853513</v>
      </c>
      <c r="B1138" t="str">
        <f>"1578728333501425"</f>
        <v>1578728333501425</v>
      </c>
      <c r="C1138" t="s">
        <v>40</v>
      </c>
      <c r="D1138">
        <v>5.3730079999999996</v>
      </c>
      <c r="E1138">
        <v>0.49628329999999998</v>
      </c>
      <c r="F1138" t="s">
        <v>55</v>
      </c>
      <c r="G1138">
        <v>-252.00450000000001</v>
      </c>
      <c r="H1138" s="1">
        <v>-4.7011589999999998E-7</v>
      </c>
      <c r="I1138">
        <v>283.15769999999998</v>
      </c>
      <c r="J1138">
        <v>-230.14099999999999</v>
      </c>
      <c r="K1138">
        <v>1.100144</v>
      </c>
      <c r="L1138">
        <v>282.55360000000002</v>
      </c>
      <c r="M1138">
        <v>-0.99765890000000002</v>
      </c>
      <c r="N1138">
        <v>0</v>
      </c>
      <c r="O1138">
        <v>6.8311739999999996E-2</v>
      </c>
      <c r="P1138">
        <v>-0.99797049999999998</v>
      </c>
      <c r="Q1138">
        <v>5.4115360000000001E-2</v>
      </c>
      <c r="R1138">
        <v>3.3567989999999999E-2</v>
      </c>
      <c r="S1138">
        <v>-3.0114589999999999</v>
      </c>
      <c r="T1138">
        <v>-0.14894959999999999</v>
      </c>
      <c r="U1138">
        <v>8.54187E-2</v>
      </c>
      <c r="V1138">
        <v>-3.4257429999999998E-2</v>
      </c>
      <c r="W1138">
        <v>5.7599419999999998E-2</v>
      </c>
      <c r="X1138">
        <v>0.99775179999999997</v>
      </c>
      <c r="Y1138">
        <v>-3.9865739999999997E-2</v>
      </c>
      <c r="Z1138">
        <v>-4.3583459999999999E-3</v>
      </c>
      <c r="AA1138">
        <v>0.99919550000000001</v>
      </c>
      <c r="AB1138">
        <v>39</v>
      </c>
      <c r="AC1138">
        <v>-21.863499999999998</v>
      </c>
      <c r="AD1138">
        <v>-1.1001444701159</v>
      </c>
      <c r="AE1138">
        <v>0.604099999999959</v>
      </c>
      <c r="AF1138">
        <v>-0.88860432974173298</v>
      </c>
      <c r="AG1138">
        <v>-1.1001444701159</v>
      </c>
      <c r="AH1138">
        <v>21.798542870730302</v>
      </c>
      <c r="AI1138">
        <v>92.886799584665098</v>
      </c>
      <c r="AJ1138">
        <v>92.334335128229796</v>
      </c>
      <c r="AK1138">
        <v>21.844367850707599</v>
      </c>
      <c r="AL1138">
        <v>86.697968624195198</v>
      </c>
      <c r="AM1138">
        <v>91.966456393039195</v>
      </c>
      <c r="AN1138">
        <v>0.99999995954888898</v>
      </c>
    </row>
    <row r="1139" spans="1:40" x14ac:dyDescent="0.3">
      <c r="A1139" t="str">
        <f>"20200111153853535"</f>
        <v>20200111153853535</v>
      </c>
      <c r="B1139" t="str">
        <f>"1578728333531682"</f>
        <v>1578728333531682</v>
      </c>
      <c r="C1139" t="s">
        <v>40</v>
      </c>
      <c r="D1139">
        <v>5.3164949999999997</v>
      </c>
      <c r="E1139">
        <v>0.495807</v>
      </c>
      <c r="F1139" t="s">
        <v>55</v>
      </c>
      <c r="G1139">
        <v>-252.2021</v>
      </c>
      <c r="H1139" s="1">
        <v>-3.6494770000000002E-7</v>
      </c>
      <c r="I1139">
        <v>283.17809999999997</v>
      </c>
      <c r="J1139">
        <v>-230.5301</v>
      </c>
      <c r="K1139">
        <v>1.100182</v>
      </c>
      <c r="L1139">
        <v>282.5822</v>
      </c>
      <c r="M1139">
        <v>-0.99747160000000001</v>
      </c>
      <c r="N1139">
        <v>0</v>
      </c>
      <c r="O1139">
        <v>7.0993570000000006E-2</v>
      </c>
      <c r="P1139">
        <v>-0.99792029999999998</v>
      </c>
      <c r="Q1139">
        <v>5.4786649999999999E-2</v>
      </c>
      <c r="R1139">
        <v>3.3967909999999997E-2</v>
      </c>
      <c r="S1139">
        <v>-3.011368</v>
      </c>
      <c r="T1139">
        <v>-0.15017130000000001</v>
      </c>
      <c r="U1139">
        <v>8.5235599999999995E-2</v>
      </c>
      <c r="V1139">
        <v>-3.6539099999999998E-2</v>
      </c>
      <c r="W1139">
        <v>5.8278719999999999E-2</v>
      </c>
      <c r="X1139">
        <v>0.99763139999999995</v>
      </c>
      <c r="Y1139">
        <v>-4.2602750000000002E-2</v>
      </c>
      <c r="Z1139">
        <v>-4.595694E-3</v>
      </c>
      <c r="AA1139">
        <v>0.99908149999999996</v>
      </c>
      <c r="AB1139">
        <v>39</v>
      </c>
      <c r="AC1139">
        <v>-21.672000000000001</v>
      </c>
      <c r="AD1139">
        <v>-1.1001823649476901</v>
      </c>
      <c r="AE1139">
        <v>0.59589999999997101</v>
      </c>
      <c r="AF1139">
        <v>-0.941759020498384</v>
      </c>
      <c r="AG1139">
        <v>-1.1001823649476901</v>
      </c>
      <c r="AH1139">
        <v>21.6039877612662</v>
      </c>
      <c r="AI1139">
        <v>92.912506150566301</v>
      </c>
      <c r="AJ1139">
        <v>92.496052035049502</v>
      </c>
      <c r="AK1139">
        <v>21.652473264682101</v>
      </c>
      <c r="AL1139">
        <v>86.658982116576297</v>
      </c>
      <c r="AM1139">
        <v>92.097569145388206</v>
      </c>
      <c r="AN1139">
        <v>0.99999996264980295</v>
      </c>
    </row>
    <row r="1140" spans="1:40" x14ac:dyDescent="0.3">
      <c r="A1140" t="str">
        <f>"20200111153853557"</f>
        <v>20200111153853557</v>
      </c>
      <c r="B1140" t="str">
        <f>"1578728333552178"</f>
        <v>1578728333552178</v>
      </c>
      <c r="C1140" t="s">
        <v>40</v>
      </c>
      <c r="D1140">
        <v>5.3989979999999997</v>
      </c>
      <c r="E1140">
        <v>0.49558350000000001</v>
      </c>
      <c r="F1140" t="s">
        <v>55</v>
      </c>
      <c r="G1140">
        <v>-252.90889999999999</v>
      </c>
      <c r="H1140" s="1">
        <v>1.117763E-8</v>
      </c>
      <c r="I1140">
        <v>283.19839999999999</v>
      </c>
      <c r="J1140">
        <v>-230.91249999999999</v>
      </c>
      <c r="K1140">
        <v>1.1002050000000001</v>
      </c>
      <c r="L1140">
        <v>282.6114</v>
      </c>
      <c r="M1140">
        <v>-0.99728260000000002</v>
      </c>
      <c r="N1140">
        <v>0</v>
      </c>
      <c r="O1140">
        <v>7.3600230000000003E-2</v>
      </c>
      <c r="P1140">
        <v>-0.99790840000000003</v>
      </c>
      <c r="Q1140">
        <v>5.4838850000000001E-2</v>
      </c>
      <c r="R1140">
        <v>3.4230120000000003E-2</v>
      </c>
      <c r="S1140">
        <v>-3.0115509999999999</v>
      </c>
      <c r="T1140">
        <v>-0.1480534</v>
      </c>
      <c r="U1140">
        <v>8.2916260000000006E-2</v>
      </c>
      <c r="V1140">
        <v>-3.8887890000000001E-2</v>
      </c>
      <c r="W1140">
        <v>5.8341570000000002E-2</v>
      </c>
      <c r="X1140">
        <v>0.99753899999999995</v>
      </c>
      <c r="Y1140">
        <v>-4.598095E-2</v>
      </c>
      <c r="Z1140">
        <v>-4.7414620000000001E-3</v>
      </c>
      <c r="AA1140">
        <v>0.99893109999999996</v>
      </c>
      <c r="AB1140">
        <v>39</v>
      </c>
      <c r="AC1140">
        <v>-21.996399999999898</v>
      </c>
      <c r="AD1140">
        <v>-1.1002049888223699</v>
      </c>
      <c r="AE1140">
        <v>0.58699999999998898</v>
      </c>
      <c r="AF1140">
        <v>-1.03096322139249</v>
      </c>
      <c r="AG1140">
        <v>-1.1002049888223699</v>
      </c>
      <c r="AH1140">
        <v>21.925132676208602</v>
      </c>
      <c r="AI1140">
        <v>92.869532124185099</v>
      </c>
      <c r="AJ1140">
        <v>92.6921781576158</v>
      </c>
      <c r="AK1140">
        <v>21.9769146845194</v>
      </c>
      <c r="AL1140">
        <v>86.655375170185394</v>
      </c>
      <c r="AM1140">
        <v>92.232478412463806</v>
      </c>
      <c r="AN1140">
        <v>1.0000000316498501</v>
      </c>
    </row>
    <row r="1141" spans="1:40" x14ac:dyDescent="0.3">
      <c r="A1141" t="str">
        <f>"20200111153853580"</f>
        <v>20200111153853580</v>
      </c>
      <c r="B1141" t="str">
        <f>"1578728333571698"</f>
        <v>1578728333571698</v>
      </c>
      <c r="C1141" t="s">
        <v>40</v>
      </c>
      <c r="D1141">
        <v>5.3737750000000002</v>
      </c>
      <c r="E1141">
        <v>0.49532730000000003</v>
      </c>
      <c r="F1141" t="s">
        <v>55</v>
      </c>
      <c r="G1141">
        <v>-253.3785</v>
      </c>
      <c r="H1141" s="1">
        <v>2.6106679999999998E-7</v>
      </c>
      <c r="I1141">
        <v>283.22309999999999</v>
      </c>
      <c r="J1141">
        <v>-231.3339</v>
      </c>
      <c r="K1141">
        <v>1.1002190000000001</v>
      </c>
      <c r="L1141">
        <v>282.64460000000003</v>
      </c>
      <c r="M1141">
        <v>-0.99706790000000001</v>
      </c>
      <c r="N1141">
        <v>0</v>
      </c>
      <c r="O1141">
        <v>7.6453499999999994E-2</v>
      </c>
      <c r="P1141">
        <v>-0.99789620000000001</v>
      </c>
      <c r="Q1141">
        <v>5.471724E-2</v>
      </c>
      <c r="R1141">
        <v>3.4772780000000003E-2</v>
      </c>
      <c r="S1141">
        <v>-3.0115810000000001</v>
      </c>
      <c r="T1141">
        <v>-0.14748320000000001</v>
      </c>
      <c r="U1141">
        <v>8.2000729999999994E-2</v>
      </c>
      <c r="V1141">
        <v>-4.1204530000000003E-2</v>
      </c>
      <c r="W1141">
        <v>5.8233029999999998E-2</v>
      </c>
      <c r="X1141">
        <v>0.99745229999999996</v>
      </c>
      <c r="Y1141">
        <v>-4.9136680000000002E-2</v>
      </c>
      <c r="Z1141">
        <v>-4.9396709999999996E-3</v>
      </c>
      <c r="AA1141">
        <v>0.9987798</v>
      </c>
      <c r="AB1141">
        <v>39</v>
      </c>
      <c r="AC1141">
        <v>-22.044599999999999</v>
      </c>
      <c r="AD1141">
        <v>-1.1002187389331901</v>
      </c>
      <c r="AE1141">
        <v>0.57849999999996204</v>
      </c>
      <c r="AF1141">
        <v>-1.10583623175428</v>
      </c>
      <c r="AG1141">
        <v>-1.1002187389331901</v>
      </c>
      <c r="AH1141">
        <v>21.969620489830199</v>
      </c>
      <c r="AI1141">
        <v>92.863306901609405</v>
      </c>
      <c r="AJ1141">
        <v>92.881539119230894</v>
      </c>
      <c r="AK1141">
        <v>22.024930862822899</v>
      </c>
      <c r="AL1141">
        <v>86.661604522200605</v>
      </c>
      <c r="AM1141">
        <v>92.365530776179597</v>
      </c>
      <c r="AN1141">
        <v>0.99999999492539504</v>
      </c>
    </row>
    <row r="1142" spans="1:40" x14ac:dyDescent="0.3">
      <c r="A1142" t="str">
        <f>"20200111153853602"</f>
        <v>20200111153853602</v>
      </c>
      <c r="B1142" t="str">
        <f>"1578728333592197"</f>
        <v>1578728333592197</v>
      </c>
      <c r="C1142" t="s">
        <v>40</v>
      </c>
      <c r="D1142">
        <v>5.2847439999999999</v>
      </c>
      <c r="E1142">
        <v>0.4949807</v>
      </c>
      <c r="F1142" t="s">
        <v>55</v>
      </c>
      <c r="G1142">
        <v>-253.6902</v>
      </c>
      <c r="H1142" s="1">
        <v>4.269553E-7</v>
      </c>
      <c r="I1142">
        <v>283.24990000000003</v>
      </c>
      <c r="J1142">
        <v>-231.72669999999999</v>
      </c>
      <c r="K1142">
        <v>1.1002160000000001</v>
      </c>
      <c r="L1142">
        <v>282.67669999999998</v>
      </c>
      <c r="M1142">
        <v>-0.99686149999999996</v>
      </c>
      <c r="N1142">
        <v>0</v>
      </c>
      <c r="O1142">
        <v>7.9100149999999994E-2</v>
      </c>
      <c r="P1142">
        <v>-0.99786989999999998</v>
      </c>
      <c r="Q1142">
        <v>5.518994E-2</v>
      </c>
      <c r="R1142">
        <v>3.4784339999999997E-2</v>
      </c>
      <c r="S1142">
        <v>-3.011612</v>
      </c>
      <c r="T1142">
        <v>-0.14821029999999999</v>
      </c>
      <c r="U1142">
        <v>8.1542970000000006E-2</v>
      </c>
      <c r="V1142">
        <v>-4.383807E-2</v>
      </c>
      <c r="W1142">
        <v>5.8722379999999998E-2</v>
      </c>
      <c r="X1142">
        <v>0.99731139999999996</v>
      </c>
      <c r="Y1142">
        <v>-5.1931890000000001E-2</v>
      </c>
      <c r="Z1142">
        <v>-5.1624660000000001E-3</v>
      </c>
      <c r="AA1142">
        <v>0.99863729999999995</v>
      </c>
      <c r="AB1142">
        <v>40</v>
      </c>
      <c r="AC1142">
        <v>-21.9635</v>
      </c>
      <c r="AD1142">
        <v>-1.1002155730446901</v>
      </c>
      <c r="AE1142">
        <v>0.57320000000004201</v>
      </c>
      <c r="AF1142">
        <v>-1.1630048056897599</v>
      </c>
      <c r="AG1142">
        <v>-1.1002155730446901</v>
      </c>
      <c r="AH1142">
        <v>21.885141934014101</v>
      </c>
      <c r="AI1142">
        <v>92.8739172404794</v>
      </c>
      <c r="AJ1142">
        <v>93.041910683061403</v>
      </c>
      <c r="AK1142">
        <v>21.943620757686599</v>
      </c>
      <c r="AL1142">
        <v>86.633518993486703</v>
      </c>
      <c r="AM1142">
        <v>92.516887483989095</v>
      </c>
      <c r="AN1142">
        <v>1.0000000614320701</v>
      </c>
    </row>
    <row r="1143" spans="1:40" x14ac:dyDescent="0.3">
      <c r="A1143" t="str">
        <f>"20200111153853625"</f>
        <v>20200111153853625</v>
      </c>
      <c r="B1143" t="str">
        <f>"1578728333621477"</f>
        <v>1578728333621477</v>
      </c>
      <c r="C1143" t="s">
        <v>40</v>
      </c>
      <c r="D1143">
        <v>5.3451199999999996</v>
      </c>
      <c r="E1143">
        <v>0.49453510000000001</v>
      </c>
      <c r="F1143" t="s">
        <v>55</v>
      </c>
      <c r="G1143">
        <v>-253.9359</v>
      </c>
      <c r="H1143" s="1">
        <v>5.5769339999999996E-7</v>
      </c>
      <c r="I1143">
        <v>283.26179999999999</v>
      </c>
      <c r="J1143">
        <v>-232.126</v>
      </c>
      <c r="K1143">
        <v>1.10022</v>
      </c>
      <c r="L1143">
        <v>282.71030000000002</v>
      </c>
      <c r="M1143">
        <v>-0.99664560000000002</v>
      </c>
      <c r="N1143">
        <v>0</v>
      </c>
      <c r="O1143">
        <v>8.1776059999999998E-2</v>
      </c>
      <c r="P1143">
        <v>-0.99785179999999996</v>
      </c>
      <c r="Q1143">
        <v>5.5410639999999997E-2</v>
      </c>
      <c r="R1143">
        <v>3.4952259999999999E-2</v>
      </c>
      <c r="S1143">
        <v>-3.0118870000000002</v>
      </c>
      <c r="T1143">
        <v>-0.149205</v>
      </c>
      <c r="U1143">
        <v>7.9345700000000005E-2</v>
      </c>
      <c r="V1143">
        <v>-4.6347260000000001E-2</v>
      </c>
      <c r="W1143">
        <v>5.8960859999999997E-2</v>
      </c>
      <c r="X1143">
        <v>0.99718379999999995</v>
      </c>
      <c r="Y1143">
        <v>-5.5333519999999997E-2</v>
      </c>
      <c r="Z1143">
        <v>-5.4129319999999996E-3</v>
      </c>
      <c r="AA1143">
        <v>0.99845329999999999</v>
      </c>
      <c r="AB1143">
        <v>40</v>
      </c>
      <c r="AC1143">
        <v>-21.809899999999999</v>
      </c>
      <c r="AD1143">
        <v>-1.1002194423066001</v>
      </c>
      <c r="AE1143">
        <v>0.55149999999997501</v>
      </c>
      <c r="AF1143">
        <v>-1.2307539460881201</v>
      </c>
      <c r="AG1143">
        <v>-1.1002194423066001</v>
      </c>
      <c r="AH1143">
        <v>21.726697251982198</v>
      </c>
      <c r="AI1143">
        <v>92.894295855024694</v>
      </c>
      <c r="AJ1143">
        <v>93.242173610631994</v>
      </c>
      <c r="AK1143">
        <v>21.789323339111199</v>
      </c>
      <c r="AL1143">
        <v>86.619831143196606</v>
      </c>
      <c r="AM1143">
        <v>92.661086862191596</v>
      </c>
      <c r="AN1143">
        <v>0.99999999125194305</v>
      </c>
    </row>
    <row r="1144" spans="1:40" x14ac:dyDescent="0.3">
      <c r="A1144" t="str">
        <f>"20200111153853646"</f>
        <v>20200111153853646</v>
      </c>
      <c r="B1144" t="str">
        <f>"1578728333641974"</f>
        <v>1578728333641974</v>
      </c>
      <c r="C1144" t="s">
        <v>40</v>
      </c>
      <c r="D1144">
        <v>5.4013099999999996</v>
      </c>
      <c r="E1144">
        <v>0.49422090000000002</v>
      </c>
      <c r="F1144" t="s">
        <v>55</v>
      </c>
      <c r="G1144">
        <v>-254.08580000000001</v>
      </c>
      <c r="H1144" s="1">
        <v>6.3749269999999897E-7</v>
      </c>
      <c r="I1144">
        <v>283.27030000000002</v>
      </c>
      <c r="J1144">
        <v>-232.51390000000001</v>
      </c>
      <c r="K1144">
        <v>1.1002350000000001</v>
      </c>
      <c r="L1144">
        <v>282.74400000000003</v>
      </c>
      <c r="M1144">
        <v>-0.99643139999999997</v>
      </c>
      <c r="N1144">
        <v>0</v>
      </c>
      <c r="O1144">
        <v>8.4345890000000007E-2</v>
      </c>
      <c r="P1144">
        <v>-0.99787499999999996</v>
      </c>
      <c r="Q1144">
        <v>5.507832E-2</v>
      </c>
      <c r="R1144">
        <v>3.4817889999999997E-2</v>
      </c>
      <c r="S1144">
        <v>-3.0121310000000001</v>
      </c>
      <c r="T1144">
        <v>-0.1509122</v>
      </c>
      <c r="U1144">
        <v>7.6812740000000004E-2</v>
      </c>
      <c r="V1144">
        <v>-4.905926E-2</v>
      </c>
      <c r="W1144">
        <v>5.8648119999999998E-2</v>
      </c>
      <c r="X1144">
        <v>0.99707250000000003</v>
      </c>
      <c r="Y1144">
        <v>-5.8737839999999999E-2</v>
      </c>
      <c r="Z1144">
        <v>-5.6879039999999997E-3</v>
      </c>
      <c r="AA1144">
        <v>0.99825719999999996</v>
      </c>
      <c r="AB1144">
        <v>40</v>
      </c>
      <c r="AC1144">
        <v>-21.571899999999999</v>
      </c>
      <c r="AD1144">
        <v>-1.1002343625072999</v>
      </c>
      <c r="AE1144">
        <v>0.526299999999992</v>
      </c>
      <c r="AF1144">
        <v>-1.2917276900380601</v>
      </c>
      <c r="AG1144">
        <v>-1.1002343625072999</v>
      </c>
      <c r="AH1144">
        <v>21.4835676306725</v>
      </c>
      <c r="AI1144">
        <v>92.926442108650093</v>
      </c>
      <c r="AJ1144">
        <v>93.440841491672799</v>
      </c>
      <c r="AK1144">
        <v>21.550469930359601</v>
      </c>
      <c r="AL1144">
        <v>86.637780888427201</v>
      </c>
      <c r="AM1144">
        <v>92.816869865587805</v>
      </c>
      <c r="AN1144">
        <v>0.99999999161376596</v>
      </c>
    </row>
    <row r="1145" spans="1:40" x14ac:dyDescent="0.3">
      <c r="A1145" t="str">
        <f>"20200111153853670"</f>
        <v>20200111153853670</v>
      </c>
      <c r="B1145" t="str">
        <f>"1578728333661493"</f>
        <v>1578728333661493</v>
      </c>
      <c r="C1145" t="s">
        <v>40</v>
      </c>
      <c r="D1145">
        <v>5.3884689999999997</v>
      </c>
      <c r="E1145">
        <v>0.49402829999999898</v>
      </c>
      <c r="F1145" t="s">
        <v>55</v>
      </c>
      <c r="G1145">
        <v>-253.97460000000001</v>
      </c>
      <c r="H1145" s="1">
        <v>5.7828549999999995E-7</v>
      </c>
      <c r="I1145">
        <v>283.27120000000002</v>
      </c>
      <c r="J1145">
        <v>-232.93270000000001</v>
      </c>
      <c r="K1145">
        <v>1.1002609999999999</v>
      </c>
      <c r="L1145">
        <v>282.78129999999999</v>
      </c>
      <c r="M1145">
        <v>-0.99619840000000004</v>
      </c>
      <c r="N1145">
        <v>0</v>
      </c>
      <c r="O1145">
        <v>8.7054919999999994E-2</v>
      </c>
      <c r="P1145">
        <v>-0.99787250000000005</v>
      </c>
      <c r="Q1145">
        <v>5.508776E-2</v>
      </c>
      <c r="R1145">
        <v>3.4871180000000002E-2</v>
      </c>
      <c r="S1145">
        <v>-3.0123289999999998</v>
      </c>
      <c r="T1145">
        <v>-0.15443460000000001</v>
      </c>
      <c r="U1145">
        <v>7.4005130000000002E-2</v>
      </c>
      <c r="V1145">
        <v>-5.1722410000000003E-2</v>
      </c>
      <c r="W1145">
        <v>5.8674780000000003E-2</v>
      </c>
      <c r="X1145">
        <v>0.9969363</v>
      </c>
      <c r="Y1145">
        <v>-6.2366560000000001E-2</v>
      </c>
      <c r="Z1145">
        <v>-6.0514749999999997E-3</v>
      </c>
      <c r="AA1145">
        <v>0.99803500000000001</v>
      </c>
      <c r="AB1145">
        <v>40</v>
      </c>
      <c r="AC1145">
        <v>-21.041899999999998</v>
      </c>
      <c r="AD1145">
        <v>-1.1002604217145</v>
      </c>
      <c r="AE1145">
        <v>0.48990000000003397</v>
      </c>
      <c r="AF1145">
        <v>-1.34010810975503</v>
      </c>
      <c r="AG1145">
        <v>-1.1002604217145</v>
      </c>
      <c r="AH1145">
        <v>20.947420130000399</v>
      </c>
      <c r="AI1145">
        <v>93.000567301437201</v>
      </c>
      <c r="AJ1145">
        <v>93.660500596197096</v>
      </c>
      <c r="AK1145">
        <v>21.019059751667498</v>
      </c>
      <c r="AL1145">
        <v>86.636250647801504</v>
      </c>
      <c r="AM1145">
        <v>92.969920124464807</v>
      </c>
      <c r="AN1145">
        <v>0.99999996188097195</v>
      </c>
    </row>
    <row r="1146" spans="1:40" x14ac:dyDescent="0.3">
      <c r="A1146" t="str">
        <f>"20200111153853693"</f>
        <v>20200111153853693</v>
      </c>
      <c r="B1146" t="str">
        <f>"1578728333681521"</f>
        <v>1578728333681521</v>
      </c>
      <c r="C1146" t="s">
        <v>40</v>
      </c>
      <c r="D1146">
        <v>5.397691</v>
      </c>
      <c r="E1146">
        <v>0.4938437</v>
      </c>
      <c r="F1146" t="s">
        <v>55</v>
      </c>
      <c r="G1146">
        <v>-254.03809999999999</v>
      </c>
      <c r="H1146" s="1">
        <v>6.1211050000000001E-7</v>
      </c>
      <c r="I1146">
        <v>283.29320000000001</v>
      </c>
      <c r="J1146">
        <v>-233.34649999999999</v>
      </c>
      <c r="K1146">
        <v>1.100325</v>
      </c>
      <c r="L1146">
        <v>282.8193</v>
      </c>
      <c r="M1146">
        <v>-0.9959713</v>
      </c>
      <c r="N1146">
        <v>0</v>
      </c>
      <c r="O1146">
        <v>8.9614429999999995E-2</v>
      </c>
      <c r="P1146">
        <v>-0.99780650000000004</v>
      </c>
      <c r="Q1146">
        <v>5.5688269999999998E-2</v>
      </c>
      <c r="R1146">
        <v>3.5791610000000001E-2</v>
      </c>
      <c r="S1146">
        <v>-3.012527</v>
      </c>
      <c r="T1146">
        <v>-0.15704749999999901</v>
      </c>
      <c r="U1146">
        <v>7.3059079999999998E-2</v>
      </c>
      <c r="V1146">
        <v>-5.3367129999999999E-2</v>
      </c>
      <c r="W1146">
        <v>5.9280729999999997E-2</v>
      </c>
      <c r="X1146">
        <v>0.99681379999999997</v>
      </c>
      <c r="Y1146">
        <v>-6.523168E-2</v>
      </c>
      <c r="Z1146">
        <v>-6.3608369999999899E-3</v>
      </c>
      <c r="AA1146">
        <v>0.99784989999999996</v>
      </c>
      <c r="AB1146">
        <v>40</v>
      </c>
      <c r="AC1146">
        <v>-20.691599999999902</v>
      </c>
      <c r="AD1146">
        <v>-1.1003243878894999</v>
      </c>
      <c r="AE1146">
        <v>0.47390000000001398</v>
      </c>
      <c r="AF1146">
        <v>-1.3783865452798401</v>
      </c>
      <c r="AG1146">
        <v>-1.1003243878894999</v>
      </c>
      <c r="AH1146">
        <v>20.592613771177898</v>
      </c>
      <c r="AI1146">
        <v>93.051758709346402</v>
      </c>
      <c r="AJ1146">
        <v>93.829436140119299</v>
      </c>
      <c r="AK1146">
        <v>20.6680043825159</v>
      </c>
      <c r="AL1146">
        <v>86.601471870839504</v>
      </c>
      <c r="AM1146">
        <v>93.064559200527398</v>
      </c>
      <c r="AN1146">
        <v>1.0000000036921</v>
      </c>
    </row>
    <row r="1147" spans="1:40" x14ac:dyDescent="0.3">
      <c r="A1147" t="str">
        <f>"20200111153853717"</f>
        <v>20200111153853717</v>
      </c>
      <c r="B1147" t="str">
        <f>"1578728333711779"</f>
        <v>1578728333711779</v>
      </c>
      <c r="C1147" t="s">
        <v>40</v>
      </c>
      <c r="D1147">
        <v>5.3493570000000004</v>
      </c>
      <c r="E1147">
        <v>0.4935718</v>
      </c>
      <c r="F1147" t="s">
        <v>55</v>
      </c>
      <c r="G1147">
        <v>-254.39359999999999</v>
      </c>
      <c r="H1147" s="1">
        <v>8.0125910000000003E-7</v>
      </c>
      <c r="I1147">
        <v>283.33629999999999</v>
      </c>
      <c r="J1147">
        <v>-233.785</v>
      </c>
      <c r="K1147">
        <v>1.1004350000000001</v>
      </c>
      <c r="L1147">
        <v>282.8605</v>
      </c>
      <c r="M1147">
        <v>-0.99574229999999997</v>
      </c>
      <c r="N1147">
        <v>0</v>
      </c>
      <c r="O1147">
        <v>9.212439E-2</v>
      </c>
      <c r="P1147">
        <v>-0.99772430000000001</v>
      </c>
      <c r="Q1147">
        <v>5.6140059999999999E-2</v>
      </c>
      <c r="R1147">
        <v>3.734469E-2</v>
      </c>
      <c r="S1147">
        <v>-3.0127109999999999</v>
      </c>
      <c r="T1147">
        <v>-0.15750169999999999</v>
      </c>
      <c r="U1147">
        <v>7.4005130000000002E-2</v>
      </c>
      <c r="V1147">
        <v>-5.4339110000000003E-2</v>
      </c>
      <c r="W1147">
        <v>5.972674E-2</v>
      </c>
      <c r="X1147">
        <v>0.99673469999999997</v>
      </c>
      <c r="Y1147">
        <v>-6.7427260000000003E-2</v>
      </c>
      <c r="Z1147">
        <v>-6.566751E-3</v>
      </c>
      <c r="AA1147">
        <v>0.9977026</v>
      </c>
      <c r="AB1147">
        <v>40</v>
      </c>
      <c r="AC1147">
        <v>-20.608599999999999</v>
      </c>
      <c r="AD1147">
        <v>-1.1004341987408901</v>
      </c>
      <c r="AE1147">
        <v>0.47579999999999201</v>
      </c>
      <c r="AF1147">
        <v>-1.42073921788693</v>
      </c>
      <c r="AG1147">
        <v>-1.1004341987408901</v>
      </c>
      <c r="AH1147">
        <v>20.506357117259</v>
      </c>
      <c r="AI1147">
        <v>93.064389598162407</v>
      </c>
      <c r="AJ1147">
        <v>93.963282577733395</v>
      </c>
      <c r="AK1147">
        <v>20.584949297279199</v>
      </c>
      <c r="AL1147">
        <v>86.575872151521594</v>
      </c>
      <c r="AM1147">
        <v>93.120512097872194</v>
      </c>
      <c r="AN1147">
        <v>1.0000000422653501</v>
      </c>
    </row>
    <row r="1148" spans="1:40" x14ac:dyDescent="0.3">
      <c r="A1148" t="str">
        <f>"20200111153853763"</f>
        <v>20200111153853763</v>
      </c>
      <c r="B1148" t="str">
        <f>"1578728333751793"</f>
        <v>1578728333751793</v>
      </c>
      <c r="C1148" t="s">
        <v>40</v>
      </c>
      <c r="D1148">
        <v>5.3913209999999996</v>
      </c>
      <c r="E1148">
        <v>0.49328630000000001</v>
      </c>
      <c r="F1148" t="s">
        <v>55</v>
      </c>
      <c r="G1148">
        <v>-254.76650000000001</v>
      </c>
      <c r="H1148" s="1">
        <v>9.99709199999999E-7</v>
      </c>
      <c r="I1148">
        <v>283.38799999999998</v>
      </c>
      <c r="J1148">
        <v>-234.6217</v>
      </c>
      <c r="K1148">
        <v>1.1007359999999999</v>
      </c>
      <c r="L1148">
        <v>282.94170000000003</v>
      </c>
      <c r="M1148">
        <v>-0.99535390000000001</v>
      </c>
      <c r="N1148">
        <v>0</v>
      </c>
      <c r="O1148">
        <v>9.6229510000000004E-2</v>
      </c>
      <c r="P1148">
        <v>-0.99768469999999998</v>
      </c>
      <c r="Q1148">
        <v>5.6082300000000002E-2</v>
      </c>
      <c r="R1148">
        <v>3.8470589999999999E-2</v>
      </c>
      <c r="S1148">
        <v>-3.0129090000000001</v>
      </c>
      <c r="T1148">
        <v>-0.1580203</v>
      </c>
      <c r="U1148">
        <v>7.5744629999999993E-2</v>
      </c>
      <c r="V1148">
        <v>-5.7369959999999998E-2</v>
      </c>
      <c r="W1148">
        <v>5.9653919999999999E-2</v>
      </c>
      <c r="X1148">
        <v>0.99656920000000004</v>
      </c>
      <c r="Y1148">
        <v>-7.0954980000000001E-2</v>
      </c>
      <c r="Z1148">
        <v>-6.8945409999999997E-3</v>
      </c>
      <c r="AA1148">
        <v>0.99745569999999895</v>
      </c>
      <c r="AB1148">
        <v>41</v>
      </c>
      <c r="AC1148">
        <v>-20.1448</v>
      </c>
      <c r="AD1148">
        <v>-1.1007350002908001</v>
      </c>
      <c r="AE1148">
        <v>0.44629999999995101</v>
      </c>
      <c r="AF1148">
        <v>-1.48985960433766</v>
      </c>
      <c r="AG1148">
        <v>-1.1007350002908001</v>
      </c>
      <c r="AH1148">
        <v>20.034471245841299</v>
      </c>
      <c r="AI1148">
        <v>93.1361437190548</v>
      </c>
      <c r="AJ1148">
        <v>94.252961359275105</v>
      </c>
      <c r="AK1148">
        <v>20.119923888572401</v>
      </c>
      <c r="AL1148">
        <v>86.580051862747695</v>
      </c>
      <c r="AM1148">
        <v>93.294736247257106</v>
      </c>
      <c r="AN1148">
        <v>1.0000000364352</v>
      </c>
    </row>
    <row r="1149" spans="1:40" x14ac:dyDescent="0.3">
      <c r="A1149" t="str">
        <f>"20200111153853784"</f>
        <v>20200111153853784</v>
      </c>
      <c r="B1149" t="str">
        <f>"1578728333771313"</f>
        <v>1578728333771313</v>
      </c>
      <c r="C1149" t="s">
        <v>40</v>
      </c>
      <c r="D1149">
        <v>5.4402290000000004</v>
      </c>
      <c r="E1149">
        <v>0.49320930000000002</v>
      </c>
      <c r="F1149" t="s">
        <v>55</v>
      </c>
      <c r="G1149">
        <v>-254.864</v>
      </c>
      <c r="H1149" s="1">
        <v>1.05159E-6</v>
      </c>
      <c r="I1149">
        <v>283.46449999999999</v>
      </c>
      <c r="J1149">
        <v>-235.00829999999999</v>
      </c>
      <c r="K1149">
        <v>1.1009119999999999</v>
      </c>
      <c r="L1149">
        <v>282.98</v>
      </c>
      <c r="M1149">
        <v>-0.99519950000000001</v>
      </c>
      <c r="N1149">
        <v>0</v>
      </c>
      <c r="O1149">
        <v>9.7812800000000005E-2</v>
      </c>
      <c r="P1149">
        <v>-0.99758720000000001</v>
      </c>
      <c r="Q1149">
        <v>5.7441430000000002E-2</v>
      </c>
      <c r="R1149">
        <v>3.8990839999999999E-2</v>
      </c>
      <c r="S1149">
        <v>-3.013153</v>
      </c>
      <c r="T1149">
        <v>-0.16384939999999901</v>
      </c>
      <c r="U1149">
        <v>7.7819819999999998E-2</v>
      </c>
      <c r="V1149">
        <v>-5.8444339999999997E-2</v>
      </c>
      <c r="W1149">
        <v>6.1001380000000001E-2</v>
      </c>
      <c r="X1149">
        <v>0.99642520000000001</v>
      </c>
      <c r="Y1149">
        <v>-7.1836479999999994E-2</v>
      </c>
      <c r="Z1149">
        <v>-7.257421E-3</v>
      </c>
      <c r="AA1149">
        <v>0.99739</v>
      </c>
      <c r="AB1149">
        <v>41</v>
      </c>
      <c r="AC1149">
        <v>-19.855699999999999</v>
      </c>
      <c r="AD1149">
        <v>-1.1009109484099999</v>
      </c>
      <c r="AE1149">
        <v>0.48449999999996801</v>
      </c>
      <c r="AF1149">
        <v>-1.45550333648449</v>
      </c>
      <c r="AG1149">
        <v>-1.1009109484099999</v>
      </c>
      <c r="AH1149">
        <v>19.7472071085948</v>
      </c>
      <c r="AI1149">
        <v>93.182333781389701</v>
      </c>
      <c r="AJ1149">
        <v>94.2154655000312</v>
      </c>
      <c r="AK1149">
        <v>19.831356067313699</v>
      </c>
      <c r="AL1149">
        <v>86.502707242505906</v>
      </c>
      <c r="AM1149">
        <v>93.356781676890805</v>
      </c>
      <c r="AN1149">
        <v>1.0000000442174799</v>
      </c>
    </row>
    <row r="1150" spans="1:40" x14ac:dyDescent="0.3">
      <c r="A1150" t="str">
        <f>"20200111153853805"</f>
        <v>20200111153853805</v>
      </c>
      <c r="B1150" t="str">
        <f>"1578728333802076"</f>
        <v>1578728333802076</v>
      </c>
      <c r="C1150" t="s">
        <v>40</v>
      </c>
      <c r="D1150">
        <v>5.4248329999999996</v>
      </c>
      <c r="E1150">
        <v>0.5339334</v>
      </c>
      <c r="F1150" t="s">
        <v>55</v>
      </c>
      <c r="G1150">
        <v>-255.7559</v>
      </c>
      <c r="H1150" s="1">
        <v>1.526196E-6</v>
      </c>
      <c r="I1150">
        <v>283.52280000000002</v>
      </c>
      <c r="J1150">
        <v>-235.39019999999999</v>
      </c>
      <c r="K1150">
        <v>1.1011</v>
      </c>
      <c r="L1150">
        <v>283.01839999999999</v>
      </c>
      <c r="M1150">
        <v>-0.99506760000000005</v>
      </c>
      <c r="N1150">
        <v>0</v>
      </c>
      <c r="O1150">
        <v>9.9146360000000003E-2</v>
      </c>
      <c r="P1150">
        <v>-0.99752370000000001</v>
      </c>
      <c r="Q1150">
        <v>5.8184109999999997E-2</v>
      </c>
      <c r="R1150">
        <v>3.951371E-2</v>
      </c>
      <c r="S1150">
        <v>-3.0133969999999999</v>
      </c>
      <c r="T1150">
        <v>-0.1598975</v>
      </c>
      <c r="U1150">
        <v>7.8826899999999894E-2</v>
      </c>
      <c r="V1150">
        <v>-5.9276009999999997E-2</v>
      </c>
      <c r="W1150">
        <v>6.1725290000000002E-2</v>
      </c>
      <c r="X1150">
        <v>0.99633150000000004</v>
      </c>
      <c r="Y1150">
        <v>-7.2850639999999994E-2</v>
      </c>
      <c r="Z1150">
        <v>-7.179281E-3</v>
      </c>
      <c r="AA1150">
        <v>0.99731700000000001</v>
      </c>
      <c r="AB1150">
        <v>41</v>
      </c>
      <c r="AC1150">
        <v>-20.3657</v>
      </c>
      <c r="AD1150">
        <v>-1.1010984738039999</v>
      </c>
      <c r="AE1150">
        <v>0.50440000000003204</v>
      </c>
      <c r="AF1150">
        <v>-1.51286123486376</v>
      </c>
      <c r="AG1150">
        <v>-1.1010984738039999</v>
      </c>
      <c r="AH1150">
        <v>20.2561880811582</v>
      </c>
      <c r="AI1150">
        <v>93.102832506221404</v>
      </c>
      <c r="AJ1150">
        <v>94.271283966837103</v>
      </c>
      <c r="AK1150">
        <v>20.342426663115202</v>
      </c>
      <c r="AL1150">
        <v>86.461151991004897</v>
      </c>
      <c r="AM1150">
        <v>93.404756935439195</v>
      </c>
      <c r="AN1150">
        <v>1.0000000573396699</v>
      </c>
    </row>
    <row r="1151" spans="1:40" x14ac:dyDescent="0.3">
      <c r="A1151" t="str">
        <f>"20200111153853826"</f>
        <v>20200111153853826</v>
      </c>
      <c r="B1151" t="str">
        <f>"1578728333821596"</f>
        <v>1578728333821596</v>
      </c>
      <c r="C1151" t="s">
        <v>40</v>
      </c>
      <c r="D1151">
        <v>5.3826080000000003</v>
      </c>
      <c r="E1151">
        <v>0.53457119999999902</v>
      </c>
      <c r="F1151" t="s">
        <v>41</v>
      </c>
      <c r="G1151">
        <v>-236.29939999999999</v>
      </c>
      <c r="H1151">
        <v>1.046281</v>
      </c>
      <c r="I1151">
        <v>283.14190000000002</v>
      </c>
      <c r="J1151">
        <v>-235.7927</v>
      </c>
      <c r="K1151">
        <v>1.101313</v>
      </c>
      <c r="L1151">
        <v>283.05919999999998</v>
      </c>
      <c r="M1151">
        <v>-0.99495319999999998</v>
      </c>
      <c r="N1151">
        <v>0</v>
      </c>
      <c r="O1151">
        <v>0.1002875</v>
      </c>
      <c r="P1151">
        <v>-0.99744359999999999</v>
      </c>
      <c r="Q1151">
        <v>5.9396419999999998E-2</v>
      </c>
      <c r="R1151">
        <v>3.9728319999999998E-2</v>
      </c>
      <c r="S1151">
        <v>-3.0018919999999998</v>
      </c>
      <c r="T1151">
        <v>-0.1811342</v>
      </c>
      <c r="U1151">
        <v>0.40695189999999998</v>
      </c>
      <c r="V1151">
        <v>-6.0224060000000003E-2</v>
      </c>
      <c r="W1151">
        <v>6.2913629999999998E-2</v>
      </c>
      <c r="X1151">
        <v>0.99620030000000004</v>
      </c>
      <c r="Y1151">
        <v>3.4396959999999997E-2</v>
      </c>
      <c r="Z1151">
        <v>-4.9685730000000004E-3</v>
      </c>
      <c r="AA1151">
        <v>0.9993959</v>
      </c>
      <c r="AB1151">
        <v>41</v>
      </c>
      <c r="AC1151">
        <v>-0.50669999999999504</v>
      </c>
      <c r="AD1151">
        <v>-5.50319999999999E-2</v>
      </c>
      <c r="AE1151">
        <v>8.2700000000045196E-2</v>
      </c>
      <c r="AF1151">
        <v>3.1109676376843601E-2</v>
      </c>
      <c r="AG1151">
        <v>-5.50319999999999E-2</v>
      </c>
      <c r="AH1151">
        <v>0.506618338017786</v>
      </c>
      <c r="AI1151">
        <v>96.187947251620699</v>
      </c>
      <c r="AJ1151">
        <v>86.486077037611594</v>
      </c>
      <c r="AK1151">
        <v>0.51054722935706498</v>
      </c>
      <c r="AL1151">
        <v>86.392932496290896</v>
      </c>
      <c r="AM1151">
        <v>93.459535284405803</v>
      </c>
      <c r="AN1151">
        <v>1.0000000499813699</v>
      </c>
    </row>
    <row r="1152" spans="1:40" x14ac:dyDescent="0.3">
      <c r="A1152" t="str">
        <f>"20200111153853847"</f>
        <v>20200111153853847</v>
      </c>
      <c r="B1152" t="str">
        <f>"1578728333842092"</f>
        <v>1578728333842092</v>
      </c>
      <c r="C1152" t="s">
        <v>40</v>
      </c>
      <c r="D1152">
        <v>5.4079980000000001</v>
      </c>
      <c r="E1152">
        <v>0.53344769999999997</v>
      </c>
      <c r="F1152" t="s">
        <v>41</v>
      </c>
      <c r="G1152">
        <v>-236.67230000000001</v>
      </c>
      <c r="H1152">
        <v>1.0493669999999999</v>
      </c>
      <c r="I1152">
        <v>283.18040000000002</v>
      </c>
      <c r="J1152">
        <v>-236.18450000000001</v>
      </c>
      <c r="K1152">
        <v>1.10154</v>
      </c>
      <c r="L1152">
        <v>283.0992</v>
      </c>
      <c r="M1152">
        <v>-0.99486759999999996</v>
      </c>
      <c r="N1152">
        <v>0</v>
      </c>
      <c r="O1152">
        <v>0.10113270000000001</v>
      </c>
      <c r="P1152">
        <v>-0.99736429999999998</v>
      </c>
      <c r="Q1152">
        <v>6.1195449999999998E-2</v>
      </c>
      <c r="R1152">
        <v>3.8984009999999999E-2</v>
      </c>
      <c r="S1152">
        <v>-3.0017849999999999</v>
      </c>
      <c r="T1152">
        <v>-0.17737739999999999</v>
      </c>
      <c r="U1152">
        <v>0.41302489999999997</v>
      </c>
      <c r="V1152">
        <v>-6.1830139999999999E-2</v>
      </c>
      <c r="W1152">
        <v>6.4688140000000005E-2</v>
      </c>
      <c r="X1152">
        <v>0.99598819999999999</v>
      </c>
      <c r="Y1152">
        <v>3.5532139999999997E-2</v>
      </c>
      <c r="Z1152">
        <v>-4.881023E-3</v>
      </c>
      <c r="AA1152">
        <v>0.99935660000000004</v>
      </c>
      <c r="AB1152">
        <v>41</v>
      </c>
      <c r="AC1152">
        <v>-0.48779999999999202</v>
      </c>
      <c r="AD1152">
        <v>-5.2172999999999997E-2</v>
      </c>
      <c r="AE1152">
        <v>8.1200000000023906E-2</v>
      </c>
      <c r="AF1152">
        <v>3.1104656601002E-2</v>
      </c>
      <c r="AG1152">
        <v>-5.2172999999999997E-2</v>
      </c>
      <c r="AH1152">
        <v>0.48807817320866798</v>
      </c>
      <c r="AI1152">
        <v>96.089190102050694</v>
      </c>
      <c r="AJ1152">
        <v>86.353537545193603</v>
      </c>
      <c r="AK1152">
        <v>0.49184329288298501</v>
      </c>
      <c r="AL1152">
        <v>86.291052834190793</v>
      </c>
      <c r="AM1152">
        <v>93.552316885486604</v>
      </c>
      <c r="AN1152">
        <v>1.00000000810415</v>
      </c>
    </row>
    <row r="1153" spans="1:40" x14ac:dyDescent="0.3">
      <c r="A1153" t="str">
        <f>"20200111153853870"</f>
        <v>20200111153853870</v>
      </c>
      <c r="B1153" t="str">
        <f>"1578728333861612"</f>
        <v>1578728333861612</v>
      </c>
      <c r="C1153" t="s">
        <v>40</v>
      </c>
      <c r="D1153">
        <v>5.4098920000000001</v>
      </c>
      <c r="E1153">
        <v>0.53285649999999996</v>
      </c>
      <c r="F1153" t="s">
        <v>41</v>
      </c>
      <c r="G1153">
        <v>-237.04839999999999</v>
      </c>
      <c r="H1153">
        <v>1.0535840000000001</v>
      </c>
      <c r="I1153">
        <v>283.21510000000001</v>
      </c>
      <c r="J1153">
        <v>-236.62039999999999</v>
      </c>
      <c r="K1153">
        <v>1.1017939999999999</v>
      </c>
      <c r="L1153">
        <v>283.14400000000001</v>
      </c>
      <c r="M1153">
        <v>-0.99480049999999998</v>
      </c>
      <c r="N1153">
        <v>0</v>
      </c>
      <c r="O1153">
        <v>0.1017916</v>
      </c>
      <c r="P1153">
        <v>-0.99736369999999996</v>
      </c>
      <c r="Q1153">
        <v>6.1911420000000002E-2</v>
      </c>
      <c r="R1153">
        <v>3.785616E-2</v>
      </c>
      <c r="S1153">
        <v>-3.0024259999999998</v>
      </c>
      <c r="T1153">
        <v>-0.16683509999999999</v>
      </c>
      <c r="U1153">
        <v>0.40176390000000001</v>
      </c>
      <c r="V1153">
        <v>-6.3649940000000002E-2</v>
      </c>
      <c r="W1153">
        <v>6.5376180000000006E-2</v>
      </c>
      <c r="X1153">
        <v>0.99582859999999995</v>
      </c>
      <c r="Y1153">
        <v>3.115544E-2</v>
      </c>
      <c r="Z1153">
        <v>-4.7489430000000003E-3</v>
      </c>
      <c r="AA1153">
        <v>0.99950329999999998</v>
      </c>
      <c r="AB1153">
        <v>42</v>
      </c>
      <c r="AC1153">
        <v>-0.42799999999999699</v>
      </c>
      <c r="AD1153">
        <v>-4.8209999999999802E-2</v>
      </c>
      <c r="AE1153">
        <v>7.1100000000001204E-2</v>
      </c>
      <c r="AF1153">
        <v>2.6832351362022101E-2</v>
      </c>
      <c r="AG1153">
        <v>-4.8209999999999802E-2</v>
      </c>
      <c r="AH1153">
        <v>0.42773300358586303</v>
      </c>
      <c r="AI1153">
        <v>96.418185794944407</v>
      </c>
      <c r="AJ1153">
        <v>86.410450992081806</v>
      </c>
      <c r="AK1153">
        <v>0.43127682703363401</v>
      </c>
      <c r="AL1153">
        <v>86.2515473144434</v>
      </c>
      <c r="AM1153">
        <v>93.657174380629499</v>
      </c>
      <c r="AN1153">
        <v>0.99999998017567704</v>
      </c>
    </row>
    <row r="1154" spans="1:40" x14ac:dyDescent="0.3">
      <c r="A1154" t="str">
        <f>"20200111153853893"</f>
        <v>20200111153853893</v>
      </c>
      <c r="B1154" t="str">
        <f>"1578728333882108"</f>
        <v>1578728333882108</v>
      </c>
      <c r="C1154" t="s">
        <v>40</v>
      </c>
      <c r="D1154">
        <v>5.3735910000000002</v>
      </c>
      <c r="E1154">
        <v>0.53243180000000001</v>
      </c>
      <c r="F1154" t="s">
        <v>55</v>
      </c>
      <c r="G1154">
        <v>-256.63940000000002</v>
      </c>
      <c r="H1154" s="1">
        <v>1.996366E-6</v>
      </c>
      <c r="I1154">
        <v>285.76690000000002</v>
      </c>
      <c r="J1154">
        <v>-237.04050000000001</v>
      </c>
      <c r="K1154">
        <v>1.1020350000000001</v>
      </c>
      <c r="L1154">
        <v>283.18729999999999</v>
      </c>
      <c r="M1154">
        <v>-0.99476229999999999</v>
      </c>
      <c r="N1154">
        <v>0</v>
      </c>
      <c r="O1154">
        <v>0.1021634</v>
      </c>
      <c r="P1154">
        <v>-0.99744520000000003</v>
      </c>
      <c r="Q1154">
        <v>6.144471E-2</v>
      </c>
      <c r="R1154">
        <v>3.6433729999999998E-2</v>
      </c>
      <c r="S1154">
        <v>-3.00325</v>
      </c>
      <c r="T1154">
        <v>-0.16529059999999901</v>
      </c>
      <c r="U1154">
        <v>0.3934937</v>
      </c>
      <c r="V1154">
        <v>-6.5486749999999996E-2</v>
      </c>
      <c r="W1154">
        <v>6.4882759999999998E-2</v>
      </c>
      <c r="X1154">
        <v>0.99574180000000001</v>
      </c>
      <c r="Y1154">
        <v>2.8043909999999998E-2</v>
      </c>
      <c r="Z1154">
        <v>-4.8102140000000002E-3</v>
      </c>
      <c r="AA1154">
        <v>0.99959509999999996</v>
      </c>
      <c r="AB1154">
        <v>42</v>
      </c>
      <c r="AC1154">
        <v>-19.5989</v>
      </c>
      <c r="AD1154">
        <v>-1.102033003634</v>
      </c>
      <c r="AE1154">
        <v>2.5796000000000201</v>
      </c>
      <c r="AF1154">
        <v>0.56205475038368102</v>
      </c>
      <c r="AG1154">
        <v>-1.102033003634</v>
      </c>
      <c r="AH1154">
        <v>19.698670894520799</v>
      </c>
      <c r="AI1154">
        <v>93.200748098162904</v>
      </c>
      <c r="AJ1154">
        <v>88.365644542337705</v>
      </c>
      <c r="AK1154">
        <v>19.737477480523399</v>
      </c>
      <c r="AL1154">
        <v>86.279878460341493</v>
      </c>
      <c r="AM1154">
        <v>93.762741251376099</v>
      </c>
      <c r="AN1154">
        <v>1.00000000961901</v>
      </c>
    </row>
    <row r="1155" spans="1:40" x14ac:dyDescent="0.3">
      <c r="A1155" t="str">
        <f>"20200111153853917"</f>
        <v>20200111153853917</v>
      </c>
      <c r="B1155" t="str">
        <f>"1578728333911388"</f>
        <v>1578728333911388</v>
      </c>
      <c r="C1155" t="s">
        <v>40</v>
      </c>
      <c r="D1155">
        <v>5.3743999999999996</v>
      </c>
      <c r="E1155">
        <v>0.53203869999999998</v>
      </c>
      <c r="F1155" t="s">
        <v>55</v>
      </c>
      <c r="G1155">
        <v>-256.75060000000002</v>
      </c>
      <c r="H1155" s="1">
        <v>2.0555679999999998E-6</v>
      </c>
      <c r="I1155">
        <v>285.71530000000001</v>
      </c>
      <c r="J1155">
        <v>-237.46860000000001</v>
      </c>
      <c r="K1155">
        <v>1.102282</v>
      </c>
      <c r="L1155">
        <v>283.23129999999998</v>
      </c>
      <c r="M1155">
        <v>-0.99475089999999999</v>
      </c>
      <c r="N1155">
        <v>0</v>
      </c>
      <c r="O1155">
        <v>0.102274</v>
      </c>
      <c r="P1155">
        <v>-0.99756149999999999</v>
      </c>
      <c r="Q1155">
        <v>6.1032589999999998E-2</v>
      </c>
      <c r="R1155">
        <v>3.3855139999999999E-2</v>
      </c>
      <c r="S1155">
        <v>-3.0039370000000001</v>
      </c>
      <c r="T1155">
        <v>-0.1679561</v>
      </c>
      <c r="U1155">
        <v>0.38528440000000003</v>
      </c>
      <c r="V1155">
        <v>-6.8214780000000003E-2</v>
      </c>
      <c r="W1155">
        <v>6.4444500000000002E-2</v>
      </c>
      <c r="X1155">
        <v>0.99558709999999995</v>
      </c>
      <c r="Y1155">
        <v>2.5224670000000001E-2</v>
      </c>
      <c r="Z1155">
        <v>-4.9721510000000002E-3</v>
      </c>
      <c r="AA1155">
        <v>0.99966940000000004</v>
      </c>
      <c r="AB1155">
        <v>42</v>
      </c>
      <c r="AC1155">
        <v>-19.282</v>
      </c>
      <c r="AD1155">
        <v>-1.1022799444319999</v>
      </c>
      <c r="AE1155">
        <v>2.4840000000000302</v>
      </c>
      <c r="AF1155">
        <v>0.497317936397071</v>
      </c>
      <c r="AG1155">
        <v>-1.1022799444319999</v>
      </c>
      <c r="AH1155">
        <v>19.372663219976001</v>
      </c>
      <c r="AI1155">
        <v>93.255475625366898</v>
      </c>
      <c r="AJ1155">
        <v>88.529476216471394</v>
      </c>
      <c r="AK1155">
        <v>19.410369044414701</v>
      </c>
      <c r="AL1155">
        <v>86.305041579913905</v>
      </c>
      <c r="AM1155">
        <v>93.9196168894658</v>
      </c>
      <c r="AN1155">
        <v>1.0000000117385499</v>
      </c>
    </row>
    <row r="1156" spans="1:40" x14ac:dyDescent="0.3">
      <c r="A1156" t="str">
        <f>"20200111153853937"</f>
        <v>20200111153853937</v>
      </c>
      <c r="B1156" t="str">
        <f>"1578728333931884"</f>
        <v>1578728333931884</v>
      </c>
      <c r="C1156" t="s">
        <v>40</v>
      </c>
      <c r="D1156">
        <v>5.3440149999999997</v>
      </c>
      <c r="E1156">
        <v>0.53178269999999905</v>
      </c>
      <c r="F1156" t="s">
        <v>41</v>
      </c>
      <c r="G1156">
        <v>-238.53819999999999</v>
      </c>
      <c r="H1156">
        <v>1.0410079999999999</v>
      </c>
      <c r="I1156">
        <v>283.36470000000003</v>
      </c>
      <c r="J1156">
        <v>-237.8698</v>
      </c>
      <c r="K1156">
        <v>1.102514</v>
      </c>
      <c r="L1156">
        <v>283.27249999999998</v>
      </c>
      <c r="M1156">
        <v>-0.99476419999999999</v>
      </c>
      <c r="N1156">
        <v>0</v>
      </c>
      <c r="O1156">
        <v>0.1021441</v>
      </c>
      <c r="P1156">
        <v>-0.99767799999999995</v>
      </c>
      <c r="Q1156">
        <v>6.0581200000000002E-2</v>
      </c>
      <c r="R1156">
        <v>3.1123519999999998E-2</v>
      </c>
      <c r="S1156">
        <v>-3.0051570000000001</v>
      </c>
      <c r="T1156">
        <v>-0.17228650000000001</v>
      </c>
      <c r="U1156">
        <v>0.37454219999999999</v>
      </c>
      <c r="V1156">
        <v>-7.0852440000000003E-2</v>
      </c>
      <c r="W1156">
        <v>6.3966270000000006E-2</v>
      </c>
      <c r="X1156">
        <v>0.99543369999999998</v>
      </c>
      <c r="Y1156">
        <v>2.1798060000000001E-2</v>
      </c>
      <c r="Z1156">
        <v>-5.1899019999999997E-3</v>
      </c>
      <c r="AA1156">
        <v>0.99974890000000005</v>
      </c>
      <c r="AB1156">
        <v>42</v>
      </c>
      <c r="AC1156">
        <v>-0.668399999999991</v>
      </c>
      <c r="AD1156">
        <v>-6.1505999999999998E-2</v>
      </c>
      <c r="AE1156">
        <v>9.2200000000047994E-2</v>
      </c>
      <c r="AF1156">
        <v>2.32510638106962E-2</v>
      </c>
      <c r="AG1156">
        <v>-6.1505999999999998E-2</v>
      </c>
      <c r="AH1156">
        <v>0.66876459411327505</v>
      </c>
      <c r="AI1156">
        <v>95.2515315276667</v>
      </c>
      <c r="AJ1156">
        <v>88.008788948611397</v>
      </c>
      <c r="AK1156">
        <v>0.67198934689756995</v>
      </c>
      <c r="AL1156">
        <v>86.332498755290104</v>
      </c>
      <c r="AM1156">
        <v>94.071301797996696</v>
      </c>
      <c r="AN1156">
        <v>1.0000000015236701</v>
      </c>
    </row>
    <row r="1157" spans="1:40" x14ac:dyDescent="0.3">
      <c r="A1157" t="str">
        <f>"20200111153853959"</f>
        <v>20200111153853959</v>
      </c>
      <c r="B1157" t="str">
        <f>"1578728333951404"</f>
        <v>1578728333951404</v>
      </c>
      <c r="C1157" t="s">
        <v>40</v>
      </c>
      <c r="D1157">
        <v>5.3497500000000002</v>
      </c>
      <c r="E1157">
        <v>0.53149480000000004</v>
      </c>
      <c r="F1157" t="s">
        <v>41</v>
      </c>
      <c r="G1157">
        <v>-238.91659999999999</v>
      </c>
      <c r="H1157">
        <v>1.040943</v>
      </c>
      <c r="I1157">
        <v>283.39929999999998</v>
      </c>
      <c r="J1157">
        <v>-238.2893</v>
      </c>
      <c r="K1157">
        <v>1.1027370000000001</v>
      </c>
      <c r="L1157">
        <v>283.31540000000001</v>
      </c>
      <c r="M1157">
        <v>-0.99479799999999996</v>
      </c>
      <c r="N1157">
        <v>0</v>
      </c>
      <c r="O1157">
        <v>0.10181320000000001</v>
      </c>
      <c r="P1157">
        <v>-0.99783219999999995</v>
      </c>
      <c r="Q1157">
        <v>5.927408E-2</v>
      </c>
      <c r="R1157">
        <v>2.859095E-2</v>
      </c>
      <c r="S1157">
        <v>-3.006348</v>
      </c>
      <c r="T1157">
        <v>-0.17688889999999999</v>
      </c>
      <c r="U1157">
        <v>0.36410520000000002</v>
      </c>
      <c r="V1157">
        <v>-7.3094110000000004E-2</v>
      </c>
      <c r="W1157">
        <v>6.2631899999999893E-2</v>
      </c>
      <c r="X1157">
        <v>0.99535640000000003</v>
      </c>
      <c r="Y1157">
        <v>1.8674400000000001E-2</v>
      </c>
      <c r="Z1157">
        <v>-5.3998419999999898E-3</v>
      </c>
      <c r="AA1157">
        <v>0.99981109999999895</v>
      </c>
      <c r="AB1157">
        <v>42</v>
      </c>
      <c r="AC1157">
        <v>-0.62729999999999098</v>
      </c>
      <c r="AD1157">
        <v>-6.1794000000000099E-2</v>
      </c>
      <c r="AE1157">
        <v>8.38999999999714E-2</v>
      </c>
      <c r="AF1157">
        <v>1.9411187660114199E-2</v>
      </c>
      <c r="AG1157">
        <v>-6.1794000000000099E-2</v>
      </c>
      <c r="AH1157">
        <v>0.62660876585334102</v>
      </c>
      <c r="AI1157">
        <v>95.629418760217604</v>
      </c>
      <c r="AJ1157">
        <v>88.225649516436704</v>
      </c>
      <c r="AK1157">
        <v>0.62994748835646797</v>
      </c>
      <c r="AL1157">
        <v>86.409105913688293</v>
      </c>
      <c r="AM1157">
        <v>94.199983114289694</v>
      </c>
      <c r="AN1157">
        <v>0.99999993341762805</v>
      </c>
    </row>
    <row r="1158" spans="1:40" x14ac:dyDescent="0.3">
      <c r="A1158" t="str">
        <f>"20200111153853982"</f>
        <v>20200111153853982</v>
      </c>
      <c r="B1158" t="str">
        <f>"1578728333971900"</f>
        <v>1578728333971900</v>
      </c>
      <c r="C1158" t="s">
        <v>40</v>
      </c>
      <c r="D1158">
        <v>5.3562019999999997</v>
      </c>
      <c r="E1158">
        <v>0.53138509999999906</v>
      </c>
      <c r="F1158" t="s">
        <v>41</v>
      </c>
      <c r="G1158">
        <v>-239.29660000000001</v>
      </c>
      <c r="H1158">
        <v>1.041582</v>
      </c>
      <c r="I1158">
        <v>283.43419999999998</v>
      </c>
      <c r="J1158">
        <v>-238.726</v>
      </c>
      <c r="K1158">
        <v>1.102957</v>
      </c>
      <c r="L1158">
        <v>283.35980000000001</v>
      </c>
      <c r="M1158">
        <v>-0.99485319999999999</v>
      </c>
      <c r="N1158">
        <v>0</v>
      </c>
      <c r="O1158">
        <v>0.1012733</v>
      </c>
      <c r="P1158">
        <v>-0.99793900000000002</v>
      </c>
      <c r="Q1158">
        <v>5.8748870000000002E-2</v>
      </c>
      <c r="R1158">
        <v>2.5818379999999998E-2</v>
      </c>
      <c r="S1158">
        <v>-3.0072169999999998</v>
      </c>
      <c r="T1158">
        <v>-0.1826797</v>
      </c>
      <c r="U1158">
        <v>0.35415649999999999</v>
      </c>
      <c r="V1158">
        <v>-7.5358579999999994E-2</v>
      </c>
      <c r="W1158">
        <v>6.2077460000000001E-2</v>
      </c>
      <c r="X1158">
        <v>0.9952223</v>
      </c>
      <c r="Y1158">
        <v>1.5934670000000001E-2</v>
      </c>
      <c r="Z1158">
        <v>-5.6264649999999998E-3</v>
      </c>
      <c r="AA1158">
        <v>0.9998572</v>
      </c>
      <c r="AB1158">
        <v>43</v>
      </c>
      <c r="AC1158">
        <v>-0.57060000000001299</v>
      </c>
      <c r="AD1158">
        <v>-6.1374999999999902E-2</v>
      </c>
      <c r="AE1158">
        <v>7.43999999999687E-2</v>
      </c>
      <c r="AF1158">
        <v>1.6048054787900098E-2</v>
      </c>
      <c r="AG1158">
        <v>-6.1374999999999902E-2</v>
      </c>
      <c r="AH1158">
        <v>0.56873107436505899</v>
      </c>
      <c r="AI1158">
        <v>96.156845089413295</v>
      </c>
      <c r="AJ1158">
        <v>88.383696741279195</v>
      </c>
      <c r="AK1158">
        <v>0.57225821587453796</v>
      </c>
      <c r="AL1158">
        <v>86.440935079366398</v>
      </c>
      <c r="AM1158">
        <v>94.330193219040197</v>
      </c>
      <c r="AN1158">
        <v>0.99999997651847805</v>
      </c>
    </row>
    <row r="1159" spans="1:40" x14ac:dyDescent="0.3">
      <c r="A1159" t="str">
        <f>"20200111153854005"</f>
        <v>20200111153854005</v>
      </c>
      <c r="B1159" t="str">
        <f>"1578728334002156"</f>
        <v>1578728334002156</v>
      </c>
      <c r="C1159" t="s">
        <v>40</v>
      </c>
      <c r="D1159">
        <v>5.3204520000000004</v>
      </c>
      <c r="E1159">
        <v>0.53151740000000003</v>
      </c>
      <c r="F1159" t="s">
        <v>41</v>
      </c>
      <c r="G1159">
        <v>-239.68020000000001</v>
      </c>
      <c r="H1159">
        <v>1.044144</v>
      </c>
      <c r="I1159">
        <v>283.46910000000003</v>
      </c>
      <c r="J1159">
        <v>-239.1523</v>
      </c>
      <c r="K1159">
        <v>1.1031770000000001</v>
      </c>
      <c r="L1159">
        <v>283.40289999999999</v>
      </c>
      <c r="M1159">
        <v>-0.99492530000000001</v>
      </c>
      <c r="N1159">
        <v>0</v>
      </c>
      <c r="O1159">
        <v>0.1005607</v>
      </c>
      <c r="P1159">
        <v>-0.99803319999999995</v>
      </c>
      <c r="Q1159">
        <v>5.8246939999999997E-2</v>
      </c>
      <c r="R1159">
        <v>2.3170699999999999E-2</v>
      </c>
      <c r="S1159">
        <v>-3.008194</v>
      </c>
      <c r="T1159">
        <v>-0.18541260000000001</v>
      </c>
      <c r="U1159">
        <v>0.3442383</v>
      </c>
      <c r="V1159">
        <v>-7.7324240000000002E-2</v>
      </c>
      <c r="W1159">
        <v>6.1546339999999998E-2</v>
      </c>
      <c r="X1159">
        <v>0.99510460000000001</v>
      </c>
      <c r="Y1159">
        <v>1.3368410000000001E-2</v>
      </c>
      <c r="Z1159">
        <v>-5.7452950000000001E-3</v>
      </c>
      <c r="AA1159">
        <v>0.99989410000000001</v>
      </c>
      <c r="AB1159">
        <v>43</v>
      </c>
      <c r="AC1159">
        <v>-0.52790000000001602</v>
      </c>
      <c r="AD1159">
        <v>-5.9033000000000099E-2</v>
      </c>
      <c r="AE1159">
        <v>6.6200000000037507E-2</v>
      </c>
      <c r="AF1159">
        <v>1.26227285032938E-2</v>
      </c>
      <c r="AG1159">
        <v>-5.9033000000000099E-2</v>
      </c>
      <c r="AH1159">
        <v>0.52541256006706105</v>
      </c>
      <c r="AI1159">
        <v>96.408777988227399</v>
      </c>
      <c r="AJ1159">
        <v>88.623767245640195</v>
      </c>
      <c r="AK1159">
        <v>0.52886915833700399</v>
      </c>
      <c r="AL1159">
        <v>86.471424672655701</v>
      </c>
      <c r="AM1159">
        <v>94.443219268684302</v>
      </c>
      <c r="AN1159">
        <v>1.0000000775000599</v>
      </c>
    </row>
    <row r="1160" spans="1:40" x14ac:dyDescent="0.3">
      <c r="A1160" t="str">
        <f>"20200111153854025"</f>
        <v>20200111153854025</v>
      </c>
      <c r="B1160" t="str">
        <f>"1578728334021676"</f>
        <v>1578728334021676</v>
      </c>
      <c r="C1160" t="s">
        <v>40</v>
      </c>
      <c r="D1160">
        <v>5.3057720000000002</v>
      </c>
      <c r="E1160">
        <v>0.53159489999999998</v>
      </c>
      <c r="F1160" t="s">
        <v>41</v>
      </c>
      <c r="G1160">
        <v>-240.06450000000001</v>
      </c>
      <c r="H1160">
        <v>1.0465549999999999</v>
      </c>
      <c r="I1160">
        <v>283.5052</v>
      </c>
      <c r="J1160">
        <v>-239.54750000000001</v>
      </c>
      <c r="K1160">
        <v>1.1033729999999999</v>
      </c>
      <c r="L1160">
        <v>283.44240000000002</v>
      </c>
      <c r="M1160">
        <v>-0.99500820000000001</v>
      </c>
      <c r="N1160">
        <v>0</v>
      </c>
      <c r="O1160">
        <v>9.9738469999999996E-2</v>
      </c>
      <c r="P1160">
        <v>-0.99806919999999999</v>
      </c>
      <c r="Q1160">
        <v>5.8245249999999998E-2</v>
      </c>
      <c r="R1160">
        <v>2.157311E-2</v>
      </c>
      <c r="S1160">
        <v>-3.0090180000000002</v>
      </c>
      <c r="T1160">
        <v>-0.18694959999999999</v>
      </c>
      <c r="U1160">
        <v>0.33709719999999999</v>
      </c>
      <c r="V1160">
        <v>-7.812624E-2</v>
      </c>
      <c r="W1160">
        <v>6.1518240000000002E-2</v>
      </c>
      <c r="X1160">
        <v>0.99504360000000003</v>
      </c>
      <c r="Y1160">
        <v>1.1824889999999999E-2</v>
      </c>
      <c r="Z1160">
        <v>-5.7894210000000003E-3</v>
      </c>
      <c r="AA1160">
        <v>0.9999133</v>
      </c>
      <c r="AB1160">
        <v>43</v>
      </c>
      <c r="AC1160">
        <v>-0.51699999999999502</v>
      </c>
      <c r="AD1160">
        <v>-5.6818E-2</v>
      </c>
      <c r="AE1160">
        <v>6.2799999999981496E-2</v>
      </c>
      <c r="AF1160">
        <v>1.07933206386549E-2</v>
      </c>
      <c r="AG1160">
        <v>-5.6818E-2</v>
      </c>
      <c r="AH1160">
        <v>0.51456121424298495</v>
      </c>
      <c r="AI1160">
        <v>96.2997159278314</v>
      </c>
      <c r="AJ1160">
        <v>88.798352791794201</v>
      </c>
      <c r="AK1160">
        <v>0.51780114339157601</v>
      </c>
      <c r="AL1160">
        <v>86.473037412355197</v>
      </c>
      <c r="AM1160">
        <v>94.489390602859899</v>
      </c>
      <c r="AN1160">
        <v>0.99999998456509698</v>
      </c>
    </row>
    <row r="1161" spans="1:40" x14ac:dyDescent="0.3">
      <c r="A1161" t="str">
        <f>"20200111153854048"</f>
        <v>20200111153854048</v>
      </c>
      <c r="B1161" t="str">
        <f>"1578728334042172"</f>
        <v>1578728334042172</v>
      </c>
      <c r="C1161" t="s">
        <v>40</v>
      </c>
      <c r="D1161">
        <v>5.3231120000000001</v>
      </c>
      <c r="E1161">
        <v>0.53166210000000003</v>
      </c>
      <c r="F1161" t="s">
        <v>41</v>
      </c>
      <c r="G1161">
        <v>-240.44839999999999</v>
      </c>
      <c r="H1161">
        <v>1.0471969999999999</v>
      </c>
      <c r="I1161">
        <v>283.5421</v>
      </c>
      <c r="J1161">
        <v>-239.97649999999999</v>
      </c>
      <c r="K1161">
        <v>1.1035839999999999</v>
      </c>
      <c r="L1161">
        <v>283.48500000000001</v>
      </c>
      <c r="M1161">
        <v>-0.99511349999999998</v>
      </c>
      <c r="N1161">
        <v>0</v>
      </c>
      <c r="O1161">
        <v>9.8681260000000007E-2</v>
      </c>
      <c r="P1161">
        <v>-0.99804590000000004</v>
      </c>
      <c r="Q1161">
        <v>5.8049459999999997E-2</v>
      </c>
      <c r="R1161">
        <v>2.3131059999999998E-2</v>
      </c>
      <c r="S1161">
        <v>-3.0095670000000001</v>
      </c>
      <c r="T1161">
        <v>-0.18784709999999999</v>
      </c>
      <c r="U1161">
        <v>0.3322754</v>
      </c>
      <c r="V1161">
        <v>-7.5549679999999994E-2</v>
      </c>
      <c r="W1161">
        <v>6.1299329999999999E-2</v>
      </c>
      <c r="X1161">
        <v>0.99525609999999998</v>
      </c>
      <c r="Y1161">
        <v>1.128522E-2</v>
      </c>
      <c r="Z1161">
        <v>-5.7682189999999998E-3</v>
      </c>
      <c r="AA1161">
        <v>0.99991969999999997</v>
      </c>
      <c r="AB1161">
        <v>43</v>
      </c>
      <c r="AC1161">
        <v>-0.47190000000000498</v>
      </c>
      <c r="AD1161">
        <v>-5.6387000000000097E-2</v>
      </c>
      <c r="AE1161">
        <v>5.7099999999991199E-2</v>
      </c>
      <c r="AF1161">
        <v>1.01110716730791E-2</v>
      </c>
      <c r="AG1161">
        <v>-5.6387000000000097E-2</v>
      </c>
      <c r="AH1161">
        <v>0.468636902397222</v>
      </c>
      <c r="AI1161">
        <v>96.859339250865901</v>
      </c>
      <c r="AJ1161">
        <v>88.764007137342404</v>
      </c>
      <c r="AK1161">
        <v>0.47212527344746302</v>
      </c>
      <c r="AL1161">
        <v>86.4856039195964</v>
      </c>
      <c r="AM1161">
        <v>94.340985261442796</v>
      </c>
      <c r="AN1161">
        <v>1.0000000332968799</v>
      </c>
    </row>
    <row r="1162" spans="1:40" x14ac:dyDescent="0.3">
      <c r="A1162" t="str">
        <f>"20200111153854071"</f>
        <v>20200111153854071</v>
      </c>
      <c r="B1162" t="str">
        <f>"1578728334061692"</f>
        <v>1578728334061692</v>
      </c>
      <c r="C1162" t="s">
        <v>40</v>
      </c>
      <c r="D1162">
        <v>5.332325</v>
      </c>
      <c r="E1162">
        <v>0.53185789999999999</v>
      </c>
      <c r="F1162" t="s">
        <v>41</v>
      </c>
      <c r="G1162">
        <v>-240.83430000000001</v>
      </c>
      <c r="H1162">
        <v>1.0493570000000001</v>
      </c>
      <c r="I1162">
        <v>283.5806</v>
      </c>
      <c r="J1162">
        <v>-240.42750000000001</v>
      </c>
      <c r="K1162">
        <v>1.1037969999999999</v>
      </c>
      <c r="L1162">
        <v>283.529</v>
      </c>
      <c r="M1162">
        <v>-0.99523870000000003</v>
      </c>
      <c r="N1162">
        <v>0</v>
      </c>
      <c r="O1162">
        <v>9.7410099999999999E-2</v>
      </c>
      <c r="P1162">
        <v>-0.99801910000000005</v>
      </c>
      <c r="Q1162">
        <v>5.7260690000000003E-2</v>
      </c>
      <c r="R1162">
        <v>2.6066229999999999E-2</v>
      </c>
      <c r="S1162">
        <v>-3.0092159999999999</v>
      </c>
      <c r="T1162">
        <v>-0.19042000000000001</v>
      </c>
      <c r="U1162">
        <v>0.3346558</v>
      </c>
      <c r="V1162">
        <v>-7.1385760000000006E-2</v>
      </c>
      <c r="W1162">
        <v>6.0496389999999997E-2</v>
      </c>
      <c r="X1162">
        <v>0.99561250000000001</v>
      </c>
      <c r="Y1162">
        <v>1.335459E-2</v>
      </c>
      <c r="Z1162">
        <v>-5.7026189999999999E-3</v>
      </c>
      <c r="AA1162">
        <v>0.99989459999999997</v>
      </c>
      <c r="AB1162">
        <v>43</v>
      </c>
      <c r="AC1162">
        <v>-0.40680000000000399</v>
      </c>
      <c r="AD1162">
        <v>-5.4440000000000002E-2</v>
      </c>
      <c r="AE1162">
        <v>5.1600000000007598E-2</v>
      </c>
      <c r="AF1162">
        <v>1.15248226939737E-2</v>
      </c>
      <c r="AG1162">
        <v>-5.4440000000000002E-2</v>
      </c>
      <c r="AH1162">
        <v>0.40279232746278598</v>
      </c>
      <c r="AI1162">
        <v>97.694142637940104</v>
      </c>
      <c r="AJ1162">
        <v>88.361082004650996</v>
      </c>
      <c r="AK1162">
        <v>0.40661799542201199</v>
      </c>
      <c r="AL1162">
        <v>86.531694403732601</v>
      </c>
      <c r="AM1162">
        <v>94.101108931068893</v>
      </c>
      <c r="AN1162">
        <v>0.99999999504502901</v>
      </c>
    </row>
    <row r="1163" spans="1:40" x14ac:dyDescent="0.3">
      <c r="A1163" t="str">
        <f>"20200111153854093"</f>
        <v>20200111153854093</v>
      </c>
      <c r="B1163" t="str">
        <f>"1578728334082188"</f>
        <v>1578728334082188</v>
      </c>
      <c r="C1163" t="s">
        <v>40</v>
      </c>
      <c r="D1163">
        <v>5.3003790000000004</v>
      </c>
      <c r="E1163">
        <v>0.53195599999999998</v>
      </c>
      <c r="F1163" t="s">
        <v>41</v>
      </c>
      <c r="G1163">
        <v>-241.2261</v>
      </c>
      <c r="H1163">
        <v>1.0521969999999901</v>
      </c>
      <c r="I1163">
        <v>283.62009999999998</v>
      </c>
      <c r="J1163">
        <v>-240.8588</v>
      </c>
      <c r="K1163">
        <v>1.103969</v>
      </c>
      <c r="L1163">
        <v>283.57049999999998</v>
      </c>
      <c r="M1163">
        <v>-0.99536899999999995</v>
      </c>
      <c r="N1163">
        <v>0</v>
      </c>
      <c r="O1163">
        <v>9.6068360000000005E-2</v>
      </c>
      <c r="P1163">
        <v>-0.99805370000000004</v>
      </c>
      <c r="Q1163">
        <v>5.5623659999999998E-2</v>
      </c>
      <c r="R1163">
        <v>2.819023E-2</v>
      </c>
      <c r="S1163">
        <v>-3.0081630000000001</v>
      </c>
      <c r="T1163">
        <v>-0.1945248</v>
      </c>
      <c r="U1163">
        <v>0.34255980000000003</v>
      </c>
      <c r="V1163">
        <v>-6.7957729999999994E-2</v>
      </c>
      <c r="W1163">
        <v>5.8851380000000002E-2</v>
      </c>
      <c r="X1163">
        <v>0.99595089999999997</v>
      </c>
      <c r="Y1163">
        <v>1.7331579999999999E-2</v>
      </c>
      <c r="Z1163">
        <v>-5.6123739999999998E-3</v>
      </c>
      <c r="AA1163">
        <v>0.99983409999999995</v>
      </c>
      <c r="AB1163">
        <v>43</v>
      </c>
      <c r="AC1163">
        <v>-0.36730000000000002</v>
      </c>
      <c r="AD1163">
        <v>-5.1772000000000103E-2</v>
      </c>
      <c r="AE1163">
        <v>4.9599999999998E-2</v>
      </c>
      <c r="AF1163">
        <v>1.38149188069689E-2</v>
      </c>
      <c r="AG1163">
        <v>-5.1772000000000103E-2</v>
      </c>
      <c r="AH1163">
        <v>0.36327789525970899</v>
      </c>
      <c r="AI1163">
        <v>98.105024688215593</v>
      </c>
      <c r="AJ1163">
        <v>87.822176030804698</v>
      </c>
      <c r="AK1163">
        <v>0.36720841650208302</v>
      </c>
      <c r="AL1163">
        <v>86.626114713331503</v>
      </c>
      <c r="AM1163">
        <v>93.903470628014105</v>
      </c>
      <c r="AN1163">
        <v>0.99999996660273305</v>
      </c>
    </row>
    <row r="1164" spans="1:40" x14ac:dyDescent="0.3">
      <c r="A1164" t="str">
        <f>"20200111153854117"</f>
        <v>20200111153854117</v>
      </c>
      <c r="B1164" t="str">
        <f>"1578728334111468"</f>
        <v>1578728334111468</v>
      </c>
      <c r="C1164" t="s">
        <v>40</v>
      </c>
      <c r="D1164">
        <v>5.2869400000000004</v>
      </c>
      <c r="E1164">
        <v>0.53200509999999901</v>
      </c>
      <c r="F1164" t="s">
        <v>41</v>
      </c>
      <c r="G1164">
        <v>-241.61920000000001</v>
      </c>
      <c r="H1164">
        <v>1.0533680000000001</v>
      </c>
      <c r="I1164">
        <v>283.65879999999999</v>
      </c>
      <c r="J1164">
        <v>-241.31229999999999</v>
      </c>
      <c r="K1164">
        <v>1.104112</v>
      </c>
      <c r="L1164">
        <v>283.61340000000001</v>
      </c>
      <c r="M1164">
        <v>-0.99551429999999996</v>
      </c>
      <c r="N1164">
        <v>0</v>
      </c>
      <c r="O1164">
        <v>9.4550149999999999E-2</v>
      </c>
      <c r="P1164">
        <v>-0.99814210000000003</v>
      </c>
      <c r="Q1164">
        <v>5.2817639999999999E-2</v>
      </c>
      <c r="R1164">
        <v>3.038076E-2</v>
      </c>
      <c r="S1164">
        <v>-3.0071560000000002</v>
      </c>
      <c r="T1164">
        <v>-0.20035990000000001</v>
      </c>
      <c r="U1164">
        <v>0.3483887</v>
      </c>
      <c r="V1164">
        <v>-6.428383E-2</v>
      </c>
      <c r="W1164">
        <v>5.6045070000000002E-2</v>
      </c>
      <c r="X1164">
        <v>0.99635660000000004</v>
      </c>
      <c r="Y1164">
        <v>2.0805839999999999E-2</v>
      </c>
      <c r="Z1164">
        <v>-5.5661859999999999E-3</v>
      </c>
      <c r="AA1164">
        <v>0.99976799999999999</v>
      </c>
      <c r="AB1164">
        <v>43</v>
      </c>
      <c r="AC1164">
        <v>-0.306900000000013</v>
      </c>
      <c r="AD1164">
        <v>-5.07439999999999E-2</v>
      </c>
      <c r="AE1164">
        <v>4.5399999999972303E-2</v>
      </c>
      <c r="AF1164">
        <v>1.5757441109190602E-2</v>
      </c>
      <c r="AG1164">
        <v>-5.07439999999999E-2</v>
      </c>
      <c r="AH1164">
        <v>0.30174508607454098</v>
      </c>
      <c r="AI1164">
        <v>99.533270378256304</v>
      </c>
      <c r="AJ1164">
        <v>87.010670379059306</v>
      </c>
      <c r="AK1164">
        <v>0.30638757719013598</v>
      </c>
      <c r="AL1164">
        <v>86.787170479819196</v>
      </c>
      <c r="AM1164">
        <v>93.691543987731393</v>
      </c>
      <c r="AN1164">
        <v>0.99999996751716602</v>
      </c>
    </row>
    <row r="1165" spans="1:40" x14ac:dyDescent="0.3">
      <c r="A1165" t="str">
        <f>"20200111153854138"</f>
        <v>20200111153854138</v>
      </c>
      <c r="B1165" t="str">
        <f>"1578728334131964"</f>
        <v>1578728334131964</v>
      </c>
      <c r="C1165" t="s">
        <v>40</v>
      </c>
      <c r="D1165">
        <v>5.2753680000000003</v>
      </c>
      <c r="E1165">
        <v>0.53197050000000001</v>
      </c>
      <c r="F1165" t="s">
        <v>41</v>
      </c>
      <c r="G1165">
        <v>-242.37190000000001</v>
      </c>
      <c r="H1165">
        <v>1.0302750000000001</v>
      </c>
      <c r="I1165">
        <v>283.73880000000003</v>
      </c>
      <c r="J1165">
        <v>-241.7276</v>
      </c>
      <c r="K1165">
        <v>1.104231</v>
      </c>
      <c r="L1165">
        <v>283.65210000000002</v>
      </c>
      <c r="M1165">
        <v>-0.9956526</v>
      </c>
      <c r="N1165">
        <v>0</v>
      </c>
      <c r="O1165">
        <v>9.3082520000000002E-2</v>
      </c>
      <c r="P1165">
        <v>-0.99822049999999996</v>
      </c>
      <c r="Q1165">
        <v>4.953726E-2</v>
      </c>
      <c r="R1165">
        <v>3.3197619999999997E-2</v>
      </c>
      <c r="S1165">
        <v>-3.0059049999999998</v>
      </c>
      <c r="T1165">
        <v>-0.20979490000000001</v>
      </c>
      <c r="U1165">
        <v>0.35476679999999999</v>
      </c>
      <c r="V1165">
        <v>-6.0027089999999998E-2</v>
      </c>
      <c r="W1165">
        <v>5.2773090000000002E-2</v>
      </c>
      <c r="X1165">
        <v>0.99680080000000004</v>
      </c>
      <c r="Y1165">
        <v>2.4423250000000001E-2</v>
      </c>
      <c r="Z1165">
        <v>-5.6022219999999996E-3</v>
      </c>
      <c r="AA1165">
        <v>0.99968599999999996</v>
      </c>
      <c r="AB1165">
        <v>44</v>
      </c>
      <c r="AC1165">
        <v>-0.64430000000001497</v>
      </c>
      <c r="AD1165">
        <v>-7.3955999999999897E-2</v>
      </c>
      <c r="AE1165">
        <v>8.6700000000007493E-2</v>
      </c>
      <c r="AF1165">
        <v>2.60135169628237E-2</v>
      </c>
      <c r="AG1165">
        <v>-7.3955999999999897E-2</v>
      </c>
      <c r="AH1165">
        <v>0.64127407386239099</v>
      </c>
      <c r="AI1165">
        <v>96.573309162674605</v>
      </c>
      <c r="AJ1165">
        <v>87.6770494004966</v>
      </c>
      <c r="AK1165">
        <v>0.64604847403955901</v>
      </c>
      <c r="AL1165">
        <v>86.974919549839797</v>
      </c>
      <c r="AM1165">
        <v>93.446175495905706</v>
      </c>
      <c r="AN1165">
        <v>1.00000004272132</v>
      </c>
    </row>
    <row r="1166" spans="1:40" x14ac:dyDescent="0.3">
      <c r="A1166" t="str">
        <f>"20200111153854160"</f>
        <v>20200111153854160</v>
      </c>
      <c r="B1166" t="str">
        <f>"1578728334151484"</f>
        <v>1578728334151484</v>
      </c>
      <c r="C1166" t="s">
        <v>40</v>
      </c>
      <c r="D1166">
        <v>5.2595340000000004</v>
      </c>
      <c r="E1166">
        <v>0.53185389999999999</v>
      </c>
      <c r="F1166" t="s">
        <v>41</v>
      </c>
      <c r="G1166">
        <v>-242.762</v>
      </c>
      <c r="H1166">
        <v>1.02843</v>
      </c>
      <c r="I1166">
        <v>283.77679999999998</v>
      </c>
      <c r="J1166">
        <v>-242.16640000000001</v>
      </c>
      <c r="K1166">
        <v>1.1043430000000001</v>
      </c>
      <c r="L1166">
        <v>283.69229999999999</v>
      </c>
      <c r="M1166">
        <v>-0.99580230000000003</v>
      </c>
      <c r="N1166">
        <v>0</v>
      </c>
      <c r="O1166">
        <v>9.1466420000000007E-2</v>
      </c>
      <c r="P1166">
        <v>-0.99829120000000005</v>
      </c>
      <c r="Q1166">
        <v>4.7262690000000003E-2</v>
      </c>
      <c r="R1166">
        <v>3.4364180000000001E-2</v>
      </c>
      <c r="S1166">
        <v>-3.0042110000000002</v>
      </c>
      <c r="T1166">
        <v>-0.220136</v>
      </c>
      <c r="U1166">
        <v>0.36215209999999998</v>
      </c>
      <c r="V1166">
        <v>-5.7262979999999998E-2</v>
      </c>
      <c r="W1166">
        <v>5.0506849999999999E-2</v>
      </c>
      <c r="X1166">
        <v>0.99708070000000004</v>
      </c>
      <c r="Y1166">
        <v>2.8535810000000002E-2</v>
      </c>
      <c r="Z1166">
        <v>-5.6128200000000001E-3</v>
      </c>
      <c r="AA1166">
        <v>0.99957700000000005</v>
      </c>
      <c r="AB1166">
        <v>44</v>
      </c>
      <c r="AC1166">
        <v>-0.59559999999999003</v>
      </c>
      <c r="AD1166">
        <v>-7.5913000000000105E-2</v>
      </c>
      <c r="AE1166">
        <v>8.4499999999991304E-2</v>
      </c>
      <c r="AF1166">
        <v>2.9203021682533699E-2</v>
      </c>
      <c r="AG1166">
        <v>-7.5913000000000105E-2</v>
      </c>
      <c r="AH1166">
        <v>0.59141424131148401</v>
      </c>
      <c r="AI1166">
        <v>97.305595990965699</v>
      </c>
      <c r="AJ1166">
        <v>87.173128614926</v>
      </c>
      <c r="AK1166">
        <v>0.59698107580594995</v>
      </c>
      <c r="AL1166">
        <v>87.104938786357494</v>
      </c>
      <c r="AM1166">
        <v>93.286922574406006</v>
      </c>
      <c r="AN1166">
        <v>0.99999995654394502</v>
      </c>
    </row>
    <row r="1167" spans="1:40" x14ac:dyDescent="0.3">
      <c r="A1167" t="str">
        <f>"20200111153854183"</f>
        <v>20200111153854183</v>
      </c>
      <c r="B1167" t="str">
        <f>"1578728334171979"</f>
        <v>1578728334171979</v>
      </c>
      <c r="C1167" t="s">
        <v>40</v>
      </c>
      <c r="D1167">
        <v>5.2684059999999997</v>
      </c>
      <c r="E1167">
        <v>0.53175069999999902</v>
      </c>
      <c r="F1167" t="s">
        <v>41</v>
      </c>
      <c r="G1167">
        <v>-243.15520000000001</v>
      </c>
      <c r="H1167">
        <v>1.029911</v>
      </c>
      <c r="I1167">
        <v>283.8125</v>
      </c>
      <c r="J1167">
        <v>-242.60820000000001</v>
      </c>
      <c r="K1167">
        <v>1.1044659999999999</v>
      </c>
      <c r="L1167">
        <v>283.7319</v>
      </c>
      <c r="M1167">
        <v>-0.99595699999999998</v>
      </c>
      <c r="N1167">
        <v>0</v>
      </c>
      <c r="O1167">
        <v>8.9764339999999998E-2</v>
      </c>
      <c r="P1167">
        <v>-0.99841590000000002</v>
      </c>
      <c r="Q1167">
        <v>4.5336370000000001E-2</v>
      </c>
      <c r="R1167">
        <v>3.3327610000000001E-2</v>
      </c>
      <c r="S1167">
        <v>-3.0032809999999999</v>
      </c>
      <c r="T1167">
        <v>-0.22617950000000001</v>
      </c>
      <c r="U1167">
        <v>0.36486819999999998</v>
      </c>
      <c r="V1167">
        <v>-5.6610840000000003E-2</v>
      </c>
      <c r="W1167">
        <v>4.8583750000000002E-2</v>
      </c>
      <c r="X1167">
        <v>0.99721349999999997</v>
      </c>
      <c r="Y1167">
        <v>3.1169120000000002E-2</v>
      </c>
      <c r="Z1167">
        <v>-5.5424239999999998E-3</v>
      </c>
      <c r="AA1167">
        <v>0.99949880000000002</v>
      </c>
      <c r="AB1167">
        <v>44</v>
      </c>
      <c r="AC1167">
        <v>-0.54699999999999704</v>
      </c>
      <c r="AD1167">
        <v>-7.4554999999999899E-2</v>
      </c>
      <c r="AE1167">
        <v>8.0600000000004002E-2</v>
      </c>
      <c r="AF1167">
        <v>3.0616546155204202E-2</v>
      </c>
      <c r="AG1167">
        <v>-7.4554999999999899E-2</v>
      </c>
      <c r="AH1167">
        <v>0.54216888638319605</v>
      </c>
      <c r="AI1167">
        <v>97.817479157405998</v>
      </c>
      <c r="AJ1167">
        <v>86.767911592185598</v>
      </c>
      <c r="AK1167">
        <v>0.54812673925422395</v>
      </c>
      <c r="AL1167">
        <v>87.215259836740998</v>
      </c>
      <c r="AM1167">
        <v>93.249138285665794</v>
      </c>
      <c r="AN1167">
        <v>0.99999996627590804</v>
      </c>
    </row>
    <row r="1168" spans="1:40" x14ac:dyDescent="0.3">
      <c r="A1168" t="str">
        <f>"20200111153854205"</f>
        <v>20200111153854205</v>
      </c>
      <c r="B1168" t="str">
        <f>"1578728334201260"</f>
        <v>1578728334201260</v>
      </c>
      <c r="C1168" t="s">
        <v>40</v>
      </c>
      <c r="D1168">
        <v>5.2392949999999896</v>
      </c>
      <c r="E1168">
        <v>0.52747819999999901</v>
      </c>
      <c r="F1168" t="s">
        <v>41</v>
      </c>
      <c r="G1168">
        <v>-243.5504</v>
      </c>
      <c r="H1168">
        <v>1.032206</v>
      </c>
      <c r="I1168">
        <v>283.84550000000002</v>
      </c>
      <c r="J1168">
        <v>-243.03579999999999</v>
      </c>
      <c r="K1168">
        <v>1.10459</v>
      </c>
      <c r="L1168">
        <v>283.76949999999999</v>
      </c>
      <c r="M1168">
        <v>-0.99611130000000003</v>
      </c>
      <c r="N1168">
        <v>0</v>
      </c>
      <c r="O1168">
        <v>8.8034559999999998E-2</v>
      </c>
      <c r="P1168">
        <v>-0.99847790000000003</v>
      </c>
      <c r="Q1168">
        <v>4.4680480000000002E-2</v>
      </c>
      <c r="R1168">
        <v>3.2338810000000003E-2</v>
      </c>
      <c r="S1168">
        <v>-3.0031590000000001</v>
      </c>
      <c r="T1168">
        <v>-0.2304361</v>
      </c>
      <c r="U1168">
        <v>0.36141970000000001</v>
      </c>
      <c r="V1168">
        <v>-5.5882210000000002E-2</v>
      </c>
      <c r="W1168">
        <v>4.7932200000000001E-2</v>
      </c>
      <c r="X1168">
        <v>0.99728609999999895</v>
      </c>
      <c r="Y1168">
        <v>3.1778130000000002E-2</v>
      </c>
      <c r="Z1168">
        <v>-5.4925679999999998E-3</v>
      </c>
      <c r="AA1168">
        <v>0.99947980000000003</v>
      </c>
      <c r="AB1168">
        <v>44</v>
      </c>
      <c r="AC1168">
        <v>-0.51460000000000095</v>
      </c>
      <c r="AD1168">
        <v>-7.2384000000000004E-2</v>
      </c>
      <c r="AE1168">
        <v>7.60000000000218E-2</v>
      </c>
      <c r="AF1168">
        <v>2.98245637458107E-2</v>
      </c>
      <c r="AG1168">
        <v>-7.2384000000000004E-2</v>
      </c>
      <c r="AH1168">
        <v>0.50942855453867997</v>
      </c>
      <c r="AI1168">
        <v>98.073304022586896</v>
      </c>
      <c r="AJ1168">
        <v>86.649435389830899</v>
      </c>
      <c r="AK1168">
        <v>0.51540896406445702</v>
      </c>
      <c r="AL1168">
        <v>87.252634379892896</v>
      </c>
      <c r="AM1168">
        <v>93.207173968469107</v>
      </c>
      <c r="AN1168">
        <v>0.99999994122226499</v>
      </c>
    </row>
    <row r="1169" spans="1:40" x14ac:dyDescent="0.3">
      <c r="A1169" t="str">
        <f>"20200111153854227"</f>
        <v>20200111153854227</v>
      </c>
      <c r="B1169" t="str">
        <f>"1578728334221757"</f>
        <v>1578728334221757</v>
      </c>
      <c r="C1169" t="s">
        <v>40</v>
      </c>
      <c r="D1169">
        <v>5.2327430000000001</v>
      </c>
      <c r="E1169">
        <v>0.52758130000000003</v>
      </c>
      <c r="F1169" t="s">
        <v>41</v>
      </c>
      <c r="G1169">
        <v>-243.95330000000001</v>
      </c>
      <c r="H1169">
        <v>1.04509599999999</v>
      </c>
      <c r="I1169">
        <v>283.86840000000001</v>
      </c>
      <c r="J1169">
        <v>-243.4872</v>
      </c>
      <c r="K1169">
        <v>1.104722</v>
      </c>
      <c r="L1169">
        <v>283.80840000000001</v>
      </c>
      <c r="M1169">
        <v>-0.99627940000000004</v>
      </c>
      <c r="N1169">
        <v>0</v>
      </c>
      <c r="O1169">
        <v>8.6111530000000006E-2</v>
      </c>
      <c r="P1169">
        <v>-0.99853400000000003</v>
      </c>
      <c r="Q1169">
        <v>4.4111129999999998E-2</v>
      </c>
      <c r="R1169">
        <v>3.1371690000000001E-2</v>
      </c>
      <c r="S1169">
        <v>-3.0028229999999998</v>
      </c>
      <c r="T1169">
        <v>-0.19487579999999999</v>
      </c>
      <c r="U1169">
        <v>0.32321169999999999</v>
      </c>
      <c r="V1169">
        <v>-5.4939229999999999E-2</v>
      </c>
      <c r="W1169">
        <v>4.7369700000000001E-2</v>
      </c>
      <c r="X1169">
        <v>0.99736539999999996</v>
      </c>
      <c r="Y1169">
        <v>2.113723E-2</v>
      </c>
      <c r="Z1169">
        <v>-4.8717810000000004E-3</v>
      </c>
      <c r="AA1169">
        <v>0.99976469999999995</v>
      </c>
      <c r="AB1169">
        <v>44</v>
      </c>
      <c r="AC1169">
        <v>-0.46610000000001101</v>
      </c>
      <c r="AD1169">
        <v>-5.9626000000000103E-2</v>
      </c>
      <c r="AE1169">
        <v>6.0000000000002197E-2</v>
      </c>
      <c r="AF1169">
        <v>1.9329136295573601E-2</v>
      </c>
      <c r="AG1169">
        <v>-5.9626000000000103E-2</v>
      </c>
      <c r="AH1169">
        <v>0.462096484780114</v>
      </c>
      <c r="AI1169">
        <v>97.346104672170895</v>
      </c>
      <c r="AJ1169">
        <v>87.604758458452295</v>
      </c>
      <c r="AK1169">
        <v>0.46632824987563298</v>
      </c>
      <c r="AL1169">
        <v>87.284900000141604</v>
      </c>
      <c r="AM1169">
        <v>93.152914700292797</v>
      </c>
      <c r="AN1169">
        <v>0.99999997429412102</v>
      </c>
    </row>
    <row r="1170" spans="1:40" x14ac:dyDescent="0.3">
      <c r="A1170" t="str">
        <f>"20200111153854250"</f>
        <v>20200111153854250</v>
      </c>
      <c r="B1170" t="str">
        <f>"1578728334241275"</f>
        <v>1578728334241275</v>
      </c>
      <c r="C1170" t="s">
        <v>40</v>
      </c>
      <c r="D1170">
        <v>5.1987430000000003</v>
      </c>
      <c r="E1170">
        <v>0.52722530000000001</v>
      </c>
      <c r="F1170" t="s">
        <v>41</v>
      </c>
      <c r="G1170">
        <v>-244.3528</v>
      </c>
      <c r="H1170">
        <v>1.048338</v>
      </c>
      <c r="I1170">
        <v>283.90089999999998</v>
      </c>
      <c r="J1170">
        <v>-243.93190000000001</v>
      </c>
      <c r="K1170">
        <v>1.104846</v>
      </c>
      <c r="L1170">
        <v>283.84570000000002</v>
      </c>
      <c r="M1170">
        <v>-0.99644969999999999</v>
      </c>
      <c r="N1170">
        <v>0</v>
      </c>
      <c r="O1170">
        <v>8.4115999999999996E-2</v>
      </c>
      <c r="P1170">
        <v>-0.99866350000000004</v>
      </c>
      <c r="Q1170">
        <v>4.2109859999999999E-2</v>
      </c>
      <c r="R1170">
        <v>2.9969900000000001E-2</v>
      </c>
      <c r="S1170">
        <v>-3.0029750000000002</v>
      </c>
      <c r="T1170">
        <v>-0.1956949</v>
      </c>
      <c r="U1170">
        <v>0.32064819999999999</v>
      </c>
      <c r="V1170">
        <v>-5.4356929999999998E-2</v>
      </c>
      <c r="W1170">
        <v>4.5374369999999997E-2</v>
      </c>
      <c r="X1170">
        <v>0.99749010000000005</v>
      </c>
      <c r="Y1170">
        <v>2.2285010000000001E-2</v>
      </c>
      <c r="Z1170">
        <v>-4.7260949999999996E-3</v>
      </c>
      <c r="AA1170">
        <v>0.99974050000000003</v>
      </c>
      <c r="AB1170">
        <v>44</v>
      </c>
      <c r="AC1170">
        <v>-0.42089999999998801</v>
      </c>
      <c r="AD1170">
        <v>-5.6508000000000003E-2</v>
      </c>
      <c r="AE1170">
        <v>5.5199999999956603E-2</v>
      </c>
      <c r="AF1170">
        <v>1.9258467647612802E-2</v>
      </c>
      <c r="AG1170">
        <v>-5.6508000000000003E-2</v>
      </c>
      <c r="AH1170">
        <v>0.41666830311201197</v>
      </c>
      <c r="AI1170">
        <v>97.715120323260507</v>
      </c>
      <c r="AJ1170">
        <v>87.353664386666296</v>
      </c>
      <c r="AK1170">
        <v>0.42092341044230103</v>
      </c>
      <c r="AL1170">
        <v>87.399347206224704</v>
      </c>
      <c r="AM1170">
        <v>93.119174147085403</v>
      </c>
      <c r="AN1170">
        <v>1.00000000444496</v>
      </c>
    </row>
    <row r="1171" spans="1:40" x14ac:dyDescent="0.3">
      <c r="A1171" t="str">
        <f>"20200111153854271"</f>
        <v>20200111153854271</v>
      </c>
      <c r="B1171" t="str">
        <f>"1578728334261772"</f>
        <v>1578728334261772</v>
      </c>
      <c r="C1171" t="s">
        <v>40</v>
      </c>
      <c r="D1171">
        <v>5.166207</v>
      </c>
      <c r="E1171">
        <v>0.52706769999999903</v>
      </c>
      <c r="F1171" t="s">
        <v>41</v>
      </c>
      <c r="G1171">
        <v>-244.75309999999999</v>
      </c>
      <c r="H1171">
        <v>1.050746</v>
      </c>
      <c r="I1171">
        <v>283.93169999999998</v>
      </c>
      <c r="J1171">
        <v>-244.37110000000001</v>
      </c>
      <c r="K1171">
        <v>1.1049629999999999</v>
      </c>
      <c r="L1171">
        <v>283.88170000000002</v>
      </c>
      <c r="M1171">
        <v>-0.99662220000000001</v>
      </c>
      <c r="N1171">
        <v>0</v>
      </c>
      <c r="O1171">
        <v>8.2046579999999994E-2</v>
      </c>
      <c r="P1171">
        <v>-0.99883509999999998</v>
      </c>
      <c r="Q1171">
        <v>4.0061840000000001E-2</v>
      </c>
      <c r="R1171">
        <v>2.6900460000000001E-2</v>
      </c>
      <c r="S1171">
        <v>-3.0029750000000002</v>
      </c>
      <c r="T1171">
        <v>-0.19814789999999999</v>
      </c>
      <c r="U1171">
        <v>0.31359860000000001</v>
      </c>
      <c r="V1171">
        <v>-5.5363629999999997E-2</v>
      </c>
      <c r="W1171">
        <v>4.3324559999999998E-2</v>
      </c>
      <c r="X1171">
        <v>0.99752589999999997</v>
      </c>
      <c r="Y1171">
        <v>2.203948E-2</v>
      </c>
      <c r="Z1171">
        <v>-4.6586149999999996E-3</v>
      </c>
      <c r="AA1171">
        <v>0.99974629999999998</v>
      </c>
      <c r="AB1171">
        <v>45</v>
      </c>
      <c r="AC1171">
        <v>-0.38199999999997603</v>
      </c>
      <c r="AD1171">
        <v>-5.4216999999999897E-2</v>
      </c>
      <c r="AE1171">
        <v>4.9999999999954498E-2</v>
      </c>
      <c r="AF1171">
        <v>1.8130367156818102E-2</v>
      </c>
      <c r="AG1171">
        <v>-5.4216999999999897E-2</v>
      </c>
      <c r="AH1171">
        <v>0.377341317048216</v>
      </c>
      <c r="AI1171">
        <v>98.167095106405398</v>
      </c>
      <c r="AJ1171">
        <v>87.249187408945801</v>
      </c>
      <c r="AK1171">
        <v>0.38164730164632799</v>
      </c>
      <c r="AL1171">
        <v>87.516908435346707</v>
      </c>
      <c r="AM1171">
        <v>93.176710777222297</v>
      </c>
      <c r="AN1171">
        <v>1.00000003509838</v>
      </c>
    </row>
    <row r="1172" spans="1:40" x14ac:dyDescent="0.3">
      <c r="A1172" t="str">
        <f>"20200111153854295"</f>
        <v>20200111153854295</v>
      </c>
      <c r="B1172" t="str">
        <f>"1578728334292028"</f>
        <v>1578728334292028</v>
      </c>
      <c r="C1172" t="s">
        <v>40</v>
      </c>
      <c r="D1172">
        <v>5.1631879999999999</v>
      </c>
      <c r="E1172">
        <v>0.52707109999999902</v>
      </c>
      <c r="F1172" t="s">
        <v>41</v>
      </c>
      <c r="G1172">
        <v>-245.1593</v>
      </c>
      <c r="H1172">
        <v>1.0533399999999999</v>
      </c>
      <c r="I1172">
        <v>283.96140000000003</v>
      </c>
      <c r="J1172">
        <v>-244.845</v>
      </c>
      <c r="K1172">
        <v>1.105084</v>
      </c>
      <c r="L1172">
        <v>283.9194</v>
      </c>
      <c r="M1172">
        <v>-0.99681140000000001</v>
      </c>
      <c r="N1172">
        <v>0</v>
      </c>
      <c r="O1172">
        <v>7.9715040000000001E-2</v>
      </c>
      <c r="P1172">
        <v>-0.99899170000000004</v>
      </c>
      <c r="Q1172">
        <v>3.7581040000000003E-2</v>
      </c>
      <c r="R1172">
        <v>2.456407E-2</v>
      </c>
      <c r="S1172">
        <v>-3.0032350000000001</v>
      </c>
      <c r="T1172">
        <v>-0.19683</v>
      </c>
      <c r="U1172">
        <v>0.30313109999999999</v>
      </c>
      <c r="V1172">
        <v>-5.5372270000000001E-2</v>
      </c>
      <c r="W1172">
        <v>4.0849110000000001E-2</v>
      </c>
      <c r="X1172">
        <v>0.99762980000000001</v>
      </c>
      <c r="Y1172">
        <v>2.0916819999999999E-2</v>
      </c>
      <c r="Z1172">
        <v>-4.5133909999999899E-3</v>
      </c>
      <c r="AA1172">
        <v>0.99977110000000002</v>
      </c>
      <c r="AB1172">
        <v>45</v>
      </c>
      <c r="AC1172">
        <v>-0.31430000000000202</v>
      </c>
      <c r="AD1172">
        <v>-5.1743999999999998E-2</v>
      </c>
      <c r="AE1172">
        <v>4.2000000000029999E-2</v>
      </c>
      <c r="AF1172">
        <v>1.63756894053146E-2</v>
      </c>
      <c r="AG1172">
        <v>-5.1743999999999998E-2</v>
      </c>
      <c r="AH1172">
        <v>0.308434729453124</v>
      </c>
      <c r="AI1172">
        <v>99.510291084683004</v>
      </c>
      <c r="AJ1172">
        <v>86.960855299398801</v>
      </c>
      <c r="AK1172">
        <v>0.31317341373801399</v>
      </c>
      <c r="AL1172">
        <v>87.658866951906404</v>
      </c>
      <c r="AM1172">
        <v>93.176875298224104</v>
      </c>
      <c r="AN1172">
        <v>0.99999997796039197</v>
      </c>
    </row>
    <row r="1173" spans="1:40" x14ac:dyDescent="0.3">
      <c r="A1173" t="str">
        <f>"20200111153854316"</f>
        <v>20200111153854316</v>
      </c>
      <c r="B1173" t="str">
        <f>"1578728334311548"</f>
        <v>1578728334311548</v>
      </c>
      <c r="C1173" t="s">
        <v>40</v>
      </c>
      <c r="D1173">
        <v>5.1525699999999999</v>
      </c>
      <c r="E1173">
        <v>0.52673449999999999</v>
      </c>
      <c r="F1173" t="s">
        <v>41</v>
      </c>
      <c r="G1173">
        <v>-245.94300000000001</v>
      </c>
      <c r="H1173">
        <v>1.0321089999999999</v>
      </c>
      <c r="I1173">
        <v>284.02749999999997</v>
      </c>
      <c r="J1173">
        <v>-245.256</v>
      </c>
      <c r="K1173">
        <v>1.105175</v>
      </c>
      <c r="L1173">
        <v>283.95119999999997</v>
      </c>
      <c r="M1173">
        <v>-0.99697650000000004</v>
      </c>
      <c r="N1173">
        <v>0</v>
      </c>
      <c r="O1173">
        <v>7.7619289999999994E-2</v>
      </c>
      <c r="P1173">
        <v>-0.99908110000000006</v>
      </c>
      <c r="Q1173">
        <v>3.6247469999999997E-2</v>
      </c>
      <c r="R1173">
        <v>2.28667E-2</v>
      </c>
      <c r="S1173">
        <v>-3.0032649999999999</v>
      </c>
      <c r="T1173">
        <v>-0.1995121</v>
      </c>
      <c r="U1173">
        <v>0.29586790000000002</v>
      </c>
      <c r="V1173">
        <v>-5.4977980000000003E-2</v>
      </c>
      <c r="W1173">
        <v>3.952315E-2</v>
      </c>
      <c r="X1173">
        <v>0.99770499999999995</v>
      </c>
      <c r="Y1173">
        <v>2.062309E-2</v>
      </c>
      <c r="Z1173">
        <v>-4.4469599999999998E-3</v>
      </c>
      <c r="AA1173">
        <v>0.99977740000000004</v>
      </c>
      <c r="AB1173">
        <v>45</v>
      </c>
      <c r="AC1173">
        <v>-0.68700000000001105</v>
      </c>
      <c r="AD1173">
        <v>-7.3066000000000006E-2</v>
      </c>
      <c r="AE1173">
        <v>7.6300000000003296E-2</v>
      </c>
      <c r="AF1173">
        <v>2.2493668573554702E-2</v>
      </c>
      <c r="AG1173">
        <v>-7.3066000000000006E-2</v>
      </c>
      <c r="AH1173">
        <v>0.68321575673009305</v>
      </c>
      <c r="AI1173">
        <v>96.100972705881603</v>
      </c>
      <c r="AJ1173">
        <v>88.114319074822902</v>
      </c>
      <c r="AK1173">
        <v>0.68747972750196096</v>
      </c>
      <c r="AL1173">
        <v>87.734900254483506</v>
      </c>
      <c r="AM1173">
        <v>93.154062258175102</v>
      </c>
      <c r="AN1173">
        <v>0.99999996234790001</v>
      </c>
    </row>
    <row r="1174" spans="1:40" x14ac:dyDescent="0.3">
      <c r="A1174" t="str">
        <f>"20200111153854338"</f>
        <v>20200111153854338</v>
      </c>
      <c r="B1174" t="str">
        <f>"1578728334332044"</f>
        <v>1578728334332044</v>
      </c>
      <c r="C1174" t="s">
        <v>40</v>
      </c>
      <c r="D1174">
        <v>5.0122489999999997</v>
      </c>
      <c r="E1174">
        <v>0.50177939999999999</v>
      </c>
      <c r="F1174" t="s">
        <v>41</v>
      </c>
      <c r="G1174">
        <v>-246.34700000000001</v>
      </c>
      <c r="H1174">
        <v>1.033399</v>
      </c>
      <c r="I1174">
        <v>284.05599999999998</v>
      </c>
      <c r="J1174">
        <v>-245.71510000000001</v>
      </c>
      <c r="K1174">
        <v>1.105261</v>
      </c>
      <c r="L1174">
        <v>283.98559999999998</v>
      </c>
      <c r="M1174">
        <v>-0.99716059999999995</v>
      </c>
      <c r="N1174">
        <v>0</v>
      </c>
      <c r="O1174">
        <v>7.5218350000000003E-2</v>
      </c>
      <c r="P1174">
        <v>-0.99918309999999999</v>
      </c>
      <c r="Q1174">
        <v>3.4944290000000003E-2</v>
      </c>
      <c r="R1174">
        <v>2.030444E-2</v>
      </c>
      <c r="S1174">
        <v>-3.0033720000000002</v>
      </c>
      <c r="T1174">
        <v>-0.1977283</v>
      </c>
      <c r="U1174">
        <v>0.2881165</v>
      </c>
      <c r="V1174">
        <v>-5.514061E-2</v>
      </c>
      <c r="W1174">
        <v>3.8226650000000001E-2</v>
      </c>
      <c r="X1174">
        <v>0.99774660000000004</v>
      </c>
      <c r="Y1174">
        <v>2.0463990000000001E-2</v>
      </c>
      <c r="Z1174">
        <v>-4.2561220000000002E-3</v>
      </c>
      <c r="AA1174">
        <v>0.99978149999999999</v>
      </c>
      <c r="AB1174">
        <v>45</v>
      </c>
      <c r="AC1174">
        <v>-0.63190000000000102</v>
      </c>
      <c r="AD1174">
        <v>-7.1861999999999995E-2</v>
      </c>
      <c r="AE1174">
        <v>7.0400000000006402E-2</v>
      </c>
      <c r="AF1174">
        <v>2.23838348222078E-2</v>
      </c>
      <c r="AG1174">
        <v>-7.1861999999999995E-2</v>
      </c>
      <c r="AH1174">
        <v>0.62739065216069601</v>
      </c>
      <c r="AI1174">
        <v>96.530124970294096</v>
      </c>
      <c r="AJ1174">
        <v>87.9566869338299</v>
      </c>
      <c r="AK1174">
        <v>0.63188939975597902</v>
      </c>
      <c r="AL1174">
        <v>87.809240563443694</v>
      </c>
      <c r="AM1174">
        <v>93.163241722300597</v>
      </c>
      <c r="AN1174">
        <v>1.0000000207264701</v>
      </c>
    </row>
    <row r="1175" spans="1:40" x14ac:dyDescent="0.3">
      <c r="A1175" t="str">
        <f>"20200111153854361"</f>
        <v>20200111153854361</v>
      </c>
      <c r="B1175" t="str">
        <f>"1578728334351564"</f>
        <v>1578728334351564</v>
      </c>
      <c r="C1175" t="s">
        <v>40</v>
      </c>
      <c r="D1175">
        <v>5.1700739999999996</v>
      </c>
      <c r="E1175">
        <v>0.4827553</v>
      </c>
      <c r="F1175" t="s">
        <v>55</v>
      </c>
      <c r="G1175">
        <v>-264.40499999999997</v>
      </c>
      <c r="H1175" s="1">
        <v>8.0734689999999996E-7</v>
      </c>
      <c r="I1175">
        <v>284.49029999999999</v>
      </c>
      <c r="J1175">
        <v>-246.16</v>
      </c>
      <c r="K1175">
        <v>1.105334</v>
      </c>
      <c r="L1175">
        <v>284.0179</v>
      </c>
      <c r="M1175">
        <v>-0.99733629999999995</v>
      </c>
      <c r="N1175">
        <v>0</v>
      </c>
      <c r="O1175">
        <v>7.2851180000000001E-2</v>
      </c>
      <c r="P1175">
        <v>-0.99930660000000004</v>
      </c>
      <c r="Q1175">
        <v>3.3476069999999997E-2</v>
      </c>
      <c r="R1175">
        <v>1.6291070000000001E-2</v>
      </c>
      <c r="S1175">
        <v>-3.0070190000000001</v>
      </c>
      <c r="T1175">
        <v>-0.1778247</v>
      </c>
      <c r="U1175">
        <v>8.1207280000000007E-2</v>
      </c>
      <c r="V1175">
        <v>-5.6783149999999998E-2</v>
      </c>
      <c r="W1175">
        <v>3.6757119999999997E-2</v>
      </c>
      <c r="X1175">
        <v>0.99770970000000003</v>
      </c>
      <c r="Y1175">
        <v>-4.5694100000000001E-2</v>
      </c>
      <c r="Z1175">
        <v>-5.6494040000000002E-3</v>
      </c>
      <c r="AA1175">
        <v>0.99893949999999998</v>
      </c>
      <c r="AB1175">
        <v>45</v>
      </c>
      <c r="AC1175">
        <v>-18.244999999999902</v>
      </c>
      <c r="AD1175">
        <v>-1.1053331926531</v>
      </c>
      <c r="AE1175">
        <v>0.47239999999999299</v>
      </c>
      <c r="AF1175">
        <v>-0.85489808306813697</v>
      </c>
      <c r="AG1175">
        <v>-1.1053331926531</v>
      </c>
      <c r="AH1175">
        <v>18.164310921171499</v>
      </c>
      <c r="AI1175">
        <v>93.478423291097499</v>
      </c>
      <c r="AJ1175">
        <v>92.694620994508597</v>
      </c>
      <c r="AK1175">
        <v>18.217980223949201</v>
      </c>
      <c r="AL1175">
        <v>87.893497691526903</v>
      </c>
      <c r="AM1175">
        <v>93.257389268513407</v>
      </c>
      <c r="AN1175">
        <v>1.00000002873435</v>
      </c>
    </row>
    <row r="1176" spans="1:40" x14ac:dyDescent="0.3">
      <c r="A1176" t="str">
        <f>"20200111153854383"</f>
        <v>20200111153854383</v>
      </c>
      <c r="B1176" t="str">
        <f>"1578728334381819"</f>
        <v>1578728334381819</v>
      </c>
      <c r="C1176" t="s">
        <v>40</v>
      </c>
      <c r="D1176">
        <v>5.0285900000000003</v>
      </c>
      <c r="E1176">
        <v>0.47185060000000001</v>
      </c>
      <c r="F1176" t="s">
        <v>55</v>
      </c>
      <c r="G1176">
        <v>-264.57870000000003</v>
      </c>
      <c r="H1176" s="1">
        <v>8.997553E-7</v>
      </c>
      <c r="I1176">
        <v>283.51639999999998</v>
      </c>
      <c r="J1176">
        <v>-246.6318</v>
      </c>
      <c r="K1176">
        <v>1.1054079999999999</v>
      </c>
      <c r="L1176">
        <v>284.05090000000001</v>
      </c>
      <c r="M1176">
        <v>-0.99751820000000002</v>
      </c>
      <c r="N1176">
        <v>0</v>
      </c>
      <c r="O1176">
        <v>7.0313429999999996E-2</v>
      </c>
      <c r="P1176">
        <v>-0.99942390000000003</v>
      </c>
      <c r="Q1176">
        <v>3.1960870000000002E-2</v>
      </c>
      <c r="R1176">
        <v>1.14223E-2</v>
      </c>
      <c r="S1176">
        <v>-3.0094759999999998</v>
      </c>
      <c r="T1176">
        <v>-0.18060300000000001</v>
      </c>
      <c r="U1176">
        <v>-8.1939699999999893E-2</v>
      </c>
      <c r="V1176">
        <v>-5.910692E-2</v>
      </c>
      <c r="W1176">
        <v>3.5237480000000002E-2</v>
      </c>
      <c r="X1176">
        <v>0.99762949999999995</v>
      </c>
      <c r="Y1176">
        <v>-9.7136620000000007E-2</v>
      </c>
      <c r="Z1176">
        <v>-7.124961E-3</v>
      </c>
      <c r="AA1176">
        <v>0.99524559999999995</v>
      </c>
      <c r="AB1176">
        <v>45</v>
      </c>
      <c r="AC1176">
        <v>-17.946899999999999</v>
      </c>
      <c r="AD1176">
        <v>-1.1054071002446999</v>
      </c>
      <c r="AE1176">
        <v>-0.53450000000003595</v>
      </c>
      <c r="AF1176">
        <v>-1.7883152972822101</v>
      </c>
      <c r="AG1176">
        <v>-1.1054071002446999</v>
      </c>
      <c r="AH1176">
        <v>17.797438390460801</v>
      </c>
      <c r="AI1176">
        <v>93.536339675710096</v>
      </c>
      <c r="AJ1176">
        <v>95.737912951129701</v>
      </c>
      <c r="AK1176">
        <v>17.9211832679099</v>
      </c>
      <c r="AL1176">
        <v>87.980622991406406</v>
      </c>
      <c r="AM1176">
        <v>93.390660363543603</v>
      </c>
      <c r="AN1176">
        <v>0.99999996362944199</v>
      </c>
    </row>
    <row r="1177" spans="1:40" x14ac:dyDescent="0.3">
      <c r="A1177" t="str">
        <f>"20200111153854405"</f>
        <v>20200111153854405</v>
      </c>
      <c r="B1177" t="str">
        <f>"1578728334401340"</f>
        <v>1578728334401340</v>
      </c>
      <c r="C1177" t="s">
        <v>40</v>
      </c>
      <c r="D1177">
        <v>5.0002700000000004</v>
      </c>
      <c r="E1177">
        <v>0.46972589999999997</v>
      </c>
      <c r="F1177" t="s">
        <v>55</v>
      </c>
      <c r="G1177">
        <v>-262.9067</v>
      </c>
      <c r="H1177" s="1">
        <v>9.9976209999999995E-9</v>
      </c>
      <c r="I1177">
        <v>283.06270000000001</v>
      </c>
      <c r="J1177">
        <v>-247.06710000000001</v>
      </c>
      <c r="K1177">
        <v>1.1054740000000001</v>
      </c>
      <c r="L1177">
        <v>284.0804</v>
      </c>
      <c r="M1177">
        <v>-0.99768109999999999</v>
      </c>
      <c r="N1177">
        <v>0</v>
      </c>
      <c r="O1177">
        <v>6.796286E-2</v>
      </c>
      <c r="P1177">
        <v>-0.99948910000000002</v>
      </c>
      <c r="Q1177">
        <v>3.122875E-2</v>
      </c>
      <c r="R1177">
        <v>6.8054469999999897E-3</v>
      </c>
      <c r="S1177">
        <v>-3.0103610000000001</v>
      </c>
      <c r="T1177">
        <v>-0.2044677</v>
      </c>
      <c r="U1177">
        <v>-0.1828003</v>
      </c>
      <c r="V1177">
        <v>-6.1366990000000003E-2</v>
      </c>
      <c r="W1177">
        <v>3.450073E-2</v>
      </c>
      <c r="X1177">
        <v>0.99751880000000004</v>
      </c>
      <c r="Y1177">
        <v>-0.12786049999999999</v>
      </c>
      <c r="Z1177">
        <v>-8.9395740000000005E-3</v>
      </c>
      <c r="AA1177">
        <v>0.99175179999999996</v>
      </c>
      <c r="AB1177">
        <v>46</v>
      </c>
      <c r="AC1177">
        <v>-15.8395999999999</v>
      </c>
      <c r="AD1177">
        <v>-1.10547399000237</v>
      </c>
      <c r="AE1177">
        <v>-1.0176999999999901</v>
      </c>
      <c r="AF1177">
        <v>-2.0817603181014701</v>
      </c>
      <c r="AG1177">
        <v>-1.10547399000237</v>
      </c>
      <c r="AH1177">
        <v>15.657855534945501</v>
      </c>
      <c r="AI1177">
        <v>94.003376513793199</v>
      </c>
      <c r="AJ1177">
        <v>97.573236663303405</v>
      </c>
      <c r="AK1177">
        <v>15.8342741771708</v>
      </c>
      <c r="AL1177">
        <v>88.022861381634101</v>
      </c>
      <c r="AM1177">
        <v>93.520378622017006</v>
      </c>
      <c r="AN1177">
        <v>0.99999998209281604</v>
      </c>
    </row>
    <row r="1178" spans="1:40" x14ac:dyDescent="0.3">
      <c r="A1178" t="str">
        <f>"20200111153854426"</f>
        <v>20200111153854426</v>
      </c>
      <c r="B1178" t="str">
        <f>"1578728334421836"</f>
        <v>1578728334421836</v>
      </c>
      <c r="C1178" t="s">
        <v>40</v>
      </c>
      <c r="D1178">
        <v>5.0236140000000002</v>
      </c>
      <c r="E1178">
        <v>0.46872849999999999</v>
      </c>
      <c r="F1178" t="s">
        <v>55</v>
      </c>
      <c r="G1178">
        <v>-262.93830000000003</v>
      </c>
      <c r="H1178" s="1">
        <v>2.68119E-8</v>
      </c>
      <c r="I1178">
        <v>282.95359999999999</v>
      </c>
      <c r="J1178">
        <v>-247.5119</v>
      </c>
      <c r="K1178">
        <v>1.105532</v>
      </c>
      <c r="L1178">
        <v>284.1096</v>
      </c>
      <c r="M1178">
        <v>-0.9978416</v>
      </c>
      <c r="N1178">
        <v>0</v>
      </c>
      <c r="O1178">
        <v>6.5563440000000001E-2</v>
      </c>
      <c r="P1178">
        <v>-0.99947490000000005</v>
      </c>
      <c r="Q1178">
        <v>3.2359699999999998E-2</v>
      </c>
      <c r="R1178">
        <v>1.697385E-3</v>
      </c>
      <c r="S1178">
        <v>-3.0095519999999998</v>
      </c>
      <c r="T1178">
        <v>-0.20962420000000001</v>
      </c>
      <c r="U1178">
        <v>-0.21368409999999999</v>
      </c>
      <c r="V1178">
        <v>-6.4076419999999995E-2</v>
      </c>
      <c r="W1178">
        <v>3.5624900000000001E-2</v>
      </c>
      <c r="X1178">
        <v>0.99730890000000005</v>
      </c>
      <c r="Y1178">
        <v>-0.13558519999999999</v>
      </c>
      <c r="Z1178">
        <v>-9.2660060000000002E-3</v>
      </c>
      <c r="AA1178">
        <v>0.9907224</v>
      </c>
      <c r="AB1178">
        <v>46</v>
      </c>
      <c r="AC1178">
        <v>-15.426399999999999</v>
      </c>
      <c r="AD1178">
        <v>-1.1055319731880999</v>
      </c>
      <c r="AE1178">
        <v>-1.1559999999999999</v>
      </c>
      <c r="AF1178">
        <v>-2.1539269358717199</v>
      </c>
      <c r="AG1178">
        <v>-1.1055319731880999</v>
      </c>
      <c r="AH1178">
        <v>15.2395849397211</v>
      </c>
      <c r="AI1178">
        <v>94.108473665136302</v>
      </c>
      <c r="AJ1178">
        <v>98.044764258958196</v>
      </c>
      <c r="AK1178">
        <v>15.4307015823581</v>
      </c>
      <c r="AL1178">
        <v>87.958411549999894</v>
      </c>
      <c r="AM1178">
        <v>93.676162137244205</v>
      </c>
      <c r="AN1178">
        <v>0.999999981559618</v>
      </c>
    </row>
    <row r="1179" spans="1:40" x14ac:dyDescent="0.3">
      <c r="A1179" t="str">
        <f>"20200111153854450"</f>
        <v>20200111153854450</v>
      </c>
      <c r="B1179" t="str">
        <f>"1578728334441356"</f>
        <v>1578728334441356</v>
      </c>
      <c r="C1179" t="s">
        <v>40</v>
      </c>
      <c r="D1179">
        <v>5.0311469999999998</v>
      </c>
      <c r="E1179">
        <v>0.46782410000000002</v>
      </c>
      <c r="F1179" t="s">
        <v>55</v>
      </c>
      <c r="G1179">
        <v>-263.47430000000003</v>
      </c>
      <c r="H1179" s="1">
        <v>3.1208690000000002E-7</v>
      </c>
      <c r="I1179">
        <v>282.85410000000002</v>
      </c>
      <c r="J1179">
        <v>-247.9949</v>
      </c>
      <c r="K1179">
        <v>1.1055889999999999</v>
      </c>
      <c r="L1179">
        <v>284.14</v>
      </c>
      <c r="M1179">
        <v>-0.99800889999999998</v>
      </c>
      <c r="N1179">
        <v>0</v>
      </c>
      <c r="O1179">
        <v>6.2964660000000006E-2</v>
      </c>
      <c r="P1179">
        <v>-0.99940850000000003</v>
      </c>
      <c r="Q1179">
        <v>3.411024E-2</v>
      </c>
      <c r="R1179">
        <v>-4.3878770000000001E-3</v>
      </c>
      <c r="S1179">
        <v>-3.0087130000000002</v>
      </c>
      <c r="T1179">
        <v>-0.2083777</v>
      </c>
      <c r="U1179">
        <v>-0.23663329999999999</v>
      </c>
      <c r="V1179">
        <v>-6.7564199999999894E-2</v>
      </c>
      <c r="W1179">
        <v>3.7364670000000003E-2</v>
      </c>
      <c r="X1179">
        <v>0.99701499999999998</v>
      </c>
      <c r="Y1179">
        <v>-0.140538</v>
      </c>
      <c r="Z1179">
        <v>-9.2028679999999995E-3</v>
      </c>
      <c r="AA1179">
        <v>0.99003249999999998</v>
      </c>
      <c r="AB1179">
        <v>46</v>
      </c>
      <c r="AC1179">
        <v>-15.4794</v>
      </c>
      <c r="AD1179">
        <v>-1.1055886879130901</v>
      </c>
      <c r="AE1179">
        <v>-1.2858999999999601</v>
      </c>
      <c r="AF1179">
        <v>-2.2466281294231698</v>
      </c>
      <c r="AG1179">
        <v>-1.1055886879130901</v>
      </c>
      <c r="AH1179">
        <v>15.290252643075201</v>
      </c>
      <c r="AI1179">
        <v>94.091892457943501</v>
      </c>
      <c r="AJ1179">
        <v>98.358776031740206</v>
      </c>
      <c r="AK1179">
        <v>15.493917845006999</v>
      </c>
      <c r="AL1179">
        <v>87.858663595305003</v>
      </c>
      <c r="AM1179">
        <v>93.876806234719396</v>
      </c>
      <c r="AN1179">
        <v>0.99999997495542403</v>
      </c>
    </row>
    <row r="1180" spans="1:40" x14ac:dyDescent="0.3">
      <c r="A1180" t="str">
        <f>"20200111153854475"</f>
        <v>20200111153854475</v>
      </c>
      <c r="B1180" t="str">
        <f>"1578728334471611"</f>
        <v>1578728334471611</v>
      </c>
      <c r="C1180" t="s">
        <v>40</v>
      </c>
      <c r="D1180">
        <v>5.0069949999999999</v>
      </c>
      <c r="E1180">
        <v>0.46746470000000001</v>
      </c>
      <c r="F1180" t="s">
        <v>55</v>
      </c>
      <c r="G1180">
        <v>-264.23930000000001</v>
      </c>
      <c r="H1180" s="1">
        <v>7.191328E-7</v>
      </c>
      <c r="I1180">
        <v>282.72789999999998</v>
      </c>
      <c r="J1180">
        <v>-248.4941</v>
      </c>
      <c r="K1180">
        <v>1.105634</v>
      </c>
      <c r="L1180">
        <v>284.17020000000002</v>
      </c>
      <c r="M1180">
        <v>-0.99817400000000001</v>
      </c>
      <c r="N1180">
        <v>0</v>
      </c>
      <c r="O1180">
        <v>6.0289080000000002E-2</v>
      </c>
      <c r="P1180">
        <v>-0.99931440000000005</v>
      </c>
      <c r="Q1180">
        <v>3.5517470000000002E-2</v>
      </c>
      <c r="R1180">
        <v>-1.0456679999999999E-2</v>
      </c>
      <c r="S1180">
        <v>-3.0076290000000001</v>
      </c>
      <c r="T1180">
        <v>-0.20469889999999999</v>
      </c>
      <c r="U1180">
        <v>-0.26144410000000001</v>
      </c>
      <c r="V1180">
        <v>-7.0957779999999998E-2</v>
      </c>
      <c r="W1180">
        <v>3.876222E-2</v>
      </c>
      <c r="X1180">
        <v>0.99672590000000005</v>
      </c>
      <c r="Y1180">
        <v>-0.14603160000000001</v>
      </c>
      <c r="Z1180">
        <v>-9.0460769999999996E-3</v>
      </c>
      <c r="AA1180">
        <v>0.98923859999999997</v>
      </c>
      <c r="AB1180">
        <v>46</v>
      </c>
      <c r="AC1180">
        <v>-15.745200000000001</v>
      </c>
      <c r="AD1180">
        <v>-1.10563328086719</v>
      </c>
      <c r="AE1180">
        <v>-1.4423000000000401</v>
      </c>
      <c r="AF1180">
        <v>-2.3773217942337701</v>
      </c>
      <c r="AG1180">
        <v>-1.10563328086719</v>
      </c>
      <c r="AH1180">
        <v>15.5535481413781</v>
      </c>
      <c r="AI1180">
        <v>94.019538932246405</v>
      </c>
      <c r="AJ1180">
        <v>98.6902612544677</v>
      </c>
      <c r="AK1180">
        <v>15.772981444586399</v>
      </c>
      <c r="AL1180">
        <v>87.778531896175096</v>
      </c>
      <c r="AM1180">
        <v>94.072066168925801</v>
      </c>
      <c r="AN1180">
        <v>1.00000001798633</v>
      </c>
    </row>
    <row r="1181" spans="1:40" x14ac:dyDescent="0.3">
      <c r="A1181" t="str">
        <f>"20200111153854496"</f>
        <v>20200111153854496</v>
      </c>
      <c r="B1181" t="str">
        <f>"1578728334492108"</f>
        <v>1578728334492108</v>
      </c>
      <c r="C1181" t="s">
        <v>40</v>
      </c>
      <c r="D1181">
        <v>5.0488109999999997</v>
      </c>
      <c r="E1181">
        <v>0.46729349999999997</v>
      </c>
      <c r="F1181" t="s">
        <v>55</v>
      </c>
      <c r="G1181">
        <v>-265.11829999999998</v>
      </c>
      <c r="H1181" s="1">
        <v>1.1869199999999999E-6</v>
      </c>
      <c r="I1181">
        <v>282.60829999999999</v>
      </c>
      <c r="J1181">
        <v>-248.9316</v>
      </c>
      <c r="K1181">
        <v>1.1056649999999999</v>
      </c>
      <c r="L1181">
        <v>284.19549999999998</v>
      </c>
      <c r="M1181">
        <v>-0.99831219999999998</v>
      </c>
      <c r="N1181">
        <v>0</v>
      </c>
      <c r="O1181">
        <v>5.7954289999999999E-2</v>
      </c>
      <c r="P1181">
        <v>-0.99925920000000001</v>
      </c>
      <c r="Q1181">
        <v>3.5806459999999998E-2</v>
      </c>
      <c r="R1181">
        <v>-1.4113219999999999E-2</v>
      </c>
      <c r="S1181">
        <v>-3.0062099999999998</v>
      </c>
      <c r="T1181">
        <v>-0.1999349</v>
      </c>
      <c r="U1181">
        <v>-0.28244019999999997</v>
      </c>
      <c r="V1181">
        <v>-7.2278640000000005E-2</v>
      </c>
      <c r="W1181">
        <v>3.9055729999999997E-2</v>
      </c>
      <c r="X1181">
        <v>0.99661949999999999</v>
      </c>
      <c r="Y1181">
        <v>-0.15062639999999999</v>
      </c>
      <c r="Z1181">
        <v>-8.8351109999999997E-3</v>
      </c>
      <c r="AA1181">
        <v>0.98855130000000002</v>
      </c>
      <c r="AB1181">
        <v>46</v>
      </c>
      <c r="AC1181">
        <v>-16.186699999999899</v>
      </c>
      <c r="AD1181">
        <v>-1.1056638130799901</v>
      </c>
      <c r="AE1181">
        <v>-1.58719999999999</v>
      </c>
      <c r="AF1181">
        <v>-2.5110231050793401</v>
      </c>
      <c r="AG1181">
        <v>-1.1056638130799901</v>
      </c>
      <c r="AH1181">
        <v>15.9935950871812</v>
      </c>
      <c r="AI1181">
        <v>93.906952205813198</v>
      </c>
      <c r="AJ1181">
        <v>98.922702324911498</v>
      </c>
      <c r="AK1181">
        <v>16.227224448885298</v>
      </c>
      <c r="AL1181">
        <v>87.761702204998102</v>
      </c>
      <c r="AM1181">
        <v>94.148045716543095</v>
      </c>
      <c r="AN1181">
        <v>0.99999998981316596</v>
      </c>
    </row>
    <row r="1182" spans="1:40" x14ac:dyDescent="0.3">
      <c r="A1182" t="str">
        <f>"20200111153854516"</f>
        <v>20200111153854516</v>
      </c>
      <c r="B1182" t="str">
        <f>"1578728334511628"</f>
        <v>1578728334511628</v>
      </c>
      <c r="C1182" t="s">
        <v>40</v>
      </c>
      <c r="D1182">
        <v>5.0372870000000001</v>
      </c>
      <c r="E1182">
        <v>0.46717340000000002</v>
      </c>
      <c r="F1182" t="s">
        <v>55</v>
      </c>
      <c r="G1182">
        <v>-265.57819999999998</v>
      </c>
      <c r="H1182" s="1">
        <v>1.431668E-6</v>
      </c>
      <c r="I1182">
        <v>282.56349999999998</v>
      </c>
      <c r="J1182">
        <v>-249.3579</v>
      </c>
      <c r="K1182">
        <v>1.105685</v>
      </c>
      <c r="L1182">
        <v>284.2192</v>
      </c>
      <c r="M1182">
        <v>-0.99844120000000003</v>
      </c>
      <c r="N1182">
        <v>0</v>
      </c>
      <c r="O1182">
        <v>5.568613E-2</v>
      </c>
      <c r="P1182">
        <v>-0.99924619999999997</v>
      </c>
      <c r="Q1182">
        <v>3.4978049999999997E-2</v>
      </c>
      <c r="R1182">
        <v>-1.683985E-2</v>
      </c>
      <c r="S1182">
        <v>-3.0052189999999999</v>
      </c>
      <c r="T1182">
        <v>-0.19960559999999999</v>
      </c>
      <c r="U1182">
        <v>-0.29461670000000001</v>
      </c>
      <c r="V1182">
        <v>-7.2733350000000002E-2</v>
      </c>
      <c r="W1182">
        <v>3.8238090000000002E-2</v>
      </c>
      <c r="X1182">
        <v>0.99661820000000001</v>
      </c>
      <c r="Y1182">
        <v>-0.15238209999999999</v>
      </c>
      <c r="Z1182">
        <v>-8.7298489999999996E-3</v>
      </c>
      <c r="AA1182">
        <v>0.98828309999999997</v>
      </c>
      <c r="AB1182">
        <v>46</v>
      </c>
      <c r="AC1182">
        <v>-16.220299999999899</v>
      </c>
      <c r="AD1182">
        <v>-1.1056835683319901</v>
      </c>
      <c r="AE1182">
        <v>-1.6557000000000199</v>
      </c>
      <c r="AF1182">
        <v>-2.5446805960568302</v>
      </c>
      <c r="AG1182">
        <v>-1.1056835683319901</v>
      </c>
      <c r="AH1182">
        <v>16.029216032530201</v>
      </c>
      <c r="AI1182">
        <v>93.8973182107122</v>
      </c>
      <c r="AJ1182">
        <v>99.020579667939899</v>
      </c>
      <c r="AK1182">
        <v>16.267565955199</v>
      </c>
      <c r="AL1182">
        <v>87.808584715369307</v>
      </c>
      <c r="AM1182">
        <v>94.174054842694403</v>
      </c>
      <c r="AN1182">
        <v>1.0000000641501501</v>
      </c>
    </row>
    <row r="1183" spans="1:40" x14ac:dyDescent="0.3">
      <c r="A1183" t="str">
        <f>"20200111153854540"</f>
        <v>20200111153854540</v>
      </c>
      <c r="B1183" t="str">
        <f>"1578728334532124"</f>
        <v>1578728334532124</v>
      </c>
      <c r="C1183" t="s">
        <v>40</v>
      </c>
      <c r="D1183">
        <v>5.1152419999999896</v>
      </c>
      <c r="E1183">
        <v>0.46695249999999999</v>
      </c>
      <c r="F1183" t="s">
        <v>55</v>
      </c>
      <c r="G1183">
        <v>-265.733</v>
      </c>
      <c r="H1183" s="1">
        <v>1.5140119999999999E-6</v>
      </c>
      <c r="I1183">
        <v>282.56630000000001</v>
      </c>
      <c r="J1183">
        <v>-249.86070000000001</v>
      </c>
      <c r="K1183">
        <v>1.1057090000000001</v>
      </c>
      <c r="L1183">
        <v>284.24579999999997</v>
      </c>
      <c r="M1183">
        <v>-0.99858639999999999</v>
      </c>
      <c r="N1183">
        <v>0</v>
      </c>
      <c r="O1183">
        <v>5.3018559999999999E-2</v>
      </c>
      <c r="P1183">
        <v>-0.99923519999999999</v>
      </c>
      <c r="Q1183">
        <v>3.3888380000000003E-2</v>
      </c>
      <c r="R1183">
        <v>-1.9519359999999999E-2</v>
      </c>
      <c r="S1183">
        <v>-3.0042420000000001</v>
      </c>
      <c r="T1183">
        <v>-0.20285329999999999</v>
      </c>
      <c r="U1183">
        <v>-0.3032532</v>
      </c>
      <c r="V1183">
        <v>-7.2740579999999999E-2</v>
      </c>
      <c r="W1183">
        <v>3.7166449999999997E-2</v>
      </c>
      <c r="X1183">
        <v>0.99665809999999999</v>
      </c>
      <c r="Y1183">
        <v>-0.15257699999999999</v>
      </c>
      <c r="Z1183">
        <v>-8.700302E-3</v>
      </c>
      <c r="AA1183">
        <v>0.9882533</v>
      </c>
      <c r="AB1183">
        <v>47</v>
      </c>
      <c r="AC1183">
        <v>-15.8722999999999</v>
      </c>
      <c r="AD1183">
        <v>-1.1057074859880001</v>
      </c>
      <c r="AE1183">
        <v>-1.67949999999996</v>
      </c>
      <c r="AF1183">
        <v>-2.50664050509477</v>
      </c>
      <c r="AG1183">
        <v>-1.1057074859880001</v>
      </c>
      <c r="AH1183">
        <v>15.685652459115699</v>
      </c>
      <c r="AI1183">
        <v>93.981846819518097</v>
      </c>
      <c r="AJ1183">
        <v>99.079364321781696</v>
      </c>
      <c r="AK1183">
        <v>15.923113035286599</v>
      </c>
      <c r="AL1183">
        <v>87.870028611668999</v>
      </c>
      <c r="AM1183">
        <v>94.174301765504893</v>
      </c>
      <c r="AN1183">
        <v>0.99999995263997299</v>
      </c>
    </row>
    <row r="1184" spans="1:40" x14ac:dyDescent="0.3">
      <c r="A1184" t="str">
        <f>"20200111153854561"</f>
        <v>20200111153854561</v>
      </c>
      <c r="B1184" t="str">
        <f>"1578728334551643"</f>
        <v>1578728334551643</v>
      </c>
      <c r="C1184" t="s">
        <v>40</v>
      </c>
      <c r="D1184">
        <v>5.1181910000000004</v>
      </c>
      <c r="E1184">
        <v>0.466866</v>
      </c>
      <c r="F1184" t="s">
        <v>55</v>
      </c>
      <c r="G1184">
        <v>-265.85570000000001</v>
      </c>
      <c r="H1184" s="1">
        <v>1.579352E-6</v>
      </c>
      <c r="I1184">
        <v>282.58199999999999</v>
      </c>
      <c r="J1184">
        <v>-250.30260000000001</v>
      </c>
      <c r="K1184">
        <v>1.1057220000000001</v>
      </c>
      <c r="L1184">
        <v>284.26819999999998</v>
      </c>
      <c r="M1184">
        <v>-0.99870769999999998</v>
      </c>
      <c r="N1184">
        <v>0</v>
      </c>
      <c r="O1184">
        <v>5.0678809999999998E-2</v>
      </c>
      <c r="P1184">
        <v>-0.99922109999999997</v>
      </c>
      <c r="Q1184">
        <v>3.3704379999999999E-2</v>
      </c>
      <c r="R1184">
        <v>-2.0536849999999999E-2</v>
      </c>
      <c r="S1184">
        <v>-3.0032350000000001</v>
      </c>
      <c r="T1184">
        <v>-0.20760809999999999</v>
      </c>
      <c r="U1184">
        <v>-0.31240839999999998</v>
      </c>
      <c r="V1184">
        <v>-7.1421650000000003E-2</v>
      </c>
      <c r="W1184">
        <v>3.7009199999999999E-2</v>
      </c>
      <c r="X1184">
        <v>0.99675939999999996</v>
      </c>
      <c r="Y1184">
        <v>-0.1532579</v>
      </c>
      <c r="Z1184">
        <v>-8.7676890000000004E-3</v>
      </c>
      <c r="AA1184">
        <v>0.98814729999999995</v>
      </c>
      <c r="AB1184">
        <v>47</v>
      </c>
      <c r="AC1184">
        <v>-15.553100000000001</v>
      </c>
      <c r="AD1184">
        <v>-1.10572042064799</v>
      </c>
      <c r="AE1184">
        <v>-1.6861999999999799</v>
      </c>
      <c r="AF1184">
        <v>-2.4599627318181398</v>
      </c>
      <c r="AG1184">
        <v>-1.10572042064799</v>
      </c>
      <c r="AH1184">
        <v>15.3708730950716</v>
      </c>
      <c r="AI1184">
        <v>94.063018916802804</v>
      </c>
      <c r="AJ1184">
        <v>99.092541340401297</v>
      </c>
      <c r="AK1184">
        <v>15.605696844273499</v>
      </c>
      <c r="AL1184">
        <v>87.879044713384999</v>
      </c>
      <c r="AM1184">
        <v>94.098458649018696</v>
      </c>
      <c r="AN1184">
        <v>1.0000000172308601</v>
      </c>
    </row>
    <row r="1185" spans="1:40" x14ac:dyDescent="0.3">
      <c r="A1185" t="str">
        <f>"20200111153854584"</f>
        <v>20200111153854584</v>
      </c>
      <c r="B1185" t="str">
        <f>"1578728334581900"</f>
        <v>1578728334581900</v>
      </c>
      <c r="C1185" t="s">
        <v>40</v>
      </c>
      <c r="D1185">
        <v>5.2067610000000002</v>
      </c>
      <c r="E1185">
        <v>0.50564779999999998</v>
      </c>
      <c r="F1185" t="s">
        <v>55</v>
      </c>
      <c r="G1185">
        <v>-266.26760000000002</v>
      </c>
      <c r="H1185" s="1">
        <v>1.798501E-6</v>
      </c>
      <c r="I1185">
        <v>282.59109999999998</v>
      </c>
      <c r="J1185">
        <v>-250.77330000000001</v>
      </c>
      <c r="K1185">
        <v>1.1057440000000001</v>
      </c>
      <c r="L1185">
        <v>284.291</v>
      </c>
      <c r="M1185">
        <v>-0.99883080000000002</v>
      </c>
      <c r="N1185">
        <v>0</v>
      </c>
      <c r="O1185">
        <v>4.8189509999999998E-2</v>
      </c>
      <c r="P1185">
        <v>-0.99923229999999996</v>
      </c>
      <c r="Q1185">
        <v>3.3181019999999999E-2</v>
      </c>
      <c r="R1185">
        <v>-2.083256E-2</v>
      </c>
      <c r="S1185">
        <v>-3.002869</v>
      </c>
      <c r="T1185">
        <v>-0.2079754</v>
      </c>
      <c r="U1185">
        <v>-0.31546020000000002</v>
      </c>
      <c r="V1185">
        <v>-6.9231639999999997E-2</v>
      </c>
      <c r="W1185">
        <v>3.6520759999999999E-2</v>
      </c>
      <c r="X1185">
        <v>0.99693189999999998</v>
      </c>
      <c r="Y1185">
        <v>-0.15180839999999901</v>
      </c>
      <c r="Z1185">
        <v>-8.561997E-3</v>
      </c>
      <c r="AA1185">
        <v>0.9883729</v>
      </c>
      <c r="AB1185">
        <v>47</v>
      </c>
      <c r="AC1185">
        <v>-15.494300000000001</v>
      </c>
      <c r="AD1185">
        <v>-1.1057422014989999</v>
      </c>
      <c r="AE1185">
        <v>-1.69990000000001</v>
      </c>
      <c r="AF1185">
        <v>-2.4323529355753499</v>
      </c>
      <c r="AG1185">
        <v>-1.1057422014989999</v>
      </c>
      <c r="AH1185">
        <v>15.3172992233598</v>
      </c>
      <c r="AI1185">
        <v>94.078047142014597</v>
      </c>
      <c r="AJ1185">
        <v>99.023100942681296</v>
      </c>
      <c r="AK1185">
        <v>15.5485903578851</v>
      </c>
      <c r="AL1185">
        <v>87.907049159454701</v>
      </c>
      <c r="AM1185">
        <v>93.972510700567895</v>
      </c>
      <c r="AN1185">
        <v>0.99999999956283803</v>
      </c>
    </row>
    <row r="1186" spans="1:40" x14ac:dyDescent="0.3">
      <c r="A1186" t="str">
        <f>"20200111153854606"</f>
        <v>20200111153854606</v>
      </c>
      <c r="B1186" t="str">
        <f>"1578728334601421"</f>
        <v>1578728334601421</v>
      </c>
      <c r="C1186" t="s">
        <v>40</v>
      </c>
      <c r="D1186">
        <v>5.4059039999999996</v>
      </c>
      <c r="E1186">
        <v>0.52274759999999998</v>
      </c>
      <c r="F1186" t="s">
        <v>59</v>
      </c>
      <c r="G1186">
        <v>-288.86970000000002</v>
      </c>
      <c r="H1186" s="1">
        <v>4.5657880000000001E-6</v>
      </c>
      <c r="I1186">
        <v>284.14749999999998</v>
      </c>
      <c r="J1186">
        <v>-251.23099999999999</v>
      </c>
      <c r="K1186">
        <v>1.1057680000000001</v>
      </c>
      <c r="L1186">
        <v>284.31200000000001</v>
      </c>
      <c r="M1186">
        <v>-0.99894439999999995</v>
      </c>
      <c r="N1186">
        <v>0</v>
      </c>
      <c r="O1186">
        <v>4.5773029999999999E-2</v>
      </c>
      <c r="P1186">
        <v>-0.99922699999999998</v>
      </c>
      <c r="Q1186">
        <v>3.3098099999999998E-2</v>
      </c>
      <c r="R1186">
        <v>-2.1217079999999999E-2</v>
      </c>
      <c r="S1186">
        <v>-3.0049440000000001</v>
      </c>
      <c r="T1186">
        <v>-8.7217929999999999E-2</v>
      </c>
      <c r="U1186">
        <v>-1.132202E-2</v>
      </c>
      <c r="V1186">
        <v>-6.7205089999999995E-2</v>
      </c>
      <c r="W1186">
        <v>3.6472160000000003E-2</v>
      </c>
      <c r="X1186">
        <v>0.99707230000000002</v>
      </c>
      <c r="Y1186">
        <v>-4.9496760000000001E-2</v>
      </c>
      <c r="Z1186">
        <v>-2.046122E-3</v>
      </c>
      <c r="AA1186">
        <v>0.9987722</v>
      </c>
      <c r="AB1186">
        <v>47</v>
      </c>
      <c r="AC1186">
        <v>-37.6387</v>
      </c>
      <c r="AD1186">
        <v>-1.105763434212</v>
      </c>
      <c r="AE1186">
        <v>-0.16450000000003201</v>
      </c>
      <c r="AF1186">
        <v>-1.88555040677918</v>
      </c>
      <c r="AG1186">
        <v>-1.105763434212</v>
      </c>
      <c r="AH1186">
        <v>37.559302899362997</v>
      </c>
      <c r="AI1186">
        <v>91.684207699589606</v>
      </c>
      <c r="AJ1186">
        <v>92.873947381666397</v>
      </c>
      <c r="AK1186">
        <v>37.622855385988998</v>
      </c>
      <c r="AL1186">
        <v>87.909835501711996</v>
      </c>
      <c r="AM1186">
        <v>93.856042041673305</v>
      </c>
      <c r="AN1186">
        <v>0.99999995700213096</v>
      </c>
    </row>
    <row r="1187" spans="1:40" x14ac:dyDescent="0.3">
      <c r="A1187" t="str">
        <f>"20200111153854628"</f>
        <v>20200111153854628</v>
      </c>
      <c r="B1187" t="str">
        <f>"1578728334621916"</f>
        <v>1578728334621916</v>
      </c>
      <c r="C1187" t="s">
        <v>40</v>
      </c>
      <c r="D1187">
        <v>5.3334970000000004</v>
      </c>
      <c r="E1187">
        <v>0.57988769999999901</v>
      </c>
      <c r="F1187" t="s">
        <v>59</v>
      </c>
      <c r="G1187">
        <v>-291.56380000000001</v>
      </c>
      <c r="H1187" s="1">
        <v>2.36453E-6</v>
      </c>
      <c r="I1187">
        <v>285.97309999999999</v>
      </c>
      <c r="J1187">
        <v>-251.71350000000001</v>
      </c>
      <c r="K1187">
        <v>1.105785</v>
      </c>
      <c r="L1187">
        <v>284.3329</v>
      </c>
      <c r="M1187">
        <v>-0.99905770000000005</v>
      </c>
      <c r="N1187">
        <v>0</v>
      </c>
      <c r="O1187">
        <v>4.322691E-2</v>
      </c>
      <c r="P1187">
        <v>-0.99919309999999995</v>
      </c>
      <c r="Q1187">
        <v>3.2976070000000003E-2</v>
      </c>
      <c r="R1187">
        <v>-2.292756E-2</v>
      </c>
      <c r="S1187">
        <v>-3.0076749999999999</v>
      </c>
      <c r="T1187">
        <v>-8.2458500000000004E-2</v>
      </c>
      <c r="U1187">
        <v>0.1238708</v>
      </c>
      <c r="V1187">
        <v>-6.6372329999999993E-2</v>
      </c>
      <c r="W1187">
        <v>3.6375900000000003E-2</v>
      </c>
      <c r="X1187">
        <v>0.99713160000000001</v>
      </c>
      <c r="Y1187">
        <v>-2.0620819999999998E-3</v>
      </c>
      <c r="Z1187">
        <v>-1.2121040000000001E-3</v>
      </c>
      <c r="AA1187">
        <v>0.99999709999999997</v>
      </c>
      <c r="AB1187">
        <v>47</v>
      </c>
      <c r="AC1187">
        <v>-39.850299999999997</v>
      </c>
      <c r="AD1187">
        <v>-1.10578263547</v>
      </c>
      <c r="AE1187">
        <v>1.6401999999999901</v>
      </c>
      <c r="AF1187">
        <v>-8.3887046163837395E-2</v>
      </c>
      <c r="AG1187">
        <v>-1.10578263547</v>
      </c>
      <c r="AH1187">
        <v>39.853317746793003</v>
      </c>
      <c r="AI1187">
        <v>91.589335351909995</v>
      </c>
      <c r="AJ1187">
        <v>90.120601417257504</v>
      </c>
      <c r="AK1187">
        <v>39.868743743693102</v>
      </c>
      <c r="AL1187">
        <v>87.915354462189995</v>
      </c>
      <c r="AM1187">
        <v>93.808176247176306</v>
      </c>
      <c r="AN1187">
        <v>0.99999996000449798</v>
      </c>
    </row>
    <row r="1188" spans="1:40" x14ac:dyDescent="0.3">
      <c r="A1188" t="str">
        <f>"20200111153854652"</f>
        <v>20200111153854652</v>
      </c>
      <c r="B1188" t="str">
        <f>"1578728334641436"</f>
        <v>1578728334641436</v>
      </c>
      <c r="C1188" t="s">
        <v>40</v>
      </c>
      <c r="D1188">
        <v>5.4518589999999998</v>
      </c>
      <c r="E1188">
        <v>0.57554079999999996</v>
      </c>
      <c r="F1188" t="s">
        <v>41</v>
      </c>
      <c r="G1188">
        <v>-252.55549999999999</v>
      </c>
      <c r="H1188">
        <v>1.036503</v>
      </c>
      <c r="I1188">
        <v>284.49470000000002</v>
      </c>
      <c r="J1188">
        <v>-252.20359999999999</v>
      </c>
      <c r="K1188">
        <v>1.1058049999999999</v>
      </c>
      <c r="L1188">
        <v>284.35300000000001</v>
      </c>
      <c r="M1188">
        <v>-0.99916579999999999</v>
      </c>
      <c r="N1188">
        <v>0</v>
      </c>
      <c r="O1188">
        <v>4.0646969999999998E-2</v>
      </c>
      <c r="P1188">
        <v>-0.99913940000000001</v>
      </c>
      <c r="Q1188">
        <v>3.3249920000000002E-2</v>
      </c>
      <c r="R1188">
        <v>-2.4798239999999999E-2</v>
      </c>
      <c r="S1188">
        <v>-3.0239259999999999</v>
      </c>
      <c r="T1188">
        <v>-0.2489941</v>
      </c>
      <c r="U1188">
        <v>0.58062740000000002</v>
      </c>
      <c r="V1188">
        <v>-6.5667890000000007E-2</v>
      </c>
      <c r="W1188">
        <v>3.6676109999999998E-2</v>
      </c>
      <c r="X1188">
        <v>0.99716729999999998</v>
      </c>
      <c r="Y1188">
        <v>0.14814240000000001</v>
      </c>
      <c r="Z1188">
        <v>2.7266510000000001E-3</v>
      </c>
      <c r="AA1188">
        <v>0.98896229999999996</v>
      </c>
      <c r="AB1188">
        <v>47</v>
      </c>
      <c r="AC1188">
        <v>-0.35189999999999999</v>
      </c>
      <c r="AD1188">
        <v>-6.9301999999999697E-2</v>
      </c>
      <c r="AE1188">
        <v>0.14170000000001401</v>
      </c>
      <c r="AF1188">
        <v>0.123168627800656</v>
      </c>
      <c r="AG1188">
        <v>-6.9301999999999697E-2</v>
      </c>
      <c r="AH1188">
        <v>0.34582764842566499</v>
      </c>
      <c r="AI1188">
        <v>100.69042812949</v>
      </c>
      <c r="AJ1188">
        <v>70.396332848821302</v>
      </c>
      <c r="AK1188">
        <v>0.37359073930428399</v>
      </c>
      <c r="AL1188">
        <v>87.898142328591902</v>
      </c>
      <c r="AM1188">
        <v>93.767740867067005</v>
      </c>
      <c r="AN1188">
        <v>1.0000000165055301</v>
      </c>
    </row>
    <row r="1189" spans="1:40" x14ac:dyDescent="0.3">
      <c r="A1189" t="str">
        <f>"20200111153854674"</f>
        <v>20200111153854674</v>
      </c>
      <c r="B1189" t="str">
        <f>"1578728334661931"</f>
        <v>1578728334661931</v>
      </c>
      <c r="C1189" t="s">
        <v>40</v>
      </c>
      <c r="D1189">
        <v>5.4519890000000002</v>
      </c>
      <c r="E1189">
        <v>0.57245380000000001</v>
      </c>
      <c r="F1189" t="s">
        <v>41</v>
      </c>
      <c r="G1189">
        <v>-252.98519999999999</v>
      </c>
      <c r="H1189">
        <v>1.045642</v>
      </c>
      <c r="I1189">
        <v>284.49270000000001</v>
      </c>
      <c r="J1189">
        <v>-252.68180000000001</v>
      </c>
      <c r="K1189">
        <v>1.1058209999999999</v>
      </c>
      <c r="L1189">
        <v>284.37139999999999</v>
      </c>
      <c r="M1189">
        <v>-0.99926440000000005</v>
      </c>
      <c r="N1189">
        <v>0</v>
      </c>
      <c r="O1189">
        <v>3.8146890000000003E-2</v>
      </c>
      <c r="P1189">
        <v>-0.99906410000000001</v>
      </c>
      <c r="Q1189">
        <v>3.4281430000000002E-2</v>
      </c>
      <c r="R1189">
        <v>-2.6372509999999998E-2</v>
      </c>
      <c r="S1189">
        <v>-3.0237270000000001</v>
      </c>
      <c r="T1189">
        <v>-0.23325709999999999</v>
      </c>
      <c r="U1189">
        <v>0.53927609999999904</v>
      </c>
      <c r="V1189">
        <v>-6.4751420000000004E-2</v>
      </c>
      <c r="W1189">
        <v>3.7735390000000001E-2</v>
      </c>
      <c r="X1189">
        <v>0.99718770000000001</v>
      </c>
      <c r="Y1189">
        <v>0.13760919999999999</v>
      </c>
      <c r="Z1189">
        <v>2.3460540000000002E-3</v>
      </c>
      <c r="AA1189">
        <v>0.99048380000000003</v>
      </c>
      <c r="AB1189">
        <v>47</v>
      </c>
      <c r="AC1189">
        <v>-0.30339999999998202</v>
      </c>
      <c r="AD1189">
        <v>-6.0178999999999899E-2</v>
      </c>
      <c r="AE1189">
        <v>0.121300000000019</v>
      </c>
      <c r="AF1189">
        <v>0.106040911310781</v>
      </c>
      <c r="AG1189">
        <v>-6.0178999999999899E-2</v>
      </c>
      <c r="AH1189">
        <v>0.29770806372423297</v>
      </c>
      <c r="AI1189">
        <v>100.781300613406</v>
      </c>
      <c r="AJ1189">
        <v>70.394562217276899</v>
      </c>
      <c r="AK1189">
        <v>0.32170837433777399</v>
      </c>
      <c r="AL1189">
        <v>87.837407983178593</v>
      </c>
      <c r="AM1189">
        <v>93.715230284289902</v>
      </c>
      <c r="AN1189">
        <v>1.0000000075408699</v>
      </c>
    </row>
    <row r="1190" spans="1:40" x14ac:dyDescent="0.3">
      <c r="A1190" t="str">
        <f>"20200111153854699"</f>
        <v>20200111153854699</v>
      </c>
      <c r="B1190" t="str">
        <f>"1578728334692188"</f>
        <v>1578728334692188</v>
      </c>
      <c r="C1190" t="s">
        <v>40</v>
      </c>
      <c r="D1190">
        <v>5.4783480000000004</v>
      </c>
      <c r="E1190">
        <v>0.57061249999999997</v>
      </c>
      <c r="F1190" t="s">
        <v>41</v>
      </c>
      <c r="G1190">
        <v>-253.4153</v>
      </c>
      <c r="H1190">
        <v>1.0515810000000001</v>
      </c>
      <c r="I1190">
        <v>284.49489999999997</v>
      </c>
      <c r="J1190">
        <v>-253.18299999999999</v>
      </c>
      <c r="K1190">
        <v>1.1058220000000001</v>
      </c>
      <c r="L1190">
        <v>284.38929999999999</v>
      </c>
      <c r="M1190">
        <v>-0.99935929999999995</v>
      </c>
      <c r="N1190">
        <v>0</v>
      </c>
      <c r="O1190">
        <v>3.5573399999999998E-2</v>
      </c>
      <c r="P1190">
        <v>-0.99898240000000005</v>
      </c>
      <c r="Q1190">
        <v>3.5202079999999997E-2</v>
      </c>
      <c r="R1190">
        <v>-2.8198170000000002E-2</v>
      </c>
      <c r="S1190">
        <v>-3.0239410000000002</v>
      </c>
      <c r="T1190">
        <v>-0.22357850000000001</v>
      </c>
      <c r="U1190">
        <v>0.50952149999999996</v>
      </c>
      <c r="V1190">
        <v>-6.4011120000000005E-2</v>
      </c>
      <c r="W1190">
        <v>3.8685509999999999E-2</v>
      </c>
      <c r="X1190">
        <v>0.9971991</v>
      </c>
      <c r="Y1190">
        <v>0.13071720000000001</v>
      </c>
      <c r="Z1190">
        <v>2.1861990000000002E-3</v>
      </c>
      <c r="AA1190">
        <v>0.99141729999999995</v>
      </c>
      <c r="AB1190">
        <v>48</v>
      </c>
      <c r="AC1190">
        <v>-0.232300000000009</v>
      </c>
      <c r="AD1190">
        <v>-5.42409999999999E-2</v>
      </c>
      <c r="AE1190">
        <v>0.105599999999981</v>
      </c>
      <c r="AF1190">
        <v>9.3064449668805602E-2</v>
      </c>
      <c r="AG1190">
        <v>-5.42409999999999E-2</v>
      </c>
      <c r="AH1190">
        <v>0.22571120062737099</v>
      </c>
      <c r="AI1190">
        <v>102.525825759079</v>
      </c>
      <c r="AJ1190">
        <v>67.592838595630099</v>
      </c>
      <c r="AK1190">
        <v>0.25009722901665099</v>
      </c>
      <c r="AL1190">
        <v>87.782930355778305</v>
      </c>
      <c r="AM1190">
        <v>93.6728292921769</v>
      </c>
      <c r="AN1190">
        <v>1.00000001860421</v>
      </c>
    </row>
    <row r="1191" spans="1:40" x14ac:dyDescent="0.3">
      <c r="A1191" t="str">
        <f>"20200111153854719"</f>
        <v>20200111153854719</v>
      </c>
      <c r="B1191" t="str">
        <f>"1578728334711708"</f>
        <v>1578728334711708</v>
      </c>
      <c r="C1191" t="s">
        <v>40</v>
      </c>
      <c r="D1191">
        <v>5.4909379999999999</v>
      </c>
      <c r="E1191">
        <v>0.56987600000000005</v>
      </c>
      <c r="F1191" t="s">
        <v>41</v>
      </c>
      <c r="G1191">
        <v>-254.25880000000001</v>
      </c>
      <c r="H1191">
        <v>1.028375</v>
      </c>
      <c r="I1191">
        <v>284.56319999999999</v>
      </c>
      <c r="J1191">
        <v>-253.63730000000001</v>
      </c>
      <c r="K1191">
        <v>1.1057950000000001</v>
      </c>
      <c r="L1191">
        <v>284.40460000000002</v>
      </c>
      <c r="M1191">
        <v>-0.99943769999999998</v>
      </c>
      <c r="N1191">
        <v>0</v>
      </c>
      <c r="O1191">
        <v>3.3297090000000001E-2</v>
      </c>
      <c r="P1191">
        <v>-0.99893880000000002</v>
      </c>
      <c r="Q1191">
        <v>3.4966509999999999E-2</v>
      </c>
      <c r="R1191">
        <v>-2.9978749999999998E-2</v>
      </c>
      <c r="S1191">
        <v>-3.0245510000000002</v>
      </c>
      <c r="T1191">
        <v>-0.21773400000000001</v>
      </c>
      <c r="U1191">
        <v>0.48898320000000001</v>
      </c>
      <c r="V1191">
        <v>-6.3514249999999994E-2</v>
      </c>
      <c r="W1191">
        <v>3.847681E-2</v>
      </c>
      <c r="X1191">
        <v>0.99723890000000004</v>
      </c>
      <c r="Y1191">
        <v>0.126405399999999</v>
      </c>
      <c r="Z1191">
        <v>2.1381719999999998E-3</v>
      </c>
      <c r="AA1191">
        <v>0.99197639999999998</v>
      </c>
      <c r="AB1191">
        <v>48</v>
      </c>
      <c r="AC1191">
        <v>-0.62149999999999705</v>
      </c>
      <c r="AD1191">
        <v>-7.7420000000000003E-2</v>
      </c>
      <c r="AE1191">
        <v>0.15859999999997801</v>
      </c>
      <c r="AF1191">
        <v>0.13583873923384701</v>
      </c>
      <c r="AG1191">
        <v>-7.7420000000000003E-2</v>
      </c>
      <c r="AH1191">
        <v>0.61744093399650102</v>
      </c>
      <c r="AI1191">
        <v>96.981675230145498</v>
      </c>
      <c r="AJ1191">
        <v>77.592428015290693</v>
      </c>
      <c r="AK1191">
        <v>0.63692960870971704</v>
      </c>
      <c r="AL1191">
        <v>87.794896796393601</v>
      </c>
      <c r="AM1191">
        <v>93.644251967400095</v>
      </c>
      <c r="AN1191">
        <v>0.99999997426702403</v>
      </c>
    </row>
    <row r="1192" spans="1:40" x14ac:dyDescent="0.3">
      <c r="A1192" t="str">
        <f>"20200111153854741"</f>
        <v>20200111153854741</v>
      </c>
      <c r="B1192" t="str">
        <f>"1578728334731228"</f>
        <v>1578728334731228</v>
      </c>
      <c r="C1192" t="s">
        <v>40</v>
      </c>
      <c r="D1192">
        <v>5.5478870000000002</v>
      </c>
      <c r="E1192">
        <v>0.569434</v>
      </c>
      <c r="F1192" t="s">
        <v>41</v>
      </c>
      <c r="G1192">
        <v>-254.68969999999999</v>
      </c>
      <c r="H1192">
        <v>1.0299959999999999</v>
      </c>
      <c r="I1192">
        <v>284.57100000000003</v>
      </c>
      <c r="J1192">
        <v>-254.1353</v>
      </c>
      <c r="K1192">
        <v>1.105753</v>
      </c>
      <c r="L1192">
        <v>284.42009999999999</v>
      </c>
      <c r="M1192">
        <v>-0.99951540000000005</v>
      </c>
      <c r="N1192">
        <v>0</v>
      </c>
      <c r="O1192">
        <v>3.0868340000000001E-2</v>
      </c>
      <c r="P1192">
        <v>-0.99891490000000005</v>
      </c>
      <c r="Q1192">
        <v>3.4105410000000003E-2</v>
      </c>
      <c r="R1192">
        <v>-3.1714190000000003E-2</v>
      </c>
      <c r="S1192">
        <v>-3.025131</v>
      </c>
      <c r="T1192">
        <v>-0.21812960000000001</v>
      </c>
      <c r="U1192">
        <v>0.47753909999999999</v>
      </c>
      <c r="V1192">
        <v>-6.2815289999999996E-2</v>
      </c>
      <c r="W1192">
        <v>3.7647720000000003E-2</v>
      </c>
      <c r="X1192">
        <v>0.99731479999999995</v>
      </c>
      <c r="Y1192">
        <v>0.125122699999999</v>
      </c>
      <c r="Z1192">
        <v>2.269877E-3</v>
      </c>
      <c r="AA1192">
        <v>0.99213870000000004</v>
      </c>
      <c r="AB1192">
        <v>48</v>
      </c>
      <c r="AC1192">
        <v>-0.55439999999998602</v>
      </c>
      <c r="AD1192">
        <v>-7.5757000000000005E-2</v>
      </c>
      <c r="AE1192">
        <v>0.150899999999978</v>
      </c>
      <c r="AF1192">
        <v>0.131429713346946</v>
      </c>
      <c r="AG1192">
        <v>-7.5757000000000005E-2</v>
      </c>
      <c r="AH1192">
        <v>0.54924555366259398</v>
      </c>
      <c r="AI1192">
        <v>97.640170542889294</v>
      </c>
      <c r="AJ1192">
        <v>76.542663874201594</v>
      </c>
      <c r="AK1192">
        <v>0.56981011821271699</v>
      </c>
      <c r="AL1192">
        <v>87.842434575293098</v>
      </c>
      <c r="AM1192">
        <v>93.6039805212571</v>
      </c>
      <c r="AN1192">
        <v>0.99999996088901</v>
      </c>
    </row>
    <row r="1193" spans="1:40" x14ac:dyDescent="0.3">
      <c r="A1193" t="str">
        <f>"20200111153854765"</f>
        <v>20200111153854765</v>
      </c>
      <c r="B1193" t="str">
        <f>"1578728334761483"</f>
        <v>1578728334761483</v>
      </c>
      <c r="C1193" t="s">
        <v>40</v>
      </c>
      <c r="D1193">
        <v>5.5206309999999998</v>
      </c>
      <c r="E1193">
        <v>0.56911750000000005</v>
      </c>
      <c r="F1193" t="s">
        <v>41</v>
      </c>
      <c r="G1193">
        <v>-255.12309999999999</v>
      </c>
      <c r="H1193">
        <v>1.03413</v>
      </c>
      <c r="I1193">
        <v>284.57319999999999</v>
      </c>
      <c r="J1193">
        <v>-254.62119999999999</v>
      </c>
      <c r="K1193">
        <v>1.105702</v>
      </c>
      <c r="L1193">
        <v>284.4341</v>
      </c>
      <c r="M1193">
        <v>-0.99958369999999996</v>
      </c>
      <c r="N1193">
        <v>0</v>
      </c>
      <c r="O1193">
        <v>2.8573589999999999E-2</v>
      </c>
      <c r="P1193">
        <v>-0.99891589999999997</v>
      </c>
      <c r="Q1193">
        <v>3.2439540000000003E-2</v>
      </c>
      <c r="R1193">
        <v>-3.3392900000000003E-2</v>
      </c>
      <c r="S1193">
        <v>-3.0256349999999999</v>
      </c>
      <c r="T1193">
        <v>-0.21943689999999999</v>
      </c>
      <c r="U1193">
        <v>0.4685974</v>
      </c>
      <c r="V1193">
        <v>-6.2187489999999998E-2</v>
      </c>
      <c r="W1193">
        <v>3.6013749999999997E-2</v>
      </c>
      <c r="X1193">
        <v>0.99741449999999998</v>
      </c>
      <c r="Y1193">
        <v>0.12450559999999999</v>
      </c>
      <c r="Z1193">
        <v>2.426334E-3</v>
      </c>
      <c r="AA1193">
        <v>0.99221590000000004</v>
      </c>
      <c r="AB1193">
        <v>48</v>
      </c>
      <c r="AC1193">
        <v>-0.50190000000000601</v>
      </c>
      <c r="AD1193">
        <v>-7.15719999999999E-2</v>
      </c>
      <c r="AE1193">
        <v>0.13909999999998399</v>
      </c>
      <c r="AF1193">
        <v>0.12239067894778</v>
      </c>
      <c r="AG1193">
        <v>-7.15719999999999E-2</v>
      </c>
      <c r="AH1193">
        <v>0.496297205038635</v>
      </c>
      <c r="AI1193">
        <v>97.97057771035</v>
      </c>
      <c r="AJ1193">
        <v>76.146836932115804</v>
      </c>
      <c r="AK1193">
        <v>0.51615205628424998</v>
      </c>
      <c r="AL1193">
        <v>87.936117774927894</v>
      </c>
      <c r="AM1193">
        <v>93.567698747712598</v>
      </c>
      <c r="AN1193">
        <v>0.99999997945590602</v>
      </c>
    </row>
    <row r="1194" spans="1:40" x14ac:dyDescent="0.3">
      <c r="A1194" t="str">
        <f>"20200111153854784"</f>
        <v>20200111153854784</v>
      </c>
      <c r="B1194" t="str">
        <f>"1578728334781980"</f>
        <v>1578728334781980</v>
      </c>
      <c r="C1194" t="s">
        <v>40</v>
      </c>
      <c r="D1194">
        <v>5.5379719999999999</v>
      </c>
      <c r="E1194">
        <v>0.56897659999999906</v>
      </c>
      <c r="F1194" t="s">
        <v>41</v>
      </c>
      <c r="G1194">
        <v>-255.55670000000001</v>
      </c>
      <c r="H1194">
        <v>1.0360279999999999</v>
      </c>
      <c r="I1194">
        <v>284.577</v>
      </c>
      <c r="J1194">
        <v>-255.0583</v>
      </c>
      <c r="K1194">
        <v>1.1056429999999999</v>
      </c>
      <c r="L1194">
        <v>284.44589999999999</v>
      </c>
      <c r="M1194">
        <v>-0.99963840000000004</v>
      </c>
      <c r="N1194">
        <v>0</v>
      </c>
      <c r="O1194">
        <v>2.6579970000000001E-2</v>
      </c>
      <c r="P1194">
        <v>-0.99888089999999996</v>
      </c>
      <c r="Q1194">
        <v>3.136423E-2</v>
      </c>
      <c r="R1194">
        <v>-3.5400929999999997E-2</v>
      </c>
      <c r="S1194">
        <v>-3.02597</v>
      </c>
      <c r="T1194">
        <v>-0.2255615</v>
      </c>
      <c r="U1194">
        <v>0.46124270000000001</v>
      </c>
      <c r="V1194">
        <v>-6.2192659999999997E-2</v>
      </c>
      <c r="W1194">
        <v>3.4963939999999999E-2</v>
      </c>
      <c r="X1194">
        <v>0.99745150000000005</v>
      </c>
      <c r="Y1194">
        <v>0.12409340000000001</v>
      </c>
      <c r="Z1194">
        <v>2.626144E-3</v>
      </c>
      <c r="AA1194">
        <v>0.99226709999999996</v>
      </c>
      <c r="AB1194">
        <v>48</v>
      </c>
      <c r="AC1194">
        <v>-0.49840000000000301</v>
      </c>
      <c r="AD1194">
        <v>-6.9614999999999705E-2</v>
      </c>
      <c r="AE1194">
        <v>0.13110000000000299</v>
      </c>
      <c r="AF1194">
        <v>0.115695012777646</v>
      </c>
      <c r="AG1194">
        <v>-6.9614999999999705E-2</v>
      </c>
      <c r="AH1194">
        <v>0.49271788831143398</v>
      </c>
      <c r="AI1194">
        <v>97.831705600126</v>
      </c>
      <c r="AJ1194">
        <v>76.785773934223499</v>
      </c>
      <c r="AK1194">
        <v>0.51088403935599502</v>
      </c>
      <c r="AL1194">
        <v>87.996305314917393</v>
      </c>
      <c r="AM1194">
        <v>93.567862573420001</v>
      </c>
      <c r="AN1194">
        <v>0.99999994945522297</v>
      </c>
    </row>
    <row r="1195" spans="1:40" x14ac:dyDescent="0.3">
      <c r="A1195" t="str">
        <f>"20200111153854808"</f>
        <v>20200111153854808</v>
      </c>
      <c r="B1195" t="str">
        <f>"1578728334801500"</f>
        <v>1578728334801500</v>
      </c>
      <c r="C1195" t="s">
        <v>40</v>
      </c>
      <c r="D1195">
        <v>5.5558740000000002</v>
      </c>
      <c r="E1195">
        <v>0.56904339999999998</v>
      </c>
      <c r="F1195" t="s">
        <v>41</v>
      </c>
      <c r="G1195">
        <v>-255.99029999999999</v>
      </c>
      <c r="H1195">
        <v>1.0352509999999999</v>
      </c>
      <c r="I1195">
        <v>284.58580000000001</v>
      </c>
      <c r="J1195">
        <v>-255.5479</v>
      </c>
      <c r="K1195">
        <v>1.105577</v>
      </c>
      <c r="L1195">
        <v>284.4581</v>
      </c>
      <c r="M1195">
        <v>-0.99969339999999995</v>
      </c>
      <c r="N1195">
        <v>0</v>
      </c>
      <c r="O1195">
        <v>2.44289E-2</v>
      </c>
      <c r="P1195">
        <v>-0.99883250000000001</v>
      </c>
      <c r="Q1195">
        <v>3.013824E-2</v>
      </c>
      <c r="R1195">
        <v>-3.7758239999999998E-2</v>
      </c>
      <c r="S1195">
        <v>-3.026627</v>
      </c>
      <c r="T1195">
        <v>-0.2285423</v>
      </c>
      <c r="U1195">
        <v>0.4544067</v>
      </c>
      <c r="V1195">
        <v>-6.2388329999999999E-2</v>
      </c>
      <c r="W1195">
        <v>3.3766360000000002E-2</v>
      </c>
      <c r="X1195">
        <v>0.99748060000000005</v>
      </c>
      <c r="Y1195">
        <v>0.1239927</v>
      </c>
      <c r="Z1195">
        <v>2.8179450000000001E-3</v>
      </c>
      <c r="AA1195">
        <v>0.99227909999999997</v>
      </c>
      <c r="AB1195">
        <v>48</v>
      </c>
      <c r="AC1195">
        <v>-0.44239999999999202</v>
      </c>
      <c r="AD1195">
        <v>-7.0326000000000097E-2</v>
      </c>
      <c r="AE1195">
        <v>0.127700000000004</v>
      </c>
      <c r="AF1195">
        <v>0.114190814380253</v>
      </c>
      <c r="AG1195">
        <v>-7.0326000000000097E-2</v>
      </c>
      <c r="AH1195">
        <v>0.43523517023656599</v>
      </c>
      <c r="AI1195">
        <v>98.883001948756601</v>
      </c>
      <c r="AJ1195">
        <v>75.298890898149395</v>
      </c>
      <c r="AK1195">
        <v>0.45542830585689098</v>
      </c>
      <c r="AL1195">
        <v>88.064962270151398</v>
      </c>
      <c r="AM1195">
        <v>93.578954476577593</v>
      </c>
      <c r="AN1195">
        <v>1.00000000908209</v>
      </c>
    </row>
    <row r="1196" spans="1:40" x14ac:dyDescent="0.3">
      <c r="A1196" t="str">
        <f>"20200111153854830"</f>
        <v>20200111153854830</v>
      </c>
      <c r="B1196" t="str">
        <f>"1578728334821997"</f>
        <v>1578728334821997</v>
      </c>
      <c r="C1196" t="s">
        <v>40</v>
      </c>
      <c r="D1196">
        <v>5.5392669999999997</v>
      </c>
      <c r="E1196">
        <v>0.56919109999999995</v>
      </c>
      <c r="F1196" t="s">
        <v>41</v>
      </c>
      <c r="G1196">
        <v>-256.4271</v>
      </c>
      <c r="H1196">
        <v>1.038219</v>
      </c>
      <c r="I1196">
        <v>284.58839999999998</v>
      </c>
      <c r="J1196">
        <v>-256.04759999999999</v>
      </c>
      <c r="K1196">
        <v>1.1055090000000001</v>
      </c>
      <c r="L1196">
        <v>284.46949999999998</v>
      </c>
      <c r="M1196">
        <v>-0.99974260000000004</v>
      </c>
      <c r="N1196">
        <v>0</v>
      </c>
      <c r="O1196">
        <v>2.2320679999999999E-2</v>
      </c>
      <c r="P1196">
        <v>-0.99875429999999998</v>
      </c>
      <c r="Q1196">
        <v>2.967185E-2</v>
      </c>
      <c r="R1196">
        <v>-4.0122060000000001E-2</v>
      </c>
      <c r="S1196">
        <v>-3.0274350000000001</v>
      </c>
      <c r="T1196">
        <v>-0.232151</v>
      </c>
      <c r="U1196">
        <v>0.44784550000000001</v>
      </c>
      <c r="V1196">
        <v>-6.2637999999999999E-2</v>
      </c>
      <c r="W1196">
        <v>3.3329350000000001E-2</v>
      </c>
      <c r="X1196">
        <v>0.99747960000000002</v>
      </c>
      <c r="Y1196">
        <v>0.1239278</v>
      </c>
      <c r="Z1196">
        <v>3.0199139999999998E-3</v>
      </c>
      <c r="AA1196">
        <v>0.99228660000000002</v>
      </c>
      <c r="AB1196">
        <v>49</v>
      </c>
      <c r="AC1196">
        <v>-0.379500000000007</v>
      </c>
      <c r="AD1196">
        <v>-6.7290000000000003E-2</v>
      </c>
      <c r="AE1196">
        <v>0.118899999999996</v>
      </c>
      <c r="AF1196">
        <v>0.107326910162718</v>
      </c>
      <c r="AG1196">
        <v>-6.7290000000000003E-2</v>
      </c>
      <c r="AH1196">
        <v>0.37142572718728001</v>
      </c>
      <c r="AI1196">
        <v>99.873213232206794</v>
      </c>
      <c r="AJ1196">
        <v>73.882859463624698</v>
      </c>
      <c r="AK1196">
        <v>0.392433536489526</v>
      </c>
      <c r="AL1196">
        <v>88.090015104098896</v>
      </c>
      <c r="AM1196">
        <v>93.593243130909002</v>
      </c>
      <c r="AN1196">
        <v>0.99999995851579004</v>
      </c>
    </row>
    <row r="1197" spans="1:40" x14ac:dyDescent="0.3">
      <c r="A1197" t="str">
        <f>"20200111153854853"</f>
        <v>20200111153854853</v>
      </c>
      <c r="B1197" t="str">
        <f>"1578728334841515"</f>
        <v>1578728334841515</v>
      </c>
      <c r="C1197" t="s">
        <v>40</v>
      </c>
      <c r="D1197">
        <v>5.5524269999999998</v>
      </c>
      <c r="E1197">
        <v>0.56948180000000004</v>
      </c>
      <c r="F1197" t="s">
        <v>41</v>
      </c>
      <c r="G1197">
        <v>-256.86520000000002</v>
      </c>
      <c r="H1197">
        <v>1.041542</v>
      </c>
      <c r="I1197">
        <v>284.58890000000002</v>
      </c>
      <c r="J1197">
        <v>-256.54270000000002</v>
      </c>
      <c r="K1197">
        <v>1.1054489999999999</v>
      </c>
      <c r="L1197">
        <v>284.47989999999999</v>
      </c>
      <c r="M1197">
        <v>-0.99978529999999999</v>
      </c>
      <c r="N1197">
        <v>0</v>
      </c>
      <c r="O1197">
        <v>2.031051E-2</v>
      </c>
      <c r="P1197">
        <v>-0.99864439999999999</v>
      </c>
      <c r="Q1197">
        <v>2.9564489999999999E-2</v>
      </c>
      <c r="R1197">
        <v>-4.2844239999999999E-2</v>
      </c>
      <c r="S1197">
        <v>-3.0285340000000001</v>
      </c>
      <c r="T1197">
        <v>-0.23710120000000001</v>
      </c>
      <c r="U1197">
        <v>0.4416504</v>
      </c>
      <c r="V1197">
        <v>-6.3345910000000005E-2</v>
      </c>
      <c r="W1197">
        <v>3.3247840000000001E-2</v>
      </c>
      <c r="X1197">
        <v>0.99743769999999998</v>
      </c>
      <c r="Y1197">
        <v>0.1238655</v>
      </c>
      <c r="Z1197">
        <v>3.2372E-3</v>
      </c>
      <c r="AA1197">
        <v>0.99229369999999995</v>
      </c>
      <c r="AB1197">
        <v>49</v>
      </c>
      <c r="AC1197">
        <v>-0.32249999999999002</v>
      </c>
      <c r="AD1197">
        <v>-6.3906999999999894E-2</v>
      </c>
      <c r="AE1197">
        <v>0.109000000000037</v>
      </c>
      <c r="AF1197">
        <v>9.8940455697735505E-2</v>
      </c>
      <c r="AG1197">
        <v>-6.3906999999999894E-2</v>
      </c>
      <c r="AH1197">
        <v>0.313595585547918</v>
      </c>
      <c r="AI1197">
        <v>100.99802923009</v>
      </c>
      <c r="AJ1197">
        <v>72.489340296770905</v>
      </c>
      <c r="AK1197">
        <v>0.33498583507040602</v>
      </c>
      <c r="AL1197">
        <v>88.094688036486403</v>
      </c>
      <c r="AM1197">
        <v>93.633896585431501</v>
      </c>
      <c r="AN1197">
        <v>1.00000004427984</v>
      </c>
    </row>
    <row r="1198" spans="1:40" x14ac:dyDescent="0.3">
      <c r="A1198" t="str">
        <f>"20200111153854874"</f>
        <v>20200111153854874</v>
      </c>
      <c r="B1198" t="str">
        <f>"1578728334862014"</f>
        <v>1578728334862014</v>
      </c>
      <c r="C1198" t="s">
        <v>40</v>
      </c>
      <c r="D1198">
        <v>5.570017</v>
      </c>
      <c r="E1198">
        <v>0.56977469999999997</v>
      </c>
      <c r="F1198" t="s">
        <v>41</v>
      </c>
      <c r="G1198">
        <v>-257.30509999999998</v>
      </c>
      <c r="H1198">
        <v>1.04565</v>
      </c>
      <c r="I1198">
        <v>284.58980000000003</v>
      </c>
      <c r="J1198">
        <v>-257.01350000000002</v>
      </c>
      <c r="K1198">
        <v>1.105397</v>
      </c>
      <c r="L1198">
        <v>284.48880000000003</v>
      </c>
      <c r="M1198">
        <v>-0.99982090000000001</v>
      </c>
      <c r="N1198">
        <v>0</v>
      </c>
      <c r="O1198">
        <v>1.846269E-2</v>
      </c>
      <c r="P1198">
        <v>-0.99849920000000003</v>
      </c>
      <c r="Q1198">
        <v>2.9986059999999998E-2</v>
      </c>
      <c r="R1198">
        <v>-4.5828969999999997E-2</v>
      </c>
      <c r="S1198">
        <v>-3.0298159999999998</v>
      </c>
      <c r="T1198">
        <v>-0.2379675</v>
      </c>
      <c r="U1198">
        <v>0.43560789999999999</v>
      </c>
      <c r="V1198">
        <v>-6.4482109999999995E-2</v>
      </c>
      <c r="W1198">
        <v>3.369105E-2</v>
      </c>
      <c r="X1198">
        <v>0.99734999999999996</v>
      </c>
      <c r="Y1198">
        <v>0.123693899999999</v>
      </c>
      <c r="Z1198">
        <v>3.385444E-3</v>
      </c>
      <c r="AA1198">
        <v>0.99231460000000005</v>
      </c>
      <c r="AB1198">
        <v>49</v>
      </c>
      <c r="AC1198">
        <v>-0.291599999999959</v>
      </c>
      <c r="AD1198">
        <v>-5.9747000000000001E-2</v>
      </c>
      <c r="AE1198">
        <v>0.10099999999999899</v>
      </c>
      <c r="AF1198">
        <v>9.2145010917554906E-2</v>
      </c>
      <c r="AG1198">
        <v>-5.9747000000000001E-2</v>
      </c>
      <c r="AH1198">
        <v>0.28281391562347202</v>
      </c>
      <c r="AI1198">
        <v>101.35765529071899</v>
      </c>
      <c r="AJ1198">
        <v>71.953614444012999</v>
      </c>
      <c r="AK1198">
        <v>0.30338773527662</v>
      </c>
      <c r="AL1198">
        <v>88.069279704301394</v>
      </c>
      <c r="AM1198">
        <v>93.699220737935306</v>
      </c>
      <c r="AN1198">
        <v>1.0000000259300701</v>
      </c>
    </row>
    <row r="1199" spans="1:40" x14ac:dyDescent="0.3">
      <c r="A1199" t="str">
        <f>"20200111153854897"</f>
        <v>20200111153854897</v>
      </c>
      <c r="B1199" t="str">
        <f>"1578728334891293"</f>
        <v>1578728334891293</v>
      </c>
      <c r="C1199" t="s">
        <v>40</v>
      </c>
      <c r="D1199">
        <v>5.5943559999999897</v>
      </c>
      <c r="E1199">
        <v>0.57020939999999998</v>
      </c>
      <c r="F1199" t="s">
        <v>41</v>
      </c>
      <c r="G1199">
        <v>-257.74540000000002</v>
      </c>
      <c r="H1199">
        <v>1.0483559999999901</v>
      </c>
      <c r="I1199">
        <v>284.59219999999999</v>
      </c>
      <c r="J1199">
        <v>-257.49349999999998</v>
      </c>
      <c r="K1199">
        <v>1.1053500000000001</v>
      </c>
      <c r="L1199">
        <v>284.49700000000001</v>
      </c>
      <c r="M1199">
        <v>-0.99985299999999999</v>
      </c>
      <c r="N1199">
        <v>0</v>
      </c>
      <c r="O1199">
        <v>1.6635529999999999E-2</v>
      </c>
      <c r="P1199">
        <v>-0.99839219999999895</v>
      </c>
      <c r="Q1199">
        <v>3.0693809999999998E-2</v>
      </c>
      <c r="R1199">
        <v>-4.765639E-2</v>
      </c>
      <c r="S1199">
        <v>-3.0312809999999999</v>
      </c>
      <c r="T1199">
        <v>-0.23607929999999999</v>
      </c>
      <c r="U1199">
        <v>0.428894</v>
      </c>
      <c r="V1199">
        <v>-6.4484760000000002E-2</v>
      </c>
      <c r="W1199">
        <v>3.4429729999999999E-2</v>
      </c>
      <c r="X1199">
        <v>0.99732460000000001</v>
      </c>
      <c r="Y1199">
        <v>0.1232866</v>
      </c>
      <c r="Z1199">
        <v>3.4830960000000002E-3</v>
      </c>
      <c r="AA1199">
        <v>0.99236500000000005</v>
      </c>
      <c r="AB1199">
        <v>49</v>
      </c>
      <c r="AC1199">
        <v>-0.25190000000003399</v>
      </c>
      <c r="AD1199">
        <v>-5.6994000000000197E-2</v>
      </c>
      <c r="AE1199">
        <v>9.5199999999976997E-2</v>
      </c>
      <c r="AF1199">
        <v>8.7094961885048505E-2</v>
      </c>
      <c r="AG1199">
        <v>-5.6994000000000197E-2</v>
      </c>
      <c r="AH1199">
        <v>0.242582595357269</v>
      </c>
      <c r="AI1199">
        <v>102.468972940672</v>
      </c>
      <c r="AJ1199">
        <v>70.250227919785104</v>
      </c>
      <c r="AK1199">
        <v>0.26397000585677699</v>
      </c>
      <c r="AL1199">
        <v>88.0269318833585</v>
      </c>
      <c r="AM1199">
        <v>93.699466295927095</v>
      </c>
      <c r="AN1199">
        <v>1.0000000241726399</v>
      </c>
    </row>
    <row r="1200" spans="1:40" x14ac:dyDescent="0.3">
      <c r="A1200" t="str">
        <f>"20200111153854919"</f>
        <v>20200111153854919</v>
      </c>
      <c r="B1200" t="str">
        <f>"1578728334911788"</f>
        <v>1578728334911788</v>
      </c>
      <c r="C1200" t="s">
        <v>40</v>
      </c>
      <c r="D1200">
        <v>5.5437180000000001</v>
      </c>
      <c r="E1200">
        <v>0.5706232</v>
      </c>
      <c r="F1200" t="s">
        <v>41</v>
      </c>
      <c r="G1200">
        <v>-258.61320000000001</v>
      </c>
      <c r="H1200">
        <v>1.0188870000000001</v>
      </c>
      <c r="I1200">
        <v>284.65469999999999</v>
      </c>
      <c r="J1200">
        <v>-258.00549999999998</v>
      </c>
      <c r="K1200">
        <v>1.1052999999999999</v>
      </c>
      <c r="L1200">
        <v>284.50470000000001</v>
      </c>
      <c r="M1200">
        <v>-0.99988270000000001</v>
      </c>
      <c r="N1200">
        <v>0</v>
      </c>
      <c r="O1200">
        <v>1.4740899999999999E-2</v>
      </c>
      <c r="P1200">
        <v>-0.99829820000000002</v>
      </c>
      <c r="Q1200">
        <v>3.1895979999999997E-2</v>
      </c>
      <c r="R1200">
        <v>-4.8823709999999999E-2</v>
      </c>
      <c r="S1200">
        <v>-3.03241</v>
      </c>
      <c r="T1200">
        <v>-0.23422399999999999</v>
      </c>
      <c r="U1200">
        <v>0.42675780000000002</v>
      </c>
      <c r="V1200">
        <v>-6.376387E-2</v>
      </c>
      <c r="W1200">
        <v>3.5668730000000003E-2</v>
      </c>
      <c r="X1200">
        <v>0.99732739999999998</v>
      </c>
      <c r="Y1200">
        <v>0.12442640000000001</v>
      </c>
      <c r="Z1200">
        <v>3.6437599999999998E-3</v>
      </c>
      <c r="AA1200">
        <v>0.9922221</v>
      </c>
      <c r="AB1200">
        <v>49</v>
      </c>
      <c r="AC1200">
        <v>-0.607700000000022</v>
      </c>
      <c r="AD1200">
        <v>-8.6412999999999796E-2</v>
      </c>
      <c r="AE1200">
        <v>0.14999999999997701</v>
      </c>
      <c r="AF1200">
        <v>0.13838807501169301</v>
      </c>
      <c r="AG1200">
        <v>-8.6412999999999796E-2</v>
      </c>
      <c r="AH1200">
        <v>0.59843961080738595</v>
      </c>
      <c r="AI1200">
        <v>98.008076067990103</v>
      </c>
      <c r="AJ1200">
        <v>76.979331300146896</v>
      </c>
      <c r="AK1200">
        <v>0.62028093123820705</v>
      </c>
      <c r="AL1200">
        <v>87.955898749525005</v>
      </c>
      <c r="AM1200">
        <v>93.658211804070902</v>
      </c>
      <c r="AN1200">
        <v>1.0000000161039699</v>
      </c>
    </row>
    <row r="1201" spans="1:40" x14ac:dyDescent="0.3">
      <c r="A1201" t="str">
        <f>"20200111153854941"</f>
        <v>20200111153854941</v>
      </c>
      <c r="B1201" t="str">
        <f>"1578728334932284"</f>
        <v>1578728334932284</v>
      </c>
      <c r="C1201" t="s">
        <v>40</v>
      </c>
      <c r="D1201">
        <v>5.5875789999999999</v>
      </c>
      <c r="E1201">
        <v>0.57105969999999995</v>
      </c>
      <c r="F1201" t="s">
        <v>41</v>
      </c>
      <c r="G1201">
        <v>-259.05869999999999</v>
      </c>
      <c r="H1201">
        <v>1.024575</v>
      </c>
      <c r="I1201">
        <v>284.65289999999999</v>
      </c>
      <c r="J1201">
        <v>-258.49520000000001</v>
      </c>
      <c r="K1201">
        <v>1.105254</v>
      </c>
      <c r="L1201">
        <v>284.51130000000001</v>
      </c>
      <c r="M1201">
        <v>-0.99990699999999999</v>
      </c>
      <c r="N1201">
        <v>0</v>
      </c>
      <c r="O1201">
        <v>1.2968810000000001E-2</v>
      </c>
      <c r="P1201">
        <v>-0.99820030000000004</v>
      </c>
      <c r="Q1201">
        <v>3.3357129999999999E-2</v>
      </c>
      <c r="R1201">
        <v>-4.9833570000000001E-2</v>
      </c>
      <c r="S1201">
        <v>-3.0333559999999999</v>
      </c>
      <c r="T1201">
        <v>-0.23258580000000001</v>
      </c>
      <c r="U1201">
        <v>0.426178</v>
      </c>
      <c r="V1201">
        <v>-6.3009499999999996E-2</v>
      </c>
      <c r="W1201">
        <v>3.716502E-2</v>
      </c>
      <c r="X1201">
        <v>0.99732069999999995</v>
      </c>
      <c r="Y1201">
        <v>0.12595120000000001</v>
      </c>
      <c r="Z1201">
        <v>3.8103109999999998E-3</v>
      </c>
      <c r="AA1201">
        <v>0.9920291</v>
      </c>
      <c r="AB1201">
        <v>49</v>
      </c>
      <c r="AC1201">
        <v>-0.56349999999997602</v>
      </c>
      <c r="AD1201">
        <v>-8.0679000000000098E-2</v>
      </c>
      <c r="AE1201">
        <v>0.14159999999998199</v>
      </c>
      <c r="AF1201">
        <v>0.13173995868372501</v>
      </c>
      <c r="AG1201">
        <v>-8.0679000000000098E-2</v>
      </c>
      <c r="AH1201">
        <v>0.55459557796446102</v>
      </c>
      <c r="AI1201">
        <v>98.055862130939403</v>
      </c>
      <c r="AJ1201">
        <v>76.637482529913299</v>
      </c>
      <c r="AK1201">
        <v>0.57570893066959195</v>
      </c>
      <c r="AL1201">
        <v>87.870110717597001</v>
      </c>
      <c r="AM1201">
        <v>93.615072342016504</v>
      </c>
      <c r="AN1201">
        <v>1.00000000722517</v>
      </c>
    </row>
    <row r="1202" spans="1:40" x14ac:dyDescent="0.3">
      <c r="A1202" t="str">
        <f>"20200111153854964"</f>
        <v>20200111153854964</v>
      </c>
      <c r="B1202" t="str">
        <f>"1578728334951807"</f>
        <v>1578728334951807</v>
      </c>
      <c r="C1202" t="s">
        <v>40</v>
      </c>
      <c r="D1202">
        <v>5.5601159999999998</v>
      </c>
      <c r="E1202">
        <v>0.57148269999999901</v>
      </c>
      <c r="F1202" t="s">
        <v>41</v>
      </c>
      <c r="G1202">
        <v>-259.5052</v>
      </c>
      <c r="H1202">
        <v>1.0297179999999999</v>
      </c>
      <c r="I1202">
        <v>284.65339999999998</v>
      </c>
      <c r="J1202">
        <v>-258.99489999999997</v>
      </c>
      <c r="K1202">
        <v>1.1052059999999999</v>
      </c>
      <c r="L1202">
        <v>284.51710000000003</v>
      </c>
      <c r="M1202">
        <v>-0.99992840000000005</v>
      </c>
      <c r="N1202">
        <v>0</v>
      </c>
      <c r="O1202">
        <v>1.1203350000000001E-2</v>
      </c>
      <c r="P1202">
        <v>-0.99812849999999997</v>
      </c>
      <c r="Q1202">
        <v>3.4685639999999997E-2</v>
      </c>
      <c r="R1202">
        <v>-5.0366840000000003E-2</v>
      </c>
      <c r="S1202">
        <v>-3.0343019999999998</v>
      </c>
      <c r="T1202">
        <v>-0.2269535</v>
      </c>
      <c r="U1202">
        <v>0.4268188</v>
      </c>
      <c r="V1202">
        <v>-6.1784539999999999E-2</v>
      </c>
      <c r="W1202">
        <v>3.8532080000000003E-2</v>
      </c>
      <c r="X1202">
        <v>0.99734540000000005</v>
      </c>
      <c r="Y1202">
        <v>0.12787089999999901</v>
      </c>
      <c r="Z1202">
        <v>3.919601E-3</v>
      </c>
      <c r="AA1202">
        <v>0.99178310000000003</v>
      </c>
      <c r="AB1202">
        <v>50</v>
      </c>
      <c r="AC1202">
        <v>-0.51030000000002895</v>
      </c>
      <c r="AD1202">
        <v>-7.5487999999999694E-2</v>
      </c>
      <c r="AE1202">
        <v>0.13629999999994799</v>
      </c>
      <c r="AF1202">
        <v>0.12796064042279101</v>
      </c>
      <c r="AG1202">
        <v>-7.5487999999999694E-2</v>
      </c>
      <c r="AH1202">
        <v>0.50155048515294298</v>
      </c>
      <c r="AI1202">
        <v>98.297390371632602</v>
      </c>
      <c r="AJ1202">
        <v>75.687447696980598</v>
      </c>
      <c r="AK1202">
        <v>0.52309201179005205</v>
      </c>
      <c r="AL1202">
        <v>87.791727652067905</v>
      </c>
      <c r="AM1202">
        <v>93.544885582376594</v>
      </c>
      <c r="AN1202">
        <v>0.99999994873664699</v>
      </c>
    </row>
    <row r="1203" spans="1:40" x14ac:dyDescent="0.3">
      <c r="A1203" t="str">
        <f>"20200111153854985"</f>
        <v>20200111153854985</v>
      </c>
      <c r="B1203" t="str">
        <f>"1578728334982060"</f>
        <v>1578728334982060</v>
      </c>
      <c r="C1203" t="s">
        <v>40</v>
      </c>
      <c r="D1203">
        <v>5.5411820000000001</v>
      </c>
      <c r="E1203">
        <v>0.57209969999999999</v>
      </c>
      <c r="F1203" t="s">
        <v>41</v>
      </c>
      <c r="G1203">
        <v>-259.95310000000001</v>
      </c>
      <c r="H1203">
        <v>1.0351729999999999</v>
      </c>
      <c r="I1203">
        <v>284.65260000000001</v>
      </c>
      <c r="J1203">
        <v>-259.48390000000001</v>
      </c>
      <c r="K1203">
        <v>1.1051420000000001</v>
      </c>
      <c r="L1203">
        <v>284.52199999999999</v>
      </c>
      <c r="M1203">
        <v>-0.99994550000000004</v>
      </c>
      <c r="N1203">
        <v>0</v>
      </c>
      <c r="O1203">
        <v>9.5330499999999995E-3</v>
      </c>
      <c r="P1203">
        <v>-0.99806839999999997</v>
      </c>
      <c r="Q1203">
        <v>3.5086449999999998E-2</v>
      </c>
      <c r="R1203">
        <v>-5.1268059999999997E-2</v>
      </c>
      <c r="S1203">
        <v>-3.0349729999999999</v>
      </c>
      <c r="T1203">
        <v>-0.22199830000000001</v>
      </c>
      <c r="U1203">
        <v>0.42849730000000003</v>
      </c>
      <c r="V1203">
        <v>-6.1015920000000001E-2</v>
      </c>
      <c r="W1203">
        <v>3.8968540000000003E-2</v>
      </c>
      <c r="X1203">
        <v>0.99737580000000003</v>
      </c>
      <c r="Y1203">
        <v>0.1300386</v>
      </c>
      <c r="Z1203">
        <v>4.0334209999999997E-3</v>
      </c>
      <c r="AA1203">
        <v>0.99150070000000001</v>
      </c>
      <c r="AB1203">
        <v>50</v>
      </c>
      <c r="AC1203">
        <v>-0.46920000000000001</v>
      </c>
      <c r="AD1203">
        <v>-6.9969000000000101E-2</v>
      </c>
      <c r="AE1203">
        <v>0.13060000000001501</v>
      </c>
      <c r="AF1203">
        <v>0.123570747899699</v>
      </c>
      <c r="AG1203">
        <v>-6.9969000000000101E-2</v>
      </c>
      <c r="AH1203">
        <v>0.46091098992000201</v>
      </c>
      <c r="AI1203">
        <v>98.341703329375207</v>
      </c>
      <c r="AJ1203">
        <v>74.991879158816403</v>
      </c>
      <c r="AK1203">
        <v>0.48229071246140298</v>
      </c>
      <c r="AL1203">
        <v>87.766701625924995</v>
      </c>
      <c r="AM1203">
        <v>93.500789966990197</v>
      </c>
      <c r="AN1203">
        <v>0.99999998801440804</v>
      </c>
    </row>
    <row r="1204" spans="1:40" x14ac:dyDescent="0.3">
      <c r="A1204" t="str">
        <f>"20200111153855010"</f>
        <v>20200111153855010</v>
      </c>
      <c r="B1204" t="str">
        <f>"1578728335001581"</f>
        <v>1578728335001581</v>
      </c>
      <c r="C1204" t="s">
        <v>40</v>
      </c>
      <c r="D1204">
        <v>5.568683</v>
      </c>
      <c r="E1204">
        <v>0.57254859999999996</v>
      </c>
      <c r="F1204" t="s">
        <v>41</v>
      </c>
      <c r="G1204">
        <v>-260.40120000000002</v>
      </c>
      <c r="H1204">
        <v>1.038138</v>
      </c>
      <c r="I1204">
        <v>284.65219999999999</v>
      </c>
      <c r="J1204">
        <v>-260.02870000000001</v>
      </c>
      <c r="K1204">
        <v>1.1050500000000001</v>
      </c>
      <c r="L1204">
        <v>284.52659999999997</v>
      </c>
      <c r="M1204">
        <v>-0.99996090000000004</v>
      </c>
      <c r="N1204">
        <v>0</v>
      </c>
      <c r="O1204">
        <v>7.7568219999999896E-3</v>
      </c>
      <c r="P1204">
        <v>-0.99802480000000005</v>
      </c>
      <c r="Q1204">
        <v>3.4679010000000003E-2</v>
      </c>
      <c r="R1204">
        <v>-5.238404E-2</v>
      </c>
      <c r="S1204">
        <v>-3.035736</v>
      </c>
      <c r="T1204">
        <v>-0.22186320000000001</v>
      </c>
      <c r="U1204">
        <v>0.43087769999999997</v>
      </c>
      <c r="V1204">
        <v>-6.0350000000000001E-2</v>
      </c>
      <c r="W1204">
        <v>3.860164E-2</v>
      </c>
      <c r="X1204">
        <v>0.99743059999999995</v>
      </c>
      <c r="Y1204">
        <v>0.13251650000000001</v>
      </c>
      <c r="Z1204">
        <v>4.248684E-3</v>
      </c>
      <c r="AA1204">
        <v>0.99117169999999999</v>
      </c>
      <c r="AB1204">
        <v>50</v>
      </c>
      <c r="AC1204">
        <v>-0.372500000000002</v>
      </c>
      <c r="AD1204">
        <v>-6.6911999999999999E-2</v>
      </c>
      <c r="AE1204">
        <v>0.125600000000019</v>
      </c>
      <c r="AF1204">
        <v>0.11925172101472301</v>
      </c>
      <c r="AG1204">
        <v>-6.6911999999999999E-2</v>
      </c>
      <c r="AH1204">
        <v>0.36294744960970698</v>
      </c>
      <c r="AI1204">
        <v>99.934340041182693</v>
      </c>
      <c r="AJ1204">
        <v>71.811302095680503</v>
      </c>
      <c r="AK1204">
        <v>0.387851827231952</v>
      </c>
      <c r="AL1204">
        <v>87.787739315668205</v>
      </c>
      <c r="AM1204">
        <v>93.462486484292896</v>
      </c>
      <c r="AN1204">
        <v>1.0000000054635201</v>
      </c>
    </row>
    <row r="1205" spans="1:40" x14ac:dyDescent="0.3">
      <c r="A1205" t="str">
        <f>"20200111153855032"</f>
        <v>20200111153855032</v>
      </c>
      <c r="B1205" t="str">
        <f>"1578728335022076"</f>
        <v>1578728335022076</v>
      </c>
      <c r="C1205" t="s">
        <v>40</v>
      </c>
      <c r="D1205">
        <v>5.5134309999999997</v>
      </c>
      <c r="E1205">
        <v>0.57284460000000004</v>
      </c>
      <c r="F1205" t="s">
        <v>41</v>
      </c>
      <c r="G1205">
        <v>-260.85210000000001</v>
      </c>
      <c r="H1205">
        <v>1.04464</v>
      </c>
      <c r="I1205">
        <v>284.6438</v>
      </c>
      <c r="J1205">
        <v>-260.52289999999999</v>
      </c>
      <c r="K1205">
        <v>1.104951</v>
      </c>
      <c r="L1205">
        <v>284.5299</v>
      </c>
      <c r="M1205">
        <v>-0.99997130000000001</v>
      </c>
      <c r="N1205">
        <v>0</v>
      </c>
      <c r="O1205">
        <v>6.2466609999999997E-3</v>
      </c>
      <c r="P1205">
        <v>-0.99797979999999997</v>
      </c>
      <c r="Q1205">
        <v>3.3157079999999998E-2</v>
      </c>
      <c r="R1205">
        <v>-5.419409E-2</v>
      </c>
      <c r="S1205">
        <v>-3.0363159999999998</v>
      </c>
      <c r="T1205">
        <v>-0.223132</v>
      </c>
      <c r="U1205">
        <v>0.43118289999999998</v>
      </c>
      <c r="V1205">
        <v>-6.0636410000000002E-2</v>
      </c>
      <c r="W1205">
        <v>3.7112119999999998E-2</v>
      </c>
      <c r="X1205">
        <v>0.99746979999999996</v>
      </c>
      <c r="Y1205">
        <v>0.13407279999999999</v>
      </c>
      <c r="Z1205">
        <v>4.439152E-3</v>
      </c>
      <c r="AA1205">
        <v>0.9909616</v>
      </c>
      <c r="AB1205">
        <v>50</v>
      </c>
      <c r="AC1205">
        <v>-0.32920000000001398</v>
      </c>
      <c r="AD1205">
        <v>-6.0310999999999997E-2</v>
      </c>
      <c r="AE1205">
        <v>0.1139</v>
      </c>
      <c r="AF1205">
        <v>0.108586413273401</v>
      </c>
      <c r="AG1205">
        <v>-6.0310999999999997E-2</v>
      </c>
      <c r="AH1205">
        <v>0.32030377495267898</v>
      </c>
      <c r="AI1205">
        <v>100.110960172964</v>
      </c>
      <c r="AJ1205">
        <v>71.272790249314596</v>
      </c>
      <c r="AK1205">
        <v>0.34354466102316</v>
      </c>
      <c r="AL1205">
        <v>87.873143832405205</v>
      </c>
      <c r="AM1205">
        <v>93.478742163856396</v>
      </c>
      <c r="AN1205">
        <v>1.00000004279031</v>
      </c>
    </row>
    <row r="1206" spans="1:40" x14ac:dyDescent="0.3">
      <c r="A1206" t="str">
        <f>"20200111153855054"</f>
        <v>20200111153855054</v>
      </c>
      <c r="B1206" t="str">
        <f>"1578728335051357"</f>
        <v>1578728335051357</v>
      </c>
      <c r="C1206" t="s">
        <v>40</v>
      </c>
      <c r="D1206">
        <v>5.4842089999999999</v>
      </c>
      <c r="E1206">
        <v>0.58488009999999901</v>
      </c>
      <c r="F1206" t="s">
        <v>41</v>
      </c>
      <c r="G1206">
        <v>-261.30200000000002</v>
      </c>
      <c r="H1206">
        <v>1.0466709999999999</v>
      </c>
      <c r="I1206">
        <v>284.64</v>
      </c>
      <c r="J1206">
        <v>-261.02719999999999</v>
      </c>
      <c r="K1206">
        <v>1.1048359999999999</v>
      </c>
      <c r="L1206">
        <v>284.5326</v>
      </c>
      <c r="M1206">
        <v>-0.99997899999999995</v>
      </c>
      <c r="N1206">
        <v>0</v>
      </c>
      <c r="O1206">
        <v>4.8258859999999997E-3</v>
      </c>
      <c r="P1206">
        <v>-0.99792800000000004</v>
      </c>
      <c r="Q1206">
        <v>3.161071E-2</v>
      </c>
      <c r="R1206">
        <v>-5.6039369999999998E-2</v>
      </c>
      <c r="S1206">
        <v>-3.036835</v>
      </c>
      <c r="T1206">
        <v>-0.22734960000000001</v>
      </c>
      <c r="U1206">
        <v>0.42822270000000001</v>
      </c>
      <c r="V1206">
        <v>-6.1045950000000002E-2</v>
      </c>
      <c r="W1206">
        <v>3.560108E-2</v>
      </c>
      <c r="X1206">
        <v>0.99749980000000005</v>
      </c>
      <c r="Y1206">
        <v>0.13449220000000001</v>
      </c>
      <c r="Z1206">
        <v>4.6436510000000004E-3</v>
      </c>
      <c r="AA1206">
        <v>0.9909038</v>
      </c>
      <c r="AB1206">
        <v>50</v>
      </c>
      <c r="AC1206">
        <v>-0.27480000000002702</v>
      </c>
      <c r="AD1206">
        <v>-5.8165000000000203E-2</v>
      </c>
      <c r="AE1206">
        <v>0.10739999999998399</v>
      </c>
      <c r="AF1206">
        <v>0.102104326100514</v>
      </c>
      <c r="AG1206">
        <v>-5.8165000000000203E-2</v>
      </c>
      <c r="AH1206">
        <v>0.26501535404762899</v>
      </c>
      <c r="AI1206">
        <v>101.574307570348</v>
      </c>
      <c r="AJ1206">
        <v>68.929472506782602</v>
      </c>
      <c r="AK1206">
        <v>0.289899290296528</v>
      </c>
      <c r="AL1206">
        <v>87.959777133194507</v>
      </c>
      <c r="AM1206">
        <v>93.5020743348948</v>
      </c>
      <c r="AN1206">
        <v>0.99999994795430303</v>
      </c>
    </row>
    <row r="1207" spans="1:40" x14ac:dyDescent="0.3">
      <c r="A1207" t="str">
        <f>"20200111153855075"</f>
        <v>20200111153855075</v>
      </c>
      <c r="B1207" t="str">
        <f>"1578728335071852"</f>
        <v>1578728335071852</v>
      </c>
      <c r="C1207" t="s">
        <v>40</v>
      </c>
      <c r="D1207">
        <v>5.4645250000000001</v>
      </c>
      <c r="E1207">
        <v>0.58598719999999904</v>
      </c>
      <c r="F1207" t="s">
        <v>41</v>
      </c>
      <c r="G1207">
        <v>-261.7552</v>
      </c>
      <c r="H1207">
        <v>1.0480339999999999</v>
      </c>
      <c r="I1207">
        <v>284.65710000000001</v>
      </c>
      <c r="J1207">
        <v>-261.49110000000002</v>
      </c>
      <c r="K1207">
        <v>1.1047129999999901</v>
      </c>
      <c r="L1207">
        <v>284.53449999999998</v>
      </c>
      <c r="M1207">
        <v>-0.99998390000000004</v>
      </c>
      <c r="N1207">
        <v>0</v>
      </c>
      <c r="O1207">
        <v>3.647459E-3</v>
      </c>
      <c r="P1207">
        <v>-0.99786090000000005</v>
      </c>
      <c r="Q1207">
        <v>2.9972260000000001E-2</v>
      </c>
      <c r="R1207">
        <v>-5.8099079999999997E-2</v>
      </c>
      <c r="S1207">
        <v>-3.0429080000000002</v>
      </c>
      <c r="T1207">
        <v>-0.2376462</v>
      </c>
      <c r="U1207">
        <v>0.51895139999999995</v>
      </c>
      <c r="V1207">
        <v>-6.191174E-2</v>
      </c>
      <c r="W1207">
        <v>3.3995099999999903E-2</v>
      </c>
      <c r="X1207">
        <v>0.99750249999999996</v>
      </c>
      <c r="Y1207">
        <v>0.164046</v>
      </c>
      <c r="Z1207">
        <v>6.0681069999999997E-3</v>
      </c>
      <c r="AA1207">
        <v>0.98643400000000003</v>
      </c>
      <c r="AB1207">
        <v>50</v>
      </c>
      <c r="AC1207">
        <v>-0.26409999999998401</v>
      </c>
      <c r="AD1207">
        <v>-5.6678999999999903E-2</v>
      </c>
      <c r="AE1207">
        <v>0.122600000000034</v>
      </c>
      <c r="AF1207">
        <v>0.117195068422922</v>
      </c>
      <c r="AG1207">
        <v>-5.6678999999999903E-2</v>
      </c>
      <c r="AH1207">
        <v>0.254887118196445</v>
      </c>
      <c r="AI1207">
        <v>101.42206061367401</v>
      </c>
      <c r="AJ1207">
        <v>65.307404772329704</v>
      </c>
      <c r="AK1207">
        <v>0.28620733066457699</v>
      </c>
      <c r="AL1207">
        <v>88.051848856034198</v>
      </c>
      <c r="AM1207">
        <v>93.551606999918405</v>
      </c>
      <c r="AN1207">
        <v>0.99999998394004297</v>
      </c>
    </row>
    <row r="1208" spans="1:40" x14ac:dyDescent="0.3">
      <c r="A1208" t="str">
        <f>"20200111153855098"</f>
        <v>20200111153855098</v>
      </c>
      <c r="B1208" t="str">
        <f>"1578728335091372"</f>
        <v>1578728335091372</v>
      </c>
      <c r="C1208" t="s">
        <v>40</v>
      </c>
      <c r="D1208">
        <v>5.4394269999999896</v>
      </c>
      <c r="E1208">
        <v>0.58672349999999995</v>
      </c>
      <c r="F1208" t="s">
        <v>55</v>
      </c>
      <c r="G1208">
        <v>-276.214</v>
      </c>
      <c r="H1208" s="1">
        <v>1.6634199999999999E-6</v>
      </c>
      <c r="I1208">
        <v>287.05419999999998</v>
      </c>
      <c r="J1208">
        <v>-262.00760000000002</v>
      </c>
      <c r="K1208">
        <v>1.1045689999999999</v>
      </c>
      <c r="L1208">
        <v>284.53609999999998</v>
      </c>
      <c r="M1208">
        <v>-0.99998739999999997</v>
      </c>
      <c r="N1208">
        <v>0</v>
      </c>
      <c r="O1208">
        <v>2.4840280000000001E-3</v>
      </c>
      <c r="P1208">
        <v>-0.99774260000000004</v>
      </c>
      <c r="Q1208">
        <v>3.019848E-2</v>
      </c>
      <c r="R1208">
        <v>-5.9986360000000002E-2</v>
      </c>
      <c r="S1208">
        <v>-3.0435789999999998</v>
      </c>
      <c r="T1208">
        <v>-0.22837109999999999</v>
      </c>
      <c r="U1208">
        <v>0.52087399999999995</v>
      </c>
      <c r="V1208">
        <v>-6.2627950000000002E-2</v>
      </c>
      <c r="W1208">
        <v>3.4260550000000001E-2</v>
      </c>
      <c r="X1208">
        <v>0.99744869999999997</v>
      </c>
      <c r="Y1208">
        <v>0.165791299999999</v>
      </c>
      <c r="Z1208">
        <v>5.9818199999999997E-3</v>
      </c>
      <c r="AA1208">
        <v>0.98614270000000004</v>
      </c>
      <c r="AB1208">
        <v>51</v>
      </c>
      <c r="AC1208">
        <v>-14.206399999999901</v>
      </c>
      <c r="AD1208">
        <v>-1.1045673365799999</v>
      </c>
      <c r="AE1208">
        <v>2.5181</v>
      </c>
      <c r="AF1208">
        <v>2.4683355551060702</v>
      </c>
      <c r="AG1208">
        <v>-1.1045673365799999</v>
      </c>
      <c r="AH1208">
        <v>14.1297946441597</v>
      </c>
      <c r="AI1208">
        <v>94.403471717181901</v>
      </c>
      <c r="AJ1208">
        <v>80.090982501090807</v>
      </c>
      <c r="AK1208">
        <v>14.386238080185</v>
      </c>
      <c r="AL1208">
        <v>88.036630813105504</v>
      </c>
      <c r="AM1208">
        <v>93.592779126353307</v>
      </c>
      <c r="AN1208">
        <v>0.999999977269597</v>
      </c>
    </row>
    <row r="1209" spans="1:40" x14ac:dyDescent="0.3">
      <c r="A1209" t="str">
        <f>"20200111153855122"</f>
        <v>20200111153855122</v>
      </c>
      <c r="B1209" t="str">
        <f>"1578728335111868"</f>
        <v>1578728335111868</v>
      </c>
      <c r="C1209" t="s">
        <v>40</v>
      </c>
      <c r="D1209">
        <v>5.4366719999999997</v>
      </c>
      <c r="E1209">
        <v>0.58735519999999997</v>
      </c>
      <c r="F1209" t="s">
        <v>55</v>
      </c>
      <c r="G1209">
        <v>-277.28190000000001</v>
      </c>
      <c r="H1209" s="1">
        <v>2.2276239999999999E-6</v>
      </c>
      <c r="I1209">
        <v>287.1474</v>
      </c>
      <c r="J1209">
        <v>-262.55720000000002</v>
      </c>
      <c r="K1209">
        <v>1.104425</v>
      </c>
      <c r="L1209">
        <v>284.53719999999998</v>
      </c>
      <c r="M1209">
        <v>-0.99998949999999998</v>
      </c>
      <c r="N1209">
        <v>0</v>
      </c>
      <c r="O1209">
        <v>1.390589E-3</v>
      </c>
      <c r="P1209">
        <v>-0.99762819999999997</v>
      </c>
      <c r="Q1209">
        <v>3.0525469999999999E-2</v>
      </c>
      <c r="R1209">
        <v>-6.1696279999999999E-2</v>
      </c>
      <c r="S1209">
        <v>-3.0447389999999999</v>
      </c>
      <c r="T1209">
        <v>-0.22018219999999999</v>
      </c>
      <c r="U1209">
        <v>0.52053830000000001</v>
      </c>
      <c r="V1209">
        <v>-6.3236410000000007E-2</v>
      </c>
      <c r="W1209">
        <v>3.4630349999999997E-2</v>
      </c>
      <c r="X1209">
        <v>0.99739750000000005</v>
      </c>
      <c r="Y1209">
        <v>0.16672779999999901</v>
      </c>
      <c r="Z1209">
        <v>5.8777500000000002E-3</v>
      </c>
      <c r="AA1209">
        <v>0.98598549999999996</v>
      </c>
      <c r="AB1209">
        <v>51</v>
      </c>
      <c r="AC1209">
        <v>-14.724699999999901</v>
      </c>
      <c r="AD1209">
        <v>-1.1044227723760001</v>
      </c>
      <c r="AE1209">
        <v>2.6102000000000198</v>
      </c>
      <c r="AF1209">
        <v>2.5756727268688802</v>
      </c>
      <c r="AG1209">
        <v>-1.1044227723760001</v>
      </c>
      <c r="AH1209">
        <v>14.6484183231711</v>
      </c>
      <c r="AI1209">
        <v>94.246772854141398</v>
      </c>
      <c r="AJ1209">
        <v>80.027461797241301</v>
      </c>
      <c r="AK1209">
        <v>14.9140872676371</v>
      </c>
      <c r="AL1209">
        <v>88.015430176109106</v>
      </c>
      <c r="AM1209">
        <v>93.627777625936602</v>
      </c>
      <c r="AN1209">
        <v>0.999999938848528</v>
      </c>
    </row>
    <row r="1210" spans="1:40" x14ac:dyDescent="0.3">
      <c r="A1210" t="str">
        <f>"20200111153855144"</f>
        <v>20200111153855144</v>
      </c>
      <c r="B1210" t="str">
        <f>"1578728335142124"</f>
        <v>1578728335142124</v>
      </c>
      <c r="C1210" t="s">
        <v>40</v>
      </c>
      <c r="D1210">
        <v>5.4352080000000003</v>
      </c>
      <c r="E1210">
        <v>0.58875569999999999</v>
      </c>
      <c r="F1210" t="s">
        <v>55</v>
      </c>
      <c r="G1210">
        <v>-278.29860000000002</v>
      </c>
      <c r="H1210" s="1">
        <v>2.765362E-6</v>
      </c>
      <c r="I1210">
        <v>287.22340000000003</v>
      </c>
      <c r="J1210">
        <v>-263.05779999999999</v>
      </c>
      <c r="K1210">
        <v>1.104298</v>
      </c>
      <c r="L1210">
        <v>284.53769999999997</v>
      </c>
      <c r="M1210">
        <v>-0.99999020000000005</v>
      </c>
      <c r="N1210">
        <v>0</v>
      </c>
      <c r="O1210">
        <v>5.1814609999999996E-4</v>
      </c>
      <c r="P1210">
        <v>-0.99753239999999999</v>
      </c>
      <c r="Q1210">
        <v>3.0508830000000001E-2</v>
      </c>
      <c r="R1210">
        <v>-6.3230930000000005E-2</v>
      </c>
      <c r="S1210">
        <v>-3.045776</v>
      </c>
      <c r="T1210">
        <v>-0.21369199999999999</v>
      </c>
      <c r="U1210">
        <v>0.51974489999999995</v>
      </c>
      <c r="V1210">
        <v>-6.3890269999999999E-2</v>
      </c>
      <c r="W1210">
        <v>3.4653219999999998E-2</v>
      </c>
      <c r="X1210">
        <v>0.99735510000000005</v>
      </c>
      <c r="Y1210">
        <v>0.1673037</v>
      </c>
      <c r="Z1210">
        <v>5.7838589999999997E-3</v>
      </c>
      <c r="AA1210">
        <v>0.9858884</v>
      </c>
      <c r="AB1210">
        <v>51</v>
      </c>
      <c r="AC1210">
        <v>-15.2408</v>
      </c>
      <c r="AD1210">
        <v>-1.1042952346379999</v>
      </c>
      <c r="AE1210">
        <v>2.6857000000000499</v>
      </c>
      <c r="AF1210">
        <v>2.6642367581078399</v>
      </c>
      <c r="AG1210">
        <v>-1.1042952346379999</v>
      </c>
      <c r="AH1210">
        <v>15.164972073967199</v>
      </c>
      <c r="AI1210">
        <v>94.102252488613004</v>
      </c>
      <c r="AJ1210">
        <v>80.0357558486334</v>
      </c>
      <c r="AK1210">
        <v>15.436774386921</v>
      </c>
      <c r="AL1210">
        <v>88.014119163784997</v>
      </c>
      <c r="AM1210">
        <v>93.665342252987202</v>
      </c>
      <c r="AN1210">
        <v>1.00000000387652</v>
      </c>
    </row>
    <row r="1211" spans="1:40" x14ac:dyDescent="0.3">
      <c r="A1211" t="str">
        <f>"20200111153855165"</f>
        <v>20200111153855165</v>
      </c>
      <c r="B1211" t="str">
        <f>"1578728335161644"</f>
        <v>1578728335161644</v>
      </c>
      <c r="C1211" t="s">
        <v>40</v>
      </c>
      <c r="D1211">
        <v>5.428744</v>
      </c>
      <c r="E1211">
        <v>0.58949300000000004</v>
      </c>
      <c r="F1211" t="s">
        <v>55</v>
      </c>
      <c r="G1211">
        <v>-279.23070000000001</v>
      </c>
      <c r="H1211" s="1">
        <v>3.2567410000000002E-6</v>
      </c>
      <c r="I1211">
        <v>287.32870000000003</v>
      </c>
      <c r="J1211">
        <v>-263.54320000000001</v>
      </c>
      <c r="K1211">
        <v>1.104174</v>
      </c>
      <c r="L1211">
        <v>284.5378</v>
      </c>
      <c r="M1211">
        <v>-0.9999903</v>
      </c>
      <c r="N1211">
        <v>0</v>
      </c>
      <c r="O1211">
        <v>-2.173458E-4</v>
      </c>
      <c r="P1211">
        <v>-0.99747319999999995</v>
      </c>
      <c r="Q1211">
        <v>2.9913809999999999E-2</v>
      </c>
      <c r="R1211">
        <v>-6.4442680000000002E-2</v>
      </c>
      <c r="S1211">
        <v>-3.0471189999999999</v>
      </c>
      <c r="T1211">
        <v>-0.20805969999999999</v>
      </c>
      <c r="U1211">
        <v>0.52584839999999999</v>
      </c>
      <c r="V1211">
        <v>-6.4355659999999995E-2</v>
      </c>
      <c r="W1211">
        <v>3.4098040000000003E-2</v>
      </c>
      <c r="X1211">
        <v>0.99734429999999996</v>
      </c>
      <c r="Y1211">
        <v>0.16988809999999999</v>
      </c>
      <c r="Z1211">
        <v>5.765661E-3</v>
      </c>
      <c r="AA1211">
        <v>0.9854465</v>
      </c>
      <c r="AB1211">
        <v>51</v>
      </c>
      <c r="AC1211">
        <v>-15.6875</v>
      </c>
      <c r="AD1211">
        <v>-1.104170743259</v>
      </c>
      <c r="AE1211">
        <v>2.7909000000000201</v>
      </c>
      <c r="AF1211">
        <v>2.78095511827655</v>
      </c>
      <c r="AG1211">
        <v>-1.104170743259</v>
      </c>
      <c r="AH1211">
        <v>15.611922813974701</v>
      </c>
      <c r="AI1211">
        <v>93.983079412998705</v>
      </c>
      <c r="AJ1211">
        <v>79.899828862753793</v>
      </c>
      <c r="AK1211">
        <v>15.896069902640701</v>
      </c>
      <c r="AL1211">
        <v>88.045947418907005</v>
      </c>
      <c r="AM1211">
        <v>93.692007658073294</v>
      </c>
      <c r="AN1211">
        <v>0.99999999002418305</v>
      </c>
    </row>
    <row r="1212" spans="1:40" x14ac:dyDescent="0.3">
      <c r="A1212" t="str">
        <f>"20200111153855188"</f>
        <v>20200111153855188</v>
      </c>
      <c r="B1212" t="str">
        <f>"1578728335182141"</f>
        <v>1578728335182141</v>
      </c>
      <c r="C1212" t="s">
        <v>40</v>
      </c>
      <c r="D1212">
        <v>5.4214589999999996</v>
      </c>
      <c r="E1212">
        <v>0.59002509999999997</v>
      </c>
      <c r="F1212" t="s">
        <v>55</v>
      </c>
      <c r="G1212">
        <v>-279.762</v>
      </c>
      <c r="H1212" s="1">
        <v>3.5387269999999998E-6</v>
      </c>
      <c r="I1212">
        <v>287.34589999999997</v>
      </c>
      <c r="J1212">
        <v>-264.053</v>
      </c>
      <c r="K1212">
        <v>1.104042</v>
      </c>
      <c r="L1212">
        <v>284.5376</v>
      </c>
      <c r="M1212">
        <v>-0.99998960000000003</v>
      </c>
      <c r="N1212">
        <v>0</v>
      </c>
      <c r="O1212">
        <v>-8.8351679999999896E-4</v>
      </c>
      <c r="P1212">
        <v>-0.99742980000000003</v>
      </c>
      <c r="Q1212">
        <v>3.0155749999999999E-2</v>
      </c>
      <c r="R1212">
        <v>-6.4997170000000007E-2</v>
      </c>
      <c r="S1212">
        <v>-3.0479129999999999</v>
      </c>
      <c r="T1212">
        <v>-0.2075012</v>
      </c>
      <c r="U1212">
        <v>0.52771000000000001</v>
      </c>
      <c r="V1212">
        <v>-6.4236139999999997E-2</v>
      </c>
      <c r="W1212">
        <v>3.4383490000000003E-2</v>
      </c>
      <c r="X1212">
        <v>0.99734219999999896</v>
      </c>
      <c r="Y1212">
        <v>0.17108400000000001</v>
      </c>
      <c r="Z1212">
        <v>5.8337839999999998E-3</v>
      </c>
      <c r="AA1212">
        <v>0.98523910000000003</v>
      </c>
      <c r="AB1212">
        <v>51</v>
      </c>
      <c r="AC1212">
        <v>-15.709</v>
      </c>
      <c r="AD1212">
        <v>-1.1040384612730001</v>
      </c>
      <c r="AE1212">
        <v>2.8082999999999698</v>
      </c>
      <c r="AF1212">
        <v>2.80873448166551</v>
      </c>
      <c r="AG1212">
        <v>-1.1040384612730001</v>
      </c>
      <c r="AH1212">
        <v>15.631693128440499</v>
      </c>
      <c r="AI1212">
        <v>93.976516439852702</v>
      </c>
      <c r="AJ1212">
        <v>79.813673391045697</v>
      </c>
      <c r="AK1212">
        <v>15.9203555354207</v>
      </c>
      <c r="AL1212">
        <v>88.029582732457996</v>
      </c>
      <c r="AM1212">
        <v>93.685177587957995</v>
      </c>
      <c r="AN1212">
        <v>0.99999998498375897</v>
      </c>
    </row>
    <row r="1213" spans="1:40" x14ac:dyDescent="0.3">
      <c r="A1213" t="str">
        <f>"20200111153855209"</f>
        <v>20200111153855209</v>
      </c>
      <c r="B1213" t="str">
        <f>"1578728335202167"</f>
        <v>1578728335202167</v>
      </c>
      <c r="C1213" t="s">
        <v>40</v>
      </c>
      <c r="D1213">
        <v>5.4772230000000004</v>
      </c>
      <c r="E1213">
        <v>0.59044549999999996</v>
      </c>
      <c r="F1213" t="s">
        <v>59</v>
      </c>
      <c r="G1213">
        <v>-280.51960000000003</v>
      </c>
      <c r="H1213" s="1">
        <v>7.5963079999999998E-6</v>
      </c>
      <c r="I1213">
        <v>287.40159999999997</v>
      </c>
      <c r="J1213">
        <v>-264.57279999999997</v>
      </c>
      <c r="K1213">
        <v>1.1039219999999901</v>
      </c>
      <c r="L1213">
        <v>284.53699999999998</v>
      </c>
      <c r="M1213">
        <v>-0.99998889999999996</v>
      </c>
      <c r="N1213">
        <v>0</v>
      </c>
      <c r="O1213">
        <v>-1.4719170000000001E-3</v>
      </c>
      <c r="P1213">
        <v>-0.99736409999999998</v>
      </c>
      <c r="Q1213">
        <v>3.049371E-2</v>
      </c>
      <c r="R1213">
        <v>-6.5843020000000002E-2</v>
      </c>
      <c r="S1213">
        <v>-3.0484619999999998</v>
      </c>
      <c r="T1213">
        <v>-0.2043904</v>
      </c>
      <c r="U1213">
        <v>0.53021240000000003</v>
      </c>
      <c r="V1213">
        <v>-6.448545E-2</v>
      </c>
      <c r="W1213">
        <v>3.4764259999999998E-2</v>
      </c>
      <c r="X1213">
        <v>0.99731289999999995</v>
      </c>
      <c r="Y1213">
        <v>0.1724263</v>
      </c>
      <c r="Z1213">
        <v>5.8288300000000001E-3</v>
      </c>
      <c r="AA1213">
        <v>0.98500520000000003</v>
      </c>
      <c r="AB1213">
        <v>51</v>
      </c>
      <c r="AC1213">
        <v>-15.9468</v>
      </c>
      <c r="AD1213">
        <v>-1.1039144036919999</v>
      </c>
      <c r="AE1213">
        <v>2.8645999999999301</v>
      </c>
      <c r="AF1213">
        <v>2.8747242343961901</v>
      </c>
      <c r="AG1213">
        <v>-1.1039144036919999</v>
      </c>
      <c r="AH1213">
        <v>15.8688984217835</v>
      </c>
      <c r="AI1213">
        <v>93.9158193230721</v>
      </c>
      <c r="AJ1213">
        <v>79.7319606004897</v>
      </c>
      <c r="AK1213">
        <v>16.164918915830899</v>
      </c>
      <c r="AL1213">
        <v>88.007753144766596</v>
      </c>
      <c r="AM1213">
        <v>93.699549051345898</v>
      </c>
      <c r="AN1213">
        <v>0.99999997377072902</v>
      </c>
    </row>
    <row r="1214" spans="1:40" x14ac:dyDescent="0.3">
      <c r="A1214" t="str">
        <f>"20200111153855231"</f>
        <v>20200111153855231</v>
      </c>
      <c r="B1214" t="str">
        <f>"1578728335221691"</f>
        <v>1578728335221691</v>
      </c>
      <c r="C1214" t="s">
        <v>40</v>
      </c>
      <c r="D1214">
        <v>5.2906810000000002</v>
      </c>
      <c r="E1214">
        <v>0.54543949999999997</v>
      </c>
      <c r="F1214" t="s">
        <v>59</v>
      </c>
      <c r="G1214">
        <v>-281.0838</v>
      </c>
      <c r="H1214" s="1">
        <v>7.3436939999999999E-6</v>
      </c>
      <c r="I1214">
        <v>287.41329999999999</v>
      </c>
      <c r="J1214">
        <v>-265.07209999999998</v>
      </c>
      <c r="K1214">
        <v>1.103809</v>
      </c>
      <c r="L1214">
        <v>284.53620000000001</v>
      </c>
      <c r="M1214">
        <v>-0.99998790000000004</v>
      </c>
      <c r="N1214">
        <v>0</v>
      </c>
      <c r="O1214">
        <v>-1.971675E-3</v>
      </c>
      <c r="P1214">
        <v>-0.99731069999999999</v>
      </c>
      <c r="Q1214">
        <v>3.109203E-2</v>
      </c>
      <c r="R1214">
        <v>-6.6369559999999994E-2</v>
      </c>
      <c r="S1214">
        <v>-3.0492249999999999</v>
      </c>
      <c r="T1214">
        <v>-0.20386870000000001</v>
      </c>
      <c r="U1214">
        <v>0.53118900000000002</v>
      </c>
      <c r="V1214">
        <v>-6.4506339999999995E-2</v>
      </c>
      <c r="W1214">
        <v>3.540331E-2</v>
      </c>
      <c r="X1214">
        <v>0.99728910000000004</v>
      </c>
      <c r="Y1214">
        <v>0.17318249999999999</v>
      </c>
      <c r="Z1214">
        <v>5.8705900000000002E-3</v>
      </c>
      <c r="AA1214">
        <v>0.98487230000000003</v>
      </c>
      <c r="AB1214">
        <v>51</v>
      </c>
      <c r="AC1214">
        <v>-16.011700000000001</v>
      </c>
      <c r="AD1214">
        <v>-1.103801656306</v>
      </c>
      <c r="AE1214">
        <v>2.87709999999998</v>
      </c>
      <c r="AF1214">
        <v>2.8953353569726299</v>
      </c>
      <c r="AG1214">
        <v>-1.103801656306</v>
      </c>
      <c r="AH1214">
        <v>15.9326470713953</v>
      </c>
      <c r="AI1214">
        <v>93.8994145113722</v>
      </c>
      <c r="AJ1214">
        <v>79.700408487923895</v>
      </c>
      <c r="AK1214">
        <v>16.231161006762299</v>
      </c>
      <c r="AL1214">
        <v>87.971115784992406</v>
      </c>
      <c r="AM1214">
        <v>93.700832258497996</v>
      </c>
      <c r="AN1214">
        <v>1.0000000056189799</v>
      </c>
    </row>
    <row r="1215" spans="1:40" x14ac:dyDescent="0.3">
      <c r="A1215" t="str">
        <f>"20200111153855253"</f>
        <v>20200111153855253</v>
      </c>
      <c r="B1215" t="str">
        <f>"1578728335251943"</f>
        <v>1578728335251943</v>
      </c>
      <c r="C1215" t="s">
        <v>40</v>
      </c>
      <c r="D1215">
        <v>5.1926220000000001</v>
      </c>
      <c r="E1215">
        <v>0.49671709999999902</v>
      </c>
      <c r="F1215" t="s">
        <v>59</v>
      </c>
      <c r="G1215">
        <v>-292.3141</v>
      </c>
      <c r="H1215" s="1">
        <v>2.490397E-6</v>
      </c>
      <c r="I1215">
        <v>286.05579999999998</v>
      </c>
      <c r="J1215">
        <v>-265.5804</v>
      </c>
      <c r="K1215">
        <v>1.1037060000000001</v>
      </c>
      <c r="L1215">
        <v>284.5351</v>
      </c>
      <c r="M1215">
        <v>-0.99998679999999995</v>
      </c>
      <c r="N1215">
        <v>0</v>
      </c>
      <c r="O1215">
        <v>-2.4335170000000001E-3</v>
      </c>
      <c r="P1215">
        <v>-0.99725160000000002</v>
      </c>
      <c r="Q1215">
        <v>3.0676189999999999E-2</v>
      </c>
      <c r="R1215">
        <v>-6.7441249999999994E-2</v>
      </c>
      <c r="S1215">
        <v>-3.0231020000000002</v>
      </c>
      <c r="T1215">
        <v>-0.12249119999999999</v>
      </c>
      <c r="U1215">
        <v>0.16864009999999999</v>
      </c>
      <c r="V1215">
        <v>-6.5108289999999999E-2</v>
      </c>
      <c r="W1215">
        <v>3.5024930000000003E-2</v>
      </c>
      <c r="X1215">
        <v>0.99726329999999996</v>
      </c>
      <c r="Y1215">
        <v>5.8077320000000002E-2</v>
      </c>
      <c r="Z1215">
        <v>1.273693E-3</v>
      </c>
      <c r="AA1215">
        <v>0.99831130000000001</v>
      </c>
      <c r="AB1215">
        <v>51</v>
      </c>
      <c r="AC1215">
        <v>-26.733699999999999</v>
      </c>
      <c r="AD1215">
        <v>-1.1037035096029999</v>
      </c>
      <c r="AE1215">
        <v>1.52069999999997</v>
      </c>
      <c r="AF1215">
        <v>1.5830635115216101</v>
      </c>
      <c r="AG1215">
        <v>-1.1037035096029999</v>
      </c>
      <c r="AH1215">
        <v>26.6845840518484</v>
      </c>
      <c r="AI1215">
        <v>92.364313789328094</v>
      </c>
      <c r="AJ1215">
        <v>86.604905904912599</v>
      </c>
      <c r="AK1215">
        <v>26.754275873938099</v>
      </c>
      <c r="AL1215">
        <v>87.992808729366104</v>
      </c>
      <c r="AM1215">
        <v>93.735366139126</v>
      </c>
      <c r="AN1215">
        <v>0.99999996233755795</v>
      </c>
    </row>
    <row r="1216" spans="1:40" x14ac:dyDescent="0.3">
      <c r="A1216" t="str">
        <f>"20200111153855276"</f>
        <v>20200111153855276</v>
      </c>
      <c r="B1216" t="str">
        <f>"1578728335271463"</f>
        <v>1578728335271463</v>
      </c>
      <c r="C1216" t="s">
        <v>40</v>
      </c>
      <c r="D1216">
        <v>5.0981750000000003</v>
      </c>
      <c r="E1216">
        <v>0.49765710000000002</v>
      </c>
      <c r="F1216" t="s">
        <v>59</v>
      </c>
      <c r="G1216">
        <v>-302.66770000000002</v>
      </c>
      <c r="H1216" s="1">
        <v>3.7402530000000002E-6</v>
      </c>
      <c r="I1216">
        <v>281.7697</v>
      </c>
      <c r="J1216">
        <v>-266.08429999999998</v>
      </c>
      <c r="K1216">
        <v>1.103613</v>
      </c>
      <c r="L1216">
        <v>284.53379999999999</v>
      </c>
      <c r="M1216">
        <v>-0.99998560000000003</v>
      </c>
      <c r="N1216">
        <v>0</v>
      </c>
      <c r="O1216">
        <v>-2.8572250000000001E-3</v>
      </c>
      <c r="P1216">
        <v>-0.99723709999999999</v>
      </c>
      <c r="Q1216">
        <v>2.9767970000000001E-2</v>
      </c>
      <c r="R1216">
        <v>-6.8060640000000006E-2</v>
      </c>
      <c r="S1216">
        <v>-2.9959410000000002</v>
      </c>
      <c r="T1216">
        <v>-8.9158059999999997E-2</v>
      </c>
      <c r="U1216">
        <v>-0.2233887</v>
      </c>
      <c r="V1216">
        <v>-6.5294759999999993E-2</v>
      </c>
      <c r="W1216">
        <v>3.415427E-2</v>
      </c>
      <c r="X1216">
        <v>0.99728139999999998</v>
      </c>
      <c r="Y1216">
        <v>-7.1477499999999999E-2</v>
      </c>
      <c r="Z1216">
        <v>-9.7697140000000001E-4</v>
      </c>
      <c r="AA1216">
        <v>0.99744169999999999</v>
      </c>
      <c r="AB1216">
        <v>52</v>
      </c>
      <c r="AC1216">
        <v>-36.583399999999997</v>
      </c>
      <c r="AD1216">
        <v>-1.103609259747</v>
      </c>
      <c r="AE1216">
        <v>-2.76409999999998</v>
      </c>
      <c r="AF1216">
        <v>-2.6571562296316702</v>
      </c>
      <c r="AG1216">
        <v>-1.103609259747</v>
      </c>
      <c r="AH1216">
        <v>36.558067791669401</v>
      </c>
      <c r="AI1216">
        <v>91.724564407847794</v>
      </c>
      <c r="AJ1216">
        <v>94.157128639278497</v>
      </c>
      <c r="AK1216">
        <v>36.671116062743003</v>
      </c>
      <c r="AL1216">
        <v>88.042723927381502</v>
      </c>
      <c r="AM1216">
        <v>93.745966007593196</v>
      </c>
      <c r="AN1216">
        <v>1.00000005531432</v>
      </c>
    </row>
    <row r="1217" spans="1:40" x14ac:dyDescent="0.3">
      <c r="A1217" t="str">
        <f>"20200111153855298"</f>
        <v>20200111153855298</v>
      </c>
      <c r="B1217" t="str">
        <f>"1578728335291489"</f>
        <v>1578728335291489</v>
      </c>
      <c r="C1217" t="s">
        <v>40</v>
      </c>
      <c r="D1217">
        <v>5.0266669999999998</v>
      </c>
      <c r="E1217">
        <v>0.49818440000000003</v>
      </c>
      <c r="F1217" t="s">
        <v>59</v>
      </c>
      <c r="G1217">
        <v>-302.50450000000001</v>
      </c>
      <c r="H1217" s="1">
        <v>3.7594360000000001E-6</v>
      </c>
      <c r="I1217">
        <v>281.88139999999999</v>
      </c>
      <c r="J1217">
        <v>-266.60570000000001</v>
      </c>
      <c r="K1217">
        <v>1.103526</v>
      </c>
      <c r="L1217">
        <v>284.53210000000001</v>
      </c>
      <c r="M1217">
        <v>-0.99998430000000005</v>
      </c>
      <c r="N1217">
        <v>0</v>
      </c>
      <c r="O1217">
        <v>-3.2717229999999998E-3</v>
      </c>
      <c r="P1217">
        <v>-0.99727710000000003</v>
      </c>
      <c r="Q1217">
        <v>2.8909839999999999E-2</v>
      </c>
      <c r="R1217">
        <v>-6.7846050000000005E-2</v>
      </c>
      <c r="S1217">
        <v>-2.996124</v>
      </c>
      <c r="T1217">
        <v>-9.0788839999999996E-2</v>
      </c>
      <c r="U1217">
        <v>-0.2182007</v>
      </c>
      <c r="V1217">
        <v>-6.4658359999999998E-2</v>
      </c>
      <c r="W1217">
        <v>3.3335539999999997E-2</v>
      </c>
      <c r="X1217">
        <v>0.99735050000000003</v>
      </c>
      <c r="Y1217">
        <v>-6.9341630000000001E-2</v>
      </c>
      <c r="Z1217">
        <v>-9.4998480000000002E-4</v>
      </c>
      <c r="AA1217">
        <v>0.99759249999999999</v>
      </c>
      <c r="AB1217">
        <v>52</v>
      </c>
      <c r="AC1217">
        <v>-35.898799999999902</v>
      </c>
      <c r="AD1217">
        <v>-1.1035222405639999</v>
      </c>
      <c r="AE1217">
        <v>-2.65070000000002</v>
      </c>
      <c r="AF1217">
        <v>-2.5308551400745598</v>
      </c>
      <c r="AG1217">
        <v>-1.1035222405639999</v>
      </c>
      <c r="AH1217">
        <v>35.873565903345302</v>
      </c>
      <c r="AI1217">
        <v>91.757578846118705</v>
      </c>
      <c r="AJ1217">
        <v>94.035491128753904</v>
      </c>
      <c r="AK1217">
        <v>35.979657025840602</v>
      </c>
      <c r="AL1217">
        <v>88.089660307713402</v>
      </c>
      <c r="AM1217">
        <v>93.709301833782106</v>
      </c>
      <c r="AN1217">
        <v>0.99999999079761503</v>
      </c>
    </row>
    <row r="1218" spans="1:40" x14ac:dyDescent="0.3">
      <c r="A1218" t="str">
        <f>"20200111153855321"</f>
        <v>20200111153855321</v>
      </c>
      <c r="B1218" t="str">
        <f>"1578728335311985"</f>
        <v>1578728335311985</v>
      </c>
      <c r="C1218" t="s">
        <v>40</v>
      </c>
      <c r="D1218">
        <v>5.0271540000000003</v>
      </c>
      <c r="E1218">
        <v>0.49889650000000002</v>
      </c>
      <c r="F1218" t="s">
        <v>59</v>
      </c>
      <c r="G1218">
        <v>-302.53129999999999</v>
      </c>
      <c r="H1218" s="1">
        <v>3.746615E-6</v>
      </c>
      <c r="I1218">
        <v>281.97370000000001</v>
      </c>
      <c r="J1218">
        <v>-267.15429999999998</v>
      </c>
      <c r="K1218">
        <v>1.103445</v>
      </c>
      <c r="L1218">
        <v>284.53019999999998</v>
      </c>
      <c r="M1218">
        <v>-0.9999827</v>
      </c>
      <c r="N1218">
        <v>0</v>
      </c>
      <c r="O1218">
        <v>-3.691298E-3</v>
      </c>
      <c r="P1218">
        <v>-0.99727730000000003</v>
      </c>
      <c r="Q1218">
        <v>2.8700630000000001E-2</v>
      </c>
      <c r="R1218">
        <v>-6.7931149999999996E-2</v>
      </c>
      <c r="S1218">
        <v>-2.9963380000000002</v>
      </c>
      <c r="T1218">
        <v>-9.2038149999999999E-2</v>
      </c>
      <c r="U1218">
        <v>-0.21337890000000001</v>
      </c>
      <c r="V1218">
        <v>-6.4318689999999998E-2</v>
      </c>
      <c r="W1218">
        <v>3.3164909999999999E-2</v>
      </c>
      <c r="X1218">
        <v>0.99737819999999999</v>
      </c>
      <c r="Y1218">
        <v>-6.7321000000000006E-2</v>
      </c>
      <c r="Z1218">
        <v>-9.1918290000000003E-4</v>
      </c>
      <c r="AA1218">
        <v>0.99773100000000003</v>
      </c>
      <c r="AB1218">
        <v>52</v>
      </c>
      <c r="AC1218">
        <v>-35.377000000000002</v>
      </c>
      <c r="AD1218">
        <v>-1.103441253385</v>
      </c>
      <c r="AE1218">
        <v>-2.55649999999997</v>
      </c>
      <c r="AF1218">
        <v>-2.4235486060556402</v>
      </c>
      <c r="AG1218">
        <v>-1.103441253385</v>
      </c>
      <c r="AH1218">
        <v>35.351981540628998</v>
      </c>
      <c r="AI1218">
        <v>91.783608850293902</v>
      </c>
      <c r="AJ1218">
        <v>93.921765540103607</v>
      </c>
      <c r="AK1218">
        <v>35.452133494256103</v>
      </c>
      <c r="AL1218">
        <v>88.099442188001902</v>
      </c>
      <c r="AM1218">
        <v>93.689767524558803</v>
      </c>
      <c r="AN1218">
        <v>1.0000000394869299</v>
      </c>
    </row>
    <row r="1219" spans="1:40" x14ac:dyDescent="0.3">
      <c r="A1219" t="str">
        <f>"20200111153855344"</f>
        <v>20200111153855344</v>
      </c>
      <c r="B1219" t="str">
        <f>"1578728335331504"</f>
        <v>1578728335331504</v>
      </c>
      <c r="C1219" t="s">
        <v>40</v>
      </c>
      <c r="D1219">
        <v>5.0261319999999996</v>
      </c>
      <c r="E1219">
        <v>0.49938959999999999</v>
      </c>
      <c r="F1219" t="s">
        <v>59</v>
      </c>
      <c r="G1219">
        <v>-303.14089999999999</v>
      </c>
      <c r="H1219" s="1">
        <v>3.6330720000000001E-6</v>
      </c>
      <c r="I1219">
        <v>282.03550000000001</v>
      </c>
      <c r="J1219">
        <v>-267.6687</v>
      </c>
      <c r="K1219">
        <v>1.103383</v>
      </c>
      <c r="L1219">
        <v>284.52809999999999</v>
      </c>
      <c r="M1219">
        <v>-0.99998100000000001</v>
      </c>
      <c r="N1219">
        <v>0</v>
      </c>
      <c r="O1219">
        <v>-4.0749849999999997E-3</v>
      </c>
      <c r="P1219">
        <v>-0.99732080000000001</v>
      </c>
      <c r="Q1219">
        <v>2.8872370000000001E-2</v>
      </c>
      <c r="R1219">
        <v>-6.721394E-2</v>
      </c>
      <c r="S1219">
        <v>-2.9966740000000001</v>
      </c>
      <c r="T1219">
        <v>-9.188557E-2</v>
      </c>
      <c r="U1219">
        <v>-0.20773320000000001</v>
      </c>
      <c r="V1219">
        <v>-6.3214370000000006E-2</v>
      </c>
      <c r="W1219">
        <v>3.3372699999999998E-2</v>
      </c>
      <c r="X1219">
        <v>0.99744180000000005</v>
      </c>
      <c r="Y1219">
        <v>-6.5060919999999994E-2</v>
      </c>
      <c r="Z1219">
        <v>-8.7127020000000001E-4</v>
      </c>
      <c r="AA1219">
        <v>0.99788089999999996</v>
      </c>
      <c r="AB1219">
        <v>52</v>
      </c>
      <c r="AC1219">
        <v>-35.472199999999901</v>
      </c>
      <c r="AD1219">
        <v>-1.1033793669280001</v>
      </c>
      <c r="AE1219">
        <v>-2.4925999999999799</v>
      </c>
      <c r="AF1219">
        <v>-2.3457705761557199</v>
      </c>
      <c r="AG1219">
        <v>-1.1033793669280001</v>
      </c>
      <c r="AH1219">
        <v>35.447933760620103</v>
      </c>
      <c r="AI1219">
        <v>91.7789679882234</v>
      </c>
      <c r="AJ1219">
        <v>93.786033872599702</v>
      </c>
      <c r="AK1219">
        <v>35.542595480924497</v>
      </c>
      <c r="AL1219">
        <v>88.087529969583997</v>
      </c>
      <c r="AM1219">
        <v>93.626355962257605</v>
      </c>
      <c r="AN1219">
        <v>0.99999996903351296</v>
      </c>
    </row>
    <row r="1220" spans="1:40" x14ac:dyDescent="0.3">
      <c r="A1220" t="str">
        <f>"20200111153855364"</f>
        <v>20200111153855364</v>
      </c>
      <c r="B1220" t="str">
        <f>"1578728335361761"</f>
        <v>1578728335361761</v>
      </c>
      <c r="C1220" t="s">
        <v>40</v>
      </c>
      <c r="D1220">
        <v>5.0225289999999996</v>
      </c>
      <c r="E1220">
        <v>0.49965870000000001</v>
      </c>
      <c r="F1220" t="s">
        <v>59</v>
      </c>
      <c r="G1220">
        <v>-304.464</v>
      </c>
      <c r="H1220" s="1">
        <v>3.3967570000000001E-6</v>
      </c>
      <c r="I1220">
        <v>282.05419999999998</v>
      </c>
      <c r="J1220">
        <v>-268.1678</v>
      </c>
      <c r="K1220">
        <v>1.1033299999999999</v>
      </c>
      <c r="L1220">
        <v>284.52589999999998</v>
      </c>
      <c r="M1220">
        <v>-0.99997939999999996</v>
      </c>
      <c r="N1220">
        <v>0</v>
      </c>
      <c r="O1220">
        <v>-4.4415840000000002E-3</v>
      </c>
      <c r="P1220">
        <v>-0.99730620000000003</v>
      </c>
      <c r="Q1220">
        <v>2.9695989999999998E-2</v>
      </c>
      <c r="R1220">
        <v>-6.7072880000000001E-2</v>
      </c>
      <c r="S1220">
        <v>-2.9970699999999999</v>
      </c>
      <c r="T1220">
        <v>-8.9873079999999994E-2</v>
      </c>
      <c r="U1220">
        <v>-0.20150760000000001</v>
      </c>
      <c r="V1220">
        <v>-6.2705070000000002E-2</v>
      </c>
      <c r="W1220">
        <v>3.4228620000000001E-2</v>
      </c>
      <c r="X1220">
        <v>0.99744500000000003</v>
      </c>
      <c r="Y1220">
        <v>-6.2625070000000005E-2</v>
      </c>
      <c r="Z1220">
        <v>-8.0469369999999903E-4</v>
      </c>
      <c r="AA1220">
        <v>0.99803679999999995</v>
      </c>
      <c r="AB1220">
        <v>52</v>
      </c>
      <c r="AC1220">
        <v>-36.296199999999999</v>
      </c>
      <c r="AD1220">
        <v>-1.103326603243</v>
      </c>
      <c r="AE1220">
        <v>-2.47169999999999</v>
      </c>
      <c r="AF1220">
        <v>-2.30833813994585</v>
      </c>
      <c r="AG1220">
        <v>-1.103326603243</v>
      </c>
      <c r="AH1220">
        <v>36.273457321147902</v>
      </c>
      <c r="AI1220">
        <v>91.738708703817807</v>
      </c>
      <c r="AJ1220">
        <v>93.641228079096805</v>
      </c>
      <c r="AK1220">
        <v>36.363573264888203</v>
      </c>
      <c r="AL1220">
        <v>88.038461436899198</v>
      </c>
      <c r="AM1220">
        <v>93.597204970480703</v>
      </c>
      <c r="AN1220">
        <v>1.0000000261279001</v>
      </c>
    </row>
    <row r="1221" spans="1:40" x14ac:dyDescent="0.3">
      <c r="A1221" t="str">
        <f>"20200111153855387"</f>
        <v>20200111153855387</v>
      </c>
      <c r="B1221" t="str">
        <f>"1578728335381281"</f>
        <v>1578728335381281</v>
      </c>
      <c r="C1221" t="s">
        <v>40</v>
      </c>
      <c r="D1221">
        <v>5.0584150000000001</v>
      </c>
      <c r="E1221">
        <v>0.49978430000000001</v>
      </c>
      <c r="F1221" t="s">
        <v>59</v>
      </c>
      <c r="G1221">
        <v>-306.28750000000002</v>
      </c>
      <c r="H1221" s="1">
        <v>3.0782910000000002E-6</v>
      </c>
      <c r="I1221">
        <v>281.99689999999998</v>
      </c>
      <c r="J1221">
        <v>-268.69310000000002</v>
      </c>
      <c r="K1221">
        <v>1.103283</v>
      </c>
      <c r="L1221">
        <v>284.52350000000001</v>
      </c>
      <c r="M1221">
        <v>-0.99997740000000002</v>
      </c>
      <c r="N1221">
        <v>0</v>
      </c>
      <c r="O1221">
        <v>-4.822532E-3</v>
      </c>
      <c r="P1221">
        <v>-0.99729659999999998</v>
      </c>
      <c r="Q1221">
        <v>3.0295530000000001E-2</v>
      </c>
      <c r="R1221">
        <v>-6.6945399999999905E-2</v>
      </c>
      <c r="S1221">
        <v>-2.9972840000000001</v>
      </c>
      <c r="T1221">
        <v>-8.6752529999999994E-2</v>
      </c>
      <c r="U1221">
        <v>-0.19885249999999999</v>
      </c>
      <c r="V1221">
        <v>-6.2194779999999998E-2</v>
      </c>
      <c r="W1221">
        <v>3.4861000000000003E-2</v>
      </c>
      <c r="X1221">
        <v>0.99745499999999998</v>
      </c>
      <c r="Y1221">
        <v>-6.1362369999999999E-2</v>
      </c>
      <c r="Z1221">
        <v>-7.4747219999999996E-4</v>
      </c>
      <c r="AA1221">
        <v>0.99811530000000004</v>
      </c>
      <c r="AB1221">
        <v>52</v>
      </c>
      <c r="AC1221">
        <v>-37.5944</v>
      </c>
      <c r="AD1221">
        <v>-1.1032799217089999</v>
      </c>
      <c r="AE1221">
        <v>-2.5266000000000299</v>
      </c>
      <c r="AF1221">
        <v>-2.34325939402859</v>
      </c>
      <c r="AG1221">
        <v>-1.1032799217089999</v>
      </c>
      <c r="AH1221">
        <v>37.573932831471097</v>
      </c>
      <c r="AI1221">
        <v>91.678628158175002</v>
      </c>
      <c r="AJ1221">
        <v>93.568570347974301</v>
      </c>
      <c r="AK1221">
        <v>37.6630922734346</v>
      </c>
      <c r="AL1221">
        <v>88.002206998600897</v>
      </c>
      <c r="AM1221">
        <v>93.567971391739206</v>
      </c>
      <c r="AN1221">
        <v>0.99999997850262301</v>
      </c>
    </row>
    <row r="1222" spans="1:40" x14ac:dyDescent="0.3">
      <c r="A1222" t="str">
        <f>"20200111153855410"</f>
        <v>20200111153855410</v>
      </c>
      <c r="B1222" t="str">
        <f>"1578728335401777"</f>
        <v>1578728335401777</v>
      </c>
      <c r="C1222" t="s">
        <v>40</v>
      </c>
      <c r="D1222">
        <v>5.0272259999999998</v>
      </c>
      <c r="E1222">
        <v>0.49999379999999999</v>
      </c>
      <c r="F1222" t="s">
        <v>59</v>
      </c>
      <c r="G1222">
        <v>-307.61239999999998</v>
      </c>
      <c r="H1222" s="1">
        <v>2.846531E-6</v>
      </c>
      <c r="I1222">
        <v>281.95979999999997</v>
      </c>
      <c r="J1222">
        <v>-269.23399999999998</v>
      </c>
      <c r="K1222">
        <v>1.103245</v>
      </c>
      <c r="L1222">
        <v>284.52069999999998</v>
      </c>
      <c r="M1222">
        <v>-0.99997539999999996</v>
      </c>
      <c r="N1222">
        <v>0</v>
      </c>
      <c r="O1222">
        <v>-5.2110430000000003E-3</v>
      </c>
      <c r="P1222">
        <v>-0.9972934</v>
      </c>
      <c r="Q1222">
        <v>3.0313730000000001E-2</v>
      </c>
      <c r="R1222">
        <v>-6.6985710000000004E-2</v>
      </c>
      <c r="S1222">
        <v>-2.9974669999999999</v>
      </c>
      <c r="T1222">
        <v>-8.4971790000000005E-2</v>
      </c>
      <c r="U1222">
        <v>-0.1974487</v>
      </c>
      <c r="V1222">
        <v>-6.1844129999999997E-2</v>
      </c>
      <c r="W1222">
        <v>3.4911989999999997E-2</v>
      </c>
      <c r="X1222">
        <v>0.997475</v>
      </c>
      <c r="Y1222">
        <v>-6.0506570000000003E-2</v>
      </c>
      <c r="Z1222">
        <v>-7.089889E-4</v>
      </c>
      <c r="AA1222">
        <v>0.99816760000000004</v>
      </c>
      <c r="AB1222">
        <v>53</v>
      </c>
      <c r="AC1222">
        <v>-38.3783999999999</v>
      </c>
      <c r="AD1222">
        <v>-1.103242153469</v>
      </c>
      <c r="AE1222">
        <v>-2.5609000000000002</v>
      </c>
      <c r="AF1222">
        <v>-2.3589308522215799</v>
      </c>
      <c r="AG1222">
        <v>-1.103242153469</v>
      </c>
      <c r="AH1222">
        <v>38.359665728796003</v>
      </c>
      <c r="AI1222">
        <v>91.644295203698604</v>
      </c>
      <c r="AJ1222">
        <v>93.518977376120702</v>
      </c>
      <c r="AK1222">
        <v>38.4479603209288</v>
      </c>
      <c r="AL1222">
        <v>87.999283669329202</v>
      </c>
      <c r="AM1222">
        <v>93.547835979851399</v>
      </c>
      <c r="AN1222">
        <v>0.99999995954310705</v>
      </c>
    </row>
    <row r="1223" spans="1:40" x14ac:dyDescent="0.3">
      <c r="A1223" t="str">
        <f>"20200111153855433"</f>
        <v>20200111153855433</v>
      </c>
      <c r="B1223" t="str">
        <f>"1578728335421298"</f>
        <v>1578728335421298</v>
      </c>
      <c r="C1223" t="s">
        <v>40</v>
      </c>
      <c r="D1223">
        <v>5.0141249999999999</v>
      </c>
      <c r="E1223">
        <v>0.49977919999999998</v>
      </c>
      <c r="F1223" t="s">
        <v>59</v>
      </c>
      <c r="G1223">
        <v>-307.92270000000002</v>
      </c>
      <c r="H1223" s="1">
        <v>2.788703E-6</v>
      </c>
      <c r="I1223">
        <v>281.99160000000001</v>
      </c>
      <c r="J1223">
        <v>-269.786</v>
      </c>
      <c r="K1223">
        <v>1.1032090000000001</v>
      </c>
      <c r="L1223">
        <v>284.51769999999999</v>
      </c>
      <c r="M1223">
        <v>-0.99997320000000001</v>
      </c>
      <c r="N1223">
        <v>0</v>
      </c>
      <c r="O1223">
        <v>-5.6033029999999996E-3</v>
      </c>
      <c r="P1223">
        <v>-0.99725459999999999</v>
      </c>
      <c r="Q1223">
        <v>3.0268199999999999E-2</v>
      </c>
      <c r="R1223">
        <v>-6.75814E-2</v>
      </c>
      <c r="S1223">
        <v>-2.9975890000000001</v>
      </c>
      <c r="T1223">
        <v>-8.5478899999999997E-2</v>
      </c>
      <c r="U1223">
        <v>-0.1959534</v>
      </c>
      <c r="V1223">
        <v>-6.2045839999999998E-2</v>
      </c>
      <c r="W1223">
        <v>3.4896740000000002E-2</v>
      </c>
      <c r="X1223">
        <v>0.99746299999999999</v>
      </c>
      <c r="Y1223">
        <v>-5.9616790000000003E-2</v>
      </c>
      <c r="Z1223">
        <v>-6.8936029999999997E-4</v>
      </c>
      <c r="AA1223">
        <v>0.99822109999999997</v>
      </c>
      <c r="AB1223">
        <v>53</v>
      </c>
      <c r="AC1223">
        <v>-38.136699999999998</v>
      </c>
      <c r="AD1223">
        <v>-1.103206211297</v>
      </c>
      <c r="AE1223">
        <v>-2.52609999999998</v>
      </c>
      <c r="AF1223">
        <v>-2.3104415287697799</v>
      </c>
      <c r="AG1223">
        <v>-1.103206211297</v>
      </c>
      <c r="AH1223">
        <v>38.1184973311695</v>
      </c>
      <c r="AI1223">
        <v>91.654727523824803</v>
      </c>
      <c r="AJ1223">
        <v>93.468573060791201</v>
      </c>
      <c r="AK1223">
        <v>38.204385125125199</v>
      </c>
      <c r="AL1223">
        <v>88.000157948748793</v>
      </c>
      <c r="AM1223">
        <v>93.559420565439893</v>
      </c>
      <c r="AN1223">
        <v>0.99999995254646501</v>
      </c>
    </row>
    <row r="1224" spans="1:40" x14ac:dyDescent="0.3">
      <c r="A1224" t="str">
        <f>"20200111153855454"</f>
        <v>20200111153855454</v>
      </c>
      <c r="B1224" t="str">
        <f>"1578728335441795"</f>
        <v>1578728335441795</v>
      </c>
      <c r="C1224" t="s">
        <v>40</v>
      </c>
      <c r="D1224">
        <v>4.9975719999999999</v>
      </c>
      <c r="E1224">
        <v>0.49963269999999999</v>
      </c>
      <c r="F1224" t="s">
        <v>59</v>
      </c>
      <c r="G1224">
        <v>-307.90859999999998</v>
      </c>
      <c r="H1224" s="1">
        <v>2.7921840000000001E-6</v>
      </c>
      <c r="I1224">
        <v>281.98039999999997</v>
      </c>
      <c r="J1224">
        <v>-270.27519999999998</v>
      </c>
      <c r="K1224">
        <v>1.1031799999999901</v>
      </c>
      <c r="L1224">
        <v>284.51490000000001</v>
      </c>
      <c r="M1224">
        <v>-0.9999711</v>
      </c>
      <c r="N1224">
        <v>0</v>
      </c>
      <c r="O1224">
        <v>-5.947824E-3</v>
      </c>
      <c r="P1224">
        <v>-0.99721020000000005</v>
      </c>
      <c r="Q1224">
        <v>3.0306989999999999E-2</v>
      </c>
      <c r="R1224">
        <v>-6.8216120000000005E-2</v>
      </c>
      <c r="S1224">
        <v>-2.9973749999999999</v>
      </c>
      <c r="T1224">
        <v>-8.6739300000000005E-2</v>
      </c>
      <c r="U1224">
        <v>-0.19949339999999999</v>
      </c>
      <c r="V1224">
        <v>-6.2334880000000002E-2</v>
      </c>
      <c r="W1224">
        <v>3.4962510000000002E-2</v>
      </c>
      <c r="X1224">
        <v>0.99744270000000002</v>
      </c>
      <c r="Y1224">
        <v>-6.0450450000000003E-2</v>
      </c>
      <c r="Z1224">
        <v>-7.0163429999999904E-4</v>
      </c>
      <c r="AA1224">
        <v>0.99817100000000003</v>
      </c>
      <c r="AB1224">
        <v>53</v>
      </c>
      <c r="AC1224">
        <v>-37.633400000000002</v>
      </c>
      <c r="AD1224">
        <v>-1.10317720781599</v>
      </c>
      <c r="AE1224">
        <v>-2.5345000000000302</v>
      </c>
      <c r="AF1224">
        <v>-2.3086409656648699</v>
      </c>
      <c r="AG1224">
        <v>-1.10317720781599</v>
      </c>
      <c r="AH1224">
        <v>37.615632154332602</v>
      </c>
      <c r="AI1224">
        <v>91.676714529300995</v>
      </c>
      <c r="AJ1224">
        <v>93.512094951749006</v>
      </c>
      <c r="AK1224">
        <v>37.702554362141697</v>
      </c>
      <c r="AL1224">
        <v>87.996387353376093</v>
      </c>
      <c r="AM1224">
        <v>93.576031757036901</v>
      </c>
      <c r="AN1224">
        <v>0.99999997707670196</v>
      </c>
    </row>
    <row r="1225" spans="1:40" x14ac:dyDescent="0.3">
      <c r="A1225" t="str">
        <f>"20200111153855477"</f>
        <v>20200111153855477</v>
      </c>
      <c r="B1225" t="str">
        <f>"1578728335472049"</f>
        <v>1578728335472049</v>
      </c>
      <c r="C1225" t="s">
        <v>40</v>
      </c>
      <c r="D1225">
        <v>4.9871819999999998</v>
      </c>
      <c r="E1225">
        <v>0.49948969999999998</v>
      </c>
      <c r="F1225" t="s">
        <v>59</v>
      </c>
      <c r="G1225">
        <v>-307.69869999999997</v>
      </c>
      <c r="H1225" s="1">
        <v>2.829041E-6</v>
      </c>
      <c r="I1225">
        <v>281.98480000000001</v>
      </c>
      <c r="J1225">
        <v>-270.83210000000003</v>
      </c>
      <c r="K1225">
        <v>1.103156</v>
      </c>
      <c r="L1225">
        <v>284.51139999999998</v>
      </c>
      <c r="M1225">
        <v>-0.99996850000000004</v>
      </c>
      <c r="N1225">
        <v>0</v>
      </c>
      <c r="O1225">
        <v>-6.3363619999999999E-3</v>
      </c>
      <c r="P1225">
        <v>-0.9971949</v>
      </c>
      <c r="Q1225">
        <v>3.0078520000000001E-2</v>
      </c>
      <c r="R1225">
        <v>-6.8538909999999995E-2</v>
      </c>
      <c r="S1225">
        <v>-2.9972530000000002</v>
      </c>
      <c r="T1225">
        <v>-8.8353630000000002E-2</v>
      </c>
      <c r="U1225">
        <v>-0.2026367</v>
      </c>
      <c r="V1225">
        <v>-6.2268249999999997E-2</v>
      </c>
      <c r="W1225">
        <v>3.4763790000000003E-2</v>
      </c>
      <c r="X1225">
        <v>0.99745379999999995</v>
      </c>
      <c r="Y1225">
        <v>-6.110645E-2</v>
      </c>
      <c r="Z1225">
        <v>-7.1291009999999903E-4</v>
      </c>
      <c r="AA1225">
        <v>0.99813099999999999</v>
      </c>
      <c r="AB1225">
        <v>53</v>
      </c>
      <c r="AC1225">
        <v>-36.866599999999899</v>
      </c>
      <c r="AD1225">
        <v>-1.1031531709589999</v>
      </c>
      <c r="AE1225">
        <v>-2.52659999999997</v>
      </c>
      <c r="AF1225">
        <v>-2.2909048532685499</v>
      </c>
      <c r="AG1225">
        <v>-1.1031531709589999</v>
      </c>
      <c r="AH1225">
        <v>36.849030027504398</v>
      </c>
      <c r="AI1225">
        <v>91.711455124598601</v>
      </c>
      <c r="AJ1225">
        <v>93.557500968727794</v>
      </c>
      <c r="AK1225">
        <v>36.936651254996598</v>
      </c>
      <c r="AL1225">
        <v>88.007780081746205</v>
      </c>
      <c r="AM1225">
        <v>93.572179575769695</v>
      </c>
      <c r="AN1225">
        <v>0.99999996959383197</v>
      </c>
    </row>
    <row r="1226" spans="1:40" x14ac:dyDescent="0.3">
      <c r="A1226" t="str">
        <f>"20200111153855499"</f>
        <v>20200111153855499</v>
      </c>
      <c r="B1226" t="str">
        <f>"1578728335492122"</f>
        <v>1578728335492122</v>
      </c>
      <c r="C1226" t="s">
        <v>40</v>
      </c>
      <c r="D1226">
        <v>5.0189519999999996</v>
      </c>
      <c r="E1226">
        <v>0.49942059999999999</v>
      </c>
      <c r="F1226" t="s">
        <v>59</v>
      </c>
      <c r="G1226">
        <v>-307.11869999999999</v>
      </c>
      <c r="H1226" s="1">
        <v>2.9275430000000001E-6</v>
      </c>
      <c r="I1226">
        <v>282.03480000000002</v>
      </c>
      <c r="J1226">
        <v>-271.36509999999998</v>
      </c>
      <c r="K1226">
        <v>1.1031310000000001</v>
      </c>
      <c r="L1226">
        <v>284.50799999999998</v>
      </c>
      <c r="M1226">
        <v>-0.99996600000000002</v>
      </c>
      <c r="N1226">
        <v>0</v>
      </c>
      <c r="O1226">
        <v>-6.7050299999999998E-3</v>
      </c>
      <c r="P1226">
        <v>-0.99719349999999995</v>
      </c>
      <c r="Q1226">
        <v>2.9408549999999999E-2</v>
      </c>
      <c r="R1226">
        <v>-6.8851280000000001E-2</v>
      </c>
      <c r="S1226">
        <v>-2.997131</v>
      </c>
      <c r="T1226">
        <v>-9.111619E-2</v>
      </c>
      <c r="U1226">
        <v>-0.2045593</v>
      </c>
      <c r="V1226">
        <v>-6.2210649999999999E-2</v>
      </c>
      <c r="W1226">
        <v>3.4122350000000003E-2</v>
      </c>
      <c r="X1226">
        <v>0.99747960000000002</v>
      </c>
      <c r="Y1226">
        <v>-6.1377080000000001E-2</v>
      </c>
      <c r="Z1226">
        <v>-7.2812149999999895E-4</v>
      </c>
      <c r="AA1226">
        <v>0.99811439999999996</v>
      </c>
      <c r="AB1226">
        <v>53</v>
      </c>
      <c r="AC1226">
        <v>-35.753599999999999</v>
      </c>
      <c r="AD1226">
        <v>-1.1031280724569901</v>
      </c>
      <c r="AE1226">
        <v>-2.4731999999999599</v>
      </c>
      <c r="AF1226">
        <v>-2.2312987205474202</v>
      </c>
      <c r="AG1226">
        <v>-1.1031280724569901</v>
      </c>
      <c r="AH1226">
        <v>35.735523061271998</v>
      </c>
      <c r="AI1226">
        <v>91.7646806899117</v>
      </c>
      <c r="AJ1226">
        <v>93.572866328083805</v>
      </c>
      <c r="AK1226">
        <v>35.8221048235201</v>
      </c>
      <c r="AL1226">
        <v>88.044553818016794</v>
      </c>
      <c r="AM1226">
        <v>93.568791675551694</v>
      </c>
      <c r="AN1226">
        <v>1.0000000260795501</v>
      </c>
    </row>
    <row r="1227" spans="1:40" x14ac:dyDescent="0.3">
      <c r="A1227" t="str">
        <f>"20200111153855522"</f>
        <v>20200111153855522</v>
      </c>
      <c r="B1227" t="str">
        <f>"1578728335511641"</f>
        <v>1578728335511641</v>
      </c>
      <c r="C1227" t="s">
        <v>40</v>
      </c>
      <c r="D1227">
        <v>5.0279179999999997</v>
      </c>
      <c r="E1227">
        <v>0.49938080000000001</v>
      </c>
      <c r="F1227" t="s">
        <v>59</v>
      </c>
      <c r="G1227">
        <v>-306.14769999999999</v>
      </c>
      <c r="H1227" s="1">
        <v>3.0927020000000001E-6</v>
      </c>
      <c r="I1227">
        <v>282.11579999999998</v>
      </c>
      <c r="J1227">
        <v>-271.90519999999998</v>
      </c>
      <c r="K1227">
        <v>1.103111</v>
      </c>
      <c r="L1227">
        <v>284.50420000000003</v>
      </c>
      <c r="M1227">
        <v>-0.9999633</v>
      </c>
      <c r="N1227">
        <v>0</v>
      </c>
      <c r="O1227">
        <v>-7.0752749999999998E-3</v>
      </c>
      <c r="P1227">
        <v>-0.99720160000000002</v>
      </c>
      <c r="Q1227">
        <v>2.8906290000000001E-2</v>
      </c>
      <c r="R1227">
        <v>-6.8947850000000005E-2</v>
      </c>
      <c r="S1227">
        <v>-2.9970089999999998</v>
      </c>
      <c r="T1227">
        <v>-9.5049980000000006E-2</v>
      </c>
      <c r="U1227">
        <v>-0.20611570000000001</v>
      </c>
      <c r="V1227">
        <v>-6.1935770000000001E-2</v>
      </c>
      <c r="W1227">
        <v>3.3648169999999998E-2</v>
      </c>
      <c r="X1227">
        <v>0.99751279999999998</v>
      </c>
      <c r="Y1227">
        <v>-6.152411E-2</v>
      </c>
      <c r="Z1227">
        <v>-7.5016310000000001E-4</v>
      </c>
      <c r="AA1227">
        <v>0.99810529999999997</v>
      </c>
      <c r="AB1227">
        <v>53</v>
      </c>
      <c r="AC1227">
        <v>-34.2425</v>
      </c>
      <c r="AD1227">
        <v>-1.1031079072979999</v>
      </c>
      <c r="AE1227">
        <v>-2.3884000000000398</v>
      </c>
      <c r="AF1227">
        <v>-2.1438482151379401</v>
      </c>
      <c r="AG1227">
        <v>-1.1031079072979999</v>
      </c>
      <c r="AH1227">
        <v>34.223197490304102</v>
      </c>
      <c r="AI1227">
        <v>91.842552388871496</v>
      </c>
      <c r="AJ1227">
        <v>93.584503147127407</v>
      </c>
      <c r="AK1227">
        <v>34.308019160031002</v>
      </c>
      <c r="AL1227">
        <v>88.071737915242593</v>
      </c>
      <c r="AM1227">
        <v>93.552945372913797</v>
      </c>
      <c r="AN1227">
        <v>1.00000001255684</v>
      </c>
    </row>
    <row r="1228" spans="1:40" x14ac:dyDescent="0.3">
      <c r="A1228" t="str">
        <f>"20200111153855548"</f>
        <v>20200111153855548</v>
      </c>
      <c r="B1228" t="str">
        <f>"1578728335541898"</f>
        <v>1578728335541898</v>
      </c>
      <c r="C1228" t="s">
        <v>40</v>
      </c>
      <c r="D1228">
        <v>4.9964300000000001</v>
      </c>
      <c r="E1228">
        <v>0.49925019999999998</v>
      </c>
      <c r="F1228" t="s">
        <v>59</v>
      </c>
      <c r="G1228">
        <v>-305.82839999999999</v>
      </c>
      <c r="H1228" s="1">
        <v>3.1450130000000001E-6</v>
      </c>
      <c r="I1228">
        <v>282.1653</v>
      </c>
      <c r="J1228">
        <v>-272.52449999999999</v>
      </c>
      <c r="K1228">
        <v>1.103094</v>
      </c>
      <c r="L1228">
        <v>284.49970000000002</v>
      </c>
      <c r="M1228">
        <v>-0.99996010000000002</v>
      </c>
      <c r="N1228">
        <v>0</v>
      </c>
      <c r="O1228">
        <v>-7.4964480000000002E-3</v>
      </c>
      <c r="P1228">
        <v>-0.99717409999999995</v>
      </c>
      <c r="Q1228">
        <v>2.8291090000000001E-2</v>
      </c>
      <c r="R1228">
        <v>-6.9597720000000002E-2</v>
      </c>
      <c r="S1228">
        <v>-2.9969480000000002</v>
      </c>
      <c r="T1228">
        <v>-9.7454070000000004E-2</v>
      </c>
      <c r="U1228">
        <v>-0.2066345</v>
      </c>
      <c r="V1228">
        <v>-6.2163870000000003E-2</v>
      </c>
      <c r="W1228">
        <v>3.3063410000000001E-2</v>
      </c>
      <c r="X1228">
        <v>0.99751820000000002</v>
      </c>
      <c r="Y1228">
        <v>-6.1276009999999999E-2</v>
      </c>
      <c r="Z1228">
        <v>-7.5143659999999995E-4</v>
      </c>
      <c r="AA1228">
        <v>0.99812060000000002</v>
      </c>
      <c r="AB1228">
        <v>53</v>
      </c>
      <c r="AC1228">
        <v>-33.303899999999999</v>
      </c>
      <c r="AD1228">
        <v>-1.103090854987</v>
      </c>
      <c r="AE1228">
        <v>-2.3344000000000098</v>
      </c>
      <c r="AF1228">
        <v>-2.0823971481064301</v>
      </c>
      <c r="AG1228">
        <v>-1.103090854987</v>
      </c>
      <c r="AH1228">
        <v>33.284127766901797</v>
      </c>
      <c r="AI1228">
        <v>91.894480364369599</v>
      </c>
      <c r="AJ1228">
        <v>93.580002417572203</v>
      </c>
      <c r="AK1228">
        <v>33.367444440955403</v>
      </c>
      <c r="AL1228">
        <v>88.1052609158438</v>
      </c>
      <c r="AM1228">
        <v>93.565977371794304</v>
      </c>
      <c r="AN1228">
        <v>1.00000004757272</v>
      </c>
    </row>
    <row r="1229" spans="1:40" x14ac:dyDescent="0.3">
      <c r="A1229" t="str">
        <f>"20200111153855566"</f>
        <v>20200111153855566</v>
      </c>
      <c r="B1229" t="str">
        <f>"1578728335561418"</f>
        <v>1578728335561418</v>
      </c>
      <c r="C1229" t="s">
        <v>40</v>
      </c>
      <c r="D1229">
        <v>5.0464169999999999</v>
      </c>
      <c r="E1229">
        <v>0.49920330000000002</v>
      </c>
      <c r="F1229" t="s">
        <v>59</v>
      </c>
      <c r="G1229">
        <v>-305.5625</v>
      </c>
      <c r="H1229" s="1">
        <v>3.1900529999999999E-6</v>
      </c>
      <c r="I1229">
        <v>282.18970000000002</v>
      </c>
      <c r="J1229">
        <v>-272.9572</v>
      </c>
      <c r="K1229">
        <v>1.103081</v>
      </c>
      <c r="L1229">
        <v>284.49639999999999</v>
      </c>
      <c r="M1229">
        <v>-0.99995789999999996</v>
      </c>
      <c r="N1229">
        <v>0</v>
      </c>
      <c r="O1229">
        <v>-7.7893629999999997E-3</v>
      </c>
      <c r="P1229">
        <v>-0.99715940000000003</v>
      </c>
      <c r="Q1229">
        <v>2.780968E-2</v>
      </c>
      <c r="R1229">
        <v>-7.0000519999999997E-2</v>
      </c>
      <c r="S1229">
        <v>-2.9967350000000001</v>
      </c>
      <c r="T1229">
        <v>-0.1000566</v>
      </c>
      <c r="U1229">
        <v>-0.20953369999999999</v>
      </c>
      <c r="V1229">
        <v>-6.2273259999999997E-2</v>
      </c>
      <c r="W1229">
        <v>3.2603510000000002E-2</v>
      </c>
      <c r="X1229">
        <v>0.99752649999999998</v>
      </c>
      <c r="Y1229">
        <v>-6.1947759999999998E-2</v>
      </c>
      <c r="Z1229">
        <v>-7.7295580000000003E-4</v>
      </c>
      <c r="AA1229">
        <v>0.9980791</v>
      </c>
      <c r="AB1229">
        <v>54</v>
      </c>
      <c r="AC1229">
        <v>-32.6053</v>
      </c>
      <c r="AD1229">
        <v>-1.103077809947</v>
      </c>
      <c r="AE1229">
        <v>-2.30669999999997</v>
      </c>
      <c r="AF1229">
        <v>-2.0503175037913701</v>
      </c>
      <c r="AG1229">
        <v>-1.103077809947</v>
      </c>
      <c r="AH1229">
        <v>32.585169029840401</v>
      </c>
      <c r="AI1229">
        <v>91.9350207245825</v>
      </c>
      <c r="AJ1229">
        <v>93.600407091310998</v>
      </c>
      <c r="AK1229">
        <v>32.668238753021598</v>
      </c>
      <c r="AL1229">
        <v>88.1316254313587</v>
      </c>
      <c r="AM1229">
        <v>93.572206555009501</v>
      </c>
      <c r="AN1229">
        <v>1.0000000329887899</v>
      </c>
    </row>
    <row r="1230" spans="1:40" x14ac:dyDescent="0.3">
      <c r="A1230" t="str">
        <f>"20200111153855588"</f>
        <v>20200111153855588</v>
      </c>
      <c r="B1230" t="str">
        <f>"1578728335581913"</f>
        <v>1578728335581913</v>
      </c>
      <c r="C1230" t="s">
        <v>40</v>
      </c>
      <c r="D1230">
        <v>5.0318199999999997</v>
      </c>
      <c r="E1230">
        <v>0.49912319999999999</v>
      </c>
      <c r="F1230" t="s">
        <v>59</v>
      </c>
      <c r="G1230">
        <v>-305.31630000000001</v>
      </c>
      <c r="H1230" s="1">
        <v>3.2313619999999999E-6</v>
      </c>
      <c r="I1230">
        <v>282.21660000000003</v>
      </c>
      <c r="J1230">
        <v>-273.5086</v>
      </c>
      <c r="K1230">
        <v>1.1030690000000001</v>
      </c>
      <c r="L1230">
        <v>284.49200000000002</v>
      </c>
      <c r="M1230">
        <v>-0.99995460000000003</v>
      </c>
      <c r="N1230">
        <v>0</v>
      </c>
      <c r="O1230">
        <v>-8.1606159999999903E-3</v>
      </c>
      <c r="P1230">
        <v>-0.99713790000000002</v>
      </c>
      <c r="Q1230">
        <v>2.7960200000000001E-2</v>
      </c>
      <c r="R1230">
        <v>-7.0247270000000001E-2</v>
      </c>
      <c r="S1230">
        <v>-2.996613</v>
      </c>
      <c r="T1230">
        <v>-0.1021502</v>
      </c>
      <c r="U1230">
        <v>-0.21112059999999999</v>
      </c>
      <c r="V1230">
        <v>-6.2149700000000002E-2</v>
      </c>
      <c r="W1230">
        <v>3.2781280000000003E-2</v>
      </c>
      <c r="X1230">
        <v>0.99752839999999998</v>
      </c>
      <c r="Y1230">
        <v>-6.2104840000000001E-2</v>
      </c>
      <c r="Z1230">
        <v>-7.7917589999999999E-4</v>
      </c>
      <c r="AA1230">
        <v>0.99806930000000005</v>
      </c>
      <c r="AB1230">
        <v>54</v>
      </c>
      <c r="AC1230">
        <v>-31.807700000000001</v>
      </c>
      <c r="AD1230">
        <v>-1.1030657686380001</v>
      </c>
      <c r="AE1230">
        <v>-2.2753999999999901</v>
      </c>
      <c r="AF1230">
        <v>-2.0133416523471199</v>
      </c>
      <c r="AG1230">
        <v>-1.1030657686380001</v>
      </c>
      <c r="AH1230">
        <v>31.787175595365198</v>
      </c>
      <c r="AI1230">
        <v>91.983486127806103</v>
      </c>
      <c r="AJ1230">
        <v>93.624168825684094</v>
      </c>
      <c r="AK1230">
        <v>31.869967540454098</v>
      </c>
      <c r="AL1230">
        <v>88.121434551433097</v>
      </c>
      <c r="AM1230">
        <v>93.565130257803801</v>
      </c>
      <c r="AN1230">
        <v>1.0000000531675399</v>
      </c>
    </row>
    <row r="1231" spans="1:40" x14ac:dyDescent="0.3">
      <c r="A1231" t="str">
        <f>"20200111153855611"</f>
        <v>20200111153855611</v>
      </c>
      <c r="B1231" t="str">
        <f>"1578728335601381"</f>
        <v>1578728335601381</v>
      </c>
      <c r="C1231" t="s">
        <v>40</v>
      </c>
      <c r="D1231">
        <v>5.0460070000000004</v>
      </c>
      <c r="E1231">
        <v>0.49904779999999999</v>
      </c>
      <c r="F1231" t="s">
        <v>59</v>
      </c>
      <c r="G1231">
        <v>-305.83240000000001</v>
      </c>
      <c r="H1231" s="1">
        <v>3.1414020000000002E-6</v>
      </c>
      <c r="I1231">
        <v>282.19850000000002</v>
      </c>
      <c r="J1231">
        <v>-274.04570000000001</v>
      </c>
      <c r="K1231">
        <v>1.103064</v>
      </c>
      <c r="L1231">
        <v>284.48759999999999</v>
      </c>
      <c r="M1231">
        <v>-0.9999517</v>
      </c>
      <c r="N1231">
        <v>0</v>
      </c>
      <c r="O1231">
        <v>-8.5211479999999992E-3</v>
      </c>
      <c r="P1231">
        <v>-0.99716680000000002</v>
      </c>
      <c r="Q1231">
        <v>2.779355E-2</v>
      </c>
      <c r="R1231">
        <v>-6.990275E-2</v>
      </c>
      <c r="S1231">
        <v>-2.9964900000000001</v>
      </c>
      <c r="T1231">
        <v>-0.10225679999999999</v>
      </c>
      <c r="U1231">
        <v>-0.212616</v>
      </c>
      <c r="V1231">
        <v>-6.1445039999999999E-2</v>
      </c>
      <c r="W1231">
        <v>3.2642600000000001E-2</v>
      </c>
      <c r="X1231">
        <v>0.99757649999999998</v>
      </c>
      <c r="Y1231">
        <v>-6.2243499999999903E-2</v>
      </c>
      <c r="Z1231">
        <v>-7.7008649999999997E-4</v>
      </c>
      <c r="AA1231">
        <v>0.99806070000000002</v>
      </c>
      <c r="AB1231">
        <v>54</v>
      </c>
      <c r="AC1231">
        <v>-31.7867</v>
      </c>
      <c r="AD1231">
        <v>-1.103060858598</v>
      </c>
      <c r="AE1231">
        <v>-2.2890999999999599</v>
      </c>
      <c r="AF1231">
        <v>-2.01573958432121</v>
      </c>
      <c r="AG1231">
        <v>-1.103060858598</v>
      </c>
      <c r="AH1231">
        <v>31.766994651072402</v>
      </c>
      <c r="AI1231">
        <v>91.984721871570301</v>
      </c>
      <c r="AJ1231">
        <v>93.630772695358104</v>
      </c>
      <c r="AK1231">
        <v>31.849990557154499</v>
      </c>
      <c r="AL1231">
        <v>88.129384396617894</v>
      </c>
      <c r="AM1231">
        <v>93.524641392983298</v>
      </c>
      <c r="AN1231">
        <v>0.99999995281380405</v>
      </c>
    </row>
    <row r="1232" spans="1:40" x14ac:dyDescent="0.3">
      <c r="A1232" t="str">
        <f>"20200111153855634"</f>
        <v>20200111153855634</v>
      </c>
      <c r="B1232" t="str">
        <f>"1578728335621877"</f>
        <v>1578728335621877</v>
      </c>
      <c r="C1232" t="s">
        <v>40</v>
      </c>
      <c r="D1232">
        <v>5.0839449999999999</v>
      </c>
      <c r="E1232">
        <v>0.49901519999999999</v>
      </c>
      <c r="F1232" t="s">
        <v>59</v>
      </c>
      <c r="G1232">
        <v>-305.96850000000001</v>
      </c>
      <c r="H1232" s="1">
        <v>3.11479E-6</v>
      </c>
      <c r="I1232">
        <v>282.22680000000003</v>
      </c>
      <c r="J1232">
        <v>-274.59399999999999</v>
      </c>
      <c r="K1232">
        <v>1.103056</v>
      </c>
      <c r="L1232">
        <v>284.4828</v>
      </c>
      <c r="M1232">
        <v>-0.99994830000000001</v>
      </c>
      <c r="N1232">
        <v>0</v>
      </c>
      <c r="O1232">
        <v>-8.8876509999999999E-3</v>
      </c>
      <c r="P1232">
        <v>-0.99720030000000004</v>
      </c>
      <c r="Q1232">
        <v>2.776984E-2</v>
      </c>
      <c r="R1232">
        <v>-6.9432590000000002E-2</v>
      </c>
      <c r="S1232">
        <v>-2.996521</v>
      </c>
      <c r="T1232">
        <v>-0.103542</v>
      </c>
      <c r="U1232">
        <v>-0.2122192</v>
      </c>
      <c r="V1232">
        <v>-6.0608290000000002E-2</v>
      </c>
      <c r="W1232">
        <v>3.2646880000000003E-2</v>
      </c>
      <c r="X1232">
        <v>0.99762759999999995</v>
      </c>
      <c r="Y1232">
        <v>-6.17452E-2</v>
      </c>
      <c r="Z1232">
        <v>-7.5851679999999896E-4</v>
      </c>
      <c r="AA1232">
        <v>0.99809159999999997</v>
      </c>
      <c r="AB1232">
        <v>54</v>
      </c>
      <c r="AC1232">
        <v>-31.374500000000001</v>
      </c>
      <c r="AD1232">
        <v>-1.1030528852099999</v>
      </c>
      <c r="AE1232">
        <v>-2.25599999999997</v>
      </c>
      <c r="AF1232">
        <v>-1.9746336776878199</v>
      </c>
      <c r="AG1232">
        <v>-1.1030528852099999</v>
      </c>
      <c r="AH1232">
        <v>31.354754631953799</v>
      </c>
      <c r="AI1232">
        <v>92.010840719618699</v>
      </c>
      <c r="AJ1232">
        <v>93.603566946559994</v>
      </c>
      <c r="AK1232">
        <v>31.436229765330602</v>
      </c>
      <c r="AL1232">
        <v>88.129139139319193</v>
      </c>
      <c r="AM1232">
        <v>93.476584216696693</v>
      </c>
      <c r="AN1232">
        <v>1.0000000059361001</v>
      </c>
    </row>
    <row r="1233" spans="1:40" x14ac:dyDescent="0.3">
      <c r="A1233" t="str">
        <f>"20200111153855654"</f>
        <v>20200111153855654</v>
      </c>
      <c r="B1233" t="str">
        <f>"1578728335641394"</f>
        <v>1578728335641394</v>
      </c>
      <c r="C1233" t="s">
        <v>40</v>
      </c>
      <c r="D1233">
        <v>5.0556260000000002</v>
      </c>
      <c r="E1233">
        <v>0.49894519999999998</v>
      </c>
      <c r="F1233" t="s">
        <v>59</v>
      </c>
      <c r="G1233">
        <v>-306.2115</v>
      </c>
      <c r="H1233" s="1">
        <v>3.0691890000000001E-6</v>
      </c>
      <c r="I1233">
        <v>282.25529999999998</v>
      </c>
      <c r="J1233">
        <v>-275.0976</v>
      </c>
      <c r="K1233">
        <v>1.103051</v>
      </c>
      <c r="L1233">
        <v>284.47829999999999</v>
      </c>
      <c r="M1233">
        <v>-0.99994519999999998</v>
      </c>
      <c r="N1233">
        <v>0</v>
      </c>
      <c r="O1233">
        <v>-9.2230449999999992E-3</v>
      </c>
      <c r="P1233">
        <v>-0.99721630000000006</v>
      </c>
      <c r="Q1233">
        <v>2.812537E-2</v>
      </c>
      <c r="R1233">
        <v>-6.9057850000000004E-2</v>
      </c>
      <c r="S1233">
        <v>-2.9966430000000002</v>
      </c>
      <c r="T1233">
        <v>-0.1045451</v>
      </c>
      <c r="U1233">
        <v>-0.21112059999999999</v>
      </c>
      <c r="V1233">
        <v>-5.9898720000000003E-2</v>
      </c>
      <c r="W1233">
        <v>3.3027189999999998E-2</v>
      </c>
      <c r="X1233">
        <v>0.99765800000000004</v>
      </c>
      <c r="Y1233">
        <v>-6.1043470000000002E-2</v>
      </c>
      <c r="Z1233">
        <v>-7.4193700000000002E-4</v>
      </c>
      <c r="AA1233">
        <v>0.99813490000000005</v>
      </c>
      <c r="AB1233">
        <v>54</v>
      </c>
      <c r="AC1233">
        <v>-31.113900000000001</v>
      </c>
      <c r="AD1233">
        <v>-1.1030479308109999</v>
      </c>
      <c r="AE1233">
        <v>-2.2230000000000101</v>
      </c>
      <c r="AF1233">
        <v>-1.93351924498315</v>
      </c>
      <c r="AG1233">
        <v>-1.1030479308109999</v>
      </c>
      <c r="AH1233">
        <v>31.094197735463201</v>
      </c>
      <c r="AI1233">
        <v>92.027767995242201</v>
      </c>
      <c r="AJ1233">
        <v>93.558221273530194</v>
      </c>
      <c r="AK1233">
        <v>31.173776547291698</v>
      </c>
      <c r="AL1233">
        <v>88.1073373424165</v>
      </c>
      <c r="AM1233">
        <v>93.435875837674899</v>
      </c>
      <c r="AN1233">
        <v>1.00000006845046</v>
      </c>
    </row>
    <row r="1234" spans="1:40" x14ac:dyDescent="0.3">
      <c r="A1234" t="str">
        <f>"20200111153855678"</f>
        <v>20200111153855678</v>
      </c>
      <c r="B1234" t="str">
        <f>"1578728335671650"</f>
        <v>1578728335671650</v>
      </c>
      <c r="C1234" t="s">
        <v>40</v>
      </c>
      <c r="D1234">
        <v>5.0519930000000004</v>
      </c>
      <c r="E1234">
        <v>0.49887819999999999</v>
      </c>
      <c r="F1234" t="s">
        <v>59</v>
      </c>
      <c r="G1234">
        <v>-306.78390000000002</v>
      </c>
      <c r="H1234" s="1">
        <v>2.9675680000000001E-6</v>
      </c>
      <c r="I1234">
        <v>282.25630000000001</v>
      </c>
      <c r="J1234">
        <v>-275.65309999999999</v>
      </c>
      <c r="K1234">
        <v>1.103048</v>
      </c>
      <c r="L1234">
        <v>284.47309999999999</v>
      </c>
      <c r="M1234">
        <v>-0.99994150000000004</v>
      </c>
      <c r="N1234">
        <v>0</v>
      </c>
      <c r="O1234">
        <v>-9.5920659999999998E-3</v>
      </c>
      <c r="P1234">
        <v>-0.99720399999999998</v>
      </c>
      <c r="Q1234">
        <v>2.8161189999999999E-2</v>
      </c>
      <c r="R1234">
        <v>-6.9219600000000006E-2</v>
      </c>
      <c r="S1234">
        <v>-2.9967649999999999</v>
      </c>
      <c r="T1234">
        <v>-0.104322</v>
      </c>
      <c r="U1234">
        <v>-0.210144</v>
      </c>
      <c r="V1234">
        <v>-5.9693080000000003E-2</v>
      </c>
      <c r="W1234">
        <v>3.3090099999999997E-2</v>
      </c>
      <c r="X1234">
        <v>0.99766809999999995</v>
      </c>
      <c r="Y1234">
        <v>-6.0349359999999998E-2</v>
      </c>
      <c r="Z1234">
        <v>-7.1544529999999999E-4</v>
      </c>
      <c r="AA1234">
        <v>0.99817710000000004</v>
      </c>
      <c r="AB1234">
        <v>54</v>
      </c>
      <c r="AC1234">
        <v>-31.130800000000001</v>
      </c>
      <c r="AD1234">
        <v>-1.103045032432</v>
      </c>
      <c r="AE1234">
        <v>-2.2167999999999699</v>
      </c>
      <c r="AF1234">
        <v>-1.9156926362609801</v>
      </c>
      <c r="AG1234">
        <v>-1.103045032432</v>
      </c>
      <c r="AH1234">
        <v>31.111768960188702</v>
      </c>
      <c r="AI1234">
        <v>92.026694298378999</v>
      </c>
      <c r="AJ1234">
        <v>93.523512302519507</v>
      </c>
      <c r="AK1234">
        <v>31.190202860070599</v>
      </c>
      <c r="AL1234">
        <v>88.103730627770204</v>
      </c>
      <c r="AM1234">
        <v>93.424073566568396</v>
      </c>
      <c r="AN1234">
        <v>0.99999992813774996</v>
      </c>
    </row>
    <row r="1235" spans="1:40" x14ac:dyDescent="0.3">
      <c r="A1235" t="str">
        <f>"20200111153855701"</f>
        <v>20200111153855701</v>
      </c>
      <c r="B1235" t="str">
        <f>"1578728335692147"</f>
        <v>1578728335692147</v>
      </c>
      <c r="C1235" t="s">
        <v>40</v>
      </c>
      <c r="D1235">
        <v>5.0938699999999999</v>
      </c>
      <c r="E1235">
        <v>0.49880770000000002</v>
      </c>
      <c r="F1235" t="s">
        <v>59</v>
      </c>
      <c r="G1235">
        <v>-307.2303</v>
      </c>
      <c r="H1235" s="1">
        <v>2.889038E-6</v>
      </c>
      <c r="I1235">
        <v>282.24880000000002</v>
      </c>
      <c r="J1235">
        <v>-276.2396</v>
      </c>
      <c r="K1235">
        <v>1.1030409999999999</v>
      </c>
      <c r="L1235">
        <v>284.4674</v>
      </c>
      <c r="M1235">
        <v>-0.99993750000000003</v>
      </c>
      <c r="N1235">
        <v>0</v>
      </c>
      <c r="O1235">
        <v>-9.9801669999999999E-3</v>
      </c>
      <c r="P1235">
        <v>-0.99720810000000004</v>
      </c>
      <c r="Q1235">
        <v>2.818681E-2</v>
      </c>
      <c r="R1235">
        <v>-6.9151320000000002E-2</v>
      </c>
      <c r="S1235">
        <v>-2.9967039999999998</v>
      </c>
      <c r="T1235">
        <v>-0.1046798</v>
      </c>
      <c r="U1235">
        <v>-0.2110901</v>
      </c>
      <c r="V1235">
        <v>-5.923722E-2</v>
      </c>
      <c r="W1235">
        <v>3.3144899999999998E-2</v>
      </c>
      <c r="X1235">
        <v>0.99769350000000001</v>
      </c>
      <c r="Y1235">
        <v>-6.0276999999999997E-2</v>
      </c>
      <c r="Z1235">
        <v>-7.0310960000000004E-4</v>
      </c>
      <c r="AA1235">
        <v>0.99818150000000005</v>
      </c>
      <c r="AB1235">
        <v>55</v>
      </c>
      <c r="AC1235">
        <v>-30.9907</v>
      </c>
      <c r="AD1235">
        <v>-1.103038110962</v>
      </c>
      <c r="AE1235">
        <v>-2.2185999999999799</v>
      </c>
      <c r="AF1235">
        <v>-1.90678995412412</v>
      </c>
      <c r="AG1235">
        <v>-1.103038110962</v>
      </c>
      <c r="AH1235">
        <v>30.972262285877399</v>
      </c>
      <c r="AI1235">
        <v>92.035803858524005</v>
      </c>
      <c r="AJ1235">
        <v>93.522936161756505</v>
      </c>
      <c r="AK1235">
        <v>31.050500351984098</v>
      </c>
      <c r="AL1235">
        <v>88.100589187073197</v>
      </c>
      <c r="AM1235">
        <v>93.397900037230897</v>
      </c>
      <c r="AN1235">
        <v>0.99999997628579296</v>
      </c>
    </row>
    <row r="1236" spans="1:40" x14ac:dyDescent="0.3">
      <c r="A1236" t="str">
        <f>"20200111153855725"</f>
        <v>20200111153855725</v>
      </c>
      <c r="B1236" t="str">
        <f>"1578728335711666"</f>
        <v>1578728335711666</v>
      </c>
      <c r="C1236" t="s">
        <v>40</v>
      </c>
      <c r="D1236">
        <v>5.1040939999999999</v>
      </c>
      <c r="E1236">
        <v>0.49872070000000002</v>
      </c>
      <c r="F1236" t="s">
        <v>59</v>
      </c>
      <c r="G1236">
        <v>-307.6644</v>
      </c>
      <c r="H1236" s="1">
        <v>2.8118829999999999E-6</v>
      </c>
      <c r="I1236">
        <v>282.25060000000002</v>
      </c>
      <c r="J1236">
        <v>-276.8073</v>
      </c>
      <c r="K1236">
        <v>1.103037</v>
      </c>
      <c r="L1236">
        <v>284.46159999999998</v>
      </c>
      <c r="M1236">
        <v>-0.99993350000000003</v>
      </c>
      <c r="N1236">
        <v>0</v>
      </c>
      <c r="O1236">
        <v>-1.0353599999999999E-2</v>
      </c>
      <c r="P1236">
        <v>-0.99719820000000003</v>
      </c>
      <c r="Q1236">
        <v>2.7879210000000001E-2</v>
      </c>
      <c r="R1236">
        <v>-6.941398E-2</v>
      </c>
      <c r="S1236">
        <v>-2.9967039999999998</v>
      </c>
      <c r="T1236">
        <v>-0.10518710000000001</v>
      </c>
      <c r="U1236">
        <v>-0.21139530000000001</v>
      </c>
      <c r="V1236">
        <v>-5.9126919999999999E-2</v>
      </c>
      <c r="W1236">
        <v>3.286468E-2</v>
      </c>
      <c r="X1236">
        <v>0.99770930000000002</v>
      </c>
      <c r="Y1236">
        <v>-6.0005469999999998E-2</v>
      </c>
      <c r="Z1236">
        <v>-6.8866860000000002E-4</v>
      </c>
      <c r="AA1236">
        <v>0.99819780000000002</v>
      </c>
      <c r="AB1236">
        <v>55</v>
      </c>
      <c r="AC1236">
        <v>-30.857099999999999</v>
      </c>
      <c r="AD1236">
        <v>-1.103034188117</v>
      </c>
      <c r="AE1236">
        <v>-2.2109999999999501</v>
      </c>
      <c r="AF1236">
        <v>-1.8889938418371499</v>
      </c>
      <c r="AG1236">
        <v>-1.103034188117</v>
      </c>
      <c r="AH1236">
        <v>30.839132725298001</v>
      </c>
      <c r="AI1236">
        <v>92.044616424471897</v>
      </c>
      <c r="AJ1236">
        <v>93.505167283547706</v>
      </c>
      <c r="AK1236">
        <v>30.916615102614301</v>
      </c>
      <c r="AL1236">
        <v>88.116653338777596</v>
      </c>
      <c r="AM1236">
        <v>93.39153432853</v>
      </c>
      <c r="AN1236">
        <v>0.99999996358333798</v>
      </c>
    </row>
    <row r="1237" spans="1:40" x14ac:dyDescent="0.3">
      <c r="A1237" t="str">
        <f>"20200111153855745"</f>
        <v>20200111153855745</v>
      </c>
      <c r="B1237" t="str">
        <f>"1578728335741923"</f>
        <v>1578728335741923</v>
      </c>
      <c r="C1237" t="s">
        <v>40</v>
      </c>
      <c r="D1237">
        <v>5.1026420000000003</v>
      </c>
      <c r="E1237">
        <v>0.49857089999999998</v>
      </c>
      <c r="F1237" t="s">
        <v>59</v>
      </c>
      <c r="G1237">
        <v>-307.75900000000001</v>
      </c>
      <c r="H1237" s="1">
        <v>2.7941629999999999E-6</v>
      </c>
      <c r="I1237">
        <v>282.26139999999998</v>
      </c>
      <c r="J1237">
        <v>-277.3254</v>
      </c>
      <c r="K1237">
        <v>1.10303</v>
      </c>
      <c r="L1237">
        <v>284.45620000000002</v>
      </c>
      <c r="M1237">
        <v>-0.99992979999999998</v>
      </c>
      <c r="N1237">
        <v>0</v>
      </c>
      <c r="O1237">
        <v>-1.0691030000000001E-2</v>
      </c>
      <c r="P1237">
        <v>-0.99720699999999995</v>
      </c>
      <c r="Q1237">
        <v>2.742561E-2</v>
      </c>
      <c r="R1237">
        <v>-6.9471110000000003E-2</v>
      </c>
      <c r="S1237">
        <v>-2.9965820000000001</v>
      </c>
      <c r="T1237">
        <v>-0.10679</v>
      </c>
      <c r="U1237">
        <v>-0.2130127</v>
      </c>
      <c r="V1237">
        <v>-5.8846099999999998E-2</v>
      </c>
      <c r="W1237">
        <v>3.2436230000000003E-2</v>
      </c>
      <c r="X1237">
        <v>0.99773999999999996</v>
      </c>
      <c r="Y1237">
        <v>-6.020673E-2</v>
      </c>
      <c r="Z1237">
        <v>-6.9074929999999896E-4</v>
      </c>
      <c r="AA1237">
        <v>0.99818569999999995</v>
      </c>
      <c r="AB1237">
        <v>55</v>
      </c>
      <c r="AC1237">
        <v>-30.433599999999998</v>
      </c>
      <c r="AD1237">
        <v>-1.1030272058370001</v>
      </c>
      <c r="AE1237">
        <v>-2.1948000000000398</v>
      </c>
      <c r="AF1237">
        <v>-1.86686414689222</v>
      </c>
      <c r="AG1237">
        <v>-1.1030272058370001</v>
      </c>
      <c r="AH1237">
        <v>30.415578209143501</v>
      </c>
      <c r="AI1237">
        <v>92.073035239918198</v>
      </c>
      <c r="AJ1237">
        <v>93.512325708395906</v>
      </c>
      <c r="AK1237">
        <v>30.492773710443199</v>
      </c>
      <c r="AL1237">
        <v>88.141214954177599</v>
      </c>
      <c r="AM1237">
        <v>93.375360138107496</v>
      </c>
      <c r="AN1237">
        <v>1.0000000400509099</v>
      </c>
    </row>
    <row r="1238" spans="1:40" x14ac:dyDescent="0.3">
      <c r="A1238" t="str">
        <f>"20200111153855767"</f>
        <v>20200111153855767</v>
      </c>
      <c r="B1238" t="str">
        <f>"1578728335761443"</f>
        <v>1578728335761443</v>
      </c>
      <c r="C1238" t="s">
        <v>40</v>
      </c>
      <c r="D1238">
        <v>5.1159699999999999</v>
      </c>
      <c r="E1238">
        <v>0.49859890000000001</v>
      </c>
      <c r="F1238" t="s">
        <v>59</v>
      </c>
      <c r="G1238">
        <v>-307.64800000000002</v>
      </c>
      <c r="H1238" s="1">
        <v>2.811556E-6</v>
      </c>
      <c r="I1238">
        <v>282.28769999999997</v>
      </c>
      <c r="J1238">
        <v>-277.85309999999998</v>
      </c>
      <c r="K1238">
        <v>1.1030249999999999</v>
      </c>
      <c r="L1238">
        <v>284.45049999999998</v>
      </c>
      <c r="M1238">
        <v>-0.99992619999999999</v>
      </c>
      <c r="N1238">
        <v>0</v>
      </c>
      <c r="O1238">
        <v>-1.1027840000000001E-2</v>
      </c>
      <c r="P1238">
        <v>-0.99722739999999999</v>
      </c>
      <c r="Q1238">
        <v>2.6363319999999999E-2</v>
      </c>
      <c r="R1238">
        <v>-6.9590260000000001E-2</v>
      </c>
      <c r="S1238">
        <v>-2.9964900000000001</v>
      </c>
      <c r="T1238">
        <v>-0.1090016</v>
      </c>
      <c r="U1238">
        <v>-0.2142944</v>
      </c>
      <c r="V1238">
        <v>-5.8627770000000003E-2</v>
      </c>
      <c r="W1238">
        <v>3.1400110000000002E-2</v>
      </c>
      <c r="X1238">
        <v>0.99778599999999995</v>
      </c>
      <c r="Y1238">
        <v>-6.0296309999999999E-2</v>
      </c>
      <c r="Z1238">
        <v>-6.9445270000000005E-4</v>
      </c>
      <c r="AA1238">
        <v>0.99818030000000002</v>
      </c>
      <c r="AB1238">
        <v>55</v>
      </c>
      <c r="AC1238">
        <v>-29.794899999999899</v>
      </c>
      <c r="AD1238">
        <v>-1.1030221884439999</v>
      </c>
      <c r="AE1238">
        <v>-2.1627999999999998</v>
      </c>
      <c r="AF1238">
        <v>-1.83159374767605</v>
      </c>
      <c r="AG1238">
        <v>-1.1030221884439999</v>
      </c>
      <c r="AH1238">
        <v>29.776344392823699</v>
      </c>
      <c r="AI1238">
        <v>92.117471876092694</v>
      </c>
      <c r="AJ1238">
        <v>93.519926189241403</v>
      </c>
      <c r="AK1238">
        <v>29.853007871984499</v>
      </c>
      <c r="AL1238">
        <v>88.200610524056202</v>
      </c>
      <c r="AM1238">
        <v>93.3627110376719</v>
      </c>
      <c r="AN1238">
        <v>1.00000004205959</v>
      </c>
    </row>
    <row r="1239" spans="1:40" x14ac:dyDescent="0.3">
      <c r="A1239" t="str">
        <f>"20200111153855790"</f>
        <v>20200111153855790</v>
      </c>
      <c r="B1239" t="str">
        <f>"1578728335781938"</f>
        <v>1578728335781938</v>
      </c>
      <c r="C1239" t="s">
        <v>40</v>
      </c>
      <c r="D1239">
        <v>5.0907519999999904</v>
      </c>
      <c r="E1239">
        <v>0.49869019999999997</v>
      </c>
      <c r="F1239" t="s">
        <v>59</v>
      </c>
      <c r="G1239">
        <v>-307.14789999999999</v>
      </c>
      <c r="H1239" s="1">
        <v>2.8944760000000002E-6</v>
      </c>
      <c r="I1239">
        <v>282.35390000000001</v>
      </c>
      <c r="J1239">
        <v>-278.43579999999997</v>
      </c>
      <c r="K1239">
        <v>1.1030120000000001</v>
      </c>
      <c r="L1239">
        <v>284.44400000000002</v>
      </c>
      <c r="M1239">
        <v>-0.99992199999999998</v>
      </c>
      <c r="N1239">
        <v>0</v>
      </c>
      <c r="O1239">
        <v>-1.1388489999999999E-2</v>
      </c>
      <c r="P1239">
        <v>-0.99727160000000004</v>
      </c>
      <c r="Q1239">
        <v>2.4502289999999999E-2</v>
      </c>
      <c r="R1239">
        <v>-6.9637599999999994E-2</v>
      </c>
      <c r="S1239">
        <v>-2.9963679999999999</v>
      </c>
      <c r="T1239">
        <v>-0.112821</v>
      </c>
      <c r="U1239">
        <v>-0.214447</v>
      </c>
      <c r="V1239">
        <v>-5.8311290000000002E-2</v>
      </c>
      <c r="W1239">
        <v>2.9568480000000001E-2</v>
      </c>
      <c r="X1239">
        <v>0.99786039999999998</v>
      </c>
      <c r="Y1239">
        <v>-5.998792E-2</v>
      </c>
      <c r="Z1239">
        <v>-6.9944709999999999E-4</v>
      </c>
      <c r="AA1239">
        <v>0.9981989</v>
      </c>
      <c r="AB1239">
        <v>55</v>
      </c>
      <c r="AC1239">
        <v>-28.7121</v>
      </c>
      <c r="AD1239">
        <v>-1.1030091055239899</v>
      </c>
      <c r="AE1239">
        <v>-2.0901000000000001</v>
      </c>
      <c r="AF1239">
        <v>-1.76038839703615</v>
      </c>
      <c r="AG1239">
        <v>-1.1030091055239899</v>
      </c>
      <c r="AH1239">
        <v>28.6919209288803</v>
      </c>
      <c r="AI1239">
        <v>92.197420642517301</v>
      </c>
      <c r="AJ1239">
        <v>93.510972567823401</v>
      </c>
      <c r="AK1239">
        <v>28.767028400312899</v>
      </c>
      <c r="AL1239">
        <v>88.305603825687001</v>
      </c>
      <c r="AM1239">
        <v>93.344351219241403</v>
      </c>
      <c r="AN1239">
        <v>0.99999993971956502</v>
      </c>
    </row>
    <row r="1240" spans="1:40" x14ac:dyDescent="0.3">
      <c r="A1240" t="str">
        <f>"20200111153855812"</f>
        <v>20200111153855812</v>
      </c>
      <c r="B1240" t="str">
        <f>"1578728335801458"</f>
        <v>1578728335801458</v>
      </c>
      <c r="C1240" t="s">
        <v>40</v>
      </c>
      <c r="D1240">
        <v>5.0975919999999997</v>
      </c>
      <c r="E1240">
        <v>0.49870150000000002</v>
      </c>
      <c r="F1240" t="s">
        <v>59</v>
      </c>
      <c r="G1240">
        <v>-306.22980000000001</v>
      </c>
      <c r="H1240" s="1">
        <v>3.0475960000000002E-6</v>
      </c>
      <c r="I1240">
        <v>282.46519999999998</v>
      </c>
      <c r="J1240">
        <v>-278.97989999999999</v>
      </c>
      <c r="K1240">
        <v>1.1029929999999999</v>
      </c>
      <c r="L1240">
        <v>284.43779999999998</v>
      </c>
      <c r="M1240">
        <v>-0.99991799999999997</v>
      </c>
      <c r="N1240">
        <v>0</v>
      </c>
      <c r="O1240">
        <v>-1.1710480000000001E-2</v>
      </c>
      <c r="P1240">
        <v>-0.99729120000000004</v>
      </c>
      <c r="Q1240">
        <v>2.3458779999999999E-2</v>
      </c>
      <c r="R1240">
        <v>-6.9713579999999997E-2</v>
      </c>
      <c r="S1240">
        <v>-2.9962460000000002</v>
      </c>
      <c r="T1240">
        <v>-0.118906399999999</v>
      </c>
      <c r="U1240">
        <v>-0.2133179</v>
      </c>
      <c r="V1240">
        <v>-5.8064629999999999E-2</v>
      </c>
      <c r="W1240">
        <v>2.8552770000000002E-2</v>
      </c>
      <c r="X1240">
        <v>0.99790440000000002</v>
      </c>
      <c r="Y1240">
        <v>-5.9292079999999997E-2</v>
      </c>
      <c r="Z1240">
        <v>-7.1064629999999999E-4</v>
      </c>
      <c r="AA1240">
        <v>0.99824040000000003</v>
      </c>
      <c r="AB1240">
        <v>55</v>
      </c>
      <c r="AC1240">
        <v>-27.2499</v>
      </c>
      <c r="AD1240">
        <v>-1.1029899524040001</v>
      </c>
      <c r="AE1240">
        <v>-1.9725999999999999</v>
      </c>
      <c r="AF1240">
        <v>-1.6506607374073199</v>
      </c>
      <c r="AG1240">
        <v>-1.1029899524040001</v>
      </c>
      <c r="AH1240">
        <v>27.226756726314701</v>
      </c>
      <c r="AI1240">
        <v>92.315608088508696</v>
      </c>
      <c r="AJ1240">
        <v>93.469391388640204</v>
      </c>
      <c r="AK1240">
        <v>27.299039351945101</v>
      </c>
      <c r="AL1240">
        <v>88.363824377873698</v>
      </c>
      <c r="AM1240">
        <v>93.330089827680098</v>
      </c>
      <c r="AN1240">
        <v>0.99999997673553398</v>
      </c>
    </row>
    <row r="1241" spans="1:40" x14ac:dyDescent="0.3">
      <c r="A1241" t="str">
        <f>"20200111153855834"</f>
        <v>20200111153855834</v>
      </c>
      <c r="B1241" t="str">
        <f>"1578728335821957"</f>
        <v>1578728335821957</v>
      </c>
      <c r="C1241" t="s">
        <v>40</v>
      </c>
      <c r="D1241">
        <v>5.094182</v>
      </c>
      <c r="E1241">
        <v>0.50583690000000003</v>
      </c>
      <c r="F1241" t="s">
        <v>59</v>
      </c>
      <c r="G1241">
        <v>-305.87729999999999</v>
      </c>
      <c r="H1241" s="1">
        <v>3.104873E-6</v>
      </c>
      <c r="I1241">
        <v>282.52519999999998</v>
      </c>
      <c r="J1241">
        <v>-279.51490000000001</v>
      </c>
      <c r="K1241">
        <v>1.102976</v>
      </c>
      <c r="L1241">
        <v>284.43150000000003</v>
      </c>
      <c r="M1241">
        <v>-0.99991439999999998</v>
      </c>
      <c r="N1241">
        <v>0</v>
      </c>
      <c r="O1241">
        <v>-1.200992E-2</v>
      </c>
      <c r="P1241">
        <v>-0.99728209999999995</v>
      </c>
      <c r="Q1241">
        <v>2.3052610000000001E-2</v>
      </c>
      <c r="R1241">
        <v>-6.9977209999999998E-2</v>
      </c>
      <c r="S1241">
        <v>-2.9961549999999999</v>
      </c>
      <c r="T1241">
        <v>-0.122864</v>
      </c>
      <c r="U1241">
        <v>-0.21304319999999999</v>
      </c>
      <c r="V1241">
        <v>-5.8027660000000002E-2</v>
      </c>
      <c r="W1241">
        <v>2.8174310000000001E-2</v>
      </c>
      <c r="X1241">
        <v>0.99791739999999995</v>
      </c>
      <c r="Y1241">
        <v>-5.8902309999999999E-2</v>
      </c>
      <c r="Z1241">
        <v>-7.1407049999999998E-4</v>
      </c>
      <c r="AA1241">
        <v>0.99826349999999997</v>
      </c>
      <c r="AB1241">
        <v>55</v>
      </c>
      <c r="AC1241">
        <v>-26.362399999999901</v>
      </c>
      <c r="AD1241">
        <v>-1.1029728951269999</v>
      </c>
      <c r="AE1241">
        <v>-1.9063000000000401</v>
      </c>
      <c r="AF1241">
        <v>-1.5867847253881799</v>
      </c>
      <c r="AG1241">
        <v>-1.1029728951269999</v>
      </c>
      <c r="AH1241">
        <v>26.3375296865139</v>
      </c>
      <c r="AI1241">
        <v>92.393717394781206</v>
      </c>
      <c r="AJ1241">
        <v>93.447791216316602</v>
      </c>
      <c r="AK1241">
        <v>26.4083302190826</v>
      </c>
      <c r="AL1241">
        <v>88.385517416073597</v>
      </c>
      <c r="AM1241">
        <v>93.327931055816507</v>
      </c>
      <c r="AN1241">
        <v>1.0000000691458999</v>
      </c>
    </row>
    <row r="1242" spans="1:40" x14ac:dyDescent="0.3">
      <c r="A1242" t="str">
        <f>"20200111153855856"</f>
        <v>20200111153855856</v>
      </c>
      <c r="B1242" t="str">
        <f>"1578728335852211"</f>
        <v>1578728335852211</v>
      </c>
      <c r="C1242" t="s">
        <v>40</v>
      </c>
      <c r="D1242">
        <v>5.0966839999999998</v>
      </c>
      <c r="E1242">
        <v>0.50323469999999904</v>
      </c>
      <c r="F1242" t="s">
        <v>59</v>
      </c>
      <c r="G1242">
        <v>-291.46039999999999</v>
      </c>
      <c r="H1242" s="1">
        <v>2.5335980000000001E-6</v>
      </c>
      <c r="I1242">
        <v>283.82929999999999</v>
      </c>
      <c r="J1242">
        <v>-280.0566</v>
      </c>
      <c r="K1242">
        <v>1.102954</v>
      </c>
      <c r="L1242">
        <v>284.42500000000001</v>
      </c>
      <c r="M1242">
        <v>-0.99991079999999999</v>
      </c>
      <c r="N1242">
        <v>0</v>
      </c>
      <c r="O1242">
        <v>-1.229193E-2</v>
      </c>
      <c r="P1242">
        <v>-0.99726459999999995</v>
      </c>
      <c r="Q1242">
        <v>2.2470520000000001E-2</v>
      </c>
      <c r="R1242">
        <v>-7.0416580000000006E-2</v>
      </c>
      <c r="S1242">
        <v>-3.0039669999999998</v>
      </c>
      <c r="T1242">
        <v>-0.27736860000000002</v>
      </c>
      <c r="U1242">
        <v>-0.15142820000000001</v>
      </c>
      <c r="V1242">
        <v>-5.818417E-2</v>
      </c>
      <c r="W1242">
        <v>2.7619970000000001E-2</v>
      </c>
      <c r="X1242">
        <v>0.99792369999999997</v>
      </c>
      <c r="Y1242">
        <v>-3.7956299999999998E-2</v>
      </c>
      <c r="Z1242">
        <v>-6.1576090000000001E-4</v>
      </c>
      <c r="AA1242">
        <v>0.99927920000000003</v>
      </c>
      <c r="AB1242">
        <v>55</v>
      </c>
      <c r="AC1242">
        <v>-11.403799999999899</v>
      </c>
      <c r="AD1242">
        <v>-1.1029514664019999</v>
      </c>
      <c r="AE1242">
        <v>-0.59570000000002199</v>
      </c>
      <c r="AF1242">
        <v>-0.45126853319237598</v>
      </c>
      <c r="AG1242">
        <v>-1.1029514664019999</v>
      </c>
      <c r="AH1242">
        <v>11.3047995570002</v>
      </c>
      <c r="AI1242">
        <v>95.568013101664505</v>
      </c>
      <c r="AJ1242">
        <v>92.285937214348394</v>
      </c>
      <c r="AK1242">
        <v>11.367437629045501</v>
      </c>
      <c r="AL1242">
        <v>88.4172909909541</v>
      </c>
      <c r="AM1242">
        <v>93.336865750640598</v>
      </c>
      <c r="AN1242">
        <v>0.99999998570153903</v>
      </c>
    </row>
    <row r="1243" spans="1:40" x14ac:dyDescent="0.3">
      <c r="A1243" t="str">
        <f>"20200111153855882"</f>
        <v>20200111153855882</v>
      </c>
      <c r="B1243" t="str">
        <f>"1578728335871730"</f>
        <v>1578728335871730</v>
      </c>
      <c r="C1243" t="s">
        <v>40</v>
      </c>
      <c r="D1243">
        <v>5.0770689999999998</v>
      </c>
      <c r="E1243">
        <v>0.50281419999999999</v>
      </c>
      <c r="F1243" t="s">
        <v>41</v>
      </c>
      <c r="G1243">
        <v>-281.2201</v>
      </c>
      <c r="H1243">
        <v>0.98761650000000001</v>
      </c>
      <c r="I1243">
        <v>284.35840000000002</v>
      </c>
      <c r="J1243">
        <v>-280.7002</v>
      </c>
      <c r="K1243">
        <v>1.1029169999999999</v>
      </c>
      <c r="L1243">
        <v>284.4171</v>
      </c>
      <c r="M1243">
        <v>-0.99990679999999998</v>
      </c>
      <c r="N1243">
        <v>0</v>
      </c>
      <c r="O1243">
        <v>-1.259799E-2</v>
      </c>
      <c r="P1243">
        <v>-0.99721009999999999</v>
      </c>
      <c r="Q1243">
        <v>2.1613960000000002E-2</v>
      </c>
      <c r="R1243">
        <v>-7.1450440000000004E-2</v>
      </c>
      <c r="S1243">
        <v>-3.0027469999999998</v>
      </c>
      <c r="T1243">
        <v>-0.29781639999999998</v>
      </c>
      <c r="U1243">
        <v>-0.17254639999999999</v>
      </c>
      <c r="V1243">
        <v>-5.8910669999999998E-2</v>
      </c>
      <c r="W1243">
        <v>2.6795820000000001E-2</v>
      </c>
      <c r="X1243">
        <v>0.9979036</v>
      </c>
      <c r="Y1243">
        <v>-4.4629639999999998E-2</v>
      </c>
      <c r="Z1243">
        <v>-9.6070300000000003E-4</v>
      </c>
      <c r="AA1243">
        <v>0.99900310000000003</v>
      </c>
      <c r="AB1243">
        <v>56</v>
      </c>
      <c r="AC1243">
        <v>-0.51990000000000602</v>
      </c>
      <c r="AD1243">
        <v>-0.115300499999999</v>
      </c>
      <c r="AE1243">
        <v>-5.8699999999987498E-2</v>
      </c>
      <c r="AF1243">
        <v>-4.9730409536095699E-2</v>
      </c>
      <c r="AG1243">
        <v>-0.115300499999999</v>
      </c>
      <c r="AH1243">
        <v>0.49648649578135201</v>
      </c>
      <c r="AI1243">
        <v>103.011336408852</v>
      </c>
      <c r="AJ1243">
        <v>95.719934869263795</v>
      </c>
      <c r="AK1243">
        <v>0.51211928241975402</v>
      </c>
      <c r="AL1243">
        <v>88.464528879030397</v>
      </c>
      <c r="AM1243">
        <v>93.378502547359702</v>
      </c>
      <c r="AN1243">
        <v>1.0000000389511301</v>
      </c>
    </row>
    <row r="1244" spans="1:40" x14ac:dyDescent="0.3">
      <c r="A1244" t="str">
        <f>"20200111153855901"</f>
        <v>20200111153855901</v>
      </c>
      <c r="B1244" t="str">
        <f>"1578728335892230"</f>
        <v>1578728335892230</v>
      </c>
      <c r="C1244" t="s">
        <v>40</v>
      </c>
      <c r="D1244">
        <v>5.0955959999999996</v>
      </c>
      <c r="E1244">
        <v>0.50271489999999996</v>
      </c>
      <c r="F1244" t="s">
        <v>41</v>
      </c>
      <c r="G1244">
        <v>-281.7251</v>
      </c>
      <c r="H1244">
        <v>0.99924829999999998</v>
      </c>
      <c r="I1244">
        <v>284.35610000000003</v>
      </c>
      <c r="J1244">
        <v>-281.19439999999997</v>
      </c>
      <c r="K1244">
        <v>1.1029009999999999</v>
      </c>
      <c r="L1244">
        <v>284.41079999999999</v>
      </c>
      <c r="M1244">
        <v>-0.99990400000000002</v>
      </c>
      <c r="N1244">
        <v>0</v>
      </c>
      <c r="O1244">
        <v>-1.2815729999999999E-2</v>
      </c>
      <c r="P1244">
        <v>-0.9971622</v>
      </c>
      <c r="Q1244">
        <v>2.1023440000000001E-2</v>
      </c>
      <c r="R1244">
        <v>-7.2291549999999996E-2</v>
      </c>
      <c r="S1244">
        <v>-3.0021969999999998</v>
      </c>
      <c r="T1244">
        <v>-0.30368119999999998</v>
      </c>
      <c r="U1244">
        <v>-0.17898559999999999</v>
      </c>
      <c r="V1244">
        <v>-5.9532990000000001E-2</v>
      </c>
      <c r="W1244">
        <v>2.623002E-2</v>
      </c>
      <c r="X1244">
        <v>0.99788169999999998</v>
      </c>
      <c r="Y1244">
        <v>-4.6542989999999999E-2</v>
      </c>
      <c r="Z1244">
        <v>-1.054143E-3</v>
      </c>
      <c r="AA1244">
        <v>0.99891569999999996</v>
      </c>
      <c r="AB1244">
        <v>56</v>
      </c>
      <c r="AC1244">
        <v>-0.53070000000002404</v>
      </c>
      <c r="AD1244">
        <v>-0.1036527</v>
      </c>
      <c r="AE1244">
        <v>-5.4699999999968399E-2</v>
      </c>
      <c r="AF1244">
        <v>-4.6152039877658903E-2</v>
      </c>
      <c r="AG1244">
        <v>-0.1036527</v>
      </c>
      <c r="AH1244">
        <v>0.51203023448674101</v>
      </c>
      <c r="AI1244">
        <v>101.399009195755</v>
      </c>
      <c r="AJ1244">
        <v>95.150458856408093</v>
      </c>
      <c r="AK1244">
        <v>0.52445100250710397</v>
      </c>
      <c r="AL1244">
        <v>88.496958230219704</v>
      </c>
      <c r="AM1244">
        <v>93.4141831102624</v>
      </c>
      <c r="AN1244">
        <v>1.00000003902121</v>
      </c>
    </row>
    <row r="1245" spans="1:40" x14ac:dyDescent="0.3">
      <c r="A1245" t="str">
        <f>"20200111153855924"</f>
        <v>20200111153855924</v>
      </c>
      <c r="B1245" t="str">
        <f>"1578728335911753"</f>
        <v>1578728335911753</v>
      </c>
      <c r="C1245" t="s">
        <v>40</v>
      </c>
      <c r="D1245">
        <v>5.0848329999999997</v>
      </c>
      <c r="E1245">
        <v>0.50232109999999996</v>
      </c>
      <c r="F1245" t="s">
        <v>41</v>
      </c>
      <c r="G1245">
        <v>-282.2253</v>
      </c>
      <c r="H1245">
        <v>0.99813320000000005</v>
      </c>
      <c r="I1245">
        <v>284.34820000000002</v>
      </c>
      <c r="J1245">
        <v>-281.76549999999997</v>
      </c>
      <c r="K1245">
        <v>1.1028770000000001</v>
      </c>
      <c r="L1245">
        <v>284.40350000000001</v>
      </c>
      <c r="M1245">
        <v>-0.99990080000000003</v>
      </c>
      <c r="N1245">
        <v>0</v>
      </c>
      <c r="O1245">
        <v>-1.304669E-2</v>
      </c>
      <c r="P1245">
        <v>-0.99708799999999997</v>
      </c>
      <c r="Q1245">
        <v>2.083192E-2</v>
      </c>
      <c r="R1245">
        <v>-7.3359670000000002E-2</v>
      </c>
      <c r="S1245">
        <v>-3.0017399999999999</v>
      </c>
      <c r="T1245">
        <v>-0.30515490000000001</v>
      </c>
      <c r="U1245">
        <v>-0.1824036</v>
      </c>
      <c r="V1245">
        <v>-6.0370199999999999E-2</v>
      </c>
      <c r="W1245">
        <v>2.6067949999999999E-2</v>
      </c>
      <c r="X1245">
        <v>0.99783560000000004</v>
      </c>
      <c r="Y1245">
        <v>-4.7449419999999999E-2</v>
      </c>
      <c r="Z1245">
        <v>-1.081881E-3</v>
      </c>
      <c r="AA1245">
        <v>0.99887309999999996</v>
      </c>
      <c r="AB1245">
        <v>56</v>
      </c>
      <c r="AC1245">
        <v>-0.45980000000002902</v>
      </c>
      <c r="AD1245">
        <v>-0.1047438</v>
      </c>
      <c r="AE1245">
        <v>-5.5299999999988303E-2</v>
      </c>
      <c r="AF1245">
        <v>-4.6897342173754401E-2</v>
      </c>
      <c r="AG1245">
        <v>-0.1047438</v>
      </c>
      <c r="AH1245">
        <v>0.438073057215981</v>
      </c>
      <c r="AI1245">
        <v>103.37338475218699</v>
      </c>
      <c r="AJ1245">
        <v>96.110453234918396</v>
      </c>
      <c r="AK1245">
        <v>0.45285607846197501</v>
      </c>
      <c r="AL1245">
        <v>88.506247262714695</v>
      </c>
      <c r="AM1245">
        <v>93.462240208978002</v>
      </c>
      <c r="AN1245">
        <v>0.99999999184630095</v>
      </c>
    </row>
    <row r="1246" spans="1:40" x14ac:dyDescent="0.3">
      <c r="A1246" t="str">
        <f>"20200111153855946"</f>
        <v>20200111153855946</v>
      </c>
      <c r="B1246" t="str">
        <f>"1578728335942005"</f>
        <v>1578728335942005</v>
      </c>
      <c r="C1246" t="s">
        <v>40</v>
      </c>
      <c r="D1246">
        <v>5.1131219999999997</v>
      </c>
      <c r="E1246">
        <v>0.50199959999999999</v>
      </c>
      <c r="F1246" t="s">
        <v>41</v>
      </c>
      <c r="G1246">
        <v>-282.73110000000003</v>
      </c>
      <c r="H1246">
        <v>1.0059209999999901</v>
      </c>
      <c r="I1246">
        <v>284.34300000000002</v>
      </c>
      <c r="J1246">
        <v>-282.31360000000001</v>
      </c>
      <c r="K1246">
        <v>1.1028519999999999</v>
      </c>
      <c r="L1246">
        <v>284.39640000000003</v>
      </c>
      <c r="M1246">
        <v>-0.99989799999999995</v>
      </c>
      <c r="N1246">
        <v>0</v>
      </c>
      <c r="O1246">
        <v>-1.3249149999999999E-2</v>
      </c>
      <c r="P1246">
        <v>-0.99701110000000004</v>
      </c>
      <c r="Q1246">
        <v>2.0686059999999999E-2</v>
      </c>
      <c r="R1246">
        <v>-7.4439000000000005E-2</v>
      </c>
      <c r="S1246">
        <v>-3.0011290000000002</v>
      </c>
      <c r="T1246">
        <v>-0.30142550000000001</v>
      </c>
      <c r="U1246">
        <v>-0.18890380000000001</v>
      </c>
      <c r="V1246">
        <v>-6.1247749999999997E-2</v>
      </c>
      <c r="W1246">
        <v>2.5949730000000001E-2</v>
      </c>
      <c r="X1246">
        <v>0.99778520000000004</v>
      </c>
      <c r="Y1246">
        <v>-4.941007E-2</v>
      </c>
      <c r="Z1246">
        <v>-1.146733E-3</v>
      </c>
      <c r="AA1246">
        <v>0.9987779</v>
      </c>
      <c r="AB1246">
        <v>56</v>
      </c>
      <c r="AC1246">
        <v>-0.41750000000001802</v>
      </c>
      <c r="AD1246">
        <v>-9.69310000000001E-2</v>
      </c>
      <c r="AE1246">
        <v>-5.3400000000010502E-2</v>
      </c>
      <c r="AF1246">
        <v>-4.54530950998491E-2</v>
      </c>
      <c r="AG1246">
        <v>-9.69310000000001E-2</v>
      </c>
      <c r="AH1246">
        <v>0.39711001658978801</v>
      </c>
      <c r="AI1246">
        <v>103.631509354138</v>
      </c>
      <c r="AJ1246">
        <v>96.529641928440199</v>
      </c>
      <c r="AK1246">
        <v>0.41128818107392501</v>
      </c>
      <c r="AL1246">
        <v>88.513023059772607</v>
      </c>
      <c r="AM1246">
        <v>93.512619713183895</v>
      </c>
      <c r="AN1246">
        <v>0.99999999035308695</v>
      </c>
    </row>
    <row r="1247" spans="1:40" x14ac:dyDescent="0.3">
      <c r="A1247" t="str">
        <f>"20200111153855968"</f>
        <v>20200111153855968</v>
      </c>
      <c r="B1247" t="str">
        <f>"1578728335961526"</f>
        <v>1578728335961526</v>
      </c>
      <c r="C1247" t="s">
        <v>40</v>
      </c>
      <c r="D1247">
        <v>5.1579139999999999</v>
      </c>
      <c r="E1247">
        <v>0.50195270000000003</v>
      </c>
      <c r="F1247" t="s">
        <v>41</v>
      </c>
      <c r="G1247">
        <v>-283.23750000000001</v>
      </c>
      <c r="H1247">
        <v>1.0104879999999901</v>
      </c>
      <c r="I1247">
        <v>284.33659999999998</v>
      </c>
      <c r="J1247">
        <v>-282.86630000000002</v>
      </c>
      <c r="K1247">
        <v>1.1028209999999901</v>
      </c>
      <c r="L1247">
        <v>284.38900000000001</v>
      </c>
      <c r="M1247">
        <v>-0.99989539999999999</v>
      </c>
      <c r="N1247">
        <v>0</v>
      </c>
      <c r="O1247">
        <v>-1.3433840000000001E-2</v>
      </c>
      <c r="P1247">
        <v>-0.99693010000000004</v>
      </c>
      <c r="Q1247">
        <v>2.0800639999999999E-2</v>
      </c>
      <c r="R1247">
        <v>-7.5482579999999994E-2</v>
      </c>
      <c r="S1247">
        <v>-3.000702</v>
      </c>
      <c r="T1247">
        <v>-0.30003570000000002</v>
      </c>
      <c r="U1247">
        <v>-0.194519</v>
      </c>
      <c r="V1247">
        <v>-6.2106759999999997E-2</v>
      </c>
      <c r="W1247">
        <v>2.6092730000000001E-2</v>
      </c>
      <c r="X1247">
        <v>0.99772839999999996</v>
      </c>
      <c r="Y1247">
        <v>-5.109006E-2</v>
      </c>
      <c r="Z1247">
        <v>-1.2068669999999999E-3</v>
      </c>
      <c r="AA1247">
        <v>0.99869330000000001</v>
      </c>
      <c r="AB1247">
        <v>56</v>
      </c>
      <c r="AC1247">
        <v>-0.37119999999998698</v>
      </c>
      <c r="AD1247">
        <v>-9.2332999999999998E-2</v>
      </c>
      <c r="AE1247">
        <v>-5.2400000000034197E-2</v>
      </c>
      <c r="AF1247">
        <v>-4.4697069491931599E-2</v>
      </c>
      <c r="AG1247">
        <v>-9.2332999999999998E-2</v>
      </c>
      <c r="AH1247">
        <v>0.35060165797708898</v>
      </c>
      <c r="AI1247">
        <v>104.640822025978</v>
      </c>
      <c r="AJ1247">
        <v>97.2652619948812</v>
      </c>
      <c r="AK1247">
        <v>0.36530088076331002</v>
      </c>
      <c r="AL1247">
        <v>88.504827032556904</v>
      </c>
      <c r="AM1247">
        <v>93.561961093285603</v>
      </c>
      <c r="AN1247">
        <v>1.00000002018155</v>
      </c>
    </row>
    <row r="1248" spans="1:40" x14ac:dyDescent="0.3">
      <c r="A1248" t="str">
        <f>"20200111153856002"</f>
        <v>20200111153856002</v>
      </c>
      <c r="B1248" t="str">
        <f>"1578728335992363"</f>
        <v>1578728335992363</v>
      </c>
      <c r="C1248" t="s">
        <v>40</v>
      </c>
      <c r="D1248">
        <v>5.18391</v>
      </c>
      <c r="E1248">
        <v>0.50168230000000003</v>
      </c>
      <c r="F1248" t="s">
        <v>41</v>
      </c>
      <c r="G1248">
        <v>-283.74459999999999</v>
      </c>
      <c r="H1248">
        <v>1.0148699999999999</v>
      </c>
      <c r="I1248">
        <v>284.3313</v>
      </c>
      <c r="J1248">
        <v>-283.7226</v>
      </c>
      <c r="K1248">
        <v>1.102776</v>
      </c>
      <c r="L1248">
        <v>284.3775</v>
      </c>
      <c r="M1248">
        <v>-0.99989189999999994</v>
      </c>
      <c r="N1248">
        <v>0</v>
      </c>
      <c r="O1248">
        <v>-1.367878E-2</v>
      </c>
      <c r="P1248">
        <v>-0.99694959999999999</v>
      </c>
      <c r="Q1248">
        <v>1.995593E-2</v>
      </c>
      <c r="R1248">
        <v>-7.5452630000000007E-2</v>
      </c>
      <c r="S1248">
        <v>-3.0005190000000002</v>
      </c>
      <c r="T1248">
        <v>-0.30060039999999999</v>
      </c>
      <c r="U1248">
        <v>-0.19757079999999999</v>
      </c>
      <c r="V1248">
        <v>-6.1828760000000003E-2</v>
      </c>
      <c r="W1248">
        <v>2.5294770000000001E-2</v>
      </c>
      <c r="X1248">
        <v>0.99776620000000005</v>
      </c>
      <c r="Y1248">
        <v>-5.1857439999999998E-2</v>
      </c>
      <c r="Z1248">
        <v>-1.22302E-3</v>
      </c>
      <c r="AA1248">
        <v>0.99865380000000004</v>
      </c>
      <c r="AB1248">
        <v>56</v>
      </c>
      <c r="AC1248">
        <v>-2.1999999999991301E-2</v>
      </c>
      <c r="AD1248">
        <v>-8.7905999999999804E-2</v>
      </c>
      <c r="AE1248">
        <v>-4.6199999999998902E-2</v>
      </c>
      <c r="AF1248">
        <v>-1.1615477301998699E-2</v>
      </c>
      <c r="AG1248">
        <v>-8.7905999999999804E-2</v>
      </c>
      <c r="AH1248">
        <v>5.7273929838370296E-3</v>
      </c>
      <c r="AI1248">
        <v>171.61917713150601</v>
      </c>
      <c r="AJ1248">
        <v>153.752882735935</v>
      </c>
      <c r="AK1248">
        <v>8.8854865816929293E-2</v>
      </c>
      <c r="AL1248">
        <v>88.550561850500401</v>
      </c>
      <c r="AM1248">
        <v>93.545923949956503</v>
      </c>
      <c r="AN1248">
        <v>1.00000000540746</v>
      </c>
    </row>
    <row r="1249" spans="1:40" x14ac:dyDescent="0.3">
      <c r="A1249" t="str">
        <f>"20200111153856023"</f>
        <v>20200111153856023</v>
      </c>
      <c r="B1249" t="str">
        <f>"1578728336011871"</f>
        <v>1578728336011871</v>
      </c>
      <c r="C1249" t="s">
        <v>40</v>
      </c>
      <c r="D1249">
        <v>5.1693350000000002</v>
      </c>
      <c r="E1249">
        <v>0.52599209999999996</v>
      </c>
      <c r="F1249" t="s">
        <v>41</v>
      </c>
      <c r="G1249">
        <v>-284.7484</v>
      </c>
      <c r="H1249">
        <v>1.002014</v>
      </c>
      <c r="I1249">
        <v>284.30930000000001</v>
      </c>
      <c r="J1249">
        <v>-284.27069999999998</v>
      </c>
      <c r="K1249">
        <v>1.102746</v>
      </c>
      <c r="L1249">
        <v>284.37</v>
      </c>
      <c r="M1249">
        <v>-0.9998899</v>
      </c>
      <c r="N1249">
        <v>0</v>
      </c>
      <c r="O1249">
        <v>-1.381075E-2</v>
      </c>
      <c r="P1249">
        <v>-0.99692720000000001</v>
      </c>
      <c r="Q1249">
        <v>1.9603140000000002E-2</v>
      </c>
      <c r="R1249">
        <v>-7.5840499999999894E-2</v>
      </c>
      <c r="S1249">
        <v>-2.9999389999999999</v>
      </c>
      <c r="T1249">
        <v>-0.29485060000000002</v>
      </c>
      <c r="U1249">
        <v>-0.20004269999999999</v>
      </c>
      <c r="V1249">
        <v>-6.2083329999999999E-2</v>
      </c>
      <c r="W1249">
        <v>2.49711E-2</v>
      </c>
      <c r="X1249">
        <v>0.99775860000000005</v>
      </c>
      <c r="Y1249">
        <v>-5.2561959999999998E-2</v>
      </c>
      <c r="Z1249">
        <v>-1.221518E-3</v>
      </c>
      <c r="AA1249">
        <v>0.99861690000000003</v>
      </c>
      <c r="AB1249">
        <v>57</v>
      </c>
      <c r="AC1249">
        <v>-0.47770000000002699</v>
      </c>
      <c r="AD1249">
        <v>-0.100732</v>
      </c>
      <c r="AE1249">
        <v>-6.0699999999996999E-2</v>
      </c>
      <c r="AF1249">
        <v>-5.1828739744603898E-2</v>
      </c>
      <c r="AG1249">
        <v>-0.100732</v>
      </c>
      <c r="AH1249">
        <v>0.45843218820072801</v>
      </c>
      <c r="AI1249">
        <v>102.31669734533</v>
      </c>
      <c r="AJ1249">
        <v>96.450271510320306</v>
      </c>
      <c r="AK1249">
        <v>0.47222158492176203</v>
      </c>
      <c r="AL1249">
        <v>88.569112713123602</v>
      </c>
      <c r="AM1249">
        <v>93.560513293180307</v>
      </c>
      <c r="AN1249">
        <v>1.00000005978652</v>
      </c>
    </row>
    <row r="1250" spans="1:40" x14ac:dyDescent="0.3">
      <c r="A1250" t="str">
        <f>"20200111153856046"</f>
        <v>20200111153856046</v>
      </c>
      <c r="B1250" t="str">
        <f>"1578728336042125"</f>
        <v>1578728336042125</v>
      </c>
      <c r="C1250" t="s">
        <v>40</v>
      </c>
      <c r="D1250">
        <v>5.2063290000000002</v>
      </c>
      <c r="E1250">
        <v>0.53226269999999998</v>
      </c>
      <c r="F1250" t="s">
        <v>41</v>
      </c>
      <c r="G1250">
        <v>-285.26209999999998</v>
      </c>
      <c r="H1250">
        <v>1.01867</v>
      </c>
      <c r="I1250">
        <v>284.36720000000003</v>
      </c>
      <c r="J1250">
        <v>-284.83229999999998</v>
      </c>
      <c r="K1250">
        <v>1.1027209999999901</v>
      </c>
      <c r="L1250">
        <v>284.36219999999997</v>
      </c>
      <c r="M1250">
        <v>-0.9998882</v>
      </c>
      <c r="N1250">
        <v>0</v>
      </c>
      <c r="O1250">
        <v>-1.392877E-2</v>
      </c>
      <c r="P1250">
        <v>-0.99690009999999996</v>
      </c>
      <c r="Q1250">
        <v>1.9326360000000001E-2</v>
      </c>
      <c r="R1250">
        <v>-7.6269370000000003E-2</v>
      </c>
      <c r="S1250">
        <v>-3.0136409999999998</v>
      </c>
      <c r="T1250">
        <v>-0.25556220000000002</v>
      </c>
      <c r="U1250">
        <v>-8.5754390000000007E-3</v>
      </c>
      <c r="V1250">
        <v>-6.2392959999999997E-2</v>
      </c>
      <c r="W1250">
        <v>2.4724650000000001E-2</v>
      </c>
      <c r="X1250">
        <v>0.99774529999999995</v>
      </c>
      <c r="Y1250">
        <v>1.0994220000000001E-2</v>
      </c>
      <c r="Z1250">
        <v>1.6443779999999999E-3</v>
      </c>
      <c r="AA1250">
        <v>0.9999382</v>
      </c>
      <c r="AB1250">
        <v>57</v>
      </c>
      <c r="AC1250">
        <v>-0.42980000000000002</v>
      </c>
      <c r="AD1250">
        <v>-8.4050999999999806E-2</v>
      </c>
      <c r="AE1250">
        <v>5.0000000000522899E-3</v>
      </c>
      <c r="AF1250">
        <v>1.05815716052827E-2</v>
      </c>
      <c r="AG1250">
        <v>-8.4050999999999806E-2</v>
      </c>
      <c r="AH1250">
        <v>0.41386338694966701</v>
      </c>
      <c r="AI1250">
        <v>101.47634600436599</v>
      </c>
      <c r="AJ1250">
        <v>88.535392707262403</v>
      </c>
      <c r="AK1250">
        <v>0.42244460384302102</v>
      </c>
      <c r="AL1250">
        <v>88.583237443940106</v>
      </c>
      <c r="AM1250">
        <v>93.578272296776703</v>
      </c>
      <c r="AN1250">
        <v>0.99999993672363496</v>
      </c>
    </row>
    <row r="1251" spans="1:40" x14ac:dyDescent="0.3">
      <c r="A1251" t="str">
        <f>"20200111153856068"</f>
        <v>20200111153856068</v>
      </c>
      <c r="B1251" t="str">
        <f>"1578728336061645"</f>
        <v>1578728336061645</v>
      </c>
      <c r="C1251" t="s">
        <v>40</v>
      </c>
      <c r="D1251">
        <v>5.2211509999999999</v>
      </c>
      <c r="E1251">
        <v>0.5327712</v>
      </c>
      <c r="F1251" t="s">
        <v>41</v>
      </c>
      <c r="G1251">
        <v>-285.7824</v>
      </c>
      <c r="H1251">
        <v>1.0432429999999999</v>
      </c>
      <c r="I1251">
        <v>284.37430000000001</v>
      </c>
      <c r="J1251">
        <v>-285.41079999999999</v>
      </c>
      <c r="K1251">
        <v>1.1026910000000001</v>
      </c>
      <c r="L1251">
        <v>284.35419999999999</v>
      </c>
      <c r="M1251">
        <v>-0.99988659999999996</v>
      </c>
      <c r="N1251">
        <v>0</v>
      </c>
      <c r="O1251">
        <v>-1.403189E-2</v>
      </c>
      <c r="P1251">
        <v>-0.99688719999999997</v>
      </c>
      <c r="Q1251">
        <v>1.9888699999999999E-2</v>
      </c>
      <c r="R1251">
        <v>-7.629213E-2</v>
      </c>
      <c r="S1251">
        <v>-3.0158999999999998</v>
      </c>
      <c r="T1251">
        <v>-0.1889036</v>
      </c>
      <c r="U1251">
        <v>3.7597659999999998E-2</v>
      </c>
      <c r="V1251">
        <v>-6.2312100000000002E-2</v>
      </c>
      <c r="W1251">
        <v>2.5317650000000001E-2</v>
      </c>
      <c r="X1251">
        <v>0.99773559999999994</v>
      </c>
      <c r="Y1251">
        <v>2.6416039999999998E-2</v>
      </c>
      <c r="Z1251">
        <v>1.7044709999999999E-3</v>
      </c>
      <c r="AA1251">
        <v>0.99964960000000003</v>
      </c>
      <c r="AB1251">
        <v>57</v>
      </c>
      <c r="AC1251">
        <v>-0.37159999999999999</v>
      </c>
      <c r="AD1251">
        <v>-5.9448000000000098E-2</v>
      </c>
      <c r="AE1251">
        <v>2.0100000000013499E-2</v>
      </c>
      <c r="AF1251">
        <v>2.4682490419592199E-2</v>
      </c>
      <c r="AG1251">
        <v>-5.9448000000000098E-2</v>
      </c>
      <c r="AH1251">
        <v>0.36204260290023499</v>
      </c>
      <c r="AI1251">
        <v>99.303633450644497</v>
      </c>
      <c r="AJ1251">
        <v>86.099857932544694</v>
      </c>
      <c r="AK1251">
        <v>0.36772018757758002</v>
      </c>
      <c r="AL1251">
        <v>88.549250574138398</v>
      </c>
      <c r="AM1251">
        <v>93.573681607517102</v>
      </c>
      <c r="AN1251">
        <v>1.0000000543576399</v>
      </c>
    </row>
    <row r="1252" spans="1:40" x14ac:dyDescent="0.3">
      <c r="A1252" t="str">
        <f>"20200111153856091"</f>
        <v>20200111153856091</v>
      </c>
      <c r="B1252" t="str">
        <f>"1578728336082140"</f>
        <v>1578728336082140</v>
      </c>
      <c r="C1252" t="s">
        <v>40</v>
      </c>
      <c r="D1252">
        <v>5.238505</v>
      </c>
      <c r="E1252">
        <v>0.53256419999999904</v>
      </c>
      <c r="F1252" t="s">
        <v>41</v>
      </c>
      <c r="G1252">
        <v>-286.30439999999999</v>
      </c>
      <c r="H1252">
        <v>1.052746</v>
      </c>
      <c r="I1252">
        <v>284.36619999999999</v>
      </c>
      <c r="J1252">
        <v>-285.98520000000002</v>
      </c>
      <c r="K1252">
        <v>1.102662</v>
      </c>
      <c r="L1252">
        <v>284.34620000000001</v>
      </c>
      <c r="M1252">
        <v>-0.99988529999999998</v>
      </c>
      <c r="N1252">
        <v>0</v>
      </c>
      <c r="O1252">
        <v>-1.411666E-2</v>
      </c>
      <c r="P1252">
        <v>-0.99688180000000004</v>
      </c>
      <c r="Q1252">
        <v>2.0313040000000001E-2</v>
      </c>
      <c r="R1252">
        <v>-7.6251040000000006E-2</v>
      </c>
      <c r="S1252">
        <v>-3.0158689999999999</v>
      </c>
      <c r="T1252">
        <v>-0.16856889999999999</v>
      </c>
      <c r="U1252">
        <v>4.0801999999999998E-2</v>
      </c>
      <c r="V1252">
        <v>-6.2184820000000002E-2</v>
      </c>
      <c r="W1252">
        <v>2.5773359999999999E-2</v>
      </c>
      <c r="X1252">
        <v>0.99773179999999995</v>
      </c>
      <c r="Y1252">
        <v>2.7577029999999999E-2</v>
      </c>
      <c r="Z1252">
        <v>1.5584539999999999E-3</v>
      </c>
      <c r="AA1252">
        <v>0.99961849999999997</v>
      </c>
      <c r="AB1252">
        <v>57</v>
      </c>
      <c r="AC1252">
        <v>-0.31919999999996601</v>
      </c>
      <c r="AD1252">
        <v>-4.9916000000000002E-2</v>
      </c>
      <c r="AE1252">
        <v>1.99999999999818E-2</v>
      </c>
      <c r="AF1252">
        <v>2.3921420663311401E-2</v>
      </c>
      <c r="AG1252">
        <v>-4.9916000000000002E-2</v>
      </c>
      <c r="AH1252">
        <v>0.311302953848274</v>
      </c>
      <c r="AI1252">
        <v>99.083242785035296</v>
      </c>
      <c r="AJ1252">
        <v>85.605861649199895</v>
      </c>
      <c r="AK1252">
        <v>0.31618565827249601</v>
      </c>
      <c r="AL1252">
        <v>88.523131684176207</v>
      </c>
      <c r="AM1252">
        <v>93.566414338356594</v>
      </c>
      <c r="AN1252">
        <v>0.99999998132767998</v>
      </c>
    </row>
    <row r="1253" spans="1:40" x14ac:dyDescent="0.3">
      <c r="A1253" t="str">
        <f>"20200111153856113"</f>
        <v>20200111153856113</v>
      </c>
      <c r="B1253" t="str">
        <f>"1578728336102182"</f>
        <v>1578728336102182</v>
      </c>
      <c r="C1253" t="s">
        <v>40</v>
      </c>
      <c r="D1253">
        <v>5.1834769999999999</v>
      </c>
      <c r="E1253">
        <v>0.53207760000000004</v>
      </c>
      <c r="F1253" t="s">
        <v>59</v>
      </c>
      <c r="G1253">
        <v>-308.28059999999999</v>
      </c>
      <c r="H1253" s="1">
        <v>2.4943910000000002E-6</v>
      </c>
      <c r="I1253">
        <v>284.63200000000001</v>
      </c>
      <c r="J1253">
        <v>-286.55579999999998</v>
      </c>
      <c r="K1253">
        <v>1.102633</v>
      </c>
      <c r="L1253">
        <v>284.3381</v>
      </c>
      <c r="M1253">
        <v>-0.99988410000000005</v>
      </c>
      <c r="N1253">
        <v>0</v>
      </c>
      <c r="O1253">
        <v>-1.418498E-2</v>
      </c>
      <c r="P1253">
        <v>-0.99687219999999999</v>
      </c>
      <c r="Q1253">
        <v>1.9972989999999999E-2</v>
      </c>
      <c r="R1253">
        <v>-7.6466580000000006E-2</v>
      </c>
      <c r="S1253">
        <v>-3.0153810000000001</v>
      </c>
      <c r="T1253">
        <v>-0.14913129999999999</v>
      </c>
      <c r="U1253">
        <v>3.8665770000000002E-2</v>
      </c>
      <c r="V1253">
        <v>-6.2330910000000003E-2</v>
      </c>
      <c r="W1253">
        <v>2.546352E-2</v>
      </c>
      <c r="X1253">
        <v>0.99773069999999997</v>
      </c>
      <c r="Y1253">
        <v>2.6954260000000001E-2</v>
      </c>
      <c r="Z1253">
        <v>1.3671989999999999E-3</v>
      </c>
      <c r="AA1253">
        <v>0.99963579999999996</v>
      </c>
      <c r="AB1253">
        <v>57</v>
      </c>
      <c r="AC1253">
        <v>-21.724799999999998</v>
      </c>
      <c r="AD1253">
        <v>-1.102630505609</v>
      </c>
      <c r="AE1253">
        <v>0.29390000000000699</v>
      </c>
      <c r="AF1253">
        <v>0.60049439395954496</v>
      </c>
      <c r="AG1253">
        <v>-1.102630505609</v>
      </c>
      <c r="AH1253">
        <v>21.6626520192189</v>
      </c>
      <c r="AI1253">
        <v>92.912727569133096</v>
      </c>
      <c r="AJ1253">
        <v>88.412152593030896</v>
      </c>
      <c r="AK1253">
        <v>21.699006430130499</v>
      </c>
      <c r="AL1253">
        <v>88.540890125057899</v>
      </c>
      <c r="AM1253">
        <v>93.574775099645095</v>
      </c>
      <c r="AN1253">
        <v>1.00000004145735</v>
      </c>
    </row>
    <row r="1254" spans="1:40" x14ac:dyDescent="0.3">
      <c r="A1254" t="str">
        <f>"20200111153856136"</f>
        <v>20200111153856136</v>
      </c>
      <c r="B1254" t="str">
        <f>"1578728336131460"</f>
        <v>1578728336131460</v>
      </c>
      <c r="C1254" t="s">
        <v>40</v>
      </c>
      <c r="D1254">
        <v>5.214518</v>
      </c>
      <c r="E1254">
        <v>0.53106500000000001</v>
      </c>
      <c r="F1254" t="s">
        <v>59</v>
      </c>
      <c r="G1254">
        <v>-310.08510000000001</v>
      </c>
      <c r="H1254" s="1">
        <v>2.255722E-6</v>
      </c>
      <c r="I1254">
        <v>284.60509999999999</v>
      </c>
      <c r="J1254">
        <v>-287.11790000000002</v>
      </c>
      <c r="K1254">
        <v>1.1026069999999999</v>
      </c>
      <c r="L1254">
        <v>284.33010000000002</v>
      </c>
      <c r="M1254">
        <v>-0.99988330000000003</v>
      </c>
      <c r="N1254">
        <v>0</v>
      </c>
      <c r="O1254">
        <v>-1.4237929999999999E-2</v>
      </c>
      <c r="P1254">
        <v>-0.99686909999999895</v>
      </c>
      <c r="Q1254">
        <v>1.98569E-2</v>
      </c>
      <c r="R1254">
        <v>-7.6536839999999995E-2</v>
      </c>
      <c r="S1254">
        <v>-3.0148320000000002</v>
      </c>
      <c r="T1254">
        <v>-0.14128109999999999</v>
      </c>
      <c r="U1254">
        <v>3.4210209999999998E-2</v>
      </c>
      <c r="V1254">
        <v>-6.2346260000000001E-2</v>
      </c>
      <c r="W1254">
        <v>2.5377710000000001E-2</v>
      </c>
      <c r="X1254">
        <v>0.9977319</v>
      </c>
      <c r="Y1254">
        <v>2.5539010000000001E-2</v>
      </c>
      <c r="Z1254">
        <v>1.264895E-3</v>
      </c>
      <c r="AA1254">
        <v>0.99967300000000003</v>
      </c>
      <c r="AB1254">
        <v>57</v>
      </c>
      <c r="AC1254">
        <v>-22.967199999999899</v>
      </c>
      <c r="AD1254">
        <v>-1.10260474427799</v>
      </c>
      <c r="AE1254">
        <v>0.27499999999997699</v>
      </c>
      <c r="AF1254">
        <v>0.600598493914973</v>
      </c>
      <c r="AG1254">
        <v>-1.10260474427799</v>
      </c>
      <c r="AH1254">
        <v>22.908166377890701</v>
      </c>
      <c r="AI1254">
        <v>92.754660934141398</v>
      </c>
      <c r="AJ1254">
        <v>88.498182827952107</v>
      </c>
      <c r="AK1254">
        <v>22.9425487374467</v>
      </c>
      <c r="AL1254">
        <v>88.545808225505994</v>
      </c>
      <c r="AM1254">
        <v>93.575648873067806</v>
      </c>
      <c r="AN1254">
        <v>1.00000001428922</v>
      </c>
    </row>
    <row r="1255" spans="1:40" x14ac:dyDescent="0.3">
      <c r="A1255" t="str">
        <f>"20200111153856158"</f>
        <v>20200111153856158</v>
      </c>
      <c r="B1255" t="str">
        <f>"1578728336151955"</f>
        <v>1578728336151955</v>
      </c>
      <c r="C1255" t="s">
        <v>40</v>
      </c>
      <c r="D1255">
        <v>5.2651560000000002</v>
      </c>
      <c r="E1255">
        <v>0.5303852</v>
      </c>
      <c r="F1255" t="s">
        <v>41</v>
      </c>
      <c r="G1255">
        <v>-288.34120000000001</v>
      </c>
      <c r="H1255">
        <v>1.0430729999999999</v>
      </c>
      <c r="I1255">
        <v>284.3408</v>
      </c>
      <c r="J1255">
        <v>-287.70519999999999</v>
      </c>
      <c r="K1255">
        <v>1.102582</v>
      </c>
      <c r="L1255">
        <v>284.3218</v>
      </c>
      <c r="M1255">
        <v>-0.99988250000000001</v>
      </c>
      <c r="N1255">
        <v>0</v>
      </c>
      <c r="O1255">
        <v>-1.42798E-2</v>
      </c>
      <c r="P1255">
        <v>-0.99688259999999995</v>
      </c>
      <c r="Q1255">
        <v>1.994988E-2</v>
      </c>
      <c r="R1255">
        <v>-7.6335260000000002E-2</v>
      </c>
      <c r="S1255">
        <v>-3.0144039999999999</v>
      </c>
      <c r="T1255">
        <v>-0.14674599999999999</v>
      </c>
      <c r="U1255">
        <v>2.62145999999999E-2</v>
      </c>
      <c r="V1255">
        <v>-6.2101530000000002E-2</v>
      </c>
      <c r="W1255">
        <v>2.5501650000000001E-2</v>
      </c>
      <c r="X1255">
        <v>0.99774399999999996</v>
      </c>
      <c r="Y1255">
        <v>2.293065E-2</v>
      </c>
      <c r="Z1255">
        <v>1.2525520000000001E-3</v>
      </c>
      <c r="AA1255">
        <v>0.99973619999999996</v>
      </c>
      <c r="AB1255">
        <v>57</v>
      </c>
      <c r="AC1255">
        <v>-0.63600000000002399</v>
      </c>
      <c r="AD1255">
        <v>-5.9508999999999999E-2</v>
      </c>
      <c r="AE1255">
        <v>1.9000000000005401E-2</v>
      </c>
      <c r="AF1255">
        <v>2.78366667168129E-2</v>
      </c>
      <c r="AG1255">
        <v>-5.9508999999999999E-2</v>
      </c>
      <c r="AH1255">
        <v>0.63015183449501899</v>
      </c>
      <c r="AI1255">
        <v>95.389558327018705</v>
      </c>
      <c r="AJ1255">
        <v>87.470629767135506</v>
      </c>
      <c r="AK1255">
        <v>0.63356730945680995</v>
      </c>
      <c r="AL1255">
        <v>88.538704684141095</v>
      </c>
      <c r="AM1255">
        <v>93.561606369071001</v>
      </c>
      <c r="AN1255">
        <v>1.0000000118585299</v>
      </c>
    </row>
    <row r="1256" spans="1:40" x14ac:dyDescent="0.3">
      <c r="A1256" t="str">
        <f>"20200111153856181"</f>
        <v>20200111153856181</v>
      </c>
      <c r="B1256" t="str">
        <f>"1578728336171475"</f>
        <v>1578728336171475</v>
      </c>
      <c r="C1256" t="s">
        <v>40</v>
      </c>
      <c r="D1256">
        <v>5.1904440000000003</v>
      </c>
      <c r="E1256">
        <v>0.52983690000000006</v>
      </c>
      <c r="F1256" t="s">
        <v>41</v>
      </c>
      <c r="G1256">
        <v>-288.8596</v>
      </c>
      <c r="H1256">
        <v>1.046797</v>
      </c>
      <c r="I1256">
        <v>284.33010000000002</v>
      </c>
      <c r="J1256">
        <v>-288.28809999999999</v>
      </c>
      <c r="K1256">
        <v>1.1025609999999999</v>
      </c>
      <c r="L1256">
        <v>284.31349999999998</v>
      </c>
      <c r="M1256">
        <v>-0.99988200000000005</v>
      </c>
      <c r="N1256">
        <v>0</v>
      </c>
      <c r="O1256">
        <v>-1.431179E-2</v>
      </c>
      <c r="P1256">
        <v>-0.99692619999999998</v>
      </c>
      <c r="Q1256">
        <v>1.941261E-2</v>
      </c>
      <c r="R1256">
        <v>-7.5904589999999994E-2</v>
      </c>
      <c r="S1256">
        <v>-3.013916</v>
      </c>
      <c r="T1256">
        <v>-0.1457194</v>
      </c>
      <c r="U1256">
        <v>2.1179199999999999E-2</v>
      </c>
      <c r="V1256">
        <v>-6.1637009999999999E-2</v>
      </c>
      <c r="W1256">
        <v>2.499589E-2</v>
      </c>
      <c r="X1256">
        <v>0.99778560000000005</v>
      </c>
      <c r="Y1256">
        <v>2.1296309999999999E-2</v>
      </c>
      <c r="Z1256">
        <v>1.2060669999999999E-3</v>
      </c>
      <c r="AA1256">
        <v>0.99977249999999995</v>
      </c>
      <c r="AB1256">
        <v>57</v>
      </c>
      <c r="AC1256">
        <v>-0.571500000000014</v>
      </c>
      <c r="AD1256">
        <v>-5.5764000000000098E-2</v>
      </c>
      <c r="AE1256">
        <v>1.6600000000039399E-2</v>
      </c>
      <c r="AF1256">
        <v>2.4544131393868102E-2</v>
      </c>
      <c r="AG1256">
        <v>-5.5764000000000098E-2</v>
      </c>
      <c r="AH1256">
        <v>0.565821331948273</v>
      </c>
      <c r="AI1256">
        <v>95.623302411570194</v>
      </c>
      <c r="AJ1256">
        <v>87.516187494276593</v>
      </c>
      <c r="AK1256">
        <v>0.56909209954944595</v>
      </c>
      <c r="AL1256">
        <v>88.567691835370297</v>
      </c>
      <c r="AM1256">
        <v>93.534886321672403</v>
      </c>
      <c r="AN1256">
        <v>1.00000000954299</v>
      </c>
    </row>
    <row r="1257" spans="1:40" x14ac:dyDescent="0.3">
      <c r="A1257" t="str">
        <f>"20200111153856203"</f>
        <v>20200111153856203</v>
      </c>
      <c r="B1257" t="str">
        <f>"1578728336191502"</f>
        <v>1578728336191502</v>
      </c>
      <c r="C1257" t="s">
        <v>40</v>
      </c>
      <c r="D1257">
        <v>5.2519010000000002</v>
      </c>
      <c r="E1257">
        <v>0.52926499999999999</v>
      </c>
      <c r="F1257" t="s">
        <v>41</v>
      </c>
      <c r="G1257">
        <v>-289.37779999999998</v>
      </c>
      <c r="H1257">
        <v>1.0488820000000001</v>
      </c>
      <c r="I1257">
        <v>284.32029999999997</v>
      </c>
      <c r="J1257">
        <v>-288.87580000000003</v>
      </c>
      <c r="K1257">
        <v>1.1025309999999999</v>
      </c>
      <c r="L1257">
        <v>284.30509999999998</v>
      </c>
      <c r="M1257">
        <v>-0.99988140000000003</v>
      </c>
      <c r="N1257">
        <v>0</v>
      </c>
      <c r="O1257">
        <v>-1.4336160000000001E-2</v>
      </c>
      <c r="P1257">
        <v>-0.99695880000000003</v>
      </c>
      <c r="Q1257">
        <v>1.831321E-2</v>
      </c>
      <c r="R1257">
        <v>-7.5750189999999995E-2</v>
      </c>
      <c r="S1257">
        <v>-3.01355</v>
      </c>
      <c r="T1257">
        <v>-0.14854619999999999</v>
      </c>
      <c r="U1257">
        <v>1.8341059999999999E-2</v>
      </c>
      <c r="V1257">
        <v>-6.145639E-2</v>
      </c>
      <c r="W1257">
        <v>2.3926659999999999E-2</v>
      </c>
      <c r="X1257">
        <v>0.99782289999999996</v>
      </c>
      <c r="Y1257">
        <v>2.0379439999999999E-2</v>
      </c>
      <c r="Z1257">
        <v>1.208205E-3</v>
      </c>
      <c r="AA1257">
        <v>0.9997916</v>
      </c>
      <c r="AB1257">
        <v>58</v>
      </c>
      <c r="AC1257">
        <v>-0.50199999999995204</v>
      </c>
      <c r="AD1257">
        <v>-5.3649000000000002E-2</v>
      </c>
      <c r="AE1257">
        <v>1.51999999999929E-2</v>
      </c>
      <c r="AF1257">
        <v>2.2142637894133701E-2</v>
      </c>
      <c r="AG1257">
        <v>-5.3649000000000002E-2</v>
      </c>
      <c r="AH1257">
        <v>0.49606991828738201</v>
      </c>
      <c r="AI1257">
        <v>96.166345362464298</v>
      </c>
      <c r="AJ1257">
        <v>87.444234991501901</v>
      </c>
      <c r="AK1257">
        <v>0.49945357686531799</v>
      </c>
      <c r="AL1257">
        <v>88.628972467612996</v>
      </c>
      <c r="AM1257">
        <v>93.524422483328607</v>
      </c>
      <c r="AN1257">
        <v>0.99999995634749705</v>
      </c>
    </row>
    <row r="1258" spans="1:40" x14ac:dyDescent="0.3">
      <c r="A1258" t="str">
        <f>"20200111153856224"</f>
        <v>20200111153856224</v>
      </c>
      <c r="B1258" t="str">
        <f>"1578728336221758"</f>
        <v>1578728336221758</v>
      </c>
      <c r="C1258" t="s">
        <v>40</v>
      </c>
      <c r="D1258">
        <v>5.2690809999999999</v>
      </c>
      <c r="E1258">
        <v>0.52874239999999995</v>
      </c>
      <c r="F1258" t="s">
        <v>41</v>
      </c>
      <c r="G1258">
        <v>-289.89690000000002</v>
      </c>
      <c r="H1258">
        <v>1.050654</v>
      </c>
      <c r="I1258">
        <v>284.31029999999998</v>
      </c>
      <c r="J1258">
        <v>-289.41989999999998</v>
      </c>
      <c r="K1258">
        <v>1.1025069999999999</v>
      </c>
      <c r="L1258">
        <v>284.29719999999998</v>
      </c>
      <c r="M1258">
        <v>-0.99988100000000002</v>
      </c>
      <c r="N1258">
        <v>0</v>
      </c>
      <c r="O1258">
        <v>-1.435412E-2</v>
      </c>
      <c r="P1258">
        <v>-0.9969983</v>
      </c>
      <c r="Q1258">
        <v>1.8138700000000001E-2</v>
      </c>
      <c r="R1258">
        <v>-7.5271279999999996E-2</v>
      </c>
      <c r="S1258">
        <v>-3.0130309999999998</v>
      </c>
      <c r="T1258">
        <v>-0.15338109999999999</v>
      </c>
      <c r="U1258">
        <v>1.4434809999999999E-2</v>
      </c>
      <c r="V1258">
        <v>-6.0957959999999999E-2</v>
      </c>
      <c r="W1258">
        <v>2.378079E-2</v>
      </c>
      <c r="X1258">
        <v>0.99785699999999999</v>
      </c>
      <c r="Y1258">
        <v>1.9101119999999999E-2</v>
      </c>
      <c r="Z1258">
        <v>1.2160949999999999E-3</v>
      </c>
      <c r="AA1258">
        <v>0.99981679999999995</v>
      </c>
      <c r="AB1258">
        <v>58</v>
      </c>
      <c r="AC1258">
        <v>-0.47700000000003201</v>
      </c>
      <c r="AD1258">
        <v>-5.1852999999999899E-2</v>
      </c>
      <c r="AE1258">
        <v>1.3100000000008501E-2</v>
      </c>
      <c r="AF1258">
        <v>1.97129011102791E-2</v>
      </c>
      <c r="AG1258">
        <v>-5.1852999999999899E-2</v>
      </c>
      <c r="AH1258">
        <v>0.471198804991313</v>
      </c>
      <c r="AI1258">
        <v>96.2743926988081</v>
      </c>
      <c r="AJ1258">
        <v>87.604391656797304</v>
      </c>
      <c r="AK1258">
        <v>0.47445299651749001</v>
      </c>
      <c r="AL1258">
        <v>88.637332635707594</v>
      </c>
      <c r="AM1258">
        <v>93.495790354382805</v>
      </c>
      <c r="AN1258">
        <v>0.999999995654692</v>
      </c>
    </row>
    <row r="1259" spans="1:40" x14ac:dyDescent="0.3">
      <c r="A1259" t="str">
        <f>"20200111153856248"</f>
        <v>20200111153856248</v>
      </c>
      <c r="B1259" t="str">
        <f>"1578728336242254"</f>
        <v>1578728336242254</v>
      </c>
      <c r="C1259" t="s">
        <v>40</v>
      </c>
      <c r="D1259">
        <v>5.2302379999999999</v>
      </c>
      <c r="E1259">
        <v>0.52845169999999997</v>
      </c>
      <c r="F1259" t="s">
        <v>41</v>
      </c>
      <c r="G1259">
        <v>-290.41840000000002</v>
      </c>
      <c r="H1259">
        <v>1.050486</v>
      </c>
      <c r="I1259">
        <v>284.30119999999999</v>
      </c>
      <c r="J1259">
        <v>-290.00510000000003</v>
      </c>
      <c r="K1259">
        <v>1.1024890000000001</v>
      </c>
      <c r="L1259">
        <v>284.28879999999998</v>
      </c>
      <c r="M1259">
        <v>-0.99988069999999896</v>
      </c>
      <c r="N1259">
        <v>0</v>
      </c>
      <c r="O1259">
        <v>-1.4369120000000001E-2</v>
      </c>
      <c r="P1259">
        <v>-0.99700310000000003</v>
      </c>
      <c r="Q1259">
        <v>1.7852750000000001E-2</v>
      </c>
      <c r="R1259">
        <v>-7.5274469999999996E-2</v>
      </c>
      <c r="S1259">
        <v>-3.012756</v>
      </c>
      <c r="T1259">
        <v>-0.15690979999999999</v>
      </c>
      <c r="U1259">
        <v>1.202393E-2</v>
      </c>
      <c r="V1259">
        <v>-6.0944999999999999E-2</v>
      </c>
      <c r="W1259">
        <v>2.352433E-2</v>
      </c>
      <c r="X1259">
        <v>0.99786390000000003</v>
      </c>
      <c r="Y1259">
        <v>1.8315499999999998E-2</v>
      </c>
      <c r="Z1259">
        <v>1.224485E-3</v>
      </c>
      <c r="AA1259">
        <v>0.99983149999999998</v>
      </c>
      <c r="AB1259">
        <v>58</v>
      </c>
      <c r="AC1259">
        <v>-0.41329999999999201</v>
      </c>
      <c r="AD1259">
        <v>-5.2003000000000001E-2</v>
      </c>
      <c r="AE1259">
        <v>1.24000000000137E-2</v>
      </c>
      <c r="AF1259">
        <v>1.8052036061314902E-2</v>
      </c>
      <c r="AG1259">
        <v>-5.2003000000000001E-2</v>
      </c>
      <c r="AH1259">
        <v>0.40664704808049901</v>
      </c>
      <c r="AI1259">
        <v>97.280473595618801</v>
      </c>
      <c r="AJ1259">
        <v>87.458172006742103</v>
      </c>
      <c r="AK1259">
        <v>0.41035595490688598</v>
      </c>
      <c r="AL1259">
        <v>88.652030863002196</v>
      </c>
      <c r="AM1259">
        <v>93.495024864953706</v>
      </c>
      <c r="AN1259">
        <v>1.00000002502507</v>
      </c>
    </row>
    <row r="1260" spans="1:40" x14ac:dyDescent="0.3">
      <c r="A1260" t="str">
        <f>"20200111153856272"</f>
        <v>20200111153856272</v>
      </c>
      <c r="B1260" t="str">
        <f>"1578728336261775"</f>
        <v>1578728336261775</v>
      </c>
      <c r="C1260" t="s">
        <v>40</v>
      </c>
      <c r="D1260">
        <v>5.2430830000000004</v>
      </c>
      <c r="E1260">
        <v>0.52812519999999996</v>
      </c>
      <c r="F1260" t="s">
        <v>59</v>
      </c>
      <c r="G1260">
        <v>-311.0061</v>
      </c>
      <c r="H1260" s="1">
        <v>2.685594E-6</v>
      </c>
      <c r="I1260">
        <v>284.35950000000003</v>
      </c>
      <c r="J1260">
        <v>-290.65010000000001</v>
      </c>
      <c r="K1260">
        <v>1.1024700000000001</v>
      </c>
      <c r="L1260">
        <v>284.27960000000002</v>
      </c>
      <c r="M1260">
        <v>-0.99988030000000006</v>
      </c>
      <c r="N1260">
        <v>0</v>
      </c>
      <c r="O1260">
        <v>-1.438245E-2</v>
      </c>
      <c r="P1260">
        <v>-0.99697150000000001</v>
      </c>
      <c r="Q1260">
        <v>1.7741139999999999E-2</v>
      </c>
      <c r="R1260">
        <v>-7.5717939999999997E-2</v>
      </c>
      <c r="S1260">
        <v>-3.0126040000000001</v>
      </c>
      <c r="T1260">
        <v>-0.1581526</v>
      </c>
      <c r="U1260">
        <v>1.013184E-2</v>
      </c>
      <c r="V1260">
        <v>-6.1374779999999997E-2</v>
      </c>
      <c r="W1260">
        <v>2.3444240000000002E-2</v>
      </c>
      <c r="X1260">
        <v>0.99783940000000004</v>
      </c>
      <c r="Y1260">
        <v>1.77012E-2</v>
      </c>
      <c r="Z1260">
        <v>1.21882E-3</v>
      </c>
      <c r="AA1260">
        <v>0.99984260000000003</v>
      </c>
      <c r="AB1260">
        <v>58</v>
      </c>
      <c r="AC1260">
        <v>-20.355999999999899</v>
      </c>
      <c r="AD1260">
        <v>-1.102467314406</v>
      </c>
      <c r="AE1260">
        <v>7.9900000000009103E-2</v>
      </c>
      <c r="AF1260">
        <v>0.37157574832496298</v>
      </c>
      <c r="AG1260">
        <v>-1.102467314406</v>
      </c>
      <c r="AH1260">
        <v>20.293221447792199</v>
      </c>
      <c r="AI1260">
        <v>93.109123675910595</v>
      </c>
      <c r="AJ1260">
        <v>88.951012118797195</v>
      </c>
      <c r="AK1260">
        <v>20.326542732230902</v>
      </c>
      <c r="AL1260">
        <v>88.656620890112706</v>
      </c>
      <c r="AM1260">
        <v>93.519696002889205</v>
      </c>
      <c r="AN1260">
        <v>0.99999998210079299</v>
      </c>
    </row>
    <row r="1261" spans="1:40" x14ac:dyDescent="0.3">
      <c r="A1261" t="str">
        <f>"20200111153856294"</f>
        <v>20200111153856294</v>
      </c>
      <c r="B1261" t="str">
        <f>"1578728336282270"</f>
        <v>1578728336282270</v>
      </c>
      <c r="C1261" t="s">
        <v>40</v>
      </c>
      <c r="D1261">
        <v>5.2438120000000001</v>
      </c>
      <c r="E1261">
        <v>0.52786480000000002</v>
      </c>
      <c r="F1261" t="s">
        <v>59</v>
      </c>
      <c r="G1261">
        <v>-311.44319999999999</v>
      </c>
      <c r="H1261" s="1">
        <v>2.8825980000000001E-6</v>
      </c>
      <c r="I1261">
        <v>284.3236</v>
      </c>
      <c r="J1261">
        <v>-291.22089999999997</v>
      </c>
      <c r="K1261">
        <v>1.1024510000000001</v>
      </c>
      <c r="L1261">
        <v>284.27140000000003</v>
      </c>
      <c r="M1261">
        <v>-0.99987990000000004</v>
      </c>
      <c r="N1261">
        <v>0</v>
      </c>
      <c r="O1261">
        <v>-1.439269E-2</v>
      </c>
      <c r="P1261">
        <v>-0.99695250000000002</v>
      </c>
      <c r="Q1261">
        <v>1.7639990000000001E-2</v>
      </c>
      <c r="R1261">
        <v>-7.5991760000000005E-2</v>
      </c>
      <c r="S1261">
        <v>-3.012451</v>
      </c>
      <c r="T1261">
        <v>-0.15972239999999999</v>
      </c>
      <c r="U1261">
        <v>6.3781740000000003E-3</v>
      </c>
      <c r="V1261">
        <v>-6.163801E-2</v>
      </c>
      <c r="W1261">
        <v>2.3371780000000002E-2</v>
      </c>
      <c r="X1261">
        <v>0.99782490000000001</v>
      </c>
      <c r="Y1261">
        <v>1.646661E-2</v>
      </c>
      <c r="Z1261">
        <v>1.1988000000000001E-3</v>
      </c>
      <c r="AA1261">
        <v>0.99986370000000002</v>
      </c>
      <c r="AB1261">
        <v>58</v>
      </c>
      <c r="AC1261">
        <v>-20.222300000000001</v>
      </c>
      <c r="AD1261">
        <v>-1.102448117402</v>
      </c>
      <c r="AE1261">
        <v>5.21999999999707E-2</v>
      </c>
      <c r="AF1261">
        <v>0.342235563323741</v>
      </c>
      <c r="AG1261">
        <v>-1.102448117402</v>
      </c>
      <c r="AH1261">
        <v>20.159539354480099</v>
      </c>
      <c r="AI1261">
        <v>93.129719171065901</v>
      </c>
      <c r="AJ1261">
        <v>89.027419741990798</v>
      </c>
      <c r="AK1261">
        <v>20.1925616011738</v>
      </c>
      <c r="AL1261">
        <v>88.660773714570993</v>
      </c>
      <c r="AM1261">
        <v>93.534804653216199</v>
      </c>
      <c r="AN1261">
        <v>1.00000000771856</v>
      </c>
    </row>
    <row r="1262" spans="1:40" x14ac:dyDescent="0.3">
      <c r="A1262" t="str">
        <f>"20200111153856315"</f>
        <v>20200111153856315</v>
      </c>
      <c r="B1262" t="str">
        <f>"1578728336312057"</f>
        <v>1578728336312057</v>
      </c>
      <c r="C1262" t="s">
        <v>40</v>
      </c>
      <c r="D1262">
        <v>5.2986620000000002</v>
      </c>
      <c r="E1262">
        <v>0.52777680000000005</v>
      </c>
      <c r="F1262" t="s">
        <v>59</v>
      </c>
      <c r="G1262">
        <v>-311.97239999999999</v>
      </c>
      <c r="H1262" s="1">
        <v>3.1195820000000001E-6</v>
      </c>
      <c r="I1262">
        <v>284.29700000000003</v>
      </c>
      <c r="J1262">
        <v>-291.77910000000003</v>
      </c>
      <c r="K1262">
        <v>1.1024339999999999</v>
      </c>
      <c r="L1262">
        <v>284.26330000000002</v>
      </c>
      <c r="M1262">
        <v>-0.99987979999999999</v>
      </c>
      <c r="N1262">
        <v>0</v>
      </c>
      <c r="O1262">
        <v>-1.439471E-2</v>
      </c>
      <c r="P1262">
        <v>-0.99694930000000004</v>
      </c>
      <c r="Q1262">
        <v>1.714539E-2</v>
      </c>
      <c r="R1262">
        <v>-7.6146980000000003E-2</v>
      </c>
      <c r="S1262">
        <v>-3.0122990000000001</v>
      </c>
      <c r="T1262">
        <v>-0.1600316</v>
      </c>
      <c r="U1262">
        <v>3.7231450000000002E-3</v>
      </c>
      <c r="V1262">
        <v>-6.1790440000000002E-2</v>
      </c>
      <c r="W1262">
        <v>2.290507E-2</v>
      </c>
      <c r="X1262">
        <v>0.99782630000000005</v>
      </c>
      <c r="Y1262">
        <v>1.558851E-2</v>
      </c>
      <c r="Z1262">
        <v>1.1779760000000001E-3</v>
      </c>
      <c r="AA1262">
        <v>0.99987780000000004</v>
      </c>
      <c r="AB1262">
        <v>58</v>
      </c>
      <c r="AC1262">
        <v>-20.193299999999901</v>
      </c>
      <c r="AD1262">
        <v>-1.1024308804180001</v>
      </c>
      <c r="AE1262">
        <v>3.3700000000010201E-2</v>
      </c>
      <c r="AF1262">
        <v>0.32341409698114998</v>
      </c>
      <c r="AG1262">
        <v>-1.1024308804180001</v>
      </c>
      <c r="AH1262">
        <v>20.130723290935698</v>
      </c>
      <c r="AI1262">
        <v>93.134188413735004</v>
      </c>
      <c r="AJ1262">
        <v>89.079582560944701</v>
      </c>
      <c r="AK1262">
        <v>20.163481116623799</v>
      </c>
      <c r="AL1262">
        <v>88.687521395719799</v>
      </c>
      <c r="AM1262">
        <v>93.543518974067595</v>
      </c>
      <c r="AN1262">
        <v>1.00000001283939</v>
      </c>
    </row>
    <row r="1263" spans="1:40" x14ac:dyDescent="0.3">
      <c r="A1263" t="str">
        <f>"20200111153856337"</f>
        <v>20200111153856337</v>
      </c>
      <c r="B1263" t="str">
        <f>"1578728336331577"</f>
        <v>1578728336331577</v>
      </c>
      <c r="C1263" t="s">
        <v>40</v>
      </c>
      <c r="D1263">
        <v>5.2583989999999998</v>
      </c>
      <c r="E1263">
        <v>0.51241829999999999</v>
      </c>
      <c r="F1263" t="s">
        <v>41</v>
      </c>
      <c r="G1263">
        <v>-293.01139999999998</v>
      </c>
      <c r="H1263">
        <v>1.035933</v>
      </c>
      <c r="I1263">
        <v>284.26479999999998</v>
      </c>
      <c r="J1263">
        <v>-292.34870000000001</v>
      </c>
      <c r="K1263">
        <v>1.1024160000000001</v>
      </c>
      <c r="L1263">
        <v>284.2552</v>
      </c>
      <c r="M1263">
        <v>-0.99987999999999999</v>
      </c>
      <c r="N1263">
        <v>0</v>
      </c>
      <c r="O1263">
        <v>-1.4379640000000001E-2</v>
      </c>
      <c r="P1263">
        <v>-0.99689229999999995</v>
      </c>
      <c r="Q1263">
        <v>1.7170169999999998E-2</v>
      </c>
      <c r="R1263">
        <v>-7.6885079999999995E-2</v>
      </c>
      <c r="S1263">
        <v>-3.012146</v>
      </c>
      <c r="T1263">
        <v>-0.16273779999999999</v>
      </c>
      <c r="U1263">
        <v>2.7160639999999998E-3</v>
      </c>
      <c r="V1263">
        <v>-6.2543539999999995E-2</v>
      </c>
      <c r="W1263">
        <v>2.2957999999999999E-2</v>
      </c>
      <c r="X1263">
        <v>0.99777819999999995</v>
      </c>
      <c r="Y1263">
        <v>1.523829E-2</v>
      </c>
      <c r="Z1263">
        <v>1.1876600000000001E-3</v>
      </c>
      <c r="AA1263">
        <v>0.99988319999999997</v>
      </c>
      <c r="AB1263">
        <v>58</v>
      </c>
      <c r="AC1263">
        <v>-0.66269999999997198</v>
      </c>
      <c r="AD1263">
        <v>-6.6483E-2</v>
      </c>
      <c r="AE1263">
        <v>9.5999999999776195E-3</v>
      </c>
      <c r="AF1263">
        <v>1.89379937884087E-2</v>
      </c>
      <c r="AG1263">
        <v>-6.6483E-2</v>
      </c>
      <c r="AH1263">
        <v>0.65589365098952201</v>
      </c>
      <c r="AI1263">
        <v>95.785478732674406</v>
      </c>
      <c r="AJ1263">
        <v>88.346125577637807</v>
      </c>
      <c r="AK1263">
        <v>0.65952643488043305</v>
      </c>
      <c r="AL1263">
        <v>88.684487981721404</v>
      </c>
      <c r="AM1263">
        <v>93.586767665556593</v>
      </c>
      <c r="AN1263">
        <v>1.00000005027748</v>
      </c>
    </row>
    <row r="1264" spans="1:40" x14ac:dyDescent="0.3">
      <c r="A1264" t="str">
        <f>"20200111153856358"</f>
        <v>20200111153856358</v>
      </c>
      <c r="B1264" t="str">
        <f>"1578728336352074"</f>
        <v>1578728336352074</v>
      </c>
      <c r="C1264" t="s">
        <v>40</v>
      </c>
      <c r="D1264">
        <v>5.2061310000000001</v>
      </c>
      <c r="E1264">
        <v>0.51275479999999996</v>
      </c>
      <c r="F1264" t="s">
        <v>59</v>
      </c>
      <c r="G1264">
        <v>-317.4914</v>
      </c>
      <c r="H1264" s="1">
        <v>5.660651E-6</v>
      </c>
      <c r="I1264">
        <v>283.22590000000002</v>
      </c>
      <c r="J1264">
        <v>-292.92410000000001</v>
      </c>
      <c r="K1264">
        <v>1.102393</v>
      </c>
      <c r="L1264">
        <v>284.24689999999998</v>
      </c>
      <c r="M1264">
        <v>-0.99988030000000006</v>
      </c>
      <c r="N1264">
        <v>0</v>
      </c>
      <c r="O1264">
        <v>-1.4344630000000001E-2</v>
      </c>
      <c r="P1264">
        <v>-0.99682059999999995</v>
      </c>
      <c r="Q1264">
        <v>1.7087120000000001E-2</v>
      </c>
      <c r="R1264">
        <v>-7.7826430000000002E-2</v>
      </c>
      <c r="S1264">
        <v>-3.0021360000000001</v>
      </c>
      <c r="T1264">
        <v>-0.1316321</v>
      </c>
      <c r="U1264">
        <v>-0.1228943</v>
      </c>
      <c r="V1264">
        <v>-6.3519409999999998E-2</v>
      </c>
      <c r="W1264">
        <v>2.2905080000000001E-2</v>
      </c>
      <c r="X1264">
        <v>0.99771770000000004</v>
      </c>
      <c r="Y1264">
        <v>-2.6552570000000001E-2</v>
      </c>
      <c r="Z1264" s="1">
        <v>4.6749080000000001E-5</v>
      </c>
      <c r="AA1264">
        <v>0.99964739999999996</v>
      </c>
      <c r="AB1264">
        <v>59</v>
      </c>
      <c r="AC1264">
        <v>-24.5672999999999</v>
      </c>
      <c r="AD1264">
        <v>-1.102387339349</v>
      </c>
      <c r="AE1264">
        <v>-1.0209999999999499</v>
      </c>
      <c r="AF1264">
        <v>-0.66713921930917697</v>
      </c>
      <c r="AG1264">
        <v>-1.102387339349</v>
      </c>
      <c r="AH1264">
        <v>24.530111871135599</v>
      </c>
      <c r="AI1264">
        <v>92.572200779566401</v>
      </c>
      <c r="AJ1264">
        <v>91.557874731185294</v>
      </c>
      <c r="AK1264">
        <v>24.5639313016937</v>
      </c>
      <c r="AL1264">
        <v>88.687520784117098</v>
      </c>
      <c r="AM1264">
        <v>93.642802944018101</v>
      </c>
      <c r="AN1264">
        <v>0.99999998351492203</v>
      </c>
    </row>
    <row r="1265" spans="1:40" x14ac:dyDescent="0.3">
      <c r="A1265" t="str">
        <f>"20200111153856382"</f>
        <v>20200111153856382</v>
      </c>
      <c r="B1265" t="str">
        <f>"1578728336371592"</f>
        <v>1578728336371592</v>
      </c>
      <c r="C1265" t="s">
        <v>40</v>
      </c>
      <c r="D1265">
        <v>5.2436170000000004</v>
      </c>
      <c r="E1265">
        <v>0.51285219999999998</v>
      </c>
      <c r="F1265" t="s">
        <v>55</v>
      </c>
      <c r="G1265">
        <v>-321.8254</v>
      </c>
      <c r="H1265" s="1">
        <v>-4.9714439999999999E-7</v>
      </c>
      <c r="I1265">
        <v>283.05459999999999</v>
      </c>
      <c r="J1265">
        <v>-293.53039999999999</v>
      </c>
      <c r="K1265">
        <v>1.102363</v>
      </c>
      <c r="L1265">
        <v>284.23820000000001</v>
      </c>
      <c r="M1265">
        <v>-0.99988100000000002</v>
      </c>
      <c r="N1265">
        <v>0</v>
      </c>
      <c r="O1265">
        <v>-1.427811E-2</v>
      </c>
      <c r="P1265">
        <v>-0.99673679999999998</v>
      </c>
      <c r="Q1265">
        <v>1.735283E-2</v>
      </c>
      <c r="R1265">
        <v>-7.8833310000000004E-2</v>
      </c>
      <c r="S1265">
        <v>-3.0018919999999998</v>
      </c>
      <c r="T1265">
        <v>-0.1145023</v>
      </c>
      <c r="U1265">
        <v>-0.1238403</v>
      </c>
      <c r="V1265">
        <v>-6.4592209999999997E-2</v>
      </c>
      <c r="W1265">
        <v>2.3202549999999999E-2</v>
      </c>
      <c r="X1265">
        <v>0.99764200000000003</v>
      </c>
      <c r="Y1265">
        <v>-2.6939419999999999E-2</v>
      </c>
      <c r="Z1265" s="1">
        <v>3.076624E-5</v>
      </c>
      <c r="AA1265">
        <v>0.99963709999999995</v>
      </c>
      <c r="AB1265">
        <v>59</v>
      </c>
      <c r="AC1265">
        <v>-28.295000000000002</v>
      </c>
      <c r="AD1265">
        <v>-1.1023634971443901</v>
      </c>
      <c r="AE1265">
        <v>-1.18360000000001</v>
      </c>
      <c r="AF1265">
        <v>-0.77829405370548299</v>
      </c>
      <c r="AG1265">
        <v>-1.1023634971443901</v>
      </c>
      <c r="AH1265">
        <v>28.266186415535898</v>
      </c>
      <c r="AI1265">
        <v>92.232522280718797</v>
      </c>
      <c r="AJ1265">
        <v>91.577209590146694</v>
      </c>
      <c r="AK1265">
        <v>28.298378776737302</v>
      </c>
      <c r="AL1265">
        <v>88.670472547084003</v>
      </c>
      <c r="AM1265">
        <v>93.704437842136798</v>
      </c>
      <c r="AN1265">
        <v>1.0000000360415899</v>
      </c>
    </row>
    <row r="1266" spans="1:40" x14ac:dyDescent="0.3">
      <c r="A1266" t="str">
        <f>"20200111153856403"</f>
        <v>20200111153856403</v>
      </c>
      <c r="B1266" t="str">
        <f>"1578728336391434"</f>
        <v>1578728336391434</v>
      </c>
      <c r="C1266" t="s">
        <v>40</v>
      </c>
      <c r="D1266">
        <v>5.2111539999999996</v>
      </c>
      <c r="E1266">
        <v>0.51408869999999995</v>
      </c>
      <c r="F1266" t="s">
        <v>55</v>
      </c>
      <c r="G1266">
        <v>-320.5804</v>
      </c>
      <c r="H1266" s="1">
        <v>-1.161905E-6</v>
      </c>
      <c r="I1266">
        <v>283.10579999999999</v>
      </c>
      <c r="J1266">
        <v>-294.09359999999998</v>
      </c>
      <c r="K1266">
        <v>1.1023350000000001</v>
      </c>
      <c r="L1266">
        <v>284.23020000000002</v>
      </c>
      <c r="M1266">
        <v>-0.99988220000000005</v>
      </c>
      <c r="N1266">
        <v>0</v>
      </c>
      <c r="O1266">
        <v>-1.4178299999999901E-2</v>
      </c>
      <c r="P1266">
        <v>-0.99664509999999995</v>
      </c>
      <c r="Q1266">
        <v>1.8313780000000002E-2</v>
      </c>
      <c r="R1266">
        <v>-7.9772780000000001E-2</v>
      </c>
      <c r="S1266">
        <v>-3.0019840000000002</v>
      </c>
      <c r="T1266">
        <v>-0.1223394</v>
      </c>
      <c r="U1266">
        <v>-0.12567139999999999</v>
      </c>
      <c r="V1266">
        <v>-6.5630090000000002E-2</v>
      </c>
      <c r="W1266">
        <v>2.4194569999999999E-2</v>
      </c>
      <c r="X1266">
        <v>0.99755070000000001</v>
      </c>
      <c r="Y1266">
        <v>-2.7644660000000001E-2</v>
      </c>
      <c r="Z1266" s="1">
        <v>1.444691E-5</v>
      </c>
      <c r="AA1266">
        <v>0.9996178</v>
      </c>
      <c r="AB1266">
        <v>59</v>
      </c>
      <c r="AC1266">
        <v>-26.486799999999999</v>
      </c>
      <c r="AD1266">
        <v>-1.1023361619050001</v>
      </c>
      <c r="AE1266">
        <v>-1.12440000000003</v>
      </c>
      <c r="AF1266">
        <v>-0.74745036990881297</v>
      </c>
      <c r="AG1266">
        <v>-1.1023361619050001</v>
      </c>
      <c r="AH1266">
        <v>26.4543411534302</v>
      </c>
      <c r="AI1266">
        <v>92.3851488335753</v>
      </c>
      <c r="AJ1266">
        <v>91.618424769784696</v>
      </c>
      <c r="AK1266">
        <v>26.4878461361318</v>
      </c>
      <c r="AL1266">
        <v>88.613618028950199</v>
      </c>
      <c r="AM1266">
        <v>93.764135201367495</v>
      </c>
      <c r="AN1266">
        <v>1.0000000425006901</v>
      </c>
    </row>
    <row r="1267" spans="1:40" x14ac:dyDescent="0.3">
      <c r="A1267" t="str">
        <f>"20200111153856425"</f>
        <v>20200111153856425</v>
      </c>
      <c r="B1267" t="str">
        <f>"1578728336421690"</f>
        <v>1578728336421690</v>
      </c>
      <c r="C1267" t="s">
        <v>40</v>
      </c>
      <c r="D1267">
        <v>5.2038349999999998</v>
      </c>
      <c r="E1267">
        <v>0.51487890000000003</v>
      </c>
      <c r="F1267" t="s">
        <v>55</v>
      </c>
      <c r="G1267">
        <v>-323.58879999999999</v>
      </c>
      <c r="H1267" s="1">
        <v>4.4098179999999999E-7</v>
      </c>
      <c r="I1267">
        <v>283.06110000000001</v>
      </c>
      <c r="J1267">
        <v>-294.67169999999999</v>
      </c>
      <c r="K1267">
        <v>1.1022959999999999</v>
      </c>
      <c r="L1267">
        <v>284.22199999999998</v>
      </c>
      <c r="M1267">
        <v>-0.99988410000000005</v>
      </c>
      <c r="N1267">
        <v>0</v>
      </c>
      <c r="O1267">
        <v>-1.402751E-2</v>
      </c>
      <c r="P1267">
        <v>-0.99658049999999998</v>
      </c>
      <c r="Q1267">
        <v>1.9657500000000001E-2</v>
      </c>
      <c r="R1267">
        <v>-8.0253530000000003E-2</v>
      </c>
      <c r="S1267">
        <v>-3.0026250000000001</v>
      </c>
      <c r="T1267">
        <v>-0.1122181</v>
      </c>
      <c r="U1267">
        <v>-0.1190186</v>
      </c>
      <c r="V1267">
        <v>-6.6259490000000004E-2</v>
      </c>
      <c r="W1267">
        <v>2.55722E-2</v>
      </c>
      <c r="X1267">
        <v>0.99747470000000005</v>
      </c>
      <c r="Y1267">
        <v>-2.557837E-2</v>
      </c>
      <c r="Z1267" s="1">
        <v>4.6206089999999997E-5</v>
      </c>
      <c r="AA1267">
        <v>0.99967280000000003</v>
      </c>
      <c r="AB1267">
        <v>59</v>
      </c>
      <c r="AC1267">
        <v>-28.917100000000001</v>
      </c>
      <c r="AD1267">
        <v>-1.1022955590182</v>
      </c>
      <c r="AE1267">
        <v>-1.1608999999999601</v>
      </c>
      <c r="AF1267">
        <v>-0.754049838860958</v>
      </c>
      <c r="AG1267">
        <v>-1.1022955590182</v>
      </c>
      <c r="AH1267">
        <v>28.8886298915636</v>
      </c>
      <c r="AI1267">
        <v>92.184416047509202</v>
      </c>
      <c r="AJ1267">
        <v>91.495192596671103</v>
      </c>
      <c r="AK1267">
        <v>28.919484498701902</v>
      </c>
      <c r="AL1267">
        <v>88.534661156215705</v>
      </c>
      <c r="AM1267">
        <v>93.800417105913198</v>
      </c>
      <c r="AN1267">
        <v>1.00000001728399</v>
      </c>
    </row>
    <row r="1268" spans="1:40" x14ac:dyDescent="0.3">
      <c r="A1268" t="str">
        <f>"20200111153856448"</f>
        <v>20200111153856448</v>
      </c>
      <c r="B1268" t="str">
        <f>"1578728336442186"</f>
        <v>1578728336442186</v>
      </c>
      <c r="C1268" t="s">
        <v>40</v>
      </c>
      <c r="D1268">
        <v>5.2594370000000001</v>
      </c>
      <c r="E1268">
        <v>0.51477470000000003</v>
      </c>
      <c r="F1268" t="s">
        <v>55</v>
      </c>
      <c r="G1268">
        <v>-325.61649999999997</v>
      </c>
      <c r="H1268" s="1">
        <v>1.520618E-6</v>
      </c>
      <c r="I1268">
        <v>283.04689999999999</v>
      </c>
      <c r="J1268">
        <v>-295.27519999999998</v>
      </c>
      <c r="K1268">
        <v>1.1022400000000001</v>
      </c>
      <c r="L1268">
        <v>284.21370000000002</v>
      </c>
      <c r="M1268">
        <v>-0.99988699999999997</v>
      </c>
      <c r="N1268">
        <v>0</v>
      </c>
      <c r="O1268">
        <v>-1.381014E-2</v>
      </c>
      <c r="P1268">
        <v>-0.99654319999999996</v>
      </c>
      <c r="Q1268">
        <v>2.028609E-2</v>
      </c>
      <c r="R1268">
        <v>-8.0562060000000005E-2</v>
      </c>
      <c r="S1268">
        <v>-3.0032040000000002</v>
      </c>
      <c r="T1268">
        <v>-0.1069783</v>
      </c>
      <c r="U1268">
        <v>-0.1140442</v>
      </c>
      <c r="V1268">
        <v>-6.6781989999999999E-2</v>
      </c>
      <c r="W1268">
        <v>2.623764E-2</v>
      </c>
      <c r="X1268">
        <v>0.99742260000000005</v>
      </c>
      <c r="Y1268">
        <v>-2.413622E-2</v>
      </c>
      <c r="Z1268" s="1">
        <v>6.1976370000000003E-5</v>
      </c>
      <c r="AA1268">
        <v>0.99970870000000001</v>
      </c>
      <c r="AB1268">
        <v>59</v>
      </c>
      <c r="AC1268">
        <v>-30.341299999999901</v>
      </c>
      <c r="AD1268">
        <v>-1.1022384793819999</v>
      </c>
      <c r="AE1268">
        <v>-1.16680000000002</v>
      </c>
      <c r="AF1268">
        <v>-0.74667977964750698</v>
      </c>
      <c r="AG1268">
        <v>-1.1022384793819999</v>
      </c>
      <c r="AH1268">
        <v>30.314572609380001</v>
      </c>
      <c r="AI1268">
        <v>92.081727546773607</v>
      </c>
      <c r="AJ1268">
        <v>91.410969965393505</v>
      </c>
      <c r="AK1268">
        <v>30.343792987168499</v>
      </c>
      <c r="AL1268">
        <v>88.496521495776094</v>
      </c>
      <c r="AM1268">
        <v>93.830496530636395</v>
      </c>
      <c r="AN1268">
        <v>1.0000000454659399</v>
      </c>
    </row>
    <row r="1269" spans="1:40" x14ac:dyDescent="0.3">
      <c r="A1269" t="str">
        <f>"20200111153856471"</f>
        <v>20200111153856471</v>
      </c>
      <c r="B1269" t="str">
        <f>"1578728336461708"</f>
        <v>1578728336461708</v>
      </c>
      <c r="C1269" t="s">
        <v>40</v>
      </c>
      <c r="D1269">
        <v>5.3041450000000001</v>
      </c>
      <c r="E1269">
        <v>0.51393829999999996</v>
      </c>
      <c r="F1269" t="s">
        <v>55</v>
      </c>
      <c r="G1269">
        <v>-324.8612</v>
      </c>
      <c r="H1269" s="1">
        <v>1.117505E-6</v>
      </c>
      <c r="I1269">
        <v>283.07400000000001</v>
      </c>
      <c r="J1269">
        <v>-295.89330000000001</v>
      </c>
      <c r="K1269">
        <v>1.102177</v>
      </c>
      <c r="L1269">
        <v>284.20530000000002</v>
      </c>
      <c r="M1269">
        <v>-0.99989090000000003</v>
      </c>
      <c r="N1269">
        <v>0</v>
      </c>
      <c r="O1269">
        <v>-1.3519049999999999E-2</v>
      </c>
      <c r="P1269">
        <v>-0.99653919999999996</v>
      </c>
      <c r="Q1269">
        <v>2.0227040000000002E-2</v>
      </c>
      <c r="R1269">
        <v>-8.0629909999999999E-2</v>
      </c>
      <c r="S1269">
        <v>-3.0033259999999999</v>
      </c>
      <c r="T1269">
        <v>-0.1118903</v>
      </c>
      <c r="U1269">
        <v>-0.11569210000000001</v>
      </c>
      <c r="V1269">
        <v>-6.713587E-2</v>
      </c>
      <c r="W1269">
        <v>2.6218100000000001E-2</v>
      </c>
      <c r="X1269">
        <v>0.99739929999999999</v>
      </c>
      <c r="Y1269">
        <v>-2.4972069999999999E-2</v>
      </c>
      <c r="Z1269" s="1">
        <v>3.842259E-5</v>
      </c>
      <c r="AA1269">
        <v>0.99968809999999997</v>
      </c>
      <c r="AB1269">
        <v>59</v>
      </c>
      <c r="AC1269">
        <v>-28.967899999999901</v>
      </c>
      <c r="AD1269">
        <v>-1.1021758824950001</v>
      </c>
      <c r="AE1269">
        <v>-1.13130000000001</v>
      </c>
      <c r="AF1269">
        <v>-0.73850370869314996</v>
      </c>
      <c r="AG1269">
        <v>-1.1021758824950001</v>
      </c>
      <c r="AH1269">
        <v>28.938717260487</v>
      </c>
      <c r="AI1269">
        <v>92.180435093677104</v>
      </c>
      <c r="AJ1269">
        <v>91.461846543181395</v>
      </c>
      <c r="AK1269">
        <v>28.9691134846429</v>
      </c>
      <c r="AL1269">
        <v>88.497641355262999</v>
      </c>
      <c r="AM1269">
        <v>93.850823238063697</v>
      </c>
      <c r="AN1269">
        <v>0.99999998872437801</v>
      </c>
    </row>
    <row r="1270" spans="1:40" x14ac:dyDescent="0.3">
      <c r="A1270" t="str">
        <f>"20200111153856492"</f>
        <v>20200111153856492</v>
      </c>
      <c r="B1270" t="str">
        <f>"1578728336482206"</f>
        <v>1578728336482206</v>
      </c>
      <c r="C1270" t="s">
        <v>40</v>
      </c>
      <c r="D1270">
        <v>5.3274739999999996</v>
      </c>
      <c r="E1270">
        <v>0.51355729999999999</v>
      </c>
      <c r="F1270" t="s">
        <v>55</v>
      </c>
      <c r="G1270">
        <v>-322.19499999999999</v>
      </c>
      <c r="H1270" s="1">
        <v>-3.0420230000000002E-7</v>
      </c>
      <c r="I1270">
        <v>283.13990000000001</v>
      </c>
      <c r="J1270">
        <v>-296.47250000000003</v>
      </c>
      <c r="K1270">
        <v>1.1021110000000001</v>
      </c>
      <c r="L1270">
        <v>284.19749999999999</v>
      </c>
      <c r="M1270">
        <v>-0.99989519999999998</v>
      </c>
      <c r="N1270">
        <v>0</v>
      </c>
      <c r="O1270">
        <v>-1.318122E-2</v>
      </c>
      <c r="P1270">
        <v>-0.99655850000000001</v>
      </c>
      <c r="Q1270">
        <v>2.056289E-2</v>
      </c>
      <c r="R1270">
        <v>-8.0303020000000003E-2</v>
      </c>
      <c r="S1270">
        <v>-3.0031129999999999</v>
      </c>
      <c r="T1270">
        <v>-0.12584619999999999</v>
      </c>
      <c r="U1270">
        <v>-0.1216431</v>
      </c>
      <c r="V1270">
        <v>-6.7141389999999995E-2</v>
      </c>
      <c r="W1270">
        <v>2.659133E-2</v>
      </c>
      <c r="X1270">
        <v>0.99738910000000003</v>
      </c>
      <c r="Y1270">
        <v>-2.7285940000000002E-2</v>
      </c>
      <c r="Z1270" s="1">
        <v>-1.9372319999999999E-5</v>
      </c>
      <c r="AA1270">
        <v>0.99962759999999995</v>
      </c>
      <c r="AB1270">
        <v>59</v>
      </c>
      <c r="AC1270">
        <v>-25.722499999999901</v>
      </c>
      <c r="AD1270">
        <v>-1.1021113042023001</v>
      </c>
      <c r="AE1270">
        <v>-1.0575999999999699</v>
      </c>
      <c r="AF1270">
        <v>-0.71713381836241097</v>
      </c>
      <c r="AG1270">
        <v>-1.1021113042023001</v>
      </c>
      <c r="AH1270">
        <v>25.687129197691199</v>
      </c>
      <c r="AI1270">
        <v>92.455824148487594</v>
      </c>
      <c r="AJ1270">
        <v>91.599169402648698</v>
      </c>
      <c r="AK1270">
        <v>25.7207608102709</v>
      </c>
      <c r="AL1270">
        <v>88.476249472058299</v>
      </c>
      <c r="AM1270">
        <v>93.851178171040999</v>
      </c>
      <c r="AN1270">
        <v>1.0000000409405501</v>
      </c>
    </row>
    <row r="1271" spans="1:40" x14ac:dyDescent="0.3">
      <c r="A1271" t="str">
        <f>"20200111153856514"</f>
        <v>20200111153856514</v>
      </c>
      <c r="B1271" t="str">
        <f>"1578728336511482"</f>
        <v>1578728336511482</v>
      </c>
      <c r="C1271" t="s">
        <v>40</v>
      </c>
      <c r="D1271">
        <v>5.3136960000000002</v>
      </c>
      <c r="E1271">
        <v>0.513019</v>
      </c>
      <c r="F1271" t="s">
        <v>55</v>
      </c>
      <c r="G1271">
        <v>-321.00189999999998</v>
      </c>
      <c r="H1271" s="1">
        <v>-9.4138810000000003E-7</v>
      </c>
      <c r="I1271">
        <v>283.19229999999999</v>
      </c>
      <c r="J1271">
        <v>-297.03559999999999</v>
      </c>
      <c r="K1271">
        <v>1.1020380000000001</v>
      </c>
      <c r="L1271">
        <v>284.1902</v>
      </c>
      <c r="M1271">
        <v>-0.99990000000000001</v>
      </c>
      <c r="N1271">
        <v>0</v>
      </c>
      <c r="O1271">
        <v>-1.279606E-2</v>
      </c>
      <c r="P1271">
        <v>-0.99659549999999997</v>
      </c>
      <c r="Q1271">
        <v>2.070661E-2</v>
      </c>
      <c r="R1271">
        <v>-7.9804529999999999E-2</v>
      </c>
      <c r="S1271">
        <v>-3.003174</v>
      </c>
      <c r="T1271">
        <v>-0.13493339999999901</v>
      </c>
      <c r="U1271">
        <v>-0.1230774</v>
      </c>
      <c r="V1271">
        <v>-6.7022639999999994E-2</v>
      </c>
      <c r="W1271">
        <v>2.6771509999999998E-2</v>
      </c>
      <c r="X1271">
        <v>0.99739219999999895</v>
      </c>
      <c r="Y1271">
        <v>-2.8143700000000001E-2</v>
      </c>
      <c r="Z1271" s="1">
        <v>-5.7307769999999897E-5</v>
      </c>
      <c r="AA1271">
        <v>0.99960389999999999</v>
      </c>
      <c r="AB1271">
        <v>59</v>
      </c>
      <c r="AC1271">
        <v>-23.966299999999901</v>
      </c>
      <c r="AD1271">
        <v>-1.10203894138809</v>
      </c>
      <c r="AE1271">
        <v>-0.997900000000015</v>
      </c>
      <c r="AF1271">
        <v>-0.68968276716085097</v>
      </c>
      <c r="AG1271">
        <v>-1.10203894138809</v>
      </c>
      <c r="AH1271">
        <v>23.926603750644201</v>
      </c>
      <c r="AI1271">
        <v>92.636037560637504</v>
      </c>
      <c r="AJ1271">
        <v>91.651089863855503</v>
      </c>
      <c r="AK1271">
        <v>23.961897236821599</v>
      </c>
      <c r="AL1271">
        <v>88.465922140067406</v>
      </c>
      <c r="AM1271">
        <v>93.844375293087495</v>
      </c>
      <c r="AN1271">
        <v>0.99999997432054399</v>
      </c>
    </row>
    <row r="1272" spans="1:40" x14ac:dyDescent="0.3">
      <c r="A1272" t="str">
        <f>"20200111153856537"</f>
        <v>20200111153856537</v>
      </c>
      <c r="B1272" t="str">
        <f>"1578728336531979"</f>
        <v>1578728336531979</v>
      </c>
      <c r="C1272" t="s">
        <v>40</v>
      </c>
      <c r="D1272">
        <v>5.3500459999999999</v>
      </c>
      <c r="E1272">
        <v>0.51281960000000004</v>
      </c>
      <c r="F1272" t="s">
        <v>59</v>
      </c>
      <c r="G1272">
        <v>-319.8075</v>
      </c>
      <c r="H1272" s="1">
        <v>6.6864659999999998E-6</v>
      </c>
      <c r="I1272">
        <v>283.24059999999997</v>
      </c>
      <c r="J1272">
        <v>-297.6497</v>
      </c>
      <c r="K1272">
        <v>1.1019589999999999</v>
      </c>
      <c r="L1272">
        <v>284.1825</v>
      </c>
      <c r="M1272">
        <v>-0.99990579999999996</v>
      </c>
      <c r="N1272">
        <v>0</v>
      </c>
      <c r="O1272">
        <v>-1.231646E-2</v>
      </c>
      <c r="P1272">
        <v>-0.99663559999999995</v>
      </c>
      <c r="Q1272">
        <v>2.0193780000000001E-2</v>
      </c>
      <c r="R1272">
        <v>-7.9435389999999995E-2</v>
      </c>
      <c r="S1272">
        <v>-3.0032350000000001</v>
      </c>
      <c r="T1272">
        <v>-0.14533979999999999</v>
      </c>
      <c r="U1272">
        <v>-0.1252441</v>
      </c>
      <c r="V1272">
        <v>-6.7126679999999994E-2</v>
      </c>
      <c r="W1272">
        <v>2.6299610000000001E-2</v>
      </c>
      <c r="X1272">
        <v>0.9973978</v>
      </c>
      <c r="Y1272">
        <v>-2.9337829999999999E-2</v>
      </c>
      <c r="Z1272">
        <v>-1.1376810000000001E-4</v>
      </c>
      <c r="AA1272">
        <v>0.9995695</v>
      </c>
      <c r="AB1272">
        <v>59</v>
      </c>
      <c r="AC1272">
        <v>-22.157800000000002</v>
      </c>
      <c r="AD1272">
        <v>-1.1019523135339999</v>
      </c>
      <c r="AE1272">
        <v>-0.94190000000003204</v>
      </c>
      <c r="AF1272">
        <v>-0.66727052261678799</v>
      </c>
      <c r="AG1272">
        <v>-1.1019523135339999</v>
      </c>
      <c r="AH1272">
        <v>22.113127160480001</v>
      </c>
      <c r="AI1272">
        <v>92.851535995343198</v>
      </c>
      <c r="AJ1272">
        <v>91.7283935836046</v>
      </c>
      <c r="AK1272">
        <v>22.150619442065601</v>
      </c>
      <c r="AL1272">
        <v>88.492969606468606</v>
      </c>
      <c r="AM1272">
        <v>93.850303470754696</v>
      </c>
      <c r="AN1272">
        <v>1.0000000160494</v>
      </c>
    </row>
    <row r="1273" spans="1:40" x14ac:dyDescent="0.3">
      <c r="A1273" t="str">
        <f>"20200111153856560"</f>
        <v>20200111153856560</v>
      </c>
      <c r="B1273" t="str">
        <f>"1578728336551498"</f>
        <v>1578728336551498</v>
      </c>
      <c r="C1273" t="s">
        <v>40</v>
      </c>
      <c r="D1273">
        <v>5.3081239999999896</v>
      </c>
      <c r="E1273">
        <v>0.51265870000000002</v>
      </c>
      <c r="F1273" t="s">
        <v>59</v>
      </c>
      <c r="G1273">
        <v>-319.2903</v>
      </c>
      <c r="H1273" s="1">
        <v>6.4536649999999998E-6</v>
      </c>
      <c r="I1273">
        <v>283.27999999999997</v>
      </c>
      <c r="J1273">
        <v>-298.26560000000001</v>
      </c>
      <c r="K1273">
        <v>1.101882</v>
      </c>
      <c r="L1273">
        <v>284.17509999999999</v>
      </c>
      <c r="M1273">
        <v>-0.99991200000000002</v>
      </c>
      <c r="N1273">
        <v>0</v>
      </c>
      <c r="O1273">
        <v>-1.1787300000000001E-2</v>
      </c>
      <c r="P1273">
        <v>-0.99666949999999999</v>
      </c>
      <c r="Q1273">
        <v>1.9568640000000002E-2</v>
      </c>
      <c r="R1273">
        <v>-7.91655E-2</v>
      </c>
      <c r="S1273">
        <v>-3.0032040000000002</v>
      </c>
      <c r="T1273">
        <v>-0.15292529999999999</v>
      </c>
      <c r="U1273">
        <v>-0.1252441</v>
      </c>
      <c r="V1273">
        <v>-6.738073E-2</v>
      </c>
      <c r="W1273">
        <v>2.5714730000000002E-2</v>
      </c>
      <c r="X1273">
        <v>0.9973959</v>
      </c>
      <c r="Y1273">
        <v>-2.9863730000000002E-2</v>
      </c>
      <c r="Z1273">
        <v>-1.5998639999999901E-4</v>
      </c>
      <c r="AA1273">
        <v>0.99955400000000005</v>
      </c>
      <c r="AB1273">
        <v>60</v>
      </c>
      <c r="AC1273">
        <v>-21.024699999999999</v>
      </c>
      <c r="AD1273">
        <v>-1.1018755463349901</v>
      </c>
      <c r="AE1273">
        <v>-0.895100000000013</v>
      </c>
      <c r="AF1273">
        <v>-0.64543917825786201</v>
      </c>
      <c r="AG1273">
        <v>-1.1018755463349901</v>
      </c>
      <c r="AH1273">
        <v>20.976279767015299</v>
      </c>
      <c r="AI1273">
        <v>93.005540681821898</v>
      </c>
      <c r="AJ1273">
        <v>91.762432462747796</v>
      </c>
      <c r="AK1273">
        <v>21.0151144254923</v>
      </c>
      <c r="AL1273">
        <v>88.526492070747807</v>
      </c>
      <c r="AM1273">
        <v>93.864838725960993</v>
      </c>
      <c r="AN1273">
        <v>0.99999999572555698</v>
      </c>
    </row>
    <row r="1274" spans="1:40" x14ac:dyDescent="0.3">
      <c r="A1274" t="str">
        <f>"20200111153856582"</f>
        <v>20200111153856582</v>
      </c>
      <c r="B1274" t="str">
        <f>"1578728336571994"</f>
        <v>1578728336571994</v>
      </c>
      <c r="C1274" t="s">
        <v>40</v>
      </c>
      <c r="D1274">
        <v>5.2818230000000002</v>
      </c>
      <c r="E1274">
        <v>0.51253340000000003</v>
      </c>
      <c r="F1274" t="s">
        <v>59</v>
      </c>
      <c r="G1274">
        <v>-318.98520000000002</v>
      </c>
      <c r="H1274" s="1">
        <v>6.3158099999999996E-6</v>
      </c>
      <c r="I1274">
        <v>283.30950000000001</v>
      </c>
      <c r="J1274">
        <v>-298.8698</v>
      </c>
      <c r="K1274">
        <v>1.101815</v>
      </c>
      <c r="L1274">
        <v>284.16809999999998</v>
      </c>
      <c r="M1274">
        <v>-0.99991830000000004</v>
      </c>
      <c r="N1274">
        <v>0</v>
      </c>
      <c r="O1274">
        <v>-1.1234579999999999E-2</v>
      </c>
      <c r="P1274">
        <v>-0.9967104</v>
      </c>
      <c r="Q1274">
        <v>1.9587190000000001E-2</v>
      </c>
      <c r="R1274">
        <v>-7.8644899999999907E-2</v>
      </c>
      <c r="S1274">
        <v>-3.003174</v>
      </c>
      <c r="T1274">
        <v>-0.15970970000000001</v>
      </c>
      <c r="U1274">
        <v>-0.12545780000000001</v>
      </c>
      <c r="V1274">
        <v>-6.7407270000000005E-2</v>
      </c>
      <c r="W1274">
        <v>2.577192E-2</v>
      </c>
      <c r="X1274">
        <v>0.99739270000000002</v>
      </c>
      <c r="Y1274">
        <v>-3.048387E-2</v>
      </c>
      <c r="Z1274">
        <v>-2.129024E-4</v>
      </c>
      <c r="AA1274">
        <v>0.99953530000000002</v>
      </c>
      <c r="AB1274">
        <v>60</v>
      </c>
      <c r="AC1274">
        <v>-20.115400000000001</v>
      </c>
      <c r="AD1274">
        <v>-1.1018086841900001</v>
      </c>
      <c r="AE1274">
        <v>-0.85859999999996695</v>
      </c>
      <c r="AF1274">
        <v>-0.63066483967933595</v>
      </c>
      <c r="AG1274">
        <v>-1.1018086841900001</v>
      </c>
      <c r="AH1274">
        <v>20.063690379841599</v>
      </c>
      <c r="AI1274">
        <v>93.141723718902298</v>
      </c>
      <c r="AJ1274">
        <v>91.800393605682601</v>
      </c>
      <c r="AK1274">
        <v>20.103815363624701</v>
      </c>
      <c r="AL1274">
        <v>88.523214341051599</v>
      </c>
      <c r="AM1274">
        <v>93.866368763990806</v>
      </c>
      <c r="AN1274">
        <v>1.0000000649613101</v>
      </c>
    </row>
    <row r="1275" spans="1:40" x14ac:dyDescent="0.3">
      <c r="A1275" t="str">
        <f>"20200111153856604"</f>
        <v>20200111153856604</v>
      </c>
      <c r="B1275" t="str">
        <f>"1578728336602251"</f>
        <v>1578728336602251</v>
      </c>
      <c r="C1275" t="s">
        <v>40</v>
      </c>
      <c r="D1275">
        <v>5.3604629999999904</v>
      </c>
      <c r="E1275">
        <v>0.51232469999999997</v>
      </c>
      <c r="F1275" t="s">
        <v>59</v>
      </c>
      <c r="G1275">
        <v>-319.06970000000001</v>
      </c>
      <c r="H1275" s="1">
        <v>6.3515769999999999E-6</v>
      </c>
      <c r="I1275">
        <v>283.3288</v>
      </c>
      <c r="J1275">
        <v>-299.44659999999999</v>
      </c>
      <c r="K1275">
        <v>1.10175499999999</v>
      </c>
      <c r="L1275">
        <v>284.1617</v>
      </c>
      <c r="M1275">
        <v>-0.99992409999999998</v>
      </c>
      <c r="N1275">
        <v>0</v>
      </c>
      <c r="O1275">
        <v>-1.068382E-2</v>
      </c>
      <c r="P1275">
        <v>-0.9967568</v>
      </c>
      <c r="Q1275">
        <v>1.9982949999999999E-2</v>
      </c>
      <c r="R1275">
        <v>-7.7951629999999994E-2</v>
      </c>
      <c r="S1275">
        <v>-3.0032649999999999</v>
      </c>
      <c r="T1275">
        <v>-0.16381409999999999</v>
      </c>
      <c r="U1275">
        <v>-0.12478640000000001</v>
      </c>
      <c r="V1275">
        <v>-6.7258600000000002E-2</v>
      </c>
      <c r="W1275">
        <v>2.6203319999999999E-2</v>
      </c>
      <c r="X1275">
        <v>0.99739140000000004</v>
      </c>
      <c r="Y1275">
        <v>-3.0807379999999999E-2</v>
      </c>
      <c r="Z1275">
        <v>-2.5717470000000001E-4</v>
      </c>
      <c r="AA1275">
        <v>0.99952529999999995</v>
      </c>
      <c r="AB1275">
        <v>60</v>
      </c>
      <c r="AC1275">
        <v>-19.623100000000001</v>
      </c>
      <c r="AD1275">
        <v>-1.1017486484229999</v>
      </c>
      <c r="AE1275">
        <v>-0.83289999999999498</v>
      </c>
      <c r="AF1275">
        <v>-0.62124401055578604</v>
      </c>
      <c r="AG1275">
        <v>-1.1017486484229999</v>
      </c>
      <c r="AH1275">
        <v>19.5693010227595</v>
      </c>
      <c r="AI1275">
        <v>93.220722795567497</v>
      </c>
      <c r="AJ1275">
        <v>91.818292315035393</v>
      </c>
      <c r="AK1275">
        <v>19.6101335213284</v>
      </c>
      <c r="AL1275">
        <v>88.498488448343096</v>
      </c>
      <c r="AM1275">
        <v>93.857872092236306</v>
      </c>
      <c r="AN1275">
        <v>0.99999996902346999</v>
      </c>
    </row>
    <row r="1276" spans="1:40" x14ac:dyDescent="0.3">
      <c r="A1276" t="str">
        <f>"20200111153856625"</f>
        <v>20200111153856625</v>
      </c>
      <c r="B1276" t="str">
        <f>"1578728336621770"</f>
        <v>1578728336621770</v>
      </c>
      <c r="C1276" t="s">
        <v>40</v>
      </c>
      <c r="D1276">
        <v>5.3098349999999996</v>
      </c>
      <c r="E1276">
        <v>0.51210519999999904</v>
      </c>
      <c r="F1276" t="s">
        <v>59</v>
      </c>
      <c r="G1276">
        <v>-319.26679999999999</v>
      </c>
      <c r="H1276" s="1">
        <v>6.4378929999999998E-6</v>
      </c>
      <c r="I1276">
        <v>283.34120000000001</v>
      </c>
      <c r="J1276">
        <v>-300.03109999999998</v>
      </c>
      <c r="K1276">
        <v>1.1016999999999999</v>
      </c>
      <c r="L1276">
        <v>284.15550000000002</v>
      </c>
      <c r="M1276">
        <v>-0.99992999999999999</v>
      </c>
      <c r="N1276">
        <v>0</v>
      </c>
      <c r="O1276">
        <v>-1.011043E-2</v>
      </c>
      <c r="P1276">
        <v>-0.99680009999999997</v>
      </c>
      <c r="Q1276">
        <v>2.0037349999999999E-2</v>
      </c>
      <c r="R1276">
        <v>-7.7385480000000006E-2</v>
      </c>
      <c r="S1276">
        <v>-3.0034179999999999</v>
      </c>
      <c r="T1276">
        <v>-0.16695170000000001</v>
      </c>
      <c r="U1276">
        <v>-0.1243286</v>
      </c>
      <c r="V1276">
        <v>-6.7260819999999999E-2</v>
      </c>
      <c r="W1276">
        <v>2.6292940000000001E-2</v>
      </c>
      <c r="X1276">
        <v>0.99738890000000002</v>
      </c>
      <c r="Y1276">
        <v>-3.1223669999999999E-2</v>
      </c>
      <c r="Z1276">
        <v>-3.0546780000000002E-4</v>
      </c>
      <c r="AA1276">
        <v>0.99951239999999997</v>
      </c>
      <c r="AB1276">
        <v>60</v>
      </c>
      <c r="AC1276">
        <v>-19.235700000000001</v>
      </c>
      <c r="AD1276">
        <v>-1.1016935621070001</v>
      </c>
      <c r="AE1276">
        <v>-0.81430000000000202</v>
      </c>
      <c r="AF1276">
        <v>-0.61775076058761302</v>
      </c>
      <c r="AG1276">
        <v>-1.1016935621070001</v>
      </c>
      <c r="AH1276">
        <v>19.180146931842099</v>
      </c>
      <c r="AI1276">
        <v>93.285715310334197</v>
      </c>
      <c r="AJ1276">
        <v>91.844734576392895</v>
      </c>
      <c r="AK1276">
        <v>19.221690379205601</v>
      </c>
      <c r="AL1276">
        <v>88.493351842999402</v>
      </c>
      <c r="AM1276">
        <v>93.858008685261794</v>
      </c>
      <c r="AN1276">
        <v>0.99999997722206202</v>
      </c>
    </row>
    <row r="1277" spans="1:40" x14ac:dyDescent="0.3">
      <c r="A1277" t="str">
        <f>"20200111153856650"</f>
        <v>20200111153856650</v>
      </c>
      <c r="B1277" t="str">
        <f>"1578728336642266"</f>
        <v>1578728336642266</v>
      </c>
      <c r="C1277" t="s">
        <v>40</v>
      </c>
      <c r="D1277">
        <v>5.3220280000000004</v>
      </c>
      <c r="E1277">
        <v>0.51186140000000002</v>
      </c>
      <c r="F1277" t="s">
        <v>59</v>
      </c>
      <c r="G1277">
        <v>-319.529</v>
      </c>
      <c r="H1277" s="1">
        <v>6.5534989999999998E-6</v>
      </c>
      <c r="I1277">
        <v>283.34910000000002</v>
      </c>
      <c r="J1277">
        <v>-300.67430000000002</v>
      </c>
      <c r="K1277">
        <v>1.1016490000000001</v>
      </c>
      <c r="L1277">
        <v>284.149</v>
      </c>
      <c r="M1277">
        <v>-0.99993620000000005</v>
      </c>
      <c r="N1277">
        <v>0</v>
      </c>
      <c r="O1277">
        <v>-9.4673069999999995E-3</v>
      </c>
      <c r="P1277">
        <v>-0.99683980000000005</v>
      </c>
      <c r="Q1277">
        <v>2.0262789999999999E-2</v>
      </c>
      <c r="R1277">
        <v>-7.6813430000000002E-2</v>
      </c>
      <c r="S1277">
        <v>-3.0034480000000001</v>
      </c>
      <c r="T1277">
        <v>-0.16970439999999901</v>
      </c>
      <c r="U1277">
        <v>-0.1242065</v>
      </c>
      <c r="V1277">
        <v>-6.7325510000000005E-2</v>
      </c>
      <c r="W1277">
        <v>2.6556529999999998E-2</v>
      </c>
      <c r="X1277">
        <v>0.99737759999999998</v>
      </c>
      <c r="Y1277">
        <v>-3.182248E-2</v>
      </c>
      <c r="Z1277">
        <v>-3.6367950000000001E-4</v>
      </c>
      <c r="AA1277">
        <v>0.99949350000000003</v>
      </c>
      <c r="AB1277">
        <v>60</v>
      </c>
      <c r="AC1277">
        <v>-18.854699999999902</v>
      </c>
      <c r="AD1277">
        <v>-1.101642446501</v>
      </c>
      <c r="AE1277">
        <v>-0.79989999999997896</v>
      </c>
      <c r="AF1277">
        <v>-0.61924732051154396</v>
      </c>
      <c r="AG1277">
        <v>-1.101642446501</v>
      </c>
      <c r="AH1277">
        <v>18.7973722491997</v>
      </c>
      <c r="AI1277">
        <v>93.352236667247993</v>
      </c>
      <c r="AJ1277">
        <v>91.886829218139397</v>
      </c>
      <c r="AK1277">
        <v>18.839805911921601</v>
      </c>
      <c r="AL1277">
        <v>88.478244045660304</v>
      </c>
      <c r="AM1277">
        <v>93.8617516324245</v>
      </c>
      <c r="AN1277">
        <v>1.00000002528208</v>
      </c>
    </row>
    <row r="1278" spans="1:40" x14ac:dyDescent="0.3">
      <c r="A1278" t="str">
        <f>"20200111153856672"</f>
        <v>20200111153856672</v>
      </c>
      <c r="B1278" t="str">
        <f>"1578728336661786"</f>
        <v>1578728336661786</v>
      </c>
      <c r="C1278" t="s">
        <v>40</v>
      </c>
      <c r="D1278">
        <v>5.2288540000000001</v>
      </c>
      <c r="E1278">
        <v>0.51185329999999996</v>
      </c>
      <c r="F1278" t="s">
        <v>59</v>
      </c>
      <c r="G1278">
        <v>-319.93169999999998</v>
      </c>
      <c r="H1278" s="1">
        <v>6.7317999999999997E-6</v>
      </c>
      <c r="I1278">
        <v>283.35239999999999</v>
      </c>
      <c r="J1278">
        <v>-301.28210000000001</v>
      </c>
      <c r="K1278">
        <v>1.101612</v>
      </c>
      <c r="L1278">
        <v>284.14319999999998</v>
      </c>
      <c r="M1278">
        <v>-0.99994150000000004</v>
      </c>
      <c r="N1278">
        <v>0</v>
      </c>
      <c r="O1278">
        <v>-8.8523619999999904E-3</v>
      </c>
      <c r="P1278">
        <v>-0.99687159999999997</v>
      </c>
      <c r="Q1278">
        <v>2.039061E-2</v>
      </c>
      <c r="R1278">
        <v>-7.6363710000000001E-2</v>
      </c>
      <c r="S1278">
        <v>-3.003479</v>
      </c>
      <c r="T1278">
        <v>-0.17181669999999999</v>
      </c>
      <c r="U1278">
        <v>-0.1242371</v>
      </c>
      <c r="V1278">
        <v>-6.7485970000000006E-2</v>
      </c>
      <c r="W1278">
        <v>2.6720029999999999E-2</v>
      </c>
      <c r="X1278">
        <v>0.99736239999999998</v>
      </c>
      <c r="Y1278">
        <v>-3.2443949999999999E-2</v>
      </c>
      <c r="Z1278">
        <v>-4.2107960000000003E-4</v>
      </c>
      <c r="AA1278">
        <v>0.99947350000000001</v>
      </c>
      <c r="AB1278">
        <v>60</v>
      </c>
      <c r="AC1278">
        <v>-18.6495999999999</v>
      </c>
      <c r="AD1278">
        <v>-1.1016052681999999</v>
      </c>
      <c r="AE1278">
        <v>-0.79079999999998996</v>
      </c>
      <c r="AF1278">
        <v>-0.623501262038474</v>
      </c>
      <c r="AG1278">
        <v>-1.1016052681999999</v>
      </c>
      <c r="AH1278">
        <v>18.591120020889701</v>
      </c>
      <c r="AI1278">
        <v>93.389159738207695</v>
      </c>
      <c r="AJ1278">
        <v>91.920842104974696</v>
      </c>
      <c r="AK1278">
        <v>18.634163024450999</v>
      </c>
      <c r="AL1278">
        <v>88.468872877703802</v>
      </c>
      <c r="AM1278">
        <v>93.870986389699596</v>
      </c>
      <c r="AN1278">
        <v>1.0000000365419</v>
      </c>
    </row>
    <row r="1279" spans="1:40" x14ac:dyDescent="0.3">
      <c r="A1279" t="str">
        <f>"20200111153856694"</f>
        <v>20200111153856694</v>
      </c>
      <c r="B1279" t="str">
        <f>"1578728336692042"</f>
        <v>1578728336692042</v>
      </c>
      <c r="C1279" t="s">
        <v>40</v>
      </c>
      <c r="D1279">
        <v>5.2996610000000004</v>
      </c>
      <c r="E1279">
        <v>0.511876</v>
      </c>
      <c r="F1279" t="s">
        <v>55</v>
      </c>
      <c r="G1279">
        <v>-320.56709999999998</v>
      </c>
      <c r="H1279" s="1">
        <v>-1.179873E-6</v>
      </c>
      <c r="I1279">
        <v>283.35550000000001</v>
      </c>
      <c r="J1279">
        <v>-301.88499999999999</v>
      </c>
      <c r="K1279">
        <v>1.101586</v>
      </c>
      <c r="L1279">
        <v>284.13780000000003</v>
      </c>
      <c r="M1279">
        <v>-0.99994669999999997</v>
      </c>
      <c r="N1279">
        <v>0</v>
      </c>
      <c r="O1279">
        <v>-8.2386319999999992E-3</v>
      </c>
      <c r="P1279">
        <v>-0.99688509999999997</v>
      </c>
      <c r="Q1279">
        <v>2.1279670000000001E-2</v>
      </c>
      <c r="R1279">
        <v>-7.5946879999999994E-2</v>
      </c>
      <c r="S1279">
        <v>-3.0035400000000001</v>
      </c>
      <c r="T1279">
        <v>-0.17157059999999999</v>
      </c>
      <c r="U1279">
        <v>-0.1226807</v>
      </c>
      <c r="V1279">
        <v>-6.7676390000000003E-2</v>
      </c>
      <c r="W1279">
        <v>2.76438E-2</v>
      </c>
      <c r="X1279">
        <v>0.99732430000000005</v>
      </c>
      <c r="Y1279">
        <v>-3.253847E-2</v>
      </c>
      <c r="Z1279">
        <v>-4.58181E-4</v>
      </c>
      <c r="AA1279">
        <v>0.99947039999999998</v>
      </c>
      <c r="AB1279">
        <v>60</v>
      </c>
      <c r="AC1279">
        <v>-18.682099999999899</v>
      </c>
      <c r="AD1279">
        <v>-1.1015871798729999</v>
      </c>
      <c r="AE1279">
        <v>-0.78230000000001998</v>
      </c>
      <c r="AF1279">
        <v>-0.62618218952635096</v>
      </c>
      <c r="AG1279">
        <v>-1.1015871798729999</v>
      </c>
      <c r="AH1279">
        <v>18.623274094151199</v>
      </c>
      <c r="AI1279">
        <v>93.3832566107247</v>
      </c>
      <c r="AJ1279">
        <v>91.925766929574095</v>
      </c>
      <c r="AK1279">
        <v>18.6663316276987</v>
      </c>
      <c r="AL1279">
        <v>88.415925159620897</v>
      </c>
      <c r="AM1279">
        <v>93.882023351493302</v>
      </c>
      <c r="AN1279">
        <v>1.00000001640618</v>
      </c>
    </row>
    <row r="1280" spans="1:40" x14ac:dyDescent="0.3">
      <c r="A1280" t="str">
        <f>"20200111153856717"</f>
        <v>20200111153856717</v>
      </c>
      <c r="B1280" t="str">
        <f>"1578728336711563"</f>
        <v>1578728336711563</v>
      </c>
      <c r="C1280" t="s">
        <v>40</v>
      </c>
      <c r="D1280">
        <v>5.3072419999999996</v>
      </c>
      <c r="E1280">
        <v>0.51190690000000005</v>
      </c>
      <c r="F1280" t="s">
        <v>55</v>
      </c>
      <c r="G1280">
        <v>-321.42039999999997</v>
      </c>
      <c r="H1280" s="1">
        <v>-7.2551609999999898E-7</v>
      </c>
      <c r="I1280">
        <v>283.34910000000002</v>
      </c>
      <c r="J1280">
        <v>-302.47030000000001</v>
      </c>
      <c r="K1280">
        <v>1.1015649999999999</v>
      </c>
      <c r="L1280">
        <v>284.13299999999998</v>
      </c>
      <c r="M1280">
        <v>-0.99995129999999999</v>
      </c>
      <c r="N1280">
        <v>0</v>
      </c>
      <c r="O1280">
        <v>-7.6398350000000002E-3</v>
      </c>
      <c r="P1280">
        <v>-0.99691099999999999</v>
      </c>
      <c r="Q1280">
        <v>2.22959E-2</v>
      </c>
      <c r="R1280">
        <v>-7.5309520000000005E-2</v>
      </c>
      <c r="S1280">
        <v>-3.0037539999999998</v>
      </c>
      <c r="T1280">
        <v>-0.16937949999999999</v>
      </c>
      <c r="U1280">
        <v>-0.12127690000000001</v>
      </c>
      <c r="V1280">
        <v>-6.7632070000000002E-2</v>
      </c>
      <c r="W1280">
        <v>2.8692430000000001E-2</v>
      </c>
      <c r="X1280">
        <v>0.99729760000000001</v>
      </c>
      <c r="Y1280">
        <v>-3.2667599999999998E-2</v>
      </c>
      <c r="Z1280">
        <v>-4.896697E-4</v>
      </c>
      <c r="AA1280">
        <v>0.99946619999999997</v>
      </c>
      <c r="AB1280">
        <v>61</v>
      </c>
      <c r="AC1280">
        <v>-18.9500999999999</v>
      </c>
      <c r="AD1280">
        <v>-1.1015657255161</v>
      </c>
      <c r="AE1280">
        <v>-0.78389999999995996</v>
      </c>
      <c r="AF1280">
        <v>-0.63695003398426497</v>
      </c>
      <c r="AG1280">
        <v>-1.1015657255161</v>
      </c>
      <c r="AH1280">
        <v>18.891808138735499</v>
      </c>
      <c r="AI1280">
        <v>93.335200182218898</v>
      </c>
      <c r="AJ1280">
        <v>91.931034314568194</v>
      </c>
      <c r="AK1280">
        <v>18.934612938853999</v>
      </c>
      <c r="AL1280">
        <v>88.355819088648303</v>
      </c>
      <c r="AM1280">
        <v>93.879592398613099</v>
      </c>
      <c r="AN1280">
        <v>0.999999927698772</v>
      </c>
    </row>
    <row r="1281" spans="1:40" x14ac:dyDescent="0.3">
      <c r="A1281" t="str">
        <f>"20200111153856739"</f>
        <v>20200111153856739</v>
      </c>
      <c r="B1281" t="str">
        <f>"1578728336732058"</f>
        <v>1578728336732058</v>
      </c>
      <c r="C1281" t="s">
        <v>40</v>
      </c>
      <c r="D1281">
        <v>5.2652089999999996</v>
      </c>
      <c r="E1281">
        <v>0.51196579999999903</v>
      </c>
      <c r="F1281" t="s">
        <v>55</v>
      </c>
      <c r="G1281">
        <v>-322.47750000000002</v>
      </c>
      <c r="H1281" s="1">
        <v>-1.62545299999999E-7</v>
      </c>
      <c r="I1281">
        <v>283.33850000000001</v>
      </c>
      <c r="J1281">
        <v>-303.12060000000002</v>
      </c>
      <c r="K1281">
        <v>1.101542</v>
      </c>
      <c r="L1281">
        <v>284.12810000000002</v>
      </c>
      <c r="M1281">
        <v>-0.99995599999999996</v>
      </c>
      <c r="N1281">
        <v>0</v>
      </c>
      <c r="O1281">
        <v>-6.9730969999999897E-3</v>
      </c>
      <c r="P1281">
        <v>-0.99692539999999996</v>
      </c>
      <c r="Q1281">
        <v>2.2128749999999999E-2</v>
      </c>
      <c r="R1281">
        <v>-7.5166289999999997E-2</v>
      </c>
      <c r="S1281">
        <v>-3.0039370000000001</v>
      </c>
      <c r="T1281">
        <v>-0.16539209999999999</v>
      </c>
      <c r="U1281">
        <v>-0.1192932</v>
      </c>
      <c r="V1281">
        <v>-6.8151610000000001E-2</v>
      </c>
      <c r="W1281">
        <v>2.8561349999999999E-2</v>
      </c>
      <c r="X1281">
        <v>0.99726610000000004</v>
      </c>
      <c r="Y1281">
        <v>-3.267345E-2</v>
      </c>
      <c r="Z1281">
        <v>-5.1496210000000003E-4</v>
      </c>
      <c r="AA1281">
        <v>0.99946590000000002</v>
      </c>
      <c r="AB1281">
        <v>61</v>
      </c>
      <c r="AC1281">
        <v>-19.3569</v>
      </c>
      <c r="AD1281">
        <v>-1.1015421625452999</v>
      </c>
      <c r="AE1281">
        <v>-0.78960000000000696</v>
      </c>
      <c r="AF1281">
        <v>-0.65249108583274895</v>
      </c>
      <c r="AG1281">
        <v>-1.1015421625452999</v>
      </c>
      <c r="AH1281">
        <v>19.299539609827299</v>
      </c>
      <c r="AI1281">
        <v>93.264813288149995</v>
      </c>
      <c r="AJ1281">
        <v>91.936354541536204</v>
      </c>
      <c r="AK1281">
        <v>19.341958765963899</v>
      </c>
      <c r="AL1281">
        <v>88.363332672323295</v>
      </c>
      <c r="AM1281">
        <v>93.9094259190298</v>
      </c>
      <c r="AN1281">
        <v>1.00000003343431</v>
      </c>
    </row>
    <row r="1282" spans="1:40" x14ac:dyDescent="0.3">
      <c r="A1282" t="str">
        <f>"20200111153856761"</f>
        <v>20200111153856761</v>
      </c>
      <c r="B1282" t="str">
        <f>"1578728336751578"</f>
        <v>1578728336751578</v>
      </c>
      <c r="C1282" t="s">
        <v>40</v>
      </c>
      <c r="D1282">
        <v>5.2500450000000001</v>
      </c>
      <c r="E1282">
        <v>0.51180340000000002</v>
      </c>
      <c r="F1282" t="s">
        <v>55</v>
      </c>
      <c r="G1282">
        <v>-323.16039999999998</v>
      </c>
      <c r="H1282" s="1">
        <v>2.0089120000000001E-7</v>
      </c>
      <c r="I1282">
        <v>283.3381</v>
      </c>
      <c r="J1282">
        <v>-303.71010000000001</v>
      </c>
      <c r="K1282">
        <v>1.1015299999999999</v>
      </c>
      <c r="L1282">
        <v>284.12389999999999</v>
      </c>
      <c r="M1282">
        <v>-0.99995979999999995</v>
      </c>
      <c r="N1282">
        <v>0</v>
      </c>
      <c r="O1282">
        <v>-6.3681429999999997E-3</v>
      </c>
      <c r="P1282">
        <v>-0.99696090000000004</v>
      </c>
      <c r="Q1282">
        <v>2.1357000000000001E-2</v>
      </c>
      <c r="R1282">
        <v>-7.4919399999999997E-2</v>
      </c>
      <c r="S1282">
        <v>-3.0039980000000002</v>
      </c>
      <c r="T1282">
        <v>-0.16512260000000001</v>
      </c>
      <c r="U1282">
        <v>-0.11840820000000001</v>
      </c>
      <c r="V1282">
        <v>-6.8507319999999997E-2</v>
      </c>
      <c r="W1282">
        <v>2.782159E-2</v>
      </c>
      <c r="X1282">
        <v>0.9972626</v>
      </c>
      <c r="Y1282">
        <v>-3.2982049999999999E-2</v>
      </c>
      <c r="Z1282">
        <v>-5.5580159999999996E-4</v>
      </c>
      <c r="AA1282">
        <v>0.99945580000000001</v>
      </c>
      <c r="AB1282">
        <v>61</v>
      </c>
      <c r="AC1282">
        <v>-19.450299999999899</v>
      </c>
      <c r="AD1282">
        <v>-1.1015297991088</v>
      </c>
      <c r="AE1282">
        <v>-0.78579999999999395</v>
      </c>
      <c r="AF1282">
        <v>-0.65980655566109203</v>
      </c>
      <c r="AG1282">
        <v>-1.1015297991088</v>
      </c>
      <c r="AH1282">
        <v>19.3928125233302</v>
      </c>
      <c r="AI1282">
        <v>93.249084395340503</v>
      </c>
      <c r="AJ1282">
        <v>91.948637098854604</v>
      </c>
      <c r="AK1282">
        <v>19.4352743781571</v>
      </c>
      <c r="AL1282">
        <v>88.405734587168297</v>
      </c>
      <c r="AM1282">
        <v>93.929780728648495</v>
      </c>
      <c r="AN1282">
        <v>0.99999999356123503</v>
      </c>
    </row>
    <row r="1283" spans="1:40" x14ac:dyDescent="0.3">
      <c r="A1283" t="str">
        <f>"20200111153856783"</f>
        <v>20200111153856783</v>
      </c>
      <c r="B1283" t="str">
        <f>"1578728336772076"</f>
        <v>1578728336772076</v>
      </c>
      <c r="C1283" t="s">
        <v>40</v>
      </c>
      <c r="D1283">
        <v>5.1576469999999999</v>
      </c>
      <c r="E1283">
        <v>0.49791200000000002</v>
      </c>
      <c r="F1283" t="s">
        <v>55</v>
      </c>
      <c r="G1283">
        <v>-323.36759999999998</v>
      </c>
      <c r="H1283" s="1">
        <v>3.1077070000000002E-7</v>
      </c>
      <c r="I1283">
        <v>283.34679999999997</v>
      </c>
      <c r="J1283">
        <v>-304.31619999999998</v>
      </c>
      <c r="K1283">
        <v>1.1015239999999999</v>
      </c>
      <c r="L1283">
        <v>284.12</v>
      </c>
      <c r="M1283">
        <v>-0.9999633</v>
      </c>
      <c r="N1283">
        <v>0</v>
      </c>
      <c r="O1283">
        <v>-5.7498710000000001E-3</v>
      </c>
      <c r="P1283">
        <v>-0.99702539999999995</v>
      </c>
      <c r="Q1283">
        <v>2.126521E-2</v>
      </c>
      <c r="R1283">
        <v>-7.4081949999999994E-2</v>
      </c>
      <c r="S1283">
        <v>-3.0038450000000001</v>
      </c>
      <c r="T1283">
        <v>-0.16832339999999901</v>
      </c>
      <c r="U1283">
        <v>-0.1187439</v>
      </c>
      <c r="V1283">
        <v>-6.8284880000000006E-2</v>
      </c>
      <c r="W1283">
        <v>2.776201E-2</v>
      </c>
      <c r="X1283">
        <v>0.99727949999999999</v>
      </c>
      <c r="Y1283">
        <v>-3.3709839999999998E-2</v>
      </c>
      <c r="Z1283">
        <v>-6.2155610000000003E-4</v>
      </c>
      <c r="AA1283">
        <v>0.99943150000000003</v>
      </c>
      <c r="AB1283">
        <v>61</v>
      </c>
      <c r="AC1283">
        <v>-19.051400000000001</v>
      </c>
      <c r="AD1283">
        <v>-1.1015236892293001</v>
      </c>
      <c r="AE1283">
        <v>-0.77320000000003097</v>
      </c>
      <c r="AF1283">
        <v>-0.66143438978401503</v>
      </c>
      <c r="AG1283">
        <v>-1.1015236892293001</v>
      </c>
      <c r="AH1283">
        <v>18.992144973306299</v>
      </c>
      <c r="AI1283">
        <v>93.317367339529596</v>
      </c>
      <c r="AJ1283">
        <v>91.9946187340569</v>
      </c>
      <c r="AK1283">
        <v>19.035556744603099</v>
      </c>
      <c r="AL1283">
        <v>88.409149563402096</v>
      </c>
      <c r="AM1283">
        <v>93.916994531379899</v>
      </c>
      <c r="AN1283">
        <v>0.99999997757805104</v>
      </c>
    </row>
    <row r="1284" spans="1:40" x14ac:dyDescent="0.3">
      <c r="A1284" t="str">
        <f>"20200111153856805"</f>
        <v>20200111153856805</v>
      </c>
      <c r="B1284" t="str">
        <f>"1578728336802331"</f>
        <v>1578728336802331</v>
      </c>
      <c r="C1284" t="s">
        <v>40</v>
      </c>
      <c r="D1284">
        <v>5.1986889999999999</v>
      </c>
      <c r="E1284">
        <v>0.49750440000000001</v>
      </c>
      <c r="F1284" t="s">
        <v>55</v>
      </c>
      <c r="G1284">
        <v>-322.90050000000002</v>
      </c>
      <c r="H1284" s="1">
        <v>8.9760650000000006E-8</v>
      </c>
      <c r="I1284">
        <v>282.71629999999999</v>
      </c>
      <c r="J1284">
        <v>-304.89409999999998</v>
      </c>
      <c r="K1284">
        <v>1.101523</v>
      </c>
      <c r="L1284">
        <v>284.11660000000001</v>
      </c>
      <c r="M1284">
        <v>-0.99996629999999997</v>
      </c>
      <c r="N1284">
        <v>0</v>
      </c>
      <c r="O1284">
        <v>-5.174573E-3</v>
      </c>
      <c r="P1284">
        <v>-0.99709669999999895</v>
      </c>
      <c r="Q1284">
        <v>2.1481549999999999E-2</v>
      </c>
      <c r="R1284">
        <v>-7.3055750000000003E-2</v>
      </c>
      <c r="S1284">
        <v>-2.995911</v>
      </c>
      <c r="T1284">
        <v>-0.1775727</v>
      </c>
      <c r="U1284">
        <v>-0.22628780000000001</v>
      </c>
      <c r="V1284">
        <v>-6.7830730000000006E-2</v>
      </c>
      <c r="W1284">
        <v>2.8011769999999998E-2</v>
      </c>
      <c r="X1284">
        <v>0.99730350000000001</v>
      </c>
      <c r="Y1284">
        <v>-7.0043510000000003E-2</v>
      </c>
      <c r="Z1284">
        <v>-1.765045E-3</v>
      </c>
      <c r="AA1284">
        <v>0.99754240000000005</v>
      </c>
      <c r="AB1284">
        <v>61</v>
      </c>
      <c r="AC1284">
        <v>-18.006399999999999</v>
      </c>
      <c r="AD1284">
        <v>-1.10152291023935</v>
      </c>
      <c r="AE1284">
        <v>-1.4003000000000101</v>
      </c>
      <c r="AF1284">
        <v>-1.3022598360898201</v>
      </c>
      <c r="AG1284">
        <v>-1.10152291023935</v>
      </c>
      <c r="AH1284">
        <v>17.9466478267789</v>
      </c>
      <c r="AI1284">
        <v>93.503086337729798</v>
      </c>
      <c r="AJ1284">
        <v>94.150270772223493</v>
      </c>
      <c r="AK1284">
        <v>18.027517899614001</v>
      </c>
      <c r="AL1284">
        <v>88.394833788009294</v>
      </c>
      <c r="AM1284">
        <v>93.890930272151707</v>
      </c>
      <c r="AN1284">
        <v>0.99999996915155698</v>
      </c>
    </row>
    <row r="1285" spans="1:40" x14ac:dyDescent="0.3">
      <c r="A1285" t="str">
        <f>"20200111153856827"</f>
        <v>20200111153856827</v>
      </c>
      <c r="B1285" t="str">
        <f>"1578728336821850"</f>
        <v>1578728336821850</v>
      </c>
      <c r="C1285" t="s">
        <v>40</v>
      </c>
      <c r="D1285">
        <v>5.1870399999999997</v>
      </c>
      <c r="E1285">
        <v>0.49776959999999998</v>
      </c>
      <c r="F1285" t="s">
        <v>55</v>
      </c>
      <c r="G1285">
        <v>-323.80309999999997</v>
      </c>
      <c r="H1285" s="1">
        <v>5.7141769999999999E-7</v>
      </c>
      <c r="I1285">
        <v>282.6857</v>
      </c>
      <c r="J1285">
        <v>-305.50830000000002</v>
      </c>
      <c r="K1285">
        <v>1.1015379999999999</v>
      </c>
      <c r="L1285">
        <v>284.11340000000001</v>
      </c>
      <c r="M1285">
        <v>-0.99996890000000005</v>
      </c>
      <c r="N1285">
        <v>0</v>
      </c>
      <c r="O1285">
        <v>-4.5914839999999998E-3</v>
      </c>
      <c r="P1285">
        <v>-0.99716349999999998</v>
      </c>
      <c r="Q1285">
        <v>2.1959090000000001E-2</v>
      </c>
      <c r="R1285">
        <v>-7.1992680000000003E-2</v>
      </c>
      <c r="S1285">
        <v>-2.9958800000000001</v>
      </c>
      <c r="T1285">
        <v>-0.1745217</v>
      </c>
      <c r="U1285">
        <v>-0.2267151</v>
      </c>
      <c r="V1285">
        <v>-6.7347530000000003E-2</v>
      </c>
      <c r="W1285">
        <v>2.8530369999999999E-2</v>
      </c>
      <c r="X1285">
        <v>0.99732160000000003</v>
      </c>
      <c r="Y1285">
        <v>-7.0769029999999997E-2</v>
      </c>
      <c r="Z1285">
        <v>-1.789749E-3</v>
      </c>
      <c r="AA1285">
        <v>0.99749109999999996</v>
      </c>
      <c r="AB1285">
        <v>61</v>
      </c>
      <c r="AC1285">
        <v>-18.294799999999899</v>
      </c>
      <c r="AD1285">
        <v>-1.1015374285823001</v>
      </c>
      <c r="AE1285">
        <v>-1.42770000000001</v>
      </c>
      <c r="AF1285">
        <v>-1.3388585667772901</v>
      </c>
      <c r="AG1285">
        <v>-1.1015374285823001</v>
      </c>
      <c r="AH1285">
        <v>18.235453837645998</v>
      </c>
      <c r="AI1285">
        <v>93.447571856199104</v>
      </c>
      <c r="AJ1285">
        <v>94.199157913212304</v>
      </c>
      <c r="AK1285">
        <v>18.317688272086102</v>
      </c>
      <c r="AL1285">
        <v>88.3651084017974</v>
      </c>
      <c r="AM1285">
        <v>93.8632271158463</v>
      </c>
      <c r="AN1285">
        <v>1.0000000228179899</v>
      </c>
    </row>
    <row r="1286" spans="1:40" x14ac:dyDescent="0.3">
      <c r="A1286" t="str">
        <f>"20200111153856850"</f>
        <v>20200111153856850</v>
      </c>
      <c r="B1286" t="str">
        <f>"1578728336842346"</f>
        <v>1578728336842346</v>
      </c>
      <c r="C1286" t="s">
        <v>40</v>
      </c>
      <c r="D1286">
        <v>5.2429589999999999</v>
      </c>
      <c r="E1286">
        <v>0.4975156</v>
      </c>
      <c r="F1286" t="s">
        <v>55</v>
      </c>
      <c r="G1286">
        <v>-324.33710000000002</v>
      </c>
      <c r="H1286" s="1">
        <v>8.5387400000000001E-7</v>
      </c>
      <c r="I1286">
        <v>282.72460000000001</v>
      </c>
      <c r="J1286">
        <v>-306.13749999999999</v>
      </c>
      <c r="K1286">
        <v>1.101567</v>
      </c>
      <c r="L1286">
        <v>284.11040000000003</v>
      </c>
      <c r="M1286">
        <v>-0.9999709</v>
      </c>
      <c r="N1286">
        <v>0</v>
      </c>
      <c r="O1286">
        <v>-4.0379480000000004E-3</v>
      </c>
      <c r="P1286">
        <v>-0.99714919999999996</v>
      </c>
      <c r="Q1286">
        <v>2.245316E-2</v>
      </c>
      <c r="R1286">
        <v>-7.2037439999999994E-2</v>
      </c>
      <c r="S1286">
        <v>-2.996429</v>
      </c>
      <c r="T1286">
        <v>-0.1752995</v>
      </c>
      <c r="U1286">
        <v>-0.22100829999999999</v>
      </c>
      <c r="V1286">
        <v>-6.7944690000000002E-2</v>
      </c>
      <c r="W1286">
        <v>2.907993E-2</v>
      </c>
      <c r="X1286">
        <v>0.99726519999999996</v>
      </c>
      <c r="Y1286">
        <v>-6.9418530000000006E-2</v>
      </c>
      <c r="Z1286">
        <v>-1.790404E-3</v>
      </c>
      <c r="AA1286">
        <v>0.99758599999999997</v>
      </c>
      <c r="AB1286">
        <v>61</v>
      </c>
      <c r="AC1286">
        <v>-18.1996</v>
      </c>
      <c r="AD1286">
        <v>-1.101566146126</v>
      </c>
      <c r="AE1286">
        <v>-1.3858000000000099</v>
      </c>
      <c r="AF1286">
        <v>-1.30753556648122</v>
      </c>
      <c r="AG1286">
        <v>-1.101566146126</v>
      </c>
      <c r="AH1286">
        <v>18.1389782526693</v>
      </c>
      <c r="AI1286">
        <v>93.4662883648557</v>
      </c>
      <c r="AJ1286">
        <v>94.122994851015903</v>
      </c>
      <c r="AK1286">
        <v>18.219375106811899</v>
      </c>
      <c r="AL1286">
        <v>88.333607826173093</v>
      </c>
      <c r="AM1286">
        <v>93.897596376358294</v>
      </c>
      <c r="AN1286">
        <v>1.00000000117952</v>
      </c>
    </row>
    <row r="1287" spans="1:40" x14ac:dyDescent="0.3">
      <c r="A1287" t="str">
        <f>"20200111153856872"</f>
        <v>20200111153856872</v>
      </c>
      <c r="B1287" t="str">
        <f>"1578728336861869"</f>
        <v>1578728336861869</v>
      </c>
      <c r="C1287" t="s">
        <v>40</v>
      </c>
      <c r="D1287">
        <v>5.2320320000000002</v>
      </c>
      <c r="E1287">
        <v>0.49737819999999999</v>
      </c>
      <c r="F1287" t="s">
        <v>55</v>
      </c>
      <c r="G1287">
        <v>-325.3236</v>
      </c>
      <c r="H1287" s="1">
        <v>1.3806420000000001E-6</v>
      </c>
      <c r="I1287">
        <v>282.68349999999998</v>
      </c>
      <c r="J1287">
        <v>-306.75209999999998</v>
      </c>
      <c r="K1287">
        <v>1.1016109999999999</v>
      </c>
      <c r="L1287">
        <v>284.1078</v>
      </c>
      <c r="M1287">
        <v>-0.99997219999999998</v>
      </c>
      <c r="N1287">
        <v>0</v>
      </c>
      <c r="O1287">
        <v>-3.5543910000000001E-3</v>
      </c>
      <c r="P1287">
        <v>-0.99713870000000004</v>
      </c>
      <c r="Q1287">
        <v>2.2469449999999998E-2</v>
      </c>
      <c r="R1287">
        <v>-7.2176969999999993E-2</v>
      </c>
      <c r="S1287">
        <v>-2.9963679999999999</v>
      </c>
      <c r="T1287">
        <v>-0.17203560000000001</v>
      </c>
      <c r="U1287">
        <v>-0.22283939999999999</v>
      </c>
      <c r="V1287">
        <v>-6.8567929999999999E-2</v>
      </c>
      <c r="W1287">
        <v>2.9168590000000001E-2</v>
      </c>
      <c r="X1287">
        <v>0.99722</v>
      </c>
      <c r="Y1287">
        <v>-7.051019E-2</v>
      </c>
      <c r="Z1287">
        <v>-1.8160889999999999E-3</v>
      </c>
      <c r="AA1287">
        <v>0.99750939999999999</v>
      </c>
      <c r="AB1287">
        <v>61</v>
      </c>
      <c r="AC1287">
        <v>-18.5715</v>
      </c>
      <c r="AD1287">
        <v>-1.1016096193580001</v>
      </c>
      <c r="AE1287">
        <v>-1.4243000000000099</v>
      </c>
      <c r="AF1287">
        <v>-1.3535445705025699</v>
      </c>
      <c r="AG1287">
        <v>-1.1016096193580001</v>
      </c>
      <c r="AH1287">
        <v>18.511692196192701</v>
      </c>
      <c r="AI1287">
        <v>93.3965439411933</v>
      </c>
      <c r="AJ1287">
        <v>94.181931404474994</v>
      </c>
      <c r="AK1287">
        <v>18.593772468877301</v>
      </c>
      <c r="AL1287">
        <v>88.328525904912794</v>
      </c>
      <c r="AM1287">
        <v>93.933414084042496</v>
      </c>
      <c r="AN1287">
        <v>1.00000004803353</v>
      </c>
    </row>
    <row r="1288" spans="1:40" x14ac:dyDescent="0.3">
      <c r="A1288" t="str">
        <f>"20200111153856894"</f>
        <v>20200111153856894</v>
      </c>
      <c r="B1288" t="str">
        <f>"1578728336892123"</f>
        <v>1578728336892123</v>
      </c>
      <c r="C1288" t="s">
        <v>40</v>
      </c>
      <c r="D1288">
        <v>5.2570949999999996</v>
      </c>
      <c r="E1288">
        <v>0.49704480000000001</v>
      </c>
      <c r="F1288" t="s">
        <v>55</v>
      </c>
      <c r="G1288">
        <v>-325.81079999999997</v>
      </c>
      <c r="H1288" s="1">
        <v>1.640018E-6</v>
      </c>
      <c r="I1288">
        <v>282.68150000000003</v>
      </c>
      <c r="J1288">
        <v>-307.35120000000001</v>
      </c>
      <c r="K1288">
        <v>1.101677</v>
      </c>
      <c r="L1288">
        <v>284.10550000000001</v>
      </c>
      <c r="M1288">
        <v>-0.999973</v>
      </c>
      <c r="N1288">
        <v>0</v>
      </c>
      <c r="O1288">
        <v>-3.1512070000000001E-3</v>
      </c>
      <c r="P1288">
        <v>-0.99711170000000005</v>
      </c>
      <c r="Q1288">
        <v>2.2549099999999999E-2</v>
      </c>
      <c r="R1288">
        <v>-7.2529789999999997E-2</v>
      </c>
      <c r="S1288">
        <v>-2.9963380000000002</v>
      </c>
      <c r="T1288">
        <v>-0.17319039999999999</v>
      </c>
      <c r="U1288">
        <v>-0.2242432</v>
      </c>
      <c r="V1288">
        <v>-6.9325040000000004E-2</v>
      </c>
      <c r="W1288">
        <v>2.9345900000000001E-2</v>
      </c>
      <c r="X1288">
        <v>0.9971624</v>
      </c>
      <c r="Y1288">
        <v>-7.1374290000000007E-2</v>
      </c>
      <c r="Z1288">
        <v>-1.8764160000000001E-3</v>
      </c>
      <c r="AA1288">
        <v>0.9974478</v>
      </c>
      <c r="AB1288">
        <v>61</v>
      </c>
      <c r="AC1288">
        <v>-18.459599999999899</v>
      </c>
      <c r="AD1288">
        <v>-1.1016753599819999</v>
      </c>
      <c r="AE1288">
        <v>-1.42399999999997</v>
      </c>
      <c r="AF1288">
        <v>-1.3610027596241701</v>
      </c>
      <c r="AG1288">
        <v>-1.1016753599819999</v>
      </c>
      <c r="AH1288">
        <v>18.398851422994799</v>
      </c>
      <c r="AI1288">
        <v>93.417316364248407</v>
      </c>
      <c r="AJ1288">
        <v>94.230587307012598</v>
      </c>
      <c r="AK1288">
        <v>18.481984492903699</v>
      </c>
      <c r="AL1288">
        <v>88.318362354886602</v>
      </c>
      <c r="AM1288">
        <v>93.976936244805202</v>
      </c>
      <c r="AN1288">
        <v>0.99999999749578505</v>
      </c>
    </row>
    <row r="1289" spans="1:40" x14ac:dyDescent="0.3">
      <c r="A1289" t="str">
        <f>"20200111153856916"</f>
        <v>20200111153856916</v>
      </c>
      <c r="B1289" t="str">
        <f>"1578728336911642"</f>
        <v>1578728336911642</v>
      </c>
      <c r="C1289" t="s">
        <v>40</v>
      </c>
      <c r="D1289">
        <v>5.2606609999999998</v>
      </c>
      <c r="E1289">
        <v>0.49680259999999998</v>
      </c>
      <c r="F1289" t="s">
        <v>55</v>
      </c>
      <c r="G1289">
        <v>-326.25279999999998</v>
      </c>
      <c r="H1289" s="1">
        <v>1.8757769999999999E-6</v>
      </c>
      <c r="I1289">
        <v>282.66820000000001</v>
      </c>
      <c r="J1289">
        <v>-307.959</v>
      </c>
      <c r="K1289">
        <v>1.1017669999999999</v>
      </c>
      <c r="L1289">
        <v>284.10340000000002</v>
      </c>
      <c r="M1289">
        <v>-0.99997270000000005</v>
      </c>
      <c r="N1289">
        <v>0</v>
      </c>
      <c r="O1289">
        <v>-2.823239E-3</v>
      </c>
      <c r="P1289">
        <v>-0.99701019999999896</v>
      </c>
      <c r="Q1289">
        <v>2.2550299999999999E-2</v>
      </c>
      <c r="R1289">
        <v>-7.3905970000000001E-2</v>
      </c>
      <c r="S1289">
        <v>-2.9960629999999999</v>
      </c>
      <c r="T1289">
        <v>-0.17462529999999901</v>
      </c>
      <c r="U1289">
        <v>-0.22781370000000001</v>
      </c>
      <c r="V1289">
        <v>-7.1032559999999995E-2</v>
      </c>
      <c r="W1289">
        <v>2.9496040000000001E-2</v>
      </c>
      <c r="X1289">
        <v>0.99703779999999997</v>
      </c>
      <c r="Y1289">
        <v>-7.2885130000000006E-2</v>
      </c>
      <c r="Z1289">
        <v>-1.9550240000000001E-3</v>
      </c>
      <c r="AA1289">
        <v>0.99733839999999996</v>
      </c>
      <c r="AB1289">
        <v>62</v>
      </c>
      <c r="AC1289">
        <v>-18.293799999999901</v>
      </c>
      <c r="AD1289">
        <v>-1.101765124223</v>
      </c>
      <c r="AE1289">
        <v>-1.4352</v>
      </c>
      <c r="AF1289">
        <v>-1.3785755402378801</v>
      </c>
      <c r="AG1289">
        <v>-1.101765124223</v>
      </c>
      <c r="AH1289">
        <v>18.232052532463001</v>
      </c>
      <c r="AI1289">
        <v>93.448365651885396</v>
      </c>
      <c r="AJ1289">
        <v>94.324063059354799</v>
      </c>
      <c r="AK1289">
        <v>18.317262253284099</v>
      </c>
      <c r="AL1289">
        <v>88.309756258425296</v>
      </c>
      <c r="AM1289">
        <v>94.075072230420702</v>
      </c>
      <c r="AN1289">
        <v>1.0000000077923299</v>
      </c>
    </row>
    <row r="1290" spans="1:40" x14ac:dyDescent="0.3">
      <c r="A1290" t="str">
        <f>"20200111153856939"</f>
        <v>20200111153856939</v>
      </c>
      <c r="B1290" t="str">
        <f>"1578728336932138"</f>
        <v>1578728336932138</v>
      </c>
      <c r="C1290" t="s">
        <v>40</v>
      </c>
      <c r="D1290">
        <v>5.2776740000000002</v>
      </c>
      <c r="E1290">
        <v>0.49676959999999998</v>
      </c>
      <c r="F1290" t="s">
        <v>55</v>
      </c>
      <c r="G1290">
        <v>-326.75540000000001</v>
      </c>
      <c r="H1290" s="1">
        <v>2.1445759999999999E-6</v>
      </c>
      <c r="I1290">
        <v>282.63780000000003</v>
      </c>
      <c r="J1290">
        <v>-308.60050000000001</v>
      </c>
      <c r="K1290">
        <v>1.1018749999999999</v>
      </c>
      <c r="L1290">
        <v>284.10140000000001</v>
      </c>
      <c r="M1290">
        <v>-0.99997190000000002</v>
      </c>
      <c r="N1290">
        <v>0</v>
      </c>
      <c r="O1290">
        <v>-2.5646369999999998E-3</v>
      </c>
      <c r="P1290">
        <v>-0.9968728</v>
      </c>
      <c r="Q1290">
        <v>2.1661130000000001E-2</v>
      </c>
      <c r="R1290">
        <v>-7.5999849999999994E-2</v>
      </c>
      <c r="S1290">
        <v>-2.9956670000000001</v>
      </c>
      <c r="T1290">
        <v>-0.1755929</v>
      </c>
      <c r="U1290">
        <v>-0.2335815</v>
      </c>
      <c r="V1290">
        <v>-7.3390449999999996E-2</v>
      </c>
      <c r="W1290">
        <v>2.8838760000000001E-2</v>
      </c>
      <c r="X1290">
        <v>0.9968863</v>
      </c>
      <c r="Y1290">
        <v>-7.5056339999999999E-2</v>
      </c>
      <c r="Z1290">
        <v>-2.0445580000000001E-3</v>
      </c>
      <c r="AA1290">
        <v>0.99717719999999999</v>
      </c>
      <c r="AB1290">
        <v>62</v>
      </c>
      <c r="AC1290">
        <v>-18.154900000000001</v>
      </c>
      <c r="AD1290">
        <v>-1.101872855424</v>
      </c>
      <c r="AE1290">
        <v>-1.46359999999998</v>
      </c>
      <c r="AF1290">
        <v>-1.4118661020716701</v>
      </c>
      <c r="AG1290">
        <v>-1.101872855424</v>
      </c>
      <c r="AH1290">
        <v>18.092378816378801</v>
      </c>
      <c r="AI1290">
        <v>93.474619425934193</v>
      </c>
      <c r="AJ1290">
        <v>94.462119686145002</v>
      </c>
      <c r="AK1290">
        <v>18.180804737828598</v>
      </c>
      <c r="AL1290">
        <v>88.347431750493996</v>
      </c>
      <c r="AM1290">
        <v>94.210501121265807</v>
      </c>
      <c r="AN1290">
        <v>1.0000000636786099</v>
      </c>
    </row>
    <row r="1291" spans="1:40" x14ac:dyDescent="0.3">
      <c r="A1291" t="str">
        <f>"20200111153856961"</f>
        <v>20200111153856961</v>
      </c>
      <c r="B1291" t="str">
        <f>"1578728336951659"</f>
        <v>1578728336951659</v>
      </c>
      <c r="C1291" t="s">
        <v>40</v>
      </c>
      <c r="D1291">
        <v>5.9769489999999896</v>
      </c>
      <c r="E1291">
        <v>0.49672440000000001</v>
      </c>
      <c r="F1291" t="s">
        <v>55</v>
      </c>
      <c r="G1291">
        <v>-326.9785</v>
      </c>
      <c r="H1291" s="1">
        <v>2.2636630000000001E-6</v>
      </c>
      <c r="I1291">
        <v>282.62950000000001</v>
      </c>
      <c r="J1291">
        <v>-309.2285</v>
      </c>
      <c r="K1291">
        <v>1.101993</v>
      </c>
      <c r="L1291">
        <v>284.09960000000001</v>
      </c>
      <c r="M1291">
        <v>-0.99997009999999997</v>
      </c>
      <c r="N1291">
        <v>0</v>
      </c>
      <c r="O1291">
        <v>-2.3793379999999999E-3</v>
      </c>
      <c r="P1291">
        <v>-0.99677269999999896</v>
      </c>
      <c r="Q1291">
        <v>2.0399420000000001E-2</v>
      </c>
      <c r="R1291">
        <v>-7.7642390000000006E-2</v>
      </c>
      <c r="S1291">
        <v>-2.9950559999999999</v>
      </c>
      <c r="T1291">
        <v>-0.1795715</v>
      </c>
      <c r="U1291">
        <v>-0.2398682</v>
      </c>
      <c r="V1291">
        <v>-7.5224910000000006E-2</v>
      </c>
      <c r="W1291">
        <v>2.7856869999999999E-2</v>
      </c>
      <c r="X1291">
        <v>0.99677740000000004</v>
      </c>
      <c r="Y1291">
        <v>-7.7326660000000005E-2</v>
      </c>
      <c r="Z1291">
        <v>-2.1700249999999999E-3</v>
      </c>
      <c r="AA1291">
        <v>0.99700339999999998</v>
      </c>
      <c r="AB1291">
        <v>62</v>
      </c>
      <c r="AC1291">
        <v>-17.75</v>
      </c>
      <c r="AD1291">
        <v>-1.1019907363370001</v>
      </c>
      <c r="AE1291">
        <v>-1.4701</v>
      </c>
      <c r="AF1291">
        <v>-1.42241620652625</v>
      </c>
      <c r="AG1291">
        <v>-1.1019907363370001</v>
      </c>
      <c r="AH1291">
        <v>17.685743826660701</v>
      </c>
      <c r="AI1291">
        <v>93.554018133855905</v>
      </c>
      <c r="AJ1291">
        <v>94.598245881972602</v>
      </c>
      <c r="AK1291">
        <v>17.777040984084699</v>
      </c>
      <c r="AL1291">
        <v>88.403712400555904</v>
      </c>
      <c r="AM1291">
        <v>94.315823302267802</v>
      </c>
      <c r="AN1291">
        <v>0.99999998872073204</v>
      </c>
    </row>
    <row r="1292" spans="1:40" x14ac:dyDescent="0.3">
      <c r="A1292" t="str">
        <f>"20200111153856983"</f>
        <v>20200111153856983</v>
      </c>
      <c r="B1292" t="str">
        <f>"1578728336972157"</f>
        <v>1578728336972157</v>
      </c>
      <c r="C1292" t="s">
        <v>40</v>
      </c>
      <c r="D1292">
        <v>5.3222990000000001</v>
      </c>
      <c r="E1292">
        <v>0.49661040000000001</v>
      </c>
      <c r="F1292" t="s">
        <v>55</v>
      </c>
      <c r="G1292">
        <v>-327.36419999999998</v>
      </c>
      <c r="H1292" s="1">
        <v>2.4694870000000001E-6</v>
      </c>
      <c r="I1292">
        <v>282.61700000000002</v>
      </c>
      <c r="J1292">
        <v>-309.81659999999999</v>
      </c>
      <c r="K1292">
        <v>1.102109</v>
      </c>
      <c r="L1292">
        <v>284.09800000000001</v>
      </c>
      <c r="M1292">
        <v>-0.99996790000000002</v>
      </c>
      <c r="N1292">
        <v>0</v>
      </c>
      <c r="O1292">
        <v>-2.2552459999999998E-3</v>
      </c>
      <c r="P1292">
        <v>-0.99665749999999997</v>
      </c>
      <c r="Q1292">
        <v>1.9604389999999999E-2</v>
      </c>
      <c r="R1292">
        <v>-7.9307749999999996E-2</v>
      </c>
      <c r="S1292">
        <v>-2.9943240000000002</v>
      </c>
      <c r="T1292">
        <v>-0.18194589999999999</v>
      </c>
      <c r="U1292">
        <v>-0.24478150000000001</v>
      </c>
      <c r="V1292">
        <v>-7.7019580000000004E-2</v>
      </c>
      <c r="W1292">
        <v>2.7380689999999999E-2</v>
      </c>
      <c r="X1292">
        <v>0.99665360000000003</v>
      </c>
      <c r="Y1292">
        <v>-7.9087930000000001E-2</v>
      </c>
      <c r="Z1292">
        <v>-2.2599489999999998E-3</v>
      </c>
      <c r="AA1292">
        <v>0.99686509999999995</v>
      </c>
      <c r="AB1292">
        <v>62</v>
      </c>
      <c r="AC1292">
        <v>-17.5475999999999</v>
      </c>
      <c r="AD1292">
        <v>-1.102106530513</v>
      </c>
      <c r="AE1292">
        <v>-1.4809999999999901</v>
      </c>
      <c r="AF1292">
        <v>-1.4357972082544299</v>
      </c>
      <c r="AG1292">
        <v>-1.102106530513</v>
      </c>
      <c r="AH1292">
        <v>17.4824207068513</v>
      </c>
      <c r="AI1292">
        <v>93.595128430637004</v>
      </c>
      <c r="AJ1292">
        <v>94.695053774511294</v>
      </c>
      <c r="AK1292">
        <v>17.575869429395901</v>
      </c>
      <c r="AL1292">
        <v>88.431006026049801</v>
      </c>
      <c r="AM1292">
        <v>94.418931242250906</v>
      </c>
      <c r="AN1292">
        <v>1.0000000581405999</v>
      </c>
    </row>
    <row r="1293" spans="1:40" x14ac:dyDescent="0.3">
      <c r="A1293" t="str">
        <f>"20200111153857005"</f>
        <v>20200111153857005</v>
      </c>
      <c r="B1293" t="str">
        <f>"1578728337001434"</f>
        <v>1578728337001434</v>
      </c>
      <c r="C1293" t="s">
        <v>40</v>
      </c>
      <c r="D1293">
        <v>5.3012370000000004</v>
      </c>
      <c r="E1293">
        <v>0.4966197</v>
      </c>
      <c r="F1293" t="s">
        <v>55</v>
      </c>
      <c r="G1293">
        <v>-327.60419999999999</v>
      </c>
      <c r="H1293" s="1">
        <v>2.5974540000000001E-6</v>
      </c>
      <c r="I1293">
        <v>282.61099999999999</v>
      </c>
      <c r="J1293">
        <v>-310.43369999999999</v>
      </c>
      <c r="K1293">
        <v>1.1022339999999999</v>
      </c>
      <c r="L1293">
        <v>284.09649999999999</v>
      </c>
      <c r="M1293">
        <v>-0.99996479999999999</v>
      </c>
      <c r="N1293">
        <v>0</v>
      </c>
      <c r="O1293">
        <v>-2.165433E-3</v>
      </c>
      <c r="P1293">
        <v>-0.99652580000000002</v>
      </c>
      <c r="Q1293">
        <v>1.8267169999999999E-2</v>
      </c>
      <c r="R1293">
        <v>-8.1259209999999998E-2</v>
      </c>
      <c r="S1293">
        <v>-2.993805</v>
      </c>
      <c r="T1293">
        <v>-0.1854934</v>
      </c>
      <c r="U1293">
        <v>-0.25027470000000002</v>
      </c>
      <c r="V1293">
        <v>-7.9065389999999999E-2</v>
      </c>
      <c r="W1293">
        <v>2.6455960000000001E-2</v>
      </c>
      <c r="X1293">
        <v>0.99651829999999997</v>
      </c>
      <c r="Y1293">
        <v>-8.0998650000000005E-2</v>
      </c>
      <c r="Z1293">
        <v>-2.3687370000000001E-3</v>
      </c>
      <c r="AA1293">
        <v>0.99671140000000003</v>
      </c>
      <c r="AB1293">
        <v>62</v>
      </c>
      <c r="AC1293">
        <v>-17.170500000000001</v>
      </c>
      <c r="AD1293">
        <v>-1.1022314025459901</v>
      </c>
      <c r="AE1293">
        <v>-1.4855</v>
      </c>
      <c r="AF1293">
        <v>-1.44241401188108</v>
      </c>
      <c r="AG1293">
        <v>-1.1022314025459901</v>
      </c>
      <c r="AH1293">
        <v>17.103719505181999</v>
      </c>
      <c r="AI1293">
        <v>93.674261266914399</v>
      </c>
      <c r="AJ1293">
        <v>94.820538709273293</v>
      </c>
      <c r="AK1293">
        <v>17.1997875905016</v>
      </c>
      <c r="AL1293">
        <v>88.484008250778601</v>
      </c>
      <c r="AM1293">
        <v>94.536437580028604</v>
      </c>
      <c r="AN1293">
        <v>0.99999998797513101</v>
      </c>
    </row>
    <row r="1294" spans="1:40" x14ac:dyDescent="0.3">
      <c r="A1294" t="str">
        <f>"20200111153857027"</f>
        <v>20200111153857027</v>
      </c>
      <c r="B1294" t="str">
        <f>"1578728337021933"</f>
        <v>1578728337021933</v>
      </c>
      <c r="C1294" t="s">
        <v>40</v>
      </c>
      <c r="D1294">
        <v>5.2546920000000004</v>
      </c>
      <c r="E1294">
        <v>0.49667529999999999</v>
      </c>
      <c r="F1294" t="s">
        <v>55</v>
      </c>
      <c r="G1294">
        <v>-327.78</v>
      </c>
      <c r="H1294" s="1">
        <v>2.6908460000000001E-6</v>
      </c>
      <c r="I1294">
        <v>282.61470000000003</v>
      </c>
      <c r="J1294">
        <v>-311.0582</v>
      </c>
      <c r="K1294">
        <v>1.102371</v>
      </c>
      <c r="L1294">
        <v>284.09500000000003</v>
      </c>
      <c r="M1294">
        <v>-0.99996070000000004</v>
      </c>
      <c r="N1294">
        <v>0</v>
      </c>
      <c r="O1294">
        <v>-2.1095860000000001E-3</v>
      </c>
      <c r="P1294">
        <v>-0.99639200000000006</v>
      </c>
      <c r="Q1294">
        <v>1.687603E-2</v>
      </c>
      <c r="R1294">
        <v>-8.3176369999999999E-2</v>
      </c>
      <c r="S1294">
        <v>-2.9931030000000001</v>
      </c>
      <c r="T1294">
        <v>-0.19018979999999999</v>
      </c>
      <c r="U1294">
        <v>-0.25567630000000002</v>
      </c>
      <c r="V1294">
        <v>-8.1043850000000001E-2</v>
      </c>
      <c r="W1294">
        <v>2.5566479999999999E-2</v>
      </c>
      <c r="X1294">
        <v>0.99638260000000001</v>
      </c>
      <c r="Y1294">
        <v>-8.2848019999999994E-2</v>
      </c>
      <c r="Z1294">
        <v>-2.4911040000000001E-3</v>
      </c>
      <c r="AA1294">
        <v>0.99655910000000003</v>
      </c>
      <c r="AB1294">
        <v>62</v>
      </c>
      <c r="AC1294">
        <v>-16.721799999999899</v>
      </c>
      <c r="AD1294">
        <v>-1.102368309154</v>
      </c>
      <c r="AE1294">
        <v>-1.48029999999999</v>
      </c>
      <c r="AF1294">
        <v>-1.43881488912848</v>
      </c>
      <c r="AG1294">
        <v>-1.102368309154</v>
      </c>
      <c r="AH1294">
        <v>16.6530746129737</v>
      </c>
      <c r="AI1294">
        <v>93.773214623125696</v>
      </c>
      <c r="AJ1294">
        <v>94.938055424278204</v>
      </c>
      <c r="AK1294">
        <v>16.751426752353801</v>
      </c>
      <c r="AL1294">
        <v>88.534988996381699</v>
      </c>
      <c r="AM1294">
        <v>94.650092040882598</v>
      </c>
      <c r="AN1294">
        <v>1.0000000180525801</v>
      </c>
    </row>
    <row r="1295" spans="1:40" x14ac:dyDescent="0.3">
      <c r="A1295" t="str">
        <f>"20200111153857062"</f>
        <v>20200111153857062</v>
      </c>
      <c r="B1295" t="str">
        <f>"1578728337052186"</f>
        <v>1578728337052186</v>
      </c>
      <c r="C1295" t="s">
        <v>40</v>
      </c>
      <c r="D1295">
        <v>5.3296769999999896</v>
      </c>
      <c r="E1295">
        <v>0.49663239999999997</v>
      </c>
      <c r="F1295" t="s">
        <v>55</v>
      </c>
      <c r="G1295">
        <v>-327.98149999999998</v>
      </c>
      <c r="H1295" s="1">
        <v>2.7978140000000001E-6</v>
      </c>
      <c r="I1295">
        <v>282.62060000000002</v>
      </c>
      <c r="J1295">
        <v>-312.0061</v>
      </c>
      <c r="K1295">
        <v>1.1026180000000001</v>
      </c>
      <c r="L1295">
        <v>284.09300000000002</v>
      </c>
      <c r="M1295">
        <v>-0.99995210000000001</v>
      </c>
      <c r="N1295">
        <v>0</v>
      </c>
      <c r="O1295">
        <v>-2.0972909999999998E-3</v>
      </c>
      <c r="P1295">
        <v>-0.99633229999999995</v>
      </c>
      <c r="Q1295">
        <v>1.709915E-2</v>
      </c>
      <c r="R1295">
        <v>-8.3842760000000002E-2</v>
      </c>
      <c r="S1295">
        <v>-2.9924010000000001</v>
      </c>
      <c r="T1295">
        <v>-0.1949224</v>
      </c>
      <c r="U1295">
        <v>-0.26071169999999999</v>
      </c>
      <c r="V1295">
        <v>-8.1727460000000002E-2</v>
      </c>
      <c r="W1295">
        <v>2.670144E-2</v>
      </c>
      <c r="X1295">
        <v>0.99629690000000004</v>
      </c>
      <c r="Y1295">
        <v>-8.4532720000000006E-2</v>
      </c>
      <c r="Z1295">
        <v>-2.6088790000000001E-3</v>
      </c>
      <c r="AA1295">
        <v>0.99641729999999995</v>
      </c>
      <c r="AB1295">
        <v>62</v>
      </c>
      <c r="AC1295">
        <v>-15.975399999999899</v>
      </c>
      <c r="AD1295">
        <v>-1.1026152021860001</v>
      </c>
      <c r="AE1295">
        <v>-1.4723999999999899</v>
      </c>
      <c r="AF1295">
        <v>-1.4321254151869001</v>
      </c>
      <c r="AG1295">
        <v>-1.1026152021860001</v>
      </c>
      <c r="AH1295">
        <v>15.903332464771401</v>
      </c>
      <c r="AI1295">
        <v>93.950170024294593</v>
      </c>
      <c r="AJ1295">
        <v>95.145714696685204</v>
      </c>
      <c r="AK1295">
        <v>16.0057091993441</v>
      </c>
      <c r="AL1295">
        <v>88.469938221457397</v>
      </c>
      <c r="AM1295">
        <v>94.689543230396296</v>
      </c>
      <c r="AN1295">
        <v>0.99999992878286503</v>
      </c>
    </row>
    <row r="1296" spans="1:40" x14ac:dyDescent="0.3">
      <c r="A1296" t="str">
        <f>"20200111153857083"</f>
        <v>20200111153857083</v>
      </c>
      <c r="B1296" t="str">
        <f>"1578728337071706"</f>
        <v>1578728337071706</v>
      </c>
      <c r="C1296" t="s">
        <v>40</v>
      </c>
      <c r="D1296">
        <v>5.3181059999999896</v>
      </c>
      <c r="E1296">
        <v>0.49718639999999997</v>
      </c>
      <c r="F1296" t="s">
        <v>55</v>
      </c>
      <c r="G1296">
        <v>-328.83350000000002</v>
      </c>
      <c r="H1296" s="1">
        <v>3.251441E-6</v>
      </c>
      <c r="I1296">
        <v>282.61470000000003</v>
      </c>
      <c r="J1296">
        <v>-312.59370000000001</v>
      </c>
      <c r="K1296">
        <v>1.1027849999999999</v>
      </c>
      <c r="L1296">
        <v>284.09179999999998</v>
      </c>
      <c r="M1296">
        <v>-0.99994570000000005</v>
      </c>
      <c r="N1296">
        <v>0</v>
      </c>
      <c r="O1296">
        <v>-2.1219640000000001E-3</v>
      </c>
      <c r="P1296">
        <v>-0.99628479999999997</v>
      </c>
      <c r="Q1296">
        <v>1.8630669999999998E-2</v>
      </c>
      <c r="R1296">
        <v>-8.4080360000000007E-2</v>
      </c>
      <c r="S1296">
        <v>-2.9922789999999999</v>
      </c>
      <c r="T1296">
        <v>-0.19606889999999999</v>
      </c>
      <c r="U1296">
        <v>-0.26287840000000001</v>
      </c>
      <c r="V1296">
        <v>-8.194253E-2</v>
      </c>
      <c r="W1296">
        <v>2.8856860000000002E-2</v>
      </c>
      <c r="X1296">
        <v>0.99621919999999997</v>
      </c>
      <c r="Y1296">
        <v>-8.5224190000000005E-2</v>
      </c>
      <c r="Z1296">
        <v>-2.64519E-3</v>
      </c>
      <c r="AA1296">
        <v>0.99635830000000003</v>
      </c>
      <c r="AB1296">
        <v>62</v>
      </c>
      <c r="AC1296">
        <v>-16.239799999999999</v>
      </c>
      <c r="AD1296">
        <v>-1.1027817485589999</v>
      </c>
      <c r="AE1296">
        <v>-1.4770999999999499</v>
      </c>
      <c r="AF1296">
        <v>-1.43606689361032</v>
      </c>
      <c r="AG1296">
        <v>-1.1027817485589999</v>
      </c>
      <c r="AH1296">
        <v>16.168950786066699</v>
      </c>
      <c r="AI1296">
        <v>93.886488141867403</v>
      </c>
      <c r="AJ1296">
        <v>95.075483193305899</v>
      </c>
      <c r="AK1296">
        <v>16.270014911797901</v>
      </c>
      <c r="AL1296">
        <v>88.346394152426996</v>
      </c>
      <c r="AM1296">
        <v>94.702193820876204</v>
      </c>
      <c r="AN1296">
        <v>0.99999999552024998</v>
      </c>
    </row>
    <row r="1297" spans="1:40" x14ac:dyDescent="0.3">
      <c r="A1297" t="str">
        <f>"20200111153857105"</f>
        <v>20200111153857105</v>
      </c>
      <c r="B1297" t="str">
        <f>"1578728337101962"</f>
        <v>1578728337101962</v>
      </c>
      <c r="C1297" t="s">
        <v>40</v>
      </c>
      <c r="D1297">
        <v>5.2467739999999896</v>
      </c>
      <c r="E1297">
        <v>0.49815749999999998</v>
      </c>
      <c r="F1297" t="s">
        <v>55</v>
      </c>
      <c r="G1297">
        <v>-330.16390000000001</v>
      </c>
      <c r="H1297" s="1">
        <v>-1.3600980000000001E-6</v>
      </c>
      <c r="I1297">
        <v>282.56959999999998</v>
      </c>
      <c r="J1297">
        <v>-313.20519999999999</v>
      </c>
      <c r="K1297">
        <v>1.102949</v>
      </c>
      <c r="L1297">
        <v>284.09050000000002</v>
      </c>
      <c r="M1297">
        <v>-0.99993880000000002</v>
      </c>
      <c r="N1297">
        <v>0</v>
      </c>
      <c r="O1297">
        <v>-2.1610790000000002E-3</v>
      </c>
      <c r="P1297">
        <v>-0.99619970000000002</v>
      </c>
      <c r="Q1297">
        <v>2.089773E-2</v>
      </c>
      <c r="R1297">
        <v>-8.455522E-2</v>
      </c>
      <c r="S1297">
        <v>-2.9927980000000001</v>
      </c>
      <c r="T1297">
        <v>-0.1878417</v>
      </c>
      <c r="U1297">
        <v>-0.25927729999999999</v>
      </c>
      <c r="V1297">
        <v>-8.2381780000000002E-2</v>
      </c>
      <c r="W1297">
        <v>3.1762319999999997E-2</v>
      </c>
      <c r="X1297">
        <v>0.99609460000000005</v>
      </c>
      <c r="Y1297">
        <v>-8.3997310000000006E-2</v>
      </c>
      <c r="Z1297">
        <v>-2.493271E-3</v>
      </c>
      <c r="AA1297">
        <v>0.99646290000000004</v>
      </c>
      <c r="AB1297">
        <v>62</v>
      </c>
      <c r="AC1297">
        <v>-16.9587</v>
      </c>
      <c r="AD1297">
        <v>-1.102950360098</v>
      </c>
      <c r="AE1297">
        <v>-1.5209000000000299</v>
      </c>
      <c r="AF1297">
        <v>-1.4780431555039899</v>
      </c>
      <c r="AG1297">
        <v>-1.102950360098</v>
      </c>
      <c r="AH1297">
        <v>16.891070434863199</v>
      </c>
      <c r="AI1297">
        <v>93.721805041448206</v>
      </c>
      <c r="AJ1297">
        <v>95.000895361546696</v>
      </c>
      <c r="AK1297">
        <v>16.991449952899401</v>
      </c>
      <c r="AL1297">
        <v>88.179847036781993</v>
      </c>
      <c r="AM1297">
        <v>94.727874478792799</v>
      </c>
      <c r="AN1297">
        <v>1.00000002739845</v>
      </c>
    </row>
    <row r="1298" spans="1:40" x14ac:dyDescent="0.3">
      <c r="A1298" t="str">
        <f>"20200111153857129"</f>
        <v>20200111153857129</v>
      </c>
      <c r="B1298" t="str">
        <f>"1578728337121483"</f>
        <v>1578728337121483</v>
      </c>
      <c r="C1298" t="s">
        <v>40</v>
      </c>
      <c r="D1298">
        <v>5.2834300000000001</v>
      </c>
      <c r="E1298">
        <v>0.49862089999999998</v>
      </c>
      <c r="F1298" t="s">
        <v>55</v>
      </c>
      <c r="G1298">
        <v>-332.01420000000002</v>
      </c>
      <c r="H1298" s="1">
        <v>-3.7240469999999998E-7</v>
      </c>
      <c r="I1298">
        <v>282.49959999999999</v>
      </c>
      <c r="J1298">
        <v>-313.85219999999998</v>
      </c>
      <c r="K1298">
        <v>1.10311</v>
      </c>
      <c r="L1298">
        <v>284.08909999999997</v>
      </c>
      <c r="M1298">
        <v>-0.99993149999999997</v>
      </c>
      <c r="N1298">
        <v>0</v>
      </c>
      <c r="O1298">
        <v>-2.2184259999999999E-3</v>
      </c>
      <c r="P1298">
        <v>-0.99609910000000002</v>
      </c>
      <c r="Q1298">
        <v>2.321749E-2</v>
      </c>
      <c r="R1298">
        <v>-8.5131910000000005E-2</v>
      </c>
      <c r="S1298">
        <v>-2.993652</v>
      </c>
      <c r="T1298">
        <v>-0.17554629999999999</v>
      </c>
      <c r="U1298">
        <v>-0.25320429999999999</v>
      </c>
      <c r="V1298">
        <v>-8.2906560000000004E-2</v>
      </c>
      <c r="W1298">
        <v>3.470898E-2</v>
      </c>
      <c r="X1298">
        <v>0.99595270000000002</v>
      </c>
      <c r="Y1298">
        <v>-8.1932649999999996E-2</v>
      </c>
      <c r="Z1298">
        <v>-2.2661669999999999E-3</v>
      </c>
      <c r="AA1298">
        <v>0.9966353</v>
      </c>
      <c r="AB1298">
        <v>62</v>
      </c>
      <c r="AC1298">
        <v>-18.161999999999999</v>
      </c>
      <c r="AD1298">
        <v>-1.1031103724047</v>
      </c>
      <c r="AE1298">
        <v>-1.5894999999999799</v>
      </c>
      <c r="AF1298">
        <v>-1.5435514698563</v>
      </c>
      <c r="AG1298">
        <v>-1.1031103724047</v>
      </c>
      <c r="AH1298">
        <v>18.0992209165242</v>
      </c>
      <c r="AI1298">
        <v>93.475162156640906</v>
      </c>
      <c r="AJ1298">
        <v>94.874547139643596</v>
      </c>
      <c r="AK1298">
        <v>18.1983845826752</v>
      </c>
      <c r="AL1298">
        <v>88.010922412019596</v>
      </c>
      <c r="AM1298">
        <v>94.758528445925293</v>
      </c>
      <c r="AN1298">
        <v>0.99999999581048205</v>
      </c>
    </row>
    <row r="1299" spans="1:40" x14ac:dyDescent="0.3">
      <c r="A1299" t="str">
        <f>"20200111153857151"</f>
        <v>20200111153857151</v>
      </c>
      <c r="B1299" t="str">
        <f>"1578728337141981"</f>
        <v>1578728337141981</v>
      </c>
      <c r="C1299" t="s">
        <v>40</v>
      </c>
      <c r="D1299">
        <v>5.3087090000000003</v>
      </c>
      <c r="E1299">
        <v>0.49905749999999999</v>
      </c>
      <c r="F1299" t="s">
        <v>55</v>
      </c>
      <c r="G1299">
        <v>-333.76459999999997</v>
      </c>
      <c r="H1299" s="1">
        <v>5.6275160000000001E-7</v>
      </c>
      <c r="I1299">
        <v>282.41579999999999</v>
      </c>
      <c r="J1299">
        <v>-314.48309999999998</v>
      </c>
      <c r="K1299">
        <v>1.103248</v>
      </c>
      <c r="L1299">
        <v>284.08769999999998</v>
      </c>
      <c r="M1299">
        <v>-0.99992460000000005</v>
      </c>
      <c r="N1299">
        <v>0</v>
      </c>
      <c r="O1299">
        <v>-2.295839E-3</v>
      </c>
      <c r="P1299">
        <v>-0.9960196</v>
      </c>
      <c r="Q1299">
        <v>2.585115E-2</v>
      </c>
      <c r="R1299">
        <v>-8.5305800000000001E-2</v>
      </c>
      <c r="S1299">
        <v>-2.9941409999999999</v>
      </c>
      <c r="T1299">
        <v>-0.16586970000000001</v>
      </c>
      <c r="U1299">
        <v>-0.25161739999999999</v>
      </c>
      <c r="V1299">
        <v>-8.3008090000000007E-2</v>
      </c>
      <c r="W1299">
        <v>3.7890729999999997E-2</v>
      </c>
      <c r="X1299">
        <v>0.9958283</v>
      </c>
      <c r="Y1299">
        <v>-8.1332940000000006E-2</v>
      </c>
      <c r="Z1299">
        <v>-2.1202970000000002E-3</v>
      </c>
      <c r="AA1299">
        <v>0.99668469999999998</v>
      </c>
      <c r="AB1299">
        <v>62</v>
      </c>
      <c r="AC1299">
        <v>-19.281499999999902</v>
      </c>
      <c r="AD1299">
        <v>-1.10324743724839</v>
      </c>
      <c r="AE1299">
        <v>-1.6718999999999899</v>
      </c>
      <c r="AF1299">
        <v>-1.6223533805041901</v>
      </c>
      <c r="AG1299">
        <v>-1.10324743724839</v>
      </c>
      <c r="AH1299">
        <v>19.2228240807734</v>
      </c>
      <c r="AI1299">
        <v>93.273138133961396</v>
      </c>
      <c r="AJ1299">
        <v>94.824173550628501</v>
      </c>
      <c r="AK1299">
        <v>19.322684881749499</v>
      </c>
      <c r="AL1299">
        <v>87.828501328789301</v>
      </c>
      <c r="AM1299">
        <v>94.764921506778805</v>
      </c>
      <c r="AN1299">
        <v>1.0000000267531299</v>
      </c>
    </row>
    <row r="1300" spans="1:40" x14ac:dyDescent="0.3">
      <c r="A1300" t="str">
        <f>"20200111153857173"</f>
        <v>20200111153857173</v>
      </c>
      <c r="B1300" t="str">
        <f>"1578728337161499"</f>
        <v>1578728337161499</v>
      </c>
      <c r="C1300" t="s">
        <v>40</v>
      </c>
      <c r="D1300">
        <v>5.2950089999999896</v>
      </c>
      <c r="E1300">
        <v>0.49941400000000002</v>
      </c>
      <c r="F1300" t="s">
        <v>55</v>
      </c>
      <c r="G1300">
        <v>-335.65039999999999</v>
      </c>
      <c r="H1300" s="1">
        <v>1.5701279999999999E-6</v>
      </c>
      <c r="I1300">
        <v>282.32670000000002</v>
      </c>
      <c r="J1300">
        <v>-315.05930000000001</v>
      </c>
      <c r="K1300">
        <v>1.1033550000000001</v>
      </c>
      <c r="L1300">
        <v>284.08640000000003</v>
      </c>
      <c r="M1300">
        <v>-0.9999188</v>
      </c>
      <c r="N1300">
        <v>0</v>
      </c>
      <c r="O1300">
        <v>-2.3927229999999998E-3</v>
      </c>
      <c r="P1300">
        <v>-0.99594910000000003</v>
      </c>
      <c r="Q1300">
        <v>2.776909E-2</v>
      </c>
      <c r="R1300">
        <v>-8.552448E-2</v>
      </c>
      <c r="S1300">
        <v>-2.994659</v>
      </c>
      <c r="T1300">
        <v>-0.1560829</v>
      </c>
      <c r="U1300">
        <v>-0.24914549999999999</v>
      </c>
      <c r="V1300">
        <v>-8.3135719999999996E-2</v>
      </c>
      <c r="W1300">
        <v>4.0254030000000003E-2</v>
      </c>
      <c r="X1300">
        <v>0.99572490000000002</v>
      </c>
      <c r="Y1300">
        <v>-8.0420080000000005E-2</v>
      </c>
      <c r="Z1300">
        <v>-1.9663219999999999E-3</v>
      </c>
      <c r="AA1300">
        <v>0.99675910000000001</v>
      </c>
      <c r="AB1300">
        <v>62</v>
      </c>
      <c r="AC1300">
        <v>-20.591099999999901</v>
      </c>
      <c r="AD1300">
        <v>-1.10335342987199</v>
      </c>
      <c r="AE1300">
        <v>-1.7597</v>
      </c>
      <c r="AF1300">
        <v>-1.7055607268189099</v>
      </c>
      <c r="AG1300">
        <v>-1.10335342987199</v>
      </c>
      <c r="AH1300">
        <v>20.536713445309399</v>
      </c>
      <c r="AI1300">
        <v>93.064779897064994</v>
      </c>
      <c r="AJ1300">
        <v>94.747482545678196</v>
      </c>
      <c r="AK1300">
        <v>20.636931102245502</v>
      </c>
      <c r="AL1300">
        <v>87.692990658123406</v>
      </c>
      <c r="AM1300">
        <v>94.7727073295694</v>
      </c>
      <c r="AN1300">
        <v>1.00000000567558</v>
      </c>
    </row>
    <row r="1301" spans="1:40" x14ac:dyDescent="0.3">
      <c r="A1301" t="str">
        <f>"20200111153857195"</f>
        <v>20200111153857195</v>
      </c>
      <c r="B1301" t="str">
        <f>"1578728337191756"</f>
        <v>1578728337191756</v>
      </c>
      <c r="C1301" t="s">
        <v>40</v>
      </c>
      <c r="D1301">
        <v>5.3111730000000001</v>
      </c>
      <c r="E1301">
        <v>0.49982979999999999</v>
      </c>
      <c r="F1301" t="s">
        <v>55</v>
      </c>
      <c r="G1301">
        <v>-337.26159999999999</v>
      </c>
      <c r="H1301" s="1">
        <v>2.4306960000000002E-6</v>
      </c>
      <c r="I1301">
        <v>282.25470000000001</v>
      </c>
      <c r="J1301">
        <v>-315.66750000000002</v>
      </c>
      <c r="K1301">
        <v>1.1034539999999999</v>
      </c>
      <c r="L1301">
        <v>284.0849</v>
      </c>
      <c r="M1301">
        <v>-0.99991289999999999</v>
      </c>
      <c r="N1301">
        <v>0</v>
      </c>
      <c r="O1301">
        <v>-2.5266749999999999E-3</v>
      </c>
      <c r="P1301">
        <v>-0.99589430000000001</v>
      </c>
      <c r="Q1301">
        <v>2.9904360000000001E-2</v>
      </c>
      <c r="R1301">
        <v>-8.5443740000000004E-2</v>
      </c>
      <c r="S1301">
        <v>-2.9951479999999999</v>
      </c>
      <c r="T1301">
        <v>-0.14884500000000001</v>
      </c>
      <c r="U1301">
        <v>-0.24710080000000001</v>
      </c>
      <c r="V1301">
        <v>-8.2927500000000001E-2</v>
      </c>
      <c r="W1301">
        <v>4.2808150000000003E-2</v>
      </c>
      <c r="X1301">
        <v>0.99563570000000001</v>
      </c>
      <c r="Y1301">
        <v>-7.9607979999999995E-2</v>
      </c>
      <c r="Z1301">
        <v>-1.8482259999999999E-3</v>
      </c>
      <c r="AA1301">
        <v>0.99682459999999995</v>
      </c>
      <c r="AB1301">
        <v>62</v>
      </c>
      <c r="AC1301">
        <v>-21.594099999999901</v>
      </c>
      <c r="AD1301">
        <v>-1.1034515693039999</v>
      </c>
      <c r="AE1301">
        <v>-1.8301999999999901</v>
      </c>
      <c r="AF1301">
        <v>-1.7710367974025001</v>
      </c>
      <c r="AG1301">
        <v>-1.1034515693039999</v>
      </c>
      <c r="AH1301">
        <v>21.542804884077</v>
      </c>
      <c r="AI1301">
        <v>92.922363086733995</v>
      </c>
      <c r="AJ1301">
        <v>94.699724810934796</v>
      </c>
      <c r="AK1301">
        <v>21.643627675991901</v>
      </c>
      <c r="AL1301">
        <v>87.546523883753196</v>
      </c>
      <c r="AM1301">
        <v>94.761233283672993</v>
      </c>
      <c r="AN1301">
        <v>0.99999997753858105</v>
      </c>
    </row>
    <row r="1302" spans="1:40" x14ac:dyDescent="0.3">
      <c r="A1302" t="str">
        <f>"20200111153857218"</f>
        <v>20200111153857218</v>
      </c>
      <c r="B1302" t="str">
        <f>"1578728337212250"</f>
        <v>1578728337212250</v>
      </c>
      <c r="C1302" t="s">
        <v>40</v>
      </c>
      <c r="D1302">
        <v>5.3355610000000002</v>
      </c>
      <c r="E1302">
        <v>0.50002939999999996</v>
      </c>
      <c r="F1302" t="s">
        <v>55</v>
      </c>
      <c r="G1302">
        <v>-339.12139999999999</v>
      </c>
      <c r="H1302" s="1">
        <v>3.4238659999999999E-6</v>
      </c>
      <c r="I1302">
        <v>282.17489999999998</v>
      </c>
      <c r="J1302">
        <v>-316.30160000000001</v>
      </c>
      <c r="K1302">
        <v>1.1035440000000001</v>
      </c>
      <c r="L1302">
        <v>284.08319999999998</v>
      </c>
      <c r="M1302">
        <v>-0.99990730000000005</v>
      </c>
      <c r="N1302">
        <v>0</v>
      </c>
      <c r="O1302">
        <v>-2.7077249999999998E-3</v>
      </c>
      <c r="P1302">
        <v>-0.99587320000000001</v>
      </c>
      <c r="Q1302">
        <v>3.2067110000000003E-2</v>
      </c>
      <c r="R1302">
        <v>-8.490267E-2</v>
      </c>
      <c r="S1302">
        <v>-2.9956670000000001</v>
      </c>
      <c r="T1302">
        <v>-0.14093910000000001</v>
      </c>
      <c r="U1302">
        <v>-0.24395749999999999</v>
      </c>
      <c r="V1302">
        <v>-8.2212750000000001E-2</v>
      </c>
      <c r="W1302">
        <v>4.5353409999999997E-2</v>
      </c>
      <c r="X1302">
        <v>0.99558230000000003</v>
      </c>
      <c r="Y1302">
        <v>-7.8385620000000003E-2</v>
      </c>
      <c r="Z1302">
        <v>-1.712751E-3</v>
      </c>
      <c r="AA1302">
        <v>0.99692170000000002</v>
      </c>
      <c r="AB1302">
        <v>62</v>
      </c>
      <c r="AC1302">
        <v>-22.819799999999901</v>
      </c>
      <c r="AD1302">
        <v>-1.103540576134</v>
      </c>
      <c r="AE1302">
        <v>-1.9082999999999899</v>
      </c>
      <c r="AF1302">
        <v>-1.84221949190485</v>
      </c>
      <c r="AG1302">
        <v>-1.103540576134</v>
      </c>
      <c r="AH1302">
        <v>22.771999537452999</v>
      </c>
      <c r="AI1302">
        <v>92.765386597074396</v>
      </c>
      <c r="AJ1302">
        <v>94.625067691191902</v>
      </c>
      <c r="AK1302">
        <v>22.873030787223801</v>
      </c>
      <c r="AL1302">
        <v>87.400549331146706</v>
      </c>
      <c r="AM1302">
        <v>94.720634618789106</v>
      </c>
      <c r="AN1302">
        <v>0.99999999206724</v>
      </c>
    </row>
    <row r="1303" spans="1:40" x14ac:dyDescent="0.3">
      <c r="A1303" t="str">
        <f>"20200111153857241"</f>
        <v>20200111153857241</v>
      </c>
      <c r="B1303" t="str">
        <f>"1578728337231770"</f>
        <v>1578728337231770</v>
      </c>
      <c r="C1303" t="s">
        <v>40</v>
      </c>
      <c r="D1303">
        <v>5.3233810000000004</v>
      </c>
      <c r="E1303">
        <v>0.50017489999999998</v>
      </c>
      <c r="F1303" t="s">
        <v>55</v>
      </c>
      <c r="G1303">
        <v>-340.91890000000001</v>
      </c>
      <c r="H1303" s="1">
        <v>-1.047808E-6</v>
      </c>
      <c r="I1303">
        <v>282.1062</v>
      </c>
      <c r="J1303">
        <v>-316.93549999999999</v>
      </c>
      <c r="K1303">
        <v>1.103613</v>
      </c>
      <c r="L1303">
        <v>284.08139999999997</v>
      </c>
      <c r="M1303">
        <v>-0.99990190000000001</v>
      </c>
      <c r="N1303">
        <v>0</v>
      </c>
      <c r="O1303">
        <v>-2.921533E-3</v>
      </c>
      <c r="P1303">
        <v>-0.99581869999999995</v>
      </c>
      <c r="Q1303">
        <v>3.3947360000000003E-2</v>
      </c>
      <c r="R1303">
        <v>-8.4809670000000004E-2</v>
      </c>
      <c r="S1303">
        <v>-2.996216</v>
      </c>
      <c r="T1303">
        <v>-0.13431470000000001</v>
      </c>
      <c r="U1303">
        <v>-0.24063109999999999</v>
      </c>
      <c r="V1303">
        <v>-8.1913760000000002E-2</v>
      </c>
      <c r="W1303">
        <v>4.7569260000000002E-2</v>
      </c>
      <c r="X1303">
        <v>0.99550349999999999</v>
      </c>
      <c r="Y1303">
        <v>-7.7067170000000004E-2</v>
      </c>
      <c r="Z1303">
        <v>-1.5930510000000001E-3</v>
      </c>
      <c r="AA1303">
        <v>0.99702469999999999</v>
      </c>
      <c r="AB1303">
        <v>61</v>
      </c>
      <c r="AC1303">
        <v>-23.9834</v>
      </c>
      <c r="AD1303">
        <v>-1.1036140478080001</v>
      </c>
      <c r="AE1303">
        <v>-1.9751999999999701</v>
      </c>
      <c r="AF1303">
        <v>-1.9011182980555801</v>
      </c>
      <c r="AG1303">
        <v>-1.1036140478080001</v>
      </c>
      <c r="AH1303">
        <v>23.938721252315801</v>
      </c>
      <c r="AI1303">
        <v>92.631286928814106</v>
      </c>
      <c r="AJ1303">
        <v>94.540673700834304</v>
      </c>
      <c r="AK1303">
        <v>24.039438220262099</v>
      </c>
      <c r="AL1303">
        <v>87.273453106928102</v>
      </c>
      <c r="AM1303">
        <v>94.703914500998707</v>
      </c>
      <c r="AN1303">
        <v>0.99999995854326595</v>
      </c>
    </row>
    <row r="1304" spans="1:40" x14ac:dyDescent="0.3">
      <c r="A1304" t="str">
        <f>"20200111153857263"</f>
        <v>20200111153857263</v>
      </c>
      <c r="B1304" t="str">
        <f>"1578728337252266"</f>
        <v>1578728337252266</v>
      </c>
      <c r="C1304" t="s">
        <v>40</v>
      </c>
      <c r="D1304">
        <v>5.3142449999999997</v>
      </c>
      <c r="E1304">
        <v>0.5003647</v>
      </c>
      <c r="F1304" t="s">
        <v>55</v>
      </c>
      <c r="G1304">
        <v>-342.42250000000001</v>
      </c>
      <c r="H1304" s="1">
        <v>-2.4767230000000003E-7</v>
      </c>
      <c r="I1304">
        <v>282.04390000000001</v>
      </c>
      <c r="J1304">
        <v>-317.53449999999998</v>
      </c>
      <c r="K1304">
        <v>1.1036699999999999</v>
      </c>
      <c r="L1304">
        <v>284.0795</v>
      </c>
      <c r="M1304">
        <v>-0.99989709999999998</v>
      </c>
      <c r="N1304">
        <v>0</v>
      </c>
      <c r="O1304">
        <v>-3.1522170000000001E-3</v>
      </c>
      <c r="P1304">
        <v>-0.99580029999999997</v>
      </c>
      <c r="Q1304">
        <v>3.4177150000000003E-2</v>
      </c>
      <c r="R1304">
        <v>-8.4932789999999994E-2</v>
      </c>
      <c r="S1304">
        <v>-2.9965820000000001</v>
      </c>
      <c r="T1304">
        <v>-0.12975500000000001</v>
      </c>
      <c r="U1304">
        <v>-0.239563</v>
      </c>
      <c r="V1304">
        <v>-8.1812570000000001E-2</v>
      </c>
      <c r="W1304">
        <v>4.807699E-2</v>
      </c>
      <c r="X1304">
        <v>0.99548749999999997</v>
      </c>
      <c r="Y1304">
        <v>-7.6479989999999998E-2</v>
      </c>
      <c r="Z1304">
        <v>-1.5162000000000001E-3</v>
      </c>
      <c r="AA1304">
        <v>0.99707000000000001</v>
      </c>
      <c r="AB1304">
        <v>61</v>
      </c>
      <c r="AC1304">
        <v>-24.888000000000002</v>
      </c>
      <c r="AD1304">
        <v>-1.1036702476722999</v>
      </c>
      <c r="AE1304">
        <v>-2.0355999999999801</v>
      </c>
      <c r="AF1304">
        <v>-1.95331411611697</v>
      </c>
      <c r="AG1304">
        <v>-1.1036702476722999</v>
      </c>
      <c r="AH1304">
        <v>24.845758575251601</v>
      </c>
      <c r="AI1304">
        <v>92.5356426783069</v>
      </c>
      <c r="AJ1304">
        <v>94.495211141011495</v>
      </c>
      <c r="AK1304">
        <v>24.9468483626992</v>
      </c>
      <c r="AL1304">
        <v>87.244329187910196</v>
      </c>
      <c r="AM1304">
        <v>94.698204844969595</v>
      </c>
      <c r="AN1304">
        <v>1.00000002811685</v>
      </c>
    </row>
    <row r="1305" spans="1:40" x14ac:dyDescent="0.3">
      <c r="A1305" t="str">
        <f>"20200111153857284"</f>
        <v>20200111153857284</v>
      </c>
      <c r="B1305" t="str">
        <f>"1578728337281546"</f>
        <v>1578728337281546</v>
      </c>
      <c r="C1305" t="s">
        <v>40</v>
      </c>
      <c r="D1305">
        <v>5.2475170000000002</v>
      </c>
      <c r="E1305">
        <v>0.5005349</v>
      </c>
      <c r="F1305" t="s">
        <v>55</v>
      </c>
      <c r="G1305">
        <v>-343.08980000000003</v>
      </c>
      <c r="H1305" s="1">
        <v>1.074632E-7</v>
      </c>
      <c r="I1305">
        <v>282.04680000000002</v>
      </c>
      <c r="J1305">
        <v>-318.11930000000001</v>
      </c>
      <c r="K1305">
        <v>1.1037170000000001</v>
      </c>
      <c r="L1305">
        <v>284.07760000000002</v>
      </c>
      <c r="M1305">
        <v>-0.99989289999999997</v>
      </c>
      <c r="N1305">
        <v>0</v>
      </c>
      <c r="O1305">
        <v>-3.4084250000000001E-3</v>
      </c>
      <c r="P1305">
        <v>-0.99581629999999999</v>
      </c>
      <c r="Q1305">
        <v>3.3525880000000001E-2</v>
      </c>
      <c r="R1305">
        <v>-8.5008180000000003E-2</v>
      </c>
      <c r="S1305">
        <v>-2.9967649999999999</v>
      </c>
      <c r="T1305">
        <v>-0.12942239999999999</v>
      </c>
      <c r="U1305">
        <v>-0.2383728</v>
      </c>
      <c r="V1305">
        <v>-8.1638539999999996E-2</v>
      </c>
      <c r="W1305">
        <v>4.7663570000000002E-2</v>
      </c>
      <c r="X1305">
        <v>0.99552169999999895</v>
      </c>
      <c r="Y1305">
        <v>-7.5827350000000002E-2</v>
      </c>
      <c r="Z1305">
        <v>-1.4871420000000001E-3</v>
      </c>
      <c r="AA1305">
        <v>0.9971198</v>
      </c>
      <c r="AB1305">
        <v>61</v>
      </c>
      <c r="AC1305">
        <v>-24.970500000000001</v>
      </c>
      <c r="AD1305">
        <v>-1.1037168925367999</v>
      </c>
      <c r="AE1305">
        <v>-2.0308000000000002</v>
      </c>
      <c r="AF1305">
        <v>-1.94190051463407</v>
      </c>
      <c r="AG1305">
        <v>-1.1037168925367999</v>
      </c>
      <c r="AH1305">
        <v>24.928893559198599</v>
      </c>
      <c r="AI1305">
        <v>92.527445614665893</v>
      </c>
      <c r="AJ1305">
        <v>94.4542077526649</v>
      </c>
      <c r="AK1305">
        <v>25.028761508981201</v>
      </c>
      <c r="AL1305">
        <v>87.268043686000496</v>
      </c>
      <c r="AM1305">
        <v>94.6880951758843</v>
      </c>
      <c r="AN1305">
        <v>1.00000006114468</v>
      </c>
    </row>
    <row r="1306" spans="1:40" x14ac:dyDescent="0.3">
      <c r="A1306" t="str">
        <f>"20200111153857306"</f>
        <v>20200111153857306</v>
      </c>
      <c r="B1306" t="str">
        <f>"1578728337302042"</f>
        <v>1578728337302042</v>
      </c>
      <c r="C1306" t="s">
        <v>40</v>
      </c>
      <c r="D1306">
        <v>5.3427470000000001</v>
      </c>
      <c r="E1306">
        <v>0.50067439999999996</v>
      </c>
      <c r="F1306" t="s">
        <v>55</v>
      </c>
      <c r="G1306">
        <v>-343.13780000000003</v>
      </c>
      <c r="H1306" s="1">
        <v>1.329785E-7</v>
      </c>
      <c r="I1306">
        <v>282.09620000000001</v>
      </c>
      <c r="J1306">
        <v>-318.73160000000001</v>
      </c>
      <c r="K1306">
        <v>1.1037669999999999</v>
      </c>
      <c r="L1306">
        <v>284.07530000000003</v>
      </c>
      <c r="M1306">
        <v>-0.99988860000000002</v>
      </c>
      <c r="N1306">
        <v>0</v>
      </c>
      <c r="O1306">
        <v>-3.7170020000000001E-3</v>
      </c>
      <c r="P1306">
        <v>-0.99578730000000004</v>
      </c>
      <c r="Q1306">
        <v>3.2098219999999997E-2</v>
      </c>
      <c r="R1306">
        <v>-8.5895330000000006E-2</v>
      </c>
      <c r="S1306">
        <v>-2.9967649999999999</v>
      </c>
      <c r="T1306">
        <v>-0.13220560000000001</v>
      </c>
      <c r="U1306">
        <v>-0.2373352</v>
      </c>
      <c r="V1306">
        <v>-8.2223779999999996E-2</v>
      </c>
      <c r="W1306">
        <v>4.6450890000000002E-2</v>
      </c>
      <c r="X1306">
        <v>0.99553080000000005</v>
      </c>
      <c r="Y1306">
        <v>-7.5174530000000003E-2</v>
      </c>
      <c r="Z1306">
        <v>-1.491156E-3</v>
      </c>
      <c r="AA1306">
        <v>0.99716930000000004</v>
      </c>
      <c r="AB1306">
        <v>61</v>
      </c>
      <c r="AC1306">
        <v>-24.406199999999998</v>
      </c>
      <c r="AD1306">
        <v>-1.1037668670215</v>
      </c>
      <c r="AE1306">
        <v>-1.9791000000000101</v>
      </c>
      <c r="AF1306">
        <v>-1.8845297252025599</v>
      </c>
      <c r="AG1306">
        <v>-1.1037668670215</v>
      </c>
      <c r="AH1306">
        <v>24.363882835007999</v>
      </c>
      <c r="AI1306">
        <v>92.586205869882704</v>
      </c>
      <c r="AJ1306">
        <v>94.422982728797294</v>
      </c>
      <c r="AK1306">
        <v>24.4615727290766</v>
      </c>
      <c r="AL1306">
        <v>87.337602038184599</v>
      </c>
      <c r="AM1306">
        <v>94.721508228186394</v>
      </c>
      <c r="AN1306">
        <v>1.0000000044639601</v>
      </c>
    </row>
    <row r="1307" spans="1:40" x14ac:dyDescent="0.3">
      <c r="A1307" t="str">
        <f>"20200111153857330"</f>
        <v>20200111153857330</v>
      </c>
      <c r="B1307" t="str">
        <f>"1578728337321562"</f>
        <v>1578728337321562</v>
      </c>
      <c r="C1307" t="s">
        <v>40</v>
      </c>
      <c r="D1307">
        <v>5.3427550000000004</v>
      </c>
      <c r="E1307">
        <v>0.50075069999999999</v>
      </c>
      <c r="F1307" t="s">
        <v>55</v>
      </c>
      <c r="G1307">
        <v>-342.84829999999999</v>
      </c>
      <c r="H1307" s="1">
        <v>-2.1058950000000001E-8</v>
      </c>
      <c r="I1307">
        <v>282.15170000000001</v>
      </c>
      <c r="J1307">
        <v>-319.36959999999999</v>
      </c>
      <c r="K1307">
        <v>1.1038269999999999</v>
      </c>
      <c r="L1307">
        <v>284.07279999999997</v>
      </c>
      <c r="M1307">
        <v>-0.99988410000000005</v>
      </c>
      <c r="N1307">
        <v>0</v>
      </c>
      <c r="O1307">
        <v>-4.0869119999999998E-3</v>
      </c>
      <c r="P1307">
        <v>-0.9956583</v>
      </c>
      <c r="Q1307">
        <v>3.0871539999999999E-2</v>
      </c>
      <c r="R1307">
        <v>-8.7816130000000006E-2</v>
      </c>
      <c r="S1307">
        <v>-2.9964900000000001</v>
      </c>
      <c r="T1307">
        <v>-0.137142299999999</v>
      </c>
      <c r="U1307">
        <v>-0.2390137</v>
      </c>
      <c r="V1307">
        <v>-8.378331E-2</v>
      </c>
      <c r="W1307">
        <v>4.5412479999999998E-2</v>
      </c>
      <c r="X1307">
        <v>0.99544860000000002</v>
      </c>
      <c r="Y1307">
        <v>-7.5362780000000004E-2</v>
      </c>
      <c r="Z1307">
        <v>-1.5342909999999999E-3</v>
      </c>
      <c r="AA1307">
        <v>0.99715500000000001</v>
      </c>
      <c r="AB1307">
        <v>61</v>
      </c>
      <c r="AC1307">
        <v>-23.4787</v>
      </c>
      <c r="AD1307">
        <v>-1.10382702105895</v>
      </c>
      <c r="AE1307">
        <v>-1.9210999999999601</v>
      </c>
      <c r="AF1307">
        <v>-1.8211197744807801</v>
      </c>
      <c r="AG1307">
        <v>-1.10382702105895</v>
      </c>
      <c r="AH1307">
        <v>23.4349020839663</v>
      </c>
      <c r="AI1307">
        <v>92.688649588991694</v>
      </c>
      <c r="AJ1307">
        <v>94.443509085155895</v>
      </c>
      <c r="AK1307">
        <v>23.531458667292899</v>
      </c>
      <c r="AL1307">
        <v>87.397161206111406</v>
      </c>
      <c r="AM1307">
        <v>94.811039575433597</v>
      </c>
      <c r="AN1307">
        <v>0.99999992580813002</v>
      </c>
    </row>
    <row r="1308" spans="1:40" x14ac:dyDescent="0.3">
      <c r="A1308" t="str">
        <f>"20200111153857351"</f>
        <v>20200111153857351</v>
      </c>
      <c r="B1308" t="str">
        <f>"1578728337342061"</f>
        <v>1578728337342061</v>
      </c>
      <c r="C1308" t="s">
        <v>40</v>
      </c>
      <c r="D1308">
        <v>5.3244280000000002</v>
      </c>
      <c r="E1308">
        <v>0.50083299999999997</v>
      </c>
      <c r="F1308" t="s">
        <v>55</v>
      </c>
      <c r="G1308">
        <v>-342.72410000000002</v>
      </c>
      <c r="H1308" s="1">
        <v>-8.7147779999999897E-8</v>
      </c>
      <c r="I1308">
        <v>282.17009999999999</v>
      </c>
      <c r="J1308">
        <v>-319.96780000000001</v>
      </c>
      <c r="K1308">
        <v>1.103882</v>
      </c>
      <c r="L1308">
        <v>284.0702</v>
      </c>
      <c r="M1308">
        <v>-0.99987999999999999</v>
      </c>
      <c r="N1308">
        <v>0</v>
      </c>
      <c r="O1308">
        <v>-4.4793369999999999E-3</v>
      </c>
      <c r="P1308">
        <v>-0.99552459999999998</v>
      </c>
      <c r="Q1308">
        <v>3.0174650000000001E-2</v>
      </c>
      <c r="R1308">
        <v>-8.9557979999999995E-2</v>
      </c>
      <c r="S1308">
        <v>-2.995911</v>
      </c>
      <c r="T1308">
        <v>-0.14159840000000001</v>
      </c>
      <c r="U1308">
        <v>-0.24407960000000001</v>
      </c>
      <c r="V1308">
        <v>-8.514099E-2</v>
      </c>
      <c r="W1308">
        <v>4.4866110000000001E-2</v>
      </c>
      <c r="X1308">
        <v>0.99535819999999997</v>
      </c>
      <c r="Y1308">
        <v>-7.6655989999999993E-2</v>
      </c>
      <c r="Z1308">
        <v>-1.596274E-3</v>
      </c>
      <c r="AA1308">
        <v>0.99705630000000001</v>
      </c>
      <c r="AB1308">
        <v>61</v>
      </c>
      <c r="AC1308">
        <v>-22.7563</v>
      </c>
      <c r="AD1308">
        <v>-1.1038820871477799</v>
      </c>
      <c r="AE1308">
        <v>-1.9000999999999999</v>
      </c>
      <c r="AF1308">
        <v>-1.79394446623913</v>
      </c>
      <c r="AG1308">
        <v>-1.1038820871477799</v>
      </c>
      <c r="AH1308">
        <v>22.711511127916602</v>
      </c>
      <c r="AI1308">
        <v>92.774017227181801</v>
      </c>
      <c r="AJ1308">
        <v>94.516321166152906</v>
      </c>
      <c r="AK1308">
        <v>22.808979155669199</v>
      </c>
      <c r="AL1308">
        <v>87.428497910466305</v>
      </c>
      <c r="AM1308">
        <v>94.889067844346599</v>
      </c>
      <c r="AN1308">
        <v>0.99999995115597395</v>
      </c>
    </row>
    <row r="1309" spans="1:40" x14ac:dyDescent="0.3">
      <c r="A1309" t="str">
        <f>"20200111153857374"</f>
        <v>20200111153857374</v>
      </c>
      <c r="B1309" t="str">
        <f>"1578728337372315"</f>
        <v>1578728337372315</v>
      </c>
      <c r="C1309" t="s">
        <v>40</v>
      </c>
      <c r="D1309">
        <v>5.2989850000000001</v>
      </c>
      <c r="E1309">
        <v>0.50095459999999903</v>
      </c>
      <c r="F1309" t="s">
        <v>55</v>
      </c>
      <c r="G1309">
        <v>-342.8811</v>
      </c>
      <c r="H1309" s="1">
        <v>-3.5964260000000001E-9</v>
      </c>
      <c r="I1309">
        <v>282.16860000000003</v>
      </c>
      <c r="J1309">
        <v>-320.57569999999998</v>
      </c>
      <c r="K1309">
        <v>1.1039429999999999</v>
      </c>
      <c r="L1309">
        <v>284.06729999999999</v>
      </c>
      <c r="M1309">
        <v>-0.99987570000000003</v>
      </c>
      <c r="N1309">
        <v>0</v>
      </c>
      <c r="O1309">
        <v>-4.9154150000000002E-3</v>
      </c>
      <c r="P1309">
        <v>-0.9953902</v>
      </c>
      <c r="Q1309">
        <v>3.0362420000000001E-2</v>
      </c>
      <c r="R1309">
        <v>-9.0976429999999997E-2</v>
      </c>
      <c r="S1309">
        <v>-2.995514</v>
      </c>
      <c r="T1309">
        <v>-0.144313</v>
      </c>
      <c r="U1309">
        <v>-0.24859619999999999</v>
      </c>
      <c r="V1309">
        <v>-8.6133089999999995E-2</v>
      </c>
      <c r="W1309">
        <v>4.5184309999999998E-2</v>
      </c>
      <c r="X1309">
        <v>0.99525850000000005</v>
      </c>
      <c r="Y1309">
        <v>-7.7721219999999994E-2</v>
      </c>
      <c r="Z1309">
        <v>-1.631595E-3</v>
      </c>
      <c r="AA1309">
        <v>0.99697380000000002</v>
      </c>
      <c r="AB1309">
        <v>61</v>
      </c>
      <c r="AC1309">
        <v>-22.305399999999999</v>
      </c>
      <c r="AD1309">
        <v>-1.1039430035964199</v>
      </c>
      <c r="AE1309">
        <v>-1.8986999999999601</v>
      </c>
      <c r="AF1309">
        <v>-1.78468436002498</v>
      </c>
      <c r="AG1309">
        <v>-1.1039430035964199</v>
      </c>
      <c r="AH1309">
        <v>22.2603305134514</v>
      </c>
      <c r="AI1309">
        <v>92.830042675980494</v>
      </c>
      <c r="AJ1309">
        <v>94.583787859584305</v>
      </c>
      <c r="AK1309">
        <v>22.359027326523002</v>
      </c>
      <c r="AL1309">
        <v>87.410248027485693</v>
      </c>
      <c r="AM1309">
        <v>94.946249427005696</v>
      </c>
      <c r="AN1309">
        <v>1.0000000064426799</v>
      </c>
    </row>
    <row r="1310" spans="1:40" x14ac:dyDescent="0.3">
      <c r="A1310" t="str">
        <f>"20200111153857396"</f>
        <v>20200111153857396</v>
      </c>
      <c r="B1310" t="str">
        <f>"1578728337391834"</f>
        <v>1578728337391834</v>
      </c>
      <c r="C1310" t="s">
        <v>40</v>
      </c>
      <c r="D1310">
        <v>5.3226199999999997</v>
      </c>
      <c r="E1310">
        <v>0.50096679999999905</v>
      </c>
      <c r="F1310" t="s">
        <v>55</v>
      </c>
      <c r="G1310">
        <v>-343.39299999999997</v>
      </c>
      <c r="H1310" s="1">
        <v>2.6877910000000002E-7</v>
      </c>
      <c r="I1310">
        <v>282.14699999999999</v>
      </c>
      <c r="J1310">
        <v>-321.16800000000001</v>
      </c>
      <c r="K1310">
        <v>1.1040190000000001</v>
      </c>
      <c r="L1310">
        <v>284.0641</v>
      </c>
      <c r="M1310">
        <v>-0.99987139999999997</v>
      </c>
      <c r="N1310">
        <v>0</v>
      </c>
      <c r="O1310">
        <v>-5.3727760000000001E-3</v>
      </c>
      <c r="P1310">
        <v>-0.99526760000000003</v>
      </c>
      <c r="Q1310">
        <v>3.1426200000000001E-2</v>
      </c>
      <c r="R1310">
        <v>-9.1952610000000004E-2</v>
      </c>
      <c r="S1310">
        <v>-2.9952700000000001</v>
      </c>
      <c r="T1310">
        <v>-0.14491670000000001</v>
      </c>
      <c r="U1310">
        <v>-0.2520752</v>
      </c>
      <c r="V1310">
        <v>-8.6661840000000004E-2</v>
      </c>
      <c r="W1310">
        <v>4.6357049999999997E-2</v>
      </c>
      <c r="X1310">
        <v>0.99515869999999995</v>
      </c>
      <c r="Y1310">
        <v>-7.8420799999999999E-2</v>
      </c>
      <c r="Z1310">
        <v>-1.6332740000000001E-3</v>
      </c>
      <c r="AA1310">
        <v>0.996919</v>
      </c>
      <c r="AB1310">
        <v>61</v>
      </c>
      <c r="AC1310">
        <v>-22.225000000000001</v>
      </c>
      <c r="AD1310">
        <v>-1.1040187312209</v>
      </c>
      <c r="AE1310">
        <v>-1.9171</v>
      </c>
      <c r="AF1310">
        <v>-1.79325643953326</v>
      </c>
      <c r="AG1310">
        <v>-1.1040187312209</v>
      </c>
      <c r="AH1310">
        <v>22.1806524042902</v>
      </c>
      <c r="AI1310">
        <v>92.8402337585797</v>
      </c>
      <c r="AJ1310">
        <v>94.622183143810105</v>
      </c>
      <c r="AK1310">
        <v>22.280394231179098</v>
      </c>
      <c r="AL1310">
        <v>87.342984578472894</v>
      </c>
      <c r="AM1310">
        <v>94.976957788390095</v>
      </c>
      <c r="AN1310">
        <v>1.00000004439128</v>
      </c>
    </row>
    <row r="1311" spans="1:40" x14ac:dyDescent="0.3">
      <c r="A1311" t="str">
        <f>"20200111153857420"</f>
        <v>20200111153857420</v>
      </c>
      <c r="B1311" t="str">
        <f>"1578728337411354"</f>
        <v>1578728337411354</v>
      </c>
      <c r="C1311" t="s">
        <v>40</v>
      </c>
      <c r="D1311">
        <v>5.3451360000000001</v>
      </c>
      <c r="E1311">
        <v>0.50088729999999904</v>
      </c>
      <c r="F1311" t="s">
        <v>55</v>
      </c>
      <c r="G1311">
        <v>-344.34710000000001</v>
      </c>
      <c r="H1311" s="1">
        <v>7.7654189999999995E-7</v>
      </c>
      <c r="I1311">
        <v>282.09339999999997</v>
      </c>
      <c r="J1311">
        <v>-321.81439999999998</v>
      </c>
      <c r="K1311">
        <v>1.104085</v>
      </c>
      <c r="L1311">
        <v>284.06040000000002</v>
      </c>
      <c r="M1311">
        <v>-0.99986679999999994</v>
      </c>
      <c r="N1311">
        <v>0</v>
      </c>
      <c r="O1311">
        <v>-5.8988369999999997E-3</v>
      </c>
      <c r="P1311">
        <v>-0.99509579999999997</v>
      </c>
      <c r="Q1311">
        <v>3.1706100000000001E-2</v>
      </c>
      <c r="R1311">
        <v>-9.3698379999999998E-2</v>
      </c>
      <c r="S1311">
        <v>-2.9952390000000002</v>
      </c>
      <c r="T1311">
        <v>-0.1426626</v>
      </c>
      <c r="U1311">
        <v>-0.25466919999999998</v>
      </c>
      <c r="V1311">
        <v>-8.7892090000000006E-2</v>
      </c>
      <c r="W1311">
        <v>4.673621E-2</v>
      </c>
      <c r="X1311">
        <v>0.99503299999999995</v>
      </c>
      <c r="Y1311">
        <v>-7.8757199999999999E-2</v>
      </c>
      <c r="Z1311">
        <v>-1.590852E-3</v>
      </c>
      <c r="AA1311">
        <v>0.99689260000000002</v>
      </c>
      <c r="AB1311">
        <v>61</v>
      </c>
      <c r="AC1311">
        <v>-22.532699999999998</v>
      </c>
      <c r="AD1311">
        <v>-1.1040842234581001</v>
      </c>
      <c r="AE1311">
        <v>-1.96700000000004</v>
      </c>
      <c r="AF1311">
        <v>-1.8296739711607</v>
      </c>
      <c r="AG1311">
        <v>-1.1040842234581001</v>
      </c>
      <c r="AH1311">
        <v>22.490323112022701</v>
      </c>
      <c r="AI1311">
        <v>92.801240988251905</v>
      </c>
      <c r="AJ1311">
        <v>94.650988503487895</v>
      </c>
      <c r="AK1311">
        <v>22.591621068361</v>
      </c>
      <c r="AL1311">
        <v>87.321236572072294</v>
      </c>
      <c r="AM1311">
        <v>95.047882495839303</v>
      </c>
      <c r="AN1311">
        <v>0.99999998194936501</v>
      </c>
    </row>
    <row r="1312" spans="1:40" x14ac:dyDescent="0.3">
      <c r="A1312" t="str">
        <f>"20200111153857441"</f>
        <v>20200111153857441</v>
      </c>
      <c r="B1312" t="str">
        <f>"1578728337431852"</f>
        <v>1578728337431852</v>
      </c>
      <c r="C1312" t="s">
        <v>40</v>
      </c>
      <c r="D1312">
        <v>5.367794</v>
      </c>
      <c r="E1312">
        <v>0.50070530000000002</v>
      </c>
      <c r="F1312" t="s">
        <v>55</v>
      </c>
      <c r="G1312">
        <v>-345.02460000000002</v>
      </c>
      <c r="H1312" s="1">
        <v>1.1370709999999999E-6</v>
      </c>
      <c r="I1312">
        <v>282.04079999999999</v>
      </c>
      <c r="J1312">
        <v>-322.3931</v>
      </c>
      <c r="K1312">
        <v>1.104142</v>
      </c>
      <c r="L1312">
        <v>284.05680000000001</v>
      </c>
      <c r="M1312">
        <v>-0.99986249999999999</v>
      </c>
      <c r="N1312">
        <v>0</v>
      </c>
      <c r="O1312">
        <v>-6.3883339999999999E-3</v>
      </c>
      <c r="P1312">
        <v>-0.99493480000000001</v>
      </c>
      <c r="Q1312">
        <v>3.1633559999999998E-2</v>
      </c>
      <c r="R1312">
        <v>-9.5417100000000005E-2</v>
      </c>
      <c r="S1312">
        <v>-2.994812</v>
      </c>
      <c r="T1312">
        <v>-0.14245969999999999</v>
      </c>
      <c r="U1312">
        <v>-0.26058959999999998</v>
      </c>
      <c r="V1312">
        <v>-8.9128949999999998E-2</v>
      </c>
      <c r="W1312">
        <v>4.6739540000000003E-2</v>
      </c>
      <c r="X1312">
        <v>0.9949228</v>
      </c>
      <c r="Y1312">
        <v>-8.0236479999999999E-2</v>
      </c>
      <c r="Z1312">
        <v>-1.6005539999999999E-3</v>
      </c>
      <c r="AA1312">
        <v>0.99677459999999996</v>
      </c>
      <c r="AB1312">
        <v>61</v>
      </c>
      <c r="AC1312">
        <v>-22.631499999999999</v>
      </c>
      <c r="AD1312">
        <v>-1.1041408629289999</v>
      </c>
      <c r="AE1312">
        <v>-2.01600000000002</v>
      </c>
      <c r="AF1312">
        <v>-1.8669555076500699</v>
      </c>
      <c r="AG1312">
        <v>-1.1041408629289999</v>
      </c>
      <c r="AH1312">
        <v>22.590570623991798</v>
      </c>
      <c r="AI1312">
        <v>92.788680355621693</v>
      </c>
      <c r="AJ1312">
        <v>94.724366552495596</v>
      </c>
      <c r="AK1312">
        <v>22.694460359971</v>
      </c>
      <c r="AL1312">
        <v>87.321045526018494</v>
      </c>
      <c r="AM1312">
        <v>95.119107917087803</v>
      </c>
      <c r="AN1312">
        <v>0.99999996614367603</v>
      </c>
    </row>
    <row r="1313" spans="1:40" x14ac:dyDescent="0.3">
      <c r="A1313" t="str">
        <f>"20200111153857463"</f>
        <v>20200111153857463</v>
      </c>
      <c r="B1313" t="str">
        <f>"1578728337452346"</f>
        <v>1578728337452346</v>
      </c>
      <c r="C1313" t="s">
        <v>40</v>
      </c>
      <c r="D1313">
        <v>6.1693980000000002</v>
      </c>
      <c r="E1313">
        <v>0.50071699999999997</v>
      </c>
      <c r="F1313" t="s">
        <v>55</v>
      </c>
      <c r="G1313">
        <v>-345.0686</v>
      </c>
      <c r="H1313" s="1">
        <v>1.1604580000000001E-6</v>
      </c>
      <c r="I1313">
        <v>282.03339999999997</v>
      </c>
      <c r="J1313">
        <v>-322.99520000000001</v>
      </c>
      <c r="K1313">
        <v>1.104193</v>
      </c>
      <c r="L1313">
        <v>284.05279999999999</v>
      </c>
      <c r="M1313">
        <v>-0.99985780000000002</v>
      </c>
      <c r="N1313">
        <v>0</v>
      </c>
      <c r="O1313">
        <v>-6.9104780000000003E-3</v>
      </c>
      <c r="P1313">
        <v>-0.9947163</v>
      </c>
      <c r="Q1313">
        <v>3.2080070000000002E-2</v>
      </c>
      <c r="R1313">
        <v>-9.7521540000000004E-2</v>
      </c>
      <c r="S1313">
        <v>-2.9942319999999998</v>
      </c>
      <c r="T1313">
        <v>-0.14579839999999999</v>
      </c>
      <c r="U1313">
        <v>-0.26718140000000001</v>
      </c>
      <c r="V1313">
        <v>-9.0720209999999996E-2</v>
      </c>
      <c r="W1313">
        <v>4.7252040000000002E-2</v>
      </c>
      <c r="X1313">
        <v>0.99475480000000005</v>
      </c>
      <c r="Y1313">
        <v>-8.1904669999999999E-2</v>
      </c>
      <c r="Z1313">
        <v>-1.6533310000000001E-3</v>
      </c>
      <c r="AA1313">
        <v>0.99663880000000005</v>
      </c>
      <c r="AB1313">
        <v>61</v>
      </c>
      <c r="AC1313">
        <v>-22.0733999999999</v>
      </c>
      <c r="AD1313">
        <v>-1.1041918395420001</v>
      </c>
      <c r="AE1313">
        <v>-2.0194000000000099</v>
      </c>
      <c r="AF1313">
        <v>-1.8621748116349</v>
      </c>
      <c r="AG1313">
        <v>-1.1041918395420001</v>
      </c>
      <c r="AH1313">
        <v>22.032154608400301</v>
      </c>
      <c r="AI1313">
        <v>92.858931950913401</v>
      </c>
      <c r="AJ1313">
        <v>94.831201281991099</v>
      </c>
      <c r="AK1313">
        <v>22.138264867329902</v>
      </c>
      <c r="AL1313">
        <v>87.291649081224506</v>
      </c>
      <c r="AM1313">
        <v>95.210878157357001</v>
      </c>
      <c r="AN1313">
        <v>1.00000001195482</v>
      </c>
    </row>
    <row r="1314" spans="1:40" x14ac:dyDescent="0.3">
      <c r="A1314" t="str">
        <f>"20200111153857485"</f>
        <v>20200111153857485</v>
      </c>
      <c r="B1314" t="str">
        <f>"1578728337481626"</f>
        <v>1578728337481626</v>
      </c>
      <c r="C1314" t="s">
        <v>40</v>
      </c>
      <c r="D1314">
        <v>5.3843129999999997</v>
      </c>
      <c r="E1314">
        <v>0.50242089999999995</v>
      </c>
      <c r="F1314" t="s">
        <v>55</v>
      </c>
      <c r="G1314">
        <v>-345.66809999999998</v>
      </c>
      <c r="H1314" s="1">
        <v>1.4795089999999901E-6</v>
      </c>
      <c r="I1314">
        <v>281.98059999999998</v>
      </c>
      <c r="J1314">
        <v>-323.59440000000001</v>
      </c>
      <c r="K1314">
        <v>1.104241</v>
      </c>
      <c r="L1314">
        <v>284.04840000000002</v>
      </c>
      <c r="M1314">
        <v>-0.99985299999999999</v>
      </c>
      <c r="N1314">
        <v>0</v>
      </c>
      <c r="O1314">
        <v>-7.4391190000000001E-3</v>
      </c>
      <c r="P1314">
        <v>-0.99439129999999998</v>
      </c>
      <c r="Q1314">
        <v>3.390841E-2</v>
      </c>
      <c r="R1314">
        <v>-0.1001842</v>
      </c>
      <c r="S1314">
        <v>-2.993805</v>
      </c>
      <c r="T1314">
        <v>-0.14580090000000001</v>
      </c>
      <c r="U1314">
        <v>-0.27362059999999999</v>
      </c>
      <c r="V1314">
        <v>-9.2866000000000004E-2</v>
      </c>
      <c r="W1314">
        <v>4.9132420000000003E-2</v>
      </c>
      <c r="X1314">
        <v>0.99446559999999995</v>
      </c>
      <c r="Y1314">
        <v>-8.3515220000000001E-2</v>
      </c>
      <c r="Z1314">
        <v>-1.6668729999999999E-3</v>
      </c>
      <c r="AA1314">
        <v>0.99650510000000003</v>
      </c>
      <c r="AB1314">
        <v>61</v>
      </c>
      <c r="AC1314">
        <v>-22.073699999999899</v>
      </c>
      <c r="AD1314">
        <v>-1.104239520491</v>
      </c>
      <c r="AE1314">
        <v>-2.0678000000000298</v>
      </c>
      <c r="AF1314">
        <v>-1.8988038463724799</v>
      </c>
      <c r="AG1314">
        <v>-1.104239520491</v>
      </c>
      <c r="AH1314">
        <v>22.033813273416801</v>
      </c>
      <c r="AI1314">
        <v>92.858439877230296</v>
      </c>
      <c r="AJ1314">
        <v>94.925399101657405</v>
      </c>
      <c r="AK1314">
        <v>22.143028887968601</v>
      </c>
      <c r="AL1314">
        <v>87.183785751245793</v>
      </c>
      <c r="AM1314">
        <v>95.334969638799805</v>
      </c>
      <c r="AN1314">
        <v>0.99999995911720696</v>
      </c>
    </row>
    <row r="1315" spans="1:40" x14ac:dyDescent="0.3">
      <c r="A1315" t="str">
        <f>"20200111153857507"</f>
        <v>20200111153857507</v>
      </c>
      <c r="B1315" t="str">
        <f>"1578728337502123"</f>
        <v>1578728337502123</v>
      </c>
      <c r="C1315" t="s">
        <v>40</v>
      </c>
      <c r="D1315">
        <v>5.3445749999999999</v>
      </c>
      <c r="E1315">
        <v>0.50317420000000002</v>
      </c>
      <c r="F1315" t="s">
        <v>55</v>
      </c>
      <c r="G1315">
        <v>-347.26620000000003</v>
      </c>
      <c r="H1315" s="1">
        <v>2.3299290000000001E-6</v>
      </c>
      <c r="I1315">
        <v>281.92649999999998</v>
      </c>
      <c r="J1315">
        <v>-324.2122</v>
      </c>
      <c r="K1315">
        <v>1.104304</v>
      </c>
      <c r="L1315">
        <v>284.04360000000003</v>
      </c>
      <c r="M1315">
        <v>-0.99984770000000001</v>
      </c>
      <c r="N1315">
        <v>0</v>
      </c>
      <c r="O1315">
        <v>-7.9895790000000001E-3</v>
      </c>
      <c r="P1315">
        <v>-0.99410719999999997</v>
      </c>
      <c r="Q1315">
        <v>3.6027150000000001E-2</v>
      </c>
      <c r="R1315">
        <v>-0.1022402</v>
      </c>
      <c r="S1315">
        <v>-2.9946899999999999</v>
      </c>
      <c r="T1315">
        <v>-0.1396955</v>
      </c>
      <c r="U1315">
        <v>-0.26843260000000002</v>
      </c>
      <c r="V1315">
        <v>-9.4384410000000002E-2</v>
      </c>
      <c r="W1315">
        <v>5.1297849999999999E-2</v>
      </c>
      <c r="X1315">
        <v>0.99421329999999997</v>
      </c>
      <c r="Y1315">
        <v>-8.1237779999999996E-2</v>
      </c>
      <c r="Z1315">
        <v>-1.518209E-3</v>
      </c>
      <c r="AA1315">
        <v>0.99669359999999996</v>
      </c>
      <c r="AB1315">
        <v>61</v>
      </c>
      <c r="AC1315">
        <v>-23.053999999999998</v>
      </c>
      <c r="AD1315">
        <v>-1.104301670071</v>
      </c>
      <c r="AE1315">
        <v>-2.1171000000000499</v>
      </c>
      <c r="AF1315">
        <v>-1.9284307529242199</v>
      </c>
      <c r="AG1315">
        <v>-1.104301670071</v>
      </c>
      <c r="AH1315">
        <v>23.017808707843301</v>
      </c>
      <c r="AI1315">
        <v>92.737139807955899</v>
      </c>
      <c r="AJ1315">
        <v>94.789053251045502</v>
      </c>
      <c r="AK1315">
        <v>23.124831784430601</v>
      </c>
      <c r="AL1315">
        <v>87.059559079751907</v>
      </c>
      <c r="AM1315">
        <v>95.423051330794607</v>
      </c>
      <c r="AN1315">
        <v>0.99999998608128005</v>
      </c>
    </row>
    <row r="1316" spans="1:40" x14ac:dyDescent="0.3">
      <c r="A1316" t="str">
        <f>"20200111153857533"</f>
        <v>20200111153857533</v>
      </c>
      <c r="B1316" t="str">
        <f>"1578728337521643"</f>
        <v>1578728337521643</v>
      </c>
      <c r="C1316" t="s">
        <v>40</v>
      </c>
      <c r="D1316">
        <v>5.3582479999999997</v>
      </c>
      <c r="E1316">
        <v>0.50389689999999998</v>
      </c>
      <c r="F1316" t="s">
        <v>55</v>
      </c>
      <c r="G1316">
        <v>-348.65359999999998</v>
      </c>
      <c r="H1316" s="1">
        <v>3.0682429999999998E-6</v>
      </c>
      <c r="I1316">
        <v>281.85559999999998</v>
      </c>
      <c r="J1316">
        <v>-324.88729999999998</v>
      </c>
      <c r="K1316">
        <v>1.1043639999999999</v>
      </c>
      <c r="L1316">
        <v>284.03800000000001</v>
      </c>
      <c r="M1316">
        <v>-0.99984189999999995</v>
      </c>
      <c r="N1316">
        <v>0</v>
      </c>
      <c r="O1316">
        <v>-8.595419E-3</v>
      </c>
      <c r="P1316">
        <v>-0.99380170000000001</v>
      </c>
      <c r="Q1316">
        <v>3.7801019999999998E-2</v>
      </c>
      <c r="R1316">
        <v>-0.1045437</v>
      </c>
      <c r="S1316">
        <v>-2.9951479999999999</v>
      </c>
      <c r="T1316">
        <v>-0.1353251</v>
      </c>
      <c r="U1316">
        <v>-0.26812740000000002</v>
      </c>
      <c r="V1316">
        <v>-9.6095070000000005E-2</v>
      </c>
      <c r="W1316">
        <v>5.311308E-2</v>
      </c>
      <c r="X1316">
        <v>0.99395409999999995</v>
      </c>
      <c r="Y1316">
        <v>-8.0525739999999998E-2</v>
      </c>
      <c r="Z1316">
        <v>-1.4271970000000001E-3</v>
      </c>
      <c r="AA1316">
        <v>0.99675150000000001</v>
      </c>
      <c r="AB1316">
        <v>61</v>
      </c>
      <c r="AC1316">
        <v>-23.766300000000001</v>
      </c>
      <c r="AD1316">
        <v>-1.104360931757</v>
      </c>
      <c r="AE1316">
        <v>-2.1824000000000199</v>
      </c>
      <c r="AF1316">
        <v>-1.9737870769952399</v>
      </c>
      <c r="AG1316">
        <v>-1.104360931757</v>
      </c>
      <c r="AH1316">
        <v>23.733365454535701</v>
      </c>
      <c r="AI1316">
        <v>92.655012809205502</v>
      </c>
      <c r="AJ1316">
        <v>94.754067452902703</v>
      </c>
      <c r="AK1316">
        <v>23.840891012952</v>
      </c>
      <c r="AL1316">
        <v>86.955412092192105</v>
      </c>
      <c r="AM1316">
        <v>95.522169733190594</v>
      </c>
      <c r="AN1316">
        <v>1.0000000073260999</v>
      </c>
    </row>
    <row r="1317" spans="1:40" x14ac:dyDescent="0.3">
      <c r="A1317" t="str">
        <f>"20200111153857553"</f>
        <v>20200111153857553</v>
      </c>
      <c r="B1317" t="str">
        <f>"1578728337542139"</f>
        <v>1578728337542139</v>
      </c>
      <c r="C1317" t="s">
        <v>40</v>
      </c>
      <c r="D1317">
        <v>5.3351949999999997</v>
      </c>
      <c r="E1317">
        <v>0.50436959999999997</v>
      </c>
      <c r="F1317" t="s">
        <v>55</v>
      </c>
      <c r="G1317">
        <v>-349.43279999999999</v>
      </c>
      <c r="H1317" s="1">
        <v>3.4828829999999999E-6</v>
      </c>
      <c r="I1317">
        <v>281.83539999999999</v>
      </c>
      <c r="J1317">
        <v>-325.44470000000001</v>
      </c>
      <c r="K1317">
        <v>1.1043989999999999</v>
      </c>
      <c r="L1317">
        <v>284.03309999999999</v>
      </c>
      <c r="M1317">
        <v>-0.99983670000000002</v>
      </c>
      <c r="N1317">
        <v>0</v>
      </c>
      <c r="O1317">
        <v>-9.0978180000000006E-3</v>
      </c>
      <c r="P1317">
        <v>-0.99369410000000002</v>
      </c>
      <c r="Q1317">
        <v>3.8371669999999997E-2</v>
      </c>
      <c r="R1317">
        <v>-0.1053549</v>
      </c>
      <c r="S1317">
        <v>-2.9955440000000002</v>
      </c>
      <c r="T1317">
        <v>-0.134776799999999</v>
      </c>
      <c r="U1317">
        <v>-0.2687988</v>
      </c>
      <c r="V1317">
        <v>-9.6410460000000003E-2</v>
      </c>
      <c r="W1317">
        <v>5.3715899999999997E-2</v>
      </c>
      <c r="X1317">
        <v>0.99389119999999997</v>
      </c>
      <c r="Y1317">
        <v>-8.0236189999999999E-2</v>
      </c>
      <c r="Z1317">
        <v>-1.3921750000000001E-3</v>
      </c>
      <c r="AA1317">
        <v>0.99677490000000002</v>
      </c>
      <c r="AB1317">
        <v>61</v>
      </c>
      <c r="AC1317">
        <v>-23.9880999999999</v>
      </c>
      <c r="AD1317">
        <v>-1.1043955171169999</v>
      </c>
      <c r="AE1317">
        <v>-2.19769999999999</v>
      </c>
      <c r="AF1317">
        <v>-1.97519124494666</v>
      </c>
      <c r="AG1317">
        <v>-1.1043955171169999</v>
      </c>
      <c r="AH1317">
        <v>23.956747218681301</v>
      </c>
      <c r="AI1317">
        <v>92.630528516869205</v>
      </c>
      <c r="AJ1317">
        <v>94.713274691991202</v>
      </c>
      <c r="AK1317">
        <v>24.063391432051699</v>
      </c>
      <c r="AL1317">
        <v>86.920823792048097</v>
      </c>
      <c r="AM1317">
        <v>95.540529697985505</v>
      </c>
      <c r="AN1317">
        <v>1.0000000460738201</v>
      </c>
    </row>
    <row r="1318" spans="1:40" x14ac:dyDescent="0.3">
      <c r="A1318" t="str">
        <f>"20200111153857576"</f>
        <v>20200111153857576</v>
      </c>
      <c r="B1318" t="str">
        <f>"1578728337571418"</f>
        <v>1578728337571418</v>
      </c>
      <c r="C1318" t="s">
        <v>40</v>
      </c>
      <c r="D1318">
        <v>5.4087360000000002</v>
      </c>
      <c r="E1318">
        <v>0.50504090000000001</v>
      </c>
      <c r="F1318" t="s">
        <v>55</v>
      </c>
      <c r="G1318">
        <v>-349.34370000000001</v>
      </c>
      <c r="H1318" s="1">
        <v>3.4354729999999999E-6</v>
      </c>
      <c r="I1318">
        <v>281.90350000000001</v>
      </c>
      <c r="J1318">
        <v>-326.05020000000002</v>
      </c>
      <c r="K1318">
        <v>1.104436</v>
      </c>
      <c r="L1318">
        <v>284.0274</v>
      </c>
      <c r="M1318">
        <v>-0.99983100000000003</v>
      </c>
      <c r="N1318">
        <v>0</v>
      </c>
      <c r="O1318">
        <v>-9.6447589999999993E-3</v>
      </c>
      <c r="P1318">
        <v>-0.99355079999999996</v>
      </c>
      <c r="Q1318">
        <v>3.9396540000000001E-2</v>
      </c>
      <c r="R1318">
        <v>-0.1063235</v>
      </c>
      <c r="S1318">
        <v>-2.9960939999999998</v>
      </c>
      <c r="T1318">
        <v>-0.13845250000000001</v>
      </c>
      <c r="U1318">
        <v>-0.26696779999999998</v>
      </c>
      <c r="V1318">
        <v>-9.6840910000000002E-2</v>
      </c>
      <c r="W1318">
        <v>5.4769110000000003E-2</v>
      </c>
      <c r="X1318">
        <v>0.9937918</v>
      </c>
      <c r="Y1318">
        <v>-7.9068150000000004E-2</v>
      </c>
      <c r="Z1318">
        <v>-1.3777520000000001E-3</v>
      </c>
      <c r="AA1318">
        <v>0.99686830000000004</v>
      </c>
      <c r="AB1318">
        <v>61</v>
      </c>
      <c r="AC1318">
        <v>-23.293499999999899</v>
      </c>
      <c r="AD1318">
        <v>-1.1044325645269999</v>
      </c>
      <c r="AE1318">
        <v>-2.1238999999999901</v>
      </c>
      <c r="AF1318">
        <v>-1.89488876513051</v>
      </c>
      <c r="AG1318">
        <v>-1.1044325645269999</v>
      </c>
      <c r="AH1318">
        <v>23.261042147998101</v>
      </c>
      <c r="AI1318">
        <v>92.709396376618599</v>
      </c>
      <c r="AJ1318">
        <v>94.657139756745096</v>
      </c>
      <c r="AK1318">
        <v>23.364213158862199</v>
      </c>
      <c r="AL1318">
        <v>86.860390124215598</v>
      </c>
      <c r="AM1318">
        <v>95.565665043661596</v>
      </c>
      <c r="AN1318">
        <v>0.99999997950352904</v>
      </c>
    </row>
    <row r="1319" spans="1:40" x14ac:dyDescent="0.3">
      <c r="A1319" t="str">
        <f>"20200111153857598"</f>
        <v>20200111153857598</v>
      </c>
      <c r="B1319" t="str">
        <f>"1578728337591914"</f>
        <v>1578728337591914</v>
      </c>
      <c r="C1319" t="s">
        <v>40</v>
      </c>
      <c r="D1319">
        <v>5.390377</v>
      </c>
      <c r="E1319">
        <v>0.50545090000000004</v>
      </c>
      <c r="F1319" t="s">
        <v>55</v>
      </c>
      <c r="G1319">
        <v>-349.19729999999998</v>
      </c>
      <c r="H1319" s="1">
        <v>3.3575469999999999E-6</v>
      </c>
      <c r="I1319">
        <v>281.9864</v>
      </c>
      <c r="J1319">
        <v>-326.66250000000002</v>
      </c>
      <c r="K1319">
        <v>1.1044700000000001</v>
      </c>
      <c r="L1319">
        <v>284.0213</v>
      </c>
      <c r="M1319">
        <v>-0.99982499999999996</v>
      </c>
      <c r="N1319">
        <v>0</v>
      </c>
      <c r="O1319">
        <v>-1.0200519999999999E-2</v>
      </c>
      <c r="P1319">
        <v>-0.99348239999999999</v>
      </c>
      <c r="Q1319">
        <v>4.0681839999999997E-2</v>
      </c>
      <c r="R1319">
        <v>-0.10647810000000001</v>
      </c>
      <c r="S1319">
        <v>-2.9968569999999999</v>
      </c>
      <c r="T1319">
        <v>-0.14299110000000001</v>
      </c>
      <c r="U1319">
        <v>-0.26425169999999998</v>
      </c>
      <c r="V1319">
        <v>-9.6448610000000004E-2</v>
      </c>
      <c r="W1319">
        <v>5.6081249999999999E-2</v>
      </c>
      <c r="X1319">
        <v>0.9937568</v>
      </c>
      <c r="Y1319">
        <v>-7.7592510000000003E-2</v>
      </c>
      <c r="Z1319">
        <v>-1.3609970000000001E-3</v>
      </c>
      <c r="AA1319">
        <v>0.99698419999999999</v>
      </c>
      <c r="AB1319">
        <v>61</v>
      </c>
      <c r="AC1319">
        <v>-22.534799999999901</v>
      </c>
      <c r="AD1319">
        <v>-1.1044666424529901</v>
      </c>
      <c r="AE1319">
        <v>-2.0348999999999902</v>
      </c>
      <c r="AF1319">
        <v>-1.80060883201225</v>
      </c>
      <c r="AG1319">
        <v>-1.1044666424529901</v>
      </c>
      <c r="AH1319">
        <v>22.5007741144845</v>
      </c>
      <c r="AI1319">
        <v>92.801208296735197</v>
      </c>
      <c r="AJ1319">
        <v>94.575305029849005</v>
      </c>
      <c r="AK1319">
        <v>22.599709610551798</v>
      </c>
      <c r="AL1319">
        <v>86.785094387347797</v>
      </c>
      <c r="AM1319">
        <v>95.543453408574905</v>
      </c>
      <c r="AN1319">
        <v>1.0000000092593599</v>
      </c>
    </row>
    <row r="1320" spans="1:40" x14ac:dyDescent="0.3">
      <c r="A1320" t="str">
        <f>"20200111153857620"</f>
        <v>20200111153857620</v>
      </c>
      <c r="B1320" t="str">
        <f>"1578728337611434"</f>
        <v>1578728337611434</v>
      </c>
      <c r="C1320" t="s">
        <v>40</v>
      </c>
      <c r="D1320">
        <v>5.3938240000000004</v>
      </c>
      <c r="E1320">
        <v>0.50583259999999997</v>
      </c>
      <c r="F1320" t="s">
        <v>55</v>
      </c>
      <c r="G1320">
        <v>-349.63069999999999</v>
      </c>
      <c r="H1320" s="1">
        <v>3.5881870000000001E-6</v>
      </c>
      <c r="I1320">
        <v>282.01569999999998</v>
      </c>
      <c r="J1320">
        <v>-327.26069999999999</v>
      </c>
      <c r="K1320">
        <v>1.104492</v>
      </c>
      <c r="L1320">
        <v>284.01499999999999</v>
      </c>
      <c r="M1320">
        <v>-0.99981889999999995</v>
      </c>
      <c r="N1320">
        <v>0</v>
      </c>
      <c r="O1320">
        <v>-1.0745330000000001E-2</v>
      </c>
      <c r="P1320">
        <v>-0.99350780000000005</v>
      </c>
      <c r="Q1320">
        <v>4.2333000000000003E-2</v>
      </c>
      <c r="R1320">
        <v>-0.10559449999999999</v>
      </c>
      <c r="S1320">
        <v>-2.997528</v>
      </c>
      <c r="T1320">
        <v>-0.14414170000000001</v>
      </c>
      <c r="U1320">
        <v>-0.26174930000000002</v>
      </c>
      <c r="V1320">
        <v>-9.5027769999999998E-2</v>
      </c>
      <c r="W1320">
        <v>5.7757929999999999E-2</v>
      </c>
      <c r="X1320">
        <v>0.99379770000000001</v>
      </c>
      <c r="Y1320">
        <v>-7.6204709999999995E-2</v>
      </c>
      <c r="Z1320">
        <v>-1.312265E-3</v>
      </c>
      <c r="AA1320">
        <v>0.99709139999999996</v>
      </c>
      <c r="AB1320">
        <v>61</v>
      </c>
      <c r="AC1320">
        <v>-22.37</v>
      </c>
      <c r="AD1320">
        <v>-1.1044884118130001</v>
      </c>
      <c r="AE1320">
        <v>-1.9993000000000001</v>
      </c>
      <c r="AF1320">
        <v>-1.7545386139377199</v>
      </c>
      <c r="AG1320">
        <v>-1.1044884118130001</v>
      </c>
      <c r="AH1320">
        <v>22.336175315091001</v>
      </c>
      <c r="AI1320">
        <v>92.822200100904894</v>
      </c>
      <c r="AJ1320">
        <v>94.491442935333694</v>
      </c>
      <c r="AK1320">
        <v>22.432187323266302</v>
      </c>
      <c r="AL1320">
        <v>86.688871864680607</v>
      </c>
      <c r="AM1320">
        <v>95.462063734508703</v>
      </c>
      <c r="AN1320">
        <v>1.0000000620371701</v>
      </c>
    </row>
    <row r="1321" spans="1:40" x14ac:dyDescent="0.3">
      <c r="A1321" t="str">
        <f>"20200111153857641"</f>
        <v>20200111153857641</v>
      </c>
      <c r="B1321" t="str">
        <f>"1578728337631934"</f>
        <v>1578728337631934</v>
      </c>
      <c r="C1321" t="s">
        <v>40</v>
      </c>
      <c r="D1321">
        <v>5.407934</v>
      </c>
      <c r="E1321">
        <v>0.5061774</v>
      </c>
      <c r="F1321" t="s">
        <v>55</v>
      </c>
      <c r="G1321">
        <v>-350.29059999999998</v>
      </c>
      <c r="H1321" s="1">
        <v>-1.3821310000000001E-6</v>
      </c>
      <c r="I1321">
        <v>282.04660000000001</v>
      </c>
      <c r="J1321">
        <v>-327.84609999999998</v>
      </c>
      <c r="K1321">
        <v>1.1045</v>
      </c>
      <c r="L1321">
        <v>284.00850000000003</v>
      </c>
      <c r="M1321">
        <v>-0.9998127</v>
      </c>
      <c r="N1321">
        <v>0</v>
      </c>
      <c r="O1321">
        <v>-1.1278450000000001E-2</v>
      </c>
      <c r="P1321">
        <v>-0.9935832</v>
      </c>
      <c r="Q1321">
        <v>4.2046739999999999E-2</v>
      </c>
      <c r="R1321">
        <v>-0.1049981</v>
      </c>
      <c r="S1321">
        <v>-2.9985050000000002</v>
      </c>
      <c r="T1321">
        <v>-0.1438053</v>
      </c>
      <c r="U1321">
        <v>-0.25628659999999998</v>
      </c>
      <c r="V1321">
        <v>-9.3901810000000002E-2</v>
      </c>
      <c r="W1321">
        <v>5.7494219999999999E-2</v>
      </c>
      <c r="X1321">
        <v>0.99392000000000003</v>
      </c>
      <c r="Y1321">
        <v>-7.3845309999999997E-2</v>
      </c>
      <c r="Z1321">
        <v>-1.2269379999999999E-3</v>
      </c>
      <c r="AA1321">
        <v>0.99726899999999996</v>
      </c>
      <c r="AB1321">
        <v>61</v>
      </c>
      <c r="AC1321">
        <v>-22.444500000000001</v>
      </c>
      <c r="AD1321">
        <v>-1.1045013821309999</v>
      </c>
      <c r="AE1321">
        <v>-1.96190000000001</v>
      </c>
      <c r="AF1321">
        <v>-1.7045082647265</v>
      </c>
      <c r="AG1321">
        <v>-1.1045013821309999</v>
      </c>
      <c r="AH1321">
        <v>22.411340973566301</v>
      </c>
      <c r="AI1321">
        <v>92.8133215419289</v>
      </c>
      <c r="AJ1321">
        <v>94.349292404183899</v>
      </c>
      <c r="AK1321">
        <v>22.503188128820799</v>
      </c>
      <c r="AL1321">
        <v>86.704006446961699</v>
      </c>
      <c r="AM1321">
        <v>95.397069381832793</v>
      </c>
      <c r="AN1321">
        <v>1.0000000508273399</v>
      </c>
    </row>
    <row r="1322" spans="1:40" x14ac:dyDescent="0.3">
      <c r="A1322" t="str">
        <f>"20200111153857664"</f>
        <v>20200111153857664</v>
      </c>
      <c r="B1322" t="str">
        <f>"1578728337651450"</f>
        <v>1578728337651450</v>
      </c>
      <c r="C1322" t="s">
        <v>40</v>
      </c>
      <c r="D1322">
        <v>5.4353439999999997</v>
      </c>
      <c r="E1322">
        <v>0.50648099999999996</v>
      </c>
      <c r="F1322" t="s">
        <v>55</v>
      </c>
      <c r="G1322">
        <v>-350.08330000000001</v>
      </c>
      <c r="H1322" s="1">
        <v>-1.4924779999999999E-6</v>
      </c>
      <c r="I1322">
        <v>282.14179999999999</v>
      </c>
      <c r="J1322">
        <v>-328.43720000000002</v>
      </c>
      <c r="K1322">
        <v>1.1044909999999999</v>
      </c>
      <c r="L1322">
        <v>284.00170000000003</v>
      </c>
      <c r="M1322">
        <v>-0.99980630000000004</v>
      </c>
      <c r="N1322">
        <v>0</v>
      </c>
      <c r="O1322">
        <v>-1.180963E-2</v>
      </c>
      <c r="P1322">
        <v>-0.99358029999999997</v>
      </c>
      <c r="Q1322">
        <v>4.0490569999999997E-2</v>
      </c>
      <c r="R1322">
        <v>-0.1056333</v>
      </c>
      <c r="S1322">
        <v>-2.9990839999999999</v>
      </c>
      <c r="T1322">
        <v>-0.14896180000000001</v>
      </c>
      <c r="U1322">
        <v>-0.25176999999999999</v>
      </c>
      <c r="V1322">
        <v>-9.4005770000000002E-2</v>
      </c>
      <c r="W1322">
        <v>5.5955560000000001E-2</v>
      </c>
      <c r="X1322">
        <v>0.99399789999999999</v>
      </c>
      <c r="Y1322">
        <v>-7.1805770000000005E-2</v>
      </c>
      <c r="Z1322">
        <v>-1.1938669999999999E-3</v>
      </c>
      <c r="AA1322">
        <v>0.99741789999999997</v>
      </c>
      <c r="AB1322">
        <v>61</v>
      </c>
      <c r="AC1322">
        <v>-21.646099999999901</v>
      </c>
      <c r="AD1322">
        <v>-1.104492492478</v>
      </c>
      <c r="AE1322">
        <v>-1.8599000000000301</v>
      </c>
      <c r="AF1322">
        <v>-1.5999710636946201</v>
      </c>
      <c r="AG1322">
        <v>-1.104492492478</v>
      </c>
      <c r="AH1322">
        <v>21.6107053196483</v>
      </c>
      <c r="AI1322">
        <v>92.917788433417201</v>
      </c>
      <c r="AJ1322">
        <v>94.234227546290697</v>
      </c>
      <c r="AK1322">
        <v>21.697981368857199</v>
      </c>
      <c r="AL1322">
        <v>86.792307085277002</v>
      </c>
      <c r="AM1322">
        <v>95.402588281349693</v>
      </c>
      <c r="AN1322">
        <v>0.99999996734630703</v>
      </c>
    </row>
    <row r="1323" spans="1:40" x14ac:dyDescent="0.3">
      <c r="A1323" t="str">
        <f>"20200111153857687"</f>
        <v>20200111153857687</v>
      </c>
      <c r="B1323" t="str">
        <f>"1578728337681706"</f>
        <v>1578728337681706</v>
      </c>
      <c r="C1323" t="s">
        <v>40</v>
      </c>
      <c r="D1323">
        <v>5.4269959999999999</v>
      </c>
      <c r="E1323">
        <v>0.50690690000000005</v>
      </c>
      <c r="F1323" t="s">
        <v>55</v>
      </c>
      <c r="G1323">
        <v>-349.39389999999997</v>
      </c>
      <c r="H1323" s="1">
        <v>3.4621549999999999E-6</v>
      </c>
      <c r="I1323">
        <v>282.24720000000002</v>
      </c>
      <c r="J1323">
        <v>-329.07369999999997</v>
      </c>
      <c r="K1323">
        <v>1.1044620000000001</v>
      </c>
      <c r="L1323">
        <v>283.99400000000003</v>
      </c>
      <c r="M1323">
        <v>-0.99979929999999995</v>
      </c>
      <c r="N1323">
        <v>0</v>
      </c>
      <c r="O1323">
        <v>-1.2371429999999999E-2</v>
      </c>
      <c r="P1323">
        <v>-0.99359690000000001</v>
      </c>
      <c r="Q1323">
        <v>3.8137419999999998E-2</v>
      </c>
      <c r="R1323">
        <v>-0.1063519</v>
      </c>
      <c r="S1323">
        <v>-2.9991759999999998</v>
      </c>
      <c r="T1323">
        <v>-0.15806700000000001</v>
      </c>
      <c r="U1323">
        <v>-0.25109860000000001</v>
      </c>
      <c r="V1323">
        <v>-9.4160510000000003E-2</v>
      </c>
      <c r="W1323">
        <v>5.3618760000000001E-2</v>
      </c>
      <c r="X1323">
        <v>0.99411210000000005</v>
      </c>
      <c r="Y1323">
        <v>-7.1013629999999994E-2</v>
      </c>
      <c r="Z1323">
        <v>-1.2163619999999999E-3</v>
      </c>
      <c r="AA1323">
        <v>0.99747459999999999</v>
      </c>
      <c r="AB1323">
        <v>60</v>
      </c>
      <c r="AC1323">
        <v>-20.3202</v>
      </c>
      <c r="AD1323">
        <v>-1.104458537845</v>
      </c>
      <c r="AE1323">
        <v>-1.7467999999999999</v>
      </c>
      <c r="AF1323">
        <v>-1.49087307809348</v>
      </c>
      <c r="AG1323">
        <v>-1.104458537845</v>
      </c>
      <c r="AH1323">
        <v>20.280783225431101</v>
      </c>
      <c r="AI1323">
        <v>93.108784030337205</v>
      </c>
      <c r="AJ1323">
        <v>94.204342662945294</v>
      </c>
      <c r="AK1323">
        <v>20.365478129268901</v>
      </c>
      <c r="AL1323">
        <v>86.926397456752596</v>
      </c>
      <c r="AM1323">
        <v>95.410810611310396</v>
      </c>
      <c r="AN1323">
        <v>1.0000000202168999</v>
      </c>
    </row>
    <row r="1324" spans="1:40" x14ac:dyDescent="0.3">
      <c r="A1324" t="str">
        <f>"20200111153857710"</f>
        <v>20200111153857710</v>
      </c>
      <c r="B1324" t="str">
        <f>"1578728337702203"</f>
        <v>1578728337702203</v>
      </c>
      <c r="C1324" t="s">
        <v>40</v>
      </c>
      <c r="D1324">
        <v>5.4430560000000003</v>
      </c>
      <c r="E1324">
        <v>0.50715500000000002</v>
      </c>
      <c r="F1324" t="s">
        <v>55</v>
      </c>
      <c r="G1324">
        <v>-348.3578</v>
      </c>
      <c r="H1324" s="1">
        <v>2.9108280000000001E-6</v>
      </c>
      <c r="I1324">
        <v>282.38569999999999</v>
      </c>
      <c r="J1324">
        <v>-329.69659999999999</v>
      </c>
      <c r="K1324">
        <v>1.1044320000000001</v>
      </c>
      <c r="L1324">
        <v>283.98610000000002</v>
      </c>
      <c r="M1324">
        <v>-0.99979229999999997</v>
      </c>
      <c r="N1324">
        <v>0</v>
      </c>
      <c r="O1324">
        <v>-1.291323E-2</v>
      </c>
      <c r="P1324">
        <v>-0.9936796</v>
      </c>
      <c r="Q1324">
        <v>3.510804E-2</v>
      </c>
      <c r="R1324">
        <v>-0.10662240000000001</v>
      </c>
      <c r="S1324">
        <v>-2.9991460000000001</v>
      </c>
      <c r="T1324">
        <v>-0.17177000000000001</v>
      </c>
      <c r="U1324">
        <v>-0.25012210000000001</v>
      </c>
      <c r="V1324">
        <v>-9.3883770000000005E-2</v>
      </c>
      <c r="W1324">
        <v>5.060543E-2</v>
      </c>
      <c r="X1324">
        <v>0.99429619999999996</v>
      </c>
      <c r="Y1324">
        <v>-7.0139069999999998E-2</v>
      </c>
      <c r="Z1324">
        <v>-1.2657499999999999E-3</v>
      </c>
      <c r="AA1324">
        <v>0.99753639999999999</v>
      </c>
      <c r="AB1324">
        <v>60</v>
      </c>
      <c r="AC1324">
        <v>-18.661200000000001</v>
      </c>
      <c r="AD1324">
        <v>-1.1044290891719999</v>
      </c>
      <c r="AE1324">
        <v>-1.60040000000003</v>
      </c>
      <c r="AF1324">
        <v>-1.3545503266905401</v>
      </c>
      <c r="AG1324">
        <v>-1.1044290891719999</v>
      </c>
      <c r="AH1324">
        <v>18.615584779467</v>
      </c>
      <c r="AI1324">
        <v>93.386343455535794</v>
      </c>
      <c r="AJ1324">
        <v>94.161753646133803</v>
      </c>
      <c r="AK1324">
        <v>18.697448138237199</v>
      </c>
      <c r="AL1324">
        <v>87.099283469728306</v>
      </c>
      <c r="AM1324">
        <v>95.394009050857605</v>
      </c>
      <c r="AN1324">
        <v>1.00000000257466</v>
      </c>
    </row>
    <row r="1325" spans="1:40" x14ac:dyDescent="0.3">
      <c r="A1325" t="str">
        <f>"20200111153857732"</f>
        <v>20200111153857732</v>
      </c>
      <c r="B1325" t="str">
        <f>"1578728337721723"</f>
        <v>1578728337721723</v>
      </c>
      <c r="C1325" t="s">
        <v>40</v>
      </c>
      <c r="D1325">
        <v>5.4788930000000002</v>
      </c>
      <c r="E1325">
        <v>0.50743019999999905</v>
      </c>
      <c r="F1325" t="s">
        <v>55</v>
      </c>
      <c r="G1325">
        <v>-347.59059999999999</v>
      </c>
      <c r="H1325" s="1">
        <v>2.5025449999999999E-6</v>
      </c>
      <c r="I1325">
        <v>282.49889999999999</v>
      </c>
      <c r="J1325">
        <v>-330.28399999999999</v>
      </c>
      <c r="K1325">
        <v>1.1044</v>
      </c>
      <c r="L1325">
        <v>283.97840000000002</v>
      </c>
      <c r="M1325">
        <v>-0.99978549999999999</v>
      </c>
      <c r="N1325">
        <v>0</v>
      </c>
      <c r="O1325">
        <v>-1.3417439999999999E-2</v>
      </c>
      <c r="P1325">
        <v>-0.99385599999999996</v>
      </c>
      <c r="Q1325">
        <v>3.1971670000000001E-2</v>
      </c>
      <c r="R1325">
        <v>-0.1059625</v>
      </c>
      <c r="S1325">
        <v>-2.9988709999999998</v>
      </c>
      <c r="T1325">
        <v>-0.18509229999999999</v>
      </c>
      <c r="U1325">
        <v>-0.24923709999999999</v>
      </c>
      <c r="V1325">
        <v>-9.2712630000000004E-2</v>
      </c>
      <c r="W1325">
        <v>4.7485909999999999E-2</v>
      </c>
      <c r="X1325">
        <v>0.99455990000000005</v>
      </c>
      <c r="Y1325">
        <v>-6.9338629999999998E-2</v>
      </c>
      <c r="Z1325">
        <v>-1.3082149999999999E-3</v>
      </c>
      <c r="AA1325">
        <v>0.99759229999999999</v>
      </c>
      <c r="AB1325">
        <v>60</v>
      </c>
      <c r="AC1325">
        <v>-17.3066</v>
      </c>
      <c r="AD1325">
        <v>-1.1043974974549999</v>
      </c>
      <c r="AE1325">
        <v>-1.47950000000003</v>
      </c>
      <c r="AF1325">
        <v>-1.24210622401175</v>
      </c>
      <c r="AG1325">
        <v>-1.1043974974549999</v>
      </c>
      <c r="AH1325">
        <v>17.255138981967502</v>
      </c>
      <c r="AI1325">
        <v>93.652736485094294</v>
      </c>
      <c r="AJ1325">
        <v>94.117318328434905</v>
      </c>
      <c r="AK1325">
        <v>17.3350034032627</v>
      </c>
      <c r="AL1325">
        <v>87.278234141857993</v>
      </c>
      <c r="AM1325">
        <v>95.325707441222406</v>
      </c>
      <c r="AN1325">
        <v>0.99999996904902699</v>
      </c>
    </row>
    <row r="1326" spans="1:40" x14ac:dyDescent="0.3">
      <c r="A1326" t="str">
        <f>"20200111153857753"</f>
        <v>20200111153857753</v>
      </c>
      <c r="B1326" t="str">
        <f>"1578728337742218"</f>
        <v>1578728337742218</v>
      </c>
      <c r="C1326" t="s">
        <v>40</v>
      </c>
      <c r="D1326">
        <v>5.4892110000000001</v>
      </c>
      <c r="E1326">
        <v>0.50767609999999996</v>
      </c>
      <c r="F1326" t="s">
        <v>55</v>
      </c>
      <c r="G1326">
        <v>-346.97640000000001</v>
      </c>
      <c r="H1326" s="1">
        <v>2.1757280000000001E-6</v>
      </c>
      <c r="I1326">
        <v>282.61509999999998</v>
      </c>
      <c r="J1326">
        <v>-330.87209999999999</v>
      </c>
      <c r="K1326">
        <v>1.104382</v>
      </c>
      <c r="L1326">
        <v>283.97030000000001</v>
      </c>
      <c r="M1326">
        <v>-0.99977859999999996</v>
      </c>
      <c r="N1326">
        <v>0</v>
      </c>
      <c r="O1326">
        <v>-1.3917229999999999E-2</v>
      </c>
      <c r="P1326">
        <v>-0.99404199999999998</v>
      </c>
      <c r="Q1326">
        <v>2.9062649999999999E-2</v>
      </c>
      <c r="R1326">
        <v>-0.1050524</v>
      </c>
      <c r="S1326">
        <v>-2.99884</v>
      </c>
      <c r="T1326">
        <v>-0.1984079</v>
      </c>
      <c r="U1326">
        <v>-0.2449036</v>
      </c>
      <c r="V1326">
        <v>-9.1296779999999994E-2</v>
      </c>
      <c r="W1326">
        <v>4.4593149999999998E-2</v>
      </c>
      <c r="X1326">
        <v>0.99482479999999995</v>
      </c>
      <c r="Y1326">
        <v>-6.7398340000000001E-2</v>
      </c>
      <c r="Z1326">
        <v>-1.305247E-3</v>
      </c>
      <c r="AA1326">
        <v>0.99772530000000004</v>
      </c>
      <c r="AB1326">
        <v>60</v>
      </c>
      <c r="AC1326">
        <v>-16.104299999999999</v>
      </c>
      <c r="AD1326">
        <v>-1.104379824272</v>
      </c>
      <c r="AE1326">
        <v>-1.3552000000000199</v>
      </c>
      <c r="AF1326">
        <v>-1.12565707752401</v>
      </c>
      <c r="AG1326">
        <v>-1.104379824272</v>
      </c>
      <c r="AH1326">
        <v>16.0466698279483</v>
      </c>
      <c r="AI1326">
        <v>93.927437651024505</v>
      </c>
      <c r="AJ1326">
        <v>94.012665580547406</v>
      </c>
      <c r="AK1326">
        <v>16.123968842057</v>
      </c>
      <c r="AL1326">
        <v>87.444153204106698</v>
      </c>
      <c r="AM1326">
        <v>95.243444795562894</v>
      </c>
      <c r="AN1326">
        <v>1.0000000168801599</v>
      </c>
    </row>
    <row r="1327" spans="1:40" x14ac:dyDescent="0.3">
      <c r="A1327" t="str">
        <f>"20200111153857776"</f>
        <v>20200111153857776</v>
      </c>
      <c r="B1327" t="str">
        <f>"1578728337771499"</f>
        <v>1578728337771499</v>
      </c>
      <c r="C1327" t="s">
        <v>40</v>
      </c>
      <c r="D1327">
        <v>5.4999669999999998</v>
      </c>
      <c r="E1327">
        <v>0.50798770000000004</v>
      </c>
      <c r="F1327" t="s">
        <v>55</v>
      </c>
      <c r="G1327">
        <v>-346.59050000000002</v>
      </c>
      <c r="H1327" s="1">
        <v>1.9703430000000001E-6</v>
      </c>
      <c r="I1327">
        <v>282.71289999999999</v>
      </c>
      <c r="J1327">
        <v>-331.44869999999997</v>
      </c>
      <c r="K1327">
        <v>1.104371</v>
      </c>
      <c r="L1327">
        <v>283.9622</v>
      </c>
      <c r="M1327">
        <v>-0.99977150000000004</v>
      </c>
      <c r="N1327">
        <v>0</v>
      </c>
      <c r="O1327">
        <v>-1.440342E-2</v>
      </c>
      <c r="P1327">
        <v>-0.99430370000000001</v>
      </c>
      <c r="Q1327">
        <v>2.8037690000000001E-2</v>
      </c>
      <c r="R1327">
        <v>-0.10283200000000001</v>
      </c>
      <c r="S1327">
        <v>-2.9988100000000002</v>
      </c>
      <c r="T1327">
        <v>-0.210697</v>
      </c>
      <c r="U1327">
        <v>-0.23989869999999999</v>
      </c>
      <c r="V1327">
        <v>-8.8585570000000002E-2</v>
      </c>
      <c r="W1327">
        <v>4.3584669999999999E-2</v>
      </c>
      <c r="X1327">
        <v>0.99511459999999996</v>
      </c>
      <c r="Y1327">
        <v>-6.5251069999999994E-2</v>
      </c>
      <c r="Z1327">
        <v>-1.2767270000000001E-3</v>
      </c>
      <c r="AA1327">
        <v>0.99786810000000004</v>
      </c>
      <c r="AB1327">
        <v>60</v>
      </c>
      <c r="AC1327">
        <v>-15.1418</v>
      </c>
      <c r="AD1327">
        <v>-1.1043690296569999</v>
      </c>
      <c r="AE1327">
        <v>-1.2493000000000001</v>
      </c>
      <c r="AF1327">
        <v>-1.02563047074741</v>
      </c>
      <c r="AG1327">
        <v>-1.1043690296569999</v>
      </c>
      <c r="AH1327">
        <v>15.078556783150599</v>
      </c>
      <c r="AI1327">
        <v>94.179299960191798</v>
      </c>
      <c r="AJ1327">
        <v>93.891216018715596</v>
      </c>
      <c r="AK1327">
        <v>15.153693393984399</v>
      </c>
      <c r="AL1327">
        <v>87.501991169277701</v>
      </c>
      <c r="AM1327">
        <v>95.087087749241206</v>
      </c>
      <c r="AN1327">
        <v>1.0000000469021899</v>
      </c>
    </row>
    <row r="1328" spans="1:40" x14ac:dyDescent="0.3">
      <c r="A1328" t="str">
        <f>"20200111153857799"</f>
        <v>20200111153857799</v>
      </c>
      <c r="B1328" t="str">
        <f>"1578728337791994"</f>
        <v>1578728337791994</v>
      </c>
      <c r="C1328" t="s">
        <v>40</v>
      </c>
      <c r="D1328">
        <v>5.5415970000000003</v>
      </c>
      <c r="E1328">
        <v>0.50818229999999998</v>
      </c>
      <c r="F1328" t="s">
        <v>55</v>
      </c>
      <c r="G1328">
        <v>-346.56599999999997</v>
      </c>
      <c r="H1328" s="1">
        <v>1.9573350000000002E-6</v>
      </c>
      <c r="I1328">
        <v>282.8</v>
      </c>
      <c r="J1328">
        <v>-332.07569999999998</v>
      </c>
      <c r="K1328">
        <v>1.104387</v>
      </c>
      <c r="L1328">
        <v>283.9529</v>
      </c>
      <c r="M1328">
        <v>-0.99976379999999998</v>
      </c>
      <c r="N1328">
        <v>0</v>
      </c>
      <c r="O1328">
        <v>-1.492894E-2</v>
      </c>
      <c r="P1328">
        <v>-0.99452280000000004</v>
      </c>
      <c r="Q1328">
        <v>2.9233769999999999E-2</v>
      </c>
      <c r="R1328">
        <v>-0.10034990000000001</v>
      </c>
      <c r="S1328">
        <v>-2.9994809999999998</v>
      </c>
      <c r="T1328">
        <v>-0.21912129999999999</v>
      </c>
      <c r="U1328">
        <v>-0.23059080000000001</v>
      </c>
      <c r="V1328">
        <v>-8.5579779999999994E-2</v>
      </c>
      <c r="W1328">
        <v>4.4796559999999999E-2</v>
      </c>
      <c r="X1328">
        <v>0.99532379999999998</v>
      </c>
      <c r="Y1328">
        <v>-6.1631619999999998E-2</v>
      </c>
      <c r="Z1328">
        <v>-1.1573899999999999E-3</v>
      </c>
      <c r="AA1328">
        <v>0.99809829999999999</v>
      </c>
      <c r="AB1328">
        <v>60</v>
      </c>
      <c r="AC1328">
        <v>-14.4902999999999</v>
      </c>
      <c r="AD1328">
        <v>-1.1043850426649999</v>
      </c>
      <c r="AE1328">
        <v>-1.1528999999999801</v>
      </c>
      <c r="AF1328">
        <v>-0.93104544366636499</v>
      </c>
      <c r="AG1328">
        <v>-1.1043850426649999</v>
      </c>
      <c r="AH1328">
        <v>14.4226472443225</v>
      </c>
      <c r="AI1328">
        <v>94.369703529594204</v>
      </c>
      <c r="AJ1328">
        <v>93.693570069840206</v>
      </c>
      <c r="AK1328">
        <v>14.494801325813301</v>
      </c>
      <c r="AL1328">
        <v>87.4324870933049</v>
      </c>
      <c r="AM1328">
        <v>94.914310506329002</v>
      </c>
      <c r="AN1328">
        <v>1.0000000486895499</v>
      </c>
    </row>
    <row r="1329" spans="1:40" x14ac:dyDescent="0.3">
      <c r="A1329" t="str">
        <f>"20200111153857821"</f>
        <v>20200111153857821</v>
      </c>
      <c r="B1329" t="str">
        <f>"1578728337812025"</f>
        <v>1578728337812025</v>
      </c>
      <c r="C1329" t="s">
        <v>40</v>
      </c>
      <c r="D1329">
        <v>5.5075279999999998</v>
      </c>
      <c r="E1329">
        <v>0.50836429999999999</v>
      </c>
      <c r="F1329" t="s">
        <v>55</v>
      </c>
      <c r="G1329">
        <v>-347.22129999999999</v>
      </c>
      <c r="H1329" s="1">
        <v>2.306E-6</v>
      </c>
      <c r="I1329">
        <v>282.8347</v>
      </c>
      <c r="J1329">
        <v>-332.68389999999999</v>
      </c>
      <c r="K1329">
        <v>1.104411</v>
      </c>
      <c r="L1329">
        <v>283.9436</v>
      </c>
      <c r="M1329">
        <v>-0.99975599999999998</v>
      </c>
      <c r="N1329">
        <v>0</v>
      </c>
      <c r="O1329">
        <v>-1.5436689999999999E-2</v>
      </c>
      <c r="P1329">
        <v>-0.99470650000000005</v>
      </c>
      <c r="Q1329">
        <v>3.2397660000000002E-2</v>
      </c>
      <c r="R1329">
        <v>-9.7518450000000007E-2</v>
      </c>
      <c r="S1329">
        <v>-3.00061</v>
      </c>
      <c r="T1329">
        <v>-0.21879850000000001</v>
      </c>
      <c r="U1329">
        <v>-0.2215271</v>
      </c>
      <c r="V1329">
        <v>-8.2245869999999999E-2</v>
      </c>
      <c r="W1329">
        <v>4.7974120000000002E-2</v>
      </c>
      <c r="X1329">
        <v>0.99545680000000003</v>
      </c>
      <c r="Y1329">
        <v>-5.8108840000000002E-2</v>
      </c>
      <c r="Z1329">
        <v>-9.9037189999999996E-4</v>
      </c>
      <c r="AA1329">
        <v>0.99830980000000002</v>
      </c>
      <c r="AB1329">
        <v>60</v>
      </c>
      <c r="AC1329">
        <v>-14.5373999999999</v>
      </c>
      <c r="AD1329">
        <v>-1.104408694</v>
      </c>
      <c r="AE1329">
        <v>-1.1089</v>
      </c>
      <c r="AF1329">
        <v>-0.87928507688476498</v>
      </c>
      <c r="AG1329">
        <v>-1.104408694</v>
      </c>
      <c r="AH1329">
        <v>14.469758658193101</v>
      </c>
      <c r="AI1329">
        <v>94.356649941640299</v>
      </c>
      <c r="AJ1329">
        <v>93.477421512664904</v>
      </c>
      <c r="AK1329">
        <v>14.5384585302627</v>
      </c>
      <c r="AL1329">
        <v>87.250230128745898</v>
      </c>
      <c r="AM1329">
        <v>94.723120449537703</v>
      </c>
      <c r="AN1329">
        <v>1.0000000699940299</v>
      </c>
    </row>
    <row r="1330" spans="1:40" x14ac:dyDescent="0.3">
      <c r="A1330" t="str">
        <f>"20200111153857843"</f>
        <v>20200111153857843</v>
      </c>
      <c r="B1330" t="str">
        <f>"1578728337831543"</f>
        <v>1578728337831543</v>
      </c>
      <c r="C1330" t="s">
        <v>40</v>
      </c>
      <c r="D1330">
        <v>5.5344819999999997</v>
      </c>
      <c r="E1330">
        <v>0.50860909999999904</v>
      </c>
      <c r="F1330" t="s">
        <v>55</v>
      </c>
      <c r="G1330">
        <v>-348.28129999999999</v>
      </c>
      <c r="H1330" s="1">
        <v>2.8701260000000001E-6</v>
      </c>
      <c r="I1330">
        <v>282.84339999999997</v>
      </c>
      <c r="J1330">
        <v>-333.25830000000002</v>
      </c>
      <c r="K1330">
        <v>1.104438</v>
      </c>
      <c r="L1330">
        <v>283.93459999999999</v>
      </c>
      <c r="M1330">
        <v>-0.99974850000000004</v>
      </c>
      <c r="N1330">
        <v>0</v>
      </c>
      <c r="O1330">
        <v>-1.5915350000000002E-2</v>
      </c>
      <c r="P1330">
        <v>-0.99478759999999999</v>
      </c>
      <c r="Q1330">
        <v>3.5761040000000001E-2</v>
      </c>
      <c r="R1330">
        <v>-9.5495510000000006E-2</v>
      </c>
      <c r="S1330">
        <v>-3.0021360000000001</v>
      </c>
      <c r="T1330">
        <v>-0.21257190000000001</v>
      </c>
      <c r="U1330">
        <v>-0.21176149999999999</v>
      </c>
      <c r="V1330">
        <v>-7.9750660000000001E-2</v>
      </c>
      <c r="W1330">
        <v>5.1345960000000003E-2</v>
      </c>
      <c r="X1330">
        <v>0.99549160000000003</v>
      </c>
      <c r="Y1330">
        <v>-5.4379509999999999E-2</v>
      </c>
      <c r="Z1330">
        <v>-7.9637389999999897E-4</v>
      </c>
      <c r="AA1330">
        <v>0.99851999999999996</v>
      </c>
      <c r="AB1330">
        <v>60</v>
      </c>
      <c r="AC1330">
        <v>-15.0229999999999</v>
      </c>
      <c r="AD1330">
        <v>-1.1044351298740001</v>
      </c>
      <c r="AE1330">
        <v>-1.0912000000000099</v>
      </c>
      <c r="AF1330">
        <v>-0.84737985390529003</v>
      </c>
      <c r="AG1330">
        <v>-1.1044351298740001</v>
      </c>
      <c r="AH1330">
        <v>14.958047112173601</v>
      </c>
      <c r="AI1330">
        <v>94.216065392676697</v>
      </c>
      <c r="AJ1330">
        <v>93.242365169680795</v>
      </c>
      <c r="AK1330">
        <v>15.022682948891299</v>
      </c>
      <c r="AL1330">
        <v>87.056799132185503</v>
      </c>
      <c r="AM1330">
        <v>94.580288196903894</v>
      </c>
      <c r="AN1330">
        <v>1.00000005052465</v>
      </c>
    </row>
    <row r="1331" spans="1:40" x14ac:dyDescent="0.3">
      <c r="A1331" t="str">
        <f>"20200111153857864"</f>
        <v>20200111153857864</v>
      </c>
      <c r="B1331" t="str">
        <f>"1578728337861798"</f>
        <v>1578728337861798</v>
      </c>
      <c r="C1331" t="s">
        <v>40</v>
      </c>
      <c r="D1331">
        <v>5.4408379999999896</v>
      </c>
      <c r="E1331">
        <v>0.50899620000000001</v>
      </c>
      <c r="F1331" t="s">
        <v>55</v>
      </c>
      <c r="G1331">
        <v>-349.40309999999999</v>
      </c>
      <c r="H1331" s="1">
        <v>3.467069E-6</v>
      </c>
      <c r="I1331">
        <v>282.84120000000001</v>
      </c>
      <c r="J1331">
        <v>-333.84780000000001</v>
      </c>
      <c r="K1331">
        <v>1.1044579999999999</v>
      </c>
      <c r="L1331">
        <v>283.92500000000001</v>
      </c>
      <c r="M1331">
        <v>-0.99974050000000003</v>
      </c>
      <c r="N1331">
        <v>0</v>
      </c>
      <c r="O1331">
        <v>-1.640484E-2</v>
      </c>
      <c r="P1331">
        <v>-0.99485330000000005</v>
      </c>
      <c r="Q1331">
        <v>3.8115429999999999E-2</v>
      </c>
      <c r="R1331">
        <v>-9.3886570000000003E-2</v>
      </c>
      <c r="S1331">
        <v>-3.003571</v>
      </c>
      <c r="T1331">
        <v>-0.2054686</v>
      </c>
      <c r="U1331">
        <v>-0.20343020000000001</v>
      </c>
      <c r="V1331">
        <v>-7.7657870000000004E-2</v>
      </c>
      <c r="W1331">
        <v>5.3708279999999997E-2</v>
      </c>
      <c r="X1331">
        <v>0.99553230000000004</v>
      </c>
      <c r="Y1331">
        <v>-5.1115420000000002E-2</v>
      </c>
      <c r="Z1331">
        <v>-6.2473960000000001E-4</v>
      </c>
      <c r="AA1331">
        <v>0.99869260000000004</v>
      </c>
      <c r="AB1331">
        <v>60</v>
      </c>
      <c r="AC1331">
        <v>-15.5552999999999</v>
      </c>
      <c r="AD1331">
        <v>-1.104454532931</v>
      </c>
      <c r="AE1331">
        <v>-1.0837999999999901</v>
      </c>
      <c r="AF1331">
        <v>-0.82430457424691295</v>
      </c>
      <c r="AG1331">
        <v>-1.104454532931</v>
      </c>
      <c r="AH1331">
        <v>15.493259824194</v>
      </c>
      <c r="AI1331">
        <v>94.071757404086497</v>
      </c>
      <c r="AJ1331">
        <v>93.045497574272801</v>
      </c>
      <c r="AK1331">
        <v>15.554433381721701</v>
      </c>
      <c r="AL1331">
        <v>86.921260696996796</v>
      </c>
      <c r="AM1331">
        <v>94.460403753010297</v>
      </c>
      <c r="AN1331">
        <v>0.99999994222839095</v>
      </c>
    </row>
    <row r="1332" spans="1:40" x14ac:dyDescent="0.3">
      <c r="A1332" t="str">
        <f>"20200111153857888"</f>
        <v>20200111153857888</v>
      </c>
      <c r="B1332" t="str">
        <f>"1578728337882294"</f>
        <v>1578728337882294</v>
      </c>
      <c r="C1332" t="s">
        <v>40</v>
      </c>
      <c r="D1332">
        <v>5.4701060000000004</v>
      </c>
      <c r="E1332">
        <v>0.50924539999999996</v>
      </c>
      <c r="F1332" t="s">
        <v>55</v>
      </c>
      <c r="G1332">
        <v>-350.57490000000001</v>
      </c>
      <c r="H1332" s="1">
        <v>-1.2308379999999999E-6</v>
      </c>
      <c r="I1332">
        <v>282.83479999999997</v>
      </c>
      <c r="J1332">
        <v>-334.45600000000002</v>
      </c>
      <c r="K1332">
        <v>1.104465</v>
      </c>
      <c r="L1332">
        <v>283.91489999999999</v>
      </c>
      <c r="M1332">
        <v>-0.99973230000000002</v>
      </c>
      <c r="N1332">
        <v>0</v>
      </c>
      <c r="O1332">
        <v>-1.6903069999999999E-2</v>
      </c>
      <c r="P1332">
        <v>-0.99488989999999999</v>
      </c>
      <c r="Q1332">
        <v>3.9742590000000001E-2</v>
      </c>
      <c r="R1332">
        <v>-9.2815819999999993E-2</v>
      </c>
      <c r="S1332">
        <v>-3.0046390000000001</v>
      </c>
      <c r="T1332">
        <v>-0.19839029999999999</v>
      </c>
      <c r="U1332">
        <v>-0.19583130000000001</v>
      </c>
      <c r="V1332">
        <v>-7.6092530000000005E-2</v>
      </c>
      <c r="W1332">
        <v>5.5341389999999997E-2</v>
      </c>
      <c r="X1332">
        <v>0.9955638</v>
      </c>
      <c r="Y1332">
        <v>-4.8092040000000003E-2</v>
      </c>
      <c r="Z1332">
        <v>-4.7067799999999998E-4</v>
      </c>
      <c r="AA1332">
        <v>0.99884280000000003</v>
      </c>
      <c r="AB1332">
        <v>60</v>
      </c>
      <c r="AC1332">
        <v>-16.1189</v>
      </c>
      <c r="AD1332">
        <v>-1.104466230838</v>
      </c>
      <c r="AE1332">
        <v>-1.0801000000000101</v>
      </c>
      <c r="AF1332">
        <v>-0.80369627063620297</v>
      </c>
      <c r="AG1332">
        <v>-1.104466230838</v>
      </c>
      <c r="AH1332">
        <v>16.059792430222402</v>
      </c>
      <c r="AI1332">
        <v>93.929256897627099</v>
      </c>
      <c r="AJ1332">
        <v>92.864920013047396</v>
      </c>
      <c r="AK1332">
        <v>16.117776095117001</v>
      </c>
      <c r="AL1332">
        <v>86.827551188456596</v>
      </c>
      <c r="AM1332">
        <v>94.370710159431894</v>
      </c>
      <c r="AN1332">
        <v>1.0000000112196801</v>
      </c>
    </row>
    <row r="1333" spans="1:40" x14ac:dyDescent="0.3">
      <c r="A1333" t="str">
        <f>"20200111153857910"</f>
        <v>20200111153857910</v>
      </c>
      <c r="B1333" t="str">
        <f>"1578728337902321"</f>
        <v>1578728337902321</v>
      </c>
      <c r="C1333" t="s">
        <v>40</v>
      </c>
      <c r="D1333">
        <v>5.4236279999999999</v>
      </c>
      <c r="E1333">
        <v>0.50945269999999998</v>
      </c>
      <c r="F1333" t="s">
        <v>55</v>
      </c>
      <c r="G1333">
        <v>-351.77710000000002</v>
      </c>
      <c r="H1333" s="1">
        <v>-5.9109359999999896E-7</v>
      </c>
      <c r="I1333">
        <v>282.81610000000001</v>
      </c>
      <c r="J1333">
        <v>-335.07199999999898</v>
      </c>
      <c r="K1333">
        <v>1.104465</v>
      </c>
      <c r="L1333">
        <v>283.9042</v>
      </c>
      <c r="M1333">
        <v>-0.99972369999999999</v>
      </c>
      <c r="N1333">
        <v>0</v>
      </c>
      <c r="O1333">
        <v>-1.739067E-2</v>
      </c>
      <c r="P1333">
        <v>-0.9948787</v>
      </c>
      <c r="Q1333">
        <v>4.0364450000000003E-2</v>
      </c>
      <c r="R1333">
        <v>-9.2667159999999998E-2</v>
      </c>
      <c r="S1333">
        <v>-3.00528</v>
      </c>
      <c r="T1333">
        <v>-0.1916292</v>
      </c>
      <c r="U1333">
        <v>-0.19064329999999999</v>
      </c>
      <c r="V1333">
        <v>-7.5457079999999996E-2</v>
      </c>
      <c r="W1333">
        <v>5.5967459999999997E-2</v>
      </c>
      <c r="X1333">
        <v>0.99557720000000005</v>
      </c>
      <c r="Y1333">
        <v>-4.5883729999999998E-2</v>
      </c>
      <c r="Z1333">
        <v>-3.5330970000000002E-4</v>
      </c>
      <c r="AA1333">
        <v>0.99894669999999997</v>
      </c>
      <c r="AB1333">
        <v>60</v>
      </c>
      <c r="AC1333">
        <v>-16.705100000000002</v>
      </c>
      <c r="AD1333">
        <v>-1.1044655910936001</v>
      </c>
      <c r="AE1333">
        <v>-1.0880999999999901</v>
      </c>
      <c r="AF1333">
        <v>-0.79393038034525099</v>
      </c>
      <c r="AG1333">
        <v>-1.1044655910936001</v>
      </c>
      <c r="AH1333">
        <v>16.6490285275361</v>
      </c>
      <c r="AI1333">
        <v>93.791039196683002</v>
      </c>
      <c r="AJ1333">
        <v>92.730154893373594</v>
      </c>
      <c r="AK1333">
        <v>16.704500010519801</v>
      </c>
      <c r="AL1333">
        <v>86.791624442592394</v>
      </c>
      <c r="AM1333">
        <v>94.334291844474095</v>
      </c>
      <c r="AN1333">
        <v>1.0000000443304</v>
      </c>
    </row>
    <row r="1334" spans="1:40" x14ac:dyDescent="0.3">
      <c r="A1334" t="str">
        <f>"20200111153857932"</f>
        <v>20200111153857932</v>
      </c>
      <c r="B1334" t="str">
        <f>"1578728337921844"</f>
        <v>1578728337921844</v>
      </c>
      <c r="C1334" t="s">
        <v>40</v>
      </c>
      <c r="D1334">
        <v>5.4588469999999996</v>
      </c>
      <c r="E1334">
        <v>0.5096579</v>
      </c>
      <c r="F1334" t="s">
        <v>55</v>
      </c>
      <c r="G1334">
        <v>-352.7509</v>
      </c>
      <c r="H1334" s="1">
        <v>-7.2905380000000005E-8</v>
      </c>
      <c r="I1334">
        <v>282.79489999999998</v>
      </c>
      <c r="J1334">
        <v>-335.66480000000001</v>
      </c>
      <c r="K1334">
        <v>1.104454</v>
      </c>
      <c r="L1334">
        <v>283.8938</v>
      </c>
      <c r="M1334">
        <v>-0.9997161</v>
      </c>
      <c r="N1334">
        <v>0</v>
      </c>
      <c r="O1334">
        <v>-1.7830639999999998E-2</v>
      </c>
      <c r="P1334">
        <v>-0.99489059999999996</v>
      </c>
      <c r="Q1334">
        <v>4.0300000000000002E-2</v>
      </c>
      <c r="R1334">
        <v>-9.2566889999999999E-2</v>
      </c>
      <c r="S1334">
        <v>-3.005493</v>
      </c>
      <c r="T1334">
        <v>-0.1877644</v>
      </c>
      <c r="U1334">
        <v>-0.18859860000000001</v>
      </c>
      <c r="V1334">
        <v>-7.4915159999999995E-2</v>
      </c>
      <c r="W1334">
        <v>5.590842E-2</v>
      </c>
      <c r="X1334">
        <v>0.99562139999999999</v>
      </c>
      <c r="Y1334">
        <v>-4.4768019999999999E-2</v>
      </c>
      <c r="Z1334">
        <v>-2.8397129999999999E-4</v>
      </c>
      <c r="AA1334">
        <v>0.99899740000000004</v>
      </c>
      <c r="AB1334">
        <v>60</v>
      </c>
      <c r="AC1334">
        <v>-17.086099999999899</v>
      </c>
      <c r="AD1334">
        <v>-1.10445407290537</v>
      </c>
      <c r="AE1334">
        <v>-1.09890000000001</v>
      </c>
      <c r="AF1334">
        <v>-0.79074068422102495</v>
      </c>
      <c r="AG1334">
        <v>-1.10445407290537</v>
      </c>
      <c r="AH1334">
        <v>17.032105847660102</v>
      </c>
      <c r="AI1334">
        <v>93.7061935149612</v>
      </c>
      <c r="AJ1334">
        <v>92.658132537300304</v>
      </c>
      <c r="AK1334">
        <v>17.086185040398501</v>
      </c>
      <c r="AL1334">
        <v>86.795012355521607</v>
      </c>
      <c r="AM1334">
        <v>94.303090719243201</v>
      </c>
      <c r="AN1334">
        <v>1.00000000238134</v>
      </c>
    </row>
    <row r="1335" spans="1:40" x14ac:dyDescent="0.3">
      <c r="A1335" t="str">
        <f>"20200111153857954"</f>
        <v>20200111153857954</v>
      </c>
      <c r="B1335" t="str">
        <f>"1578728337942337"</f>
        <v>1578728337942337</v>
      </c>
      <c r="C1335" t="s">
        <v>40</v>
      </c>
      <c r="D1335">
        <v>5.2203920000000004</v>
      </c>
      <c r="E1335">
        <v>0.50982570000000005</v>
      </c>
      <c r="F1335" t="s">
        <v>55</v>
      </c>
      <c r="G1335">
        <v>-353.48270000000002</v>
      </c>
      <c r="H1335" s="1">
        <v>3.165481E-7</v>
      </c>
      <c r="I1335">
        <v>282.78769999999997</v>
      </c>
      <c r="J1335">
        <v>-336.2303</v>
      </c>
      <c r="K1335">
        <v>1.1044290000000001</v>
      </c>
      <c r="L1335">
        <v>283.88350000000003</v>
      </c>
      <c r="M1335">
        <v>-0.99970919999999996</v>
      </c>
      <c r="N1335">
        <v>0</v>
      </c>
      <c r="O1335">
        <v>-1.820971E-2</v>
      </c>
      <c r="P1335">
        <v>-0.99488049999999995</v>
      </c>
      <c r="Q1335">
        <v>3.95526E-2</v>
      </c>
      <c r="R1335">
        <v>-9.2998919999999999E-2</v>
      </c>
      <c r="S1335">
        <v>-3.005585</v>
      </c>
      <c r="T1335">
        <v>-0.18630289999999999</v>
      </c>
      <c r="U1335">
        <v>-0.18658449999999999</v>
      </c>
      <c r="V1335">
        <v>-7.4963370000000001E-2</v>
      </c>
      <c r="W1335">
        <v>5.5166659999999999E-2</v>
      </c>
      <c r="X1335">
        <v>0.99565919999999997</v>
      </c>
      <c r="Y1335">
        <v>-4.3723949999999998E-2</v>
      </c>
      <c r="Z1335">
        <v>-2.2601899999999999E-4</v>
      </c>
      <c r="AA1335">
        <v>0.99904360000000003</v>
      </c>
      <c r="AB1335">
        <v>60</v>
      </c>
      <c r="AC1335">
        <v>-17.252400000000002</v>
      </c>
      <c r="AD1335">
        <v>-1.1044286834518999</v>
      </c>
      <c r="AE1335">
        <v>-1.0958000000000501</v>
      </c>
      <c r="AF1335">
        <v>-0.778241342920859</v>
      </c>
      <c r="AG1335">
        <v>-1.1044286834518999</v>
      </c>
      <c r="AH1335">
        <v>17.1992951358197</v>
      </c>
      <c r="AI1335">
        <v>93.670378744310995</v>
      </c>
      <c r="AJ1335">
        <v>92.590777697347505</v>
      </c>
      <c r="AK1335">
        <v>17.252280297795199</v>
      </c>
      <c r="AL1335">
        <v>86.837577935481804</v>
      </c>
      <c r="AM1335">
        <v>94.305686611313902</v>
      </c>
      <c r="AN1335">
        <v>1.00000005488097</v>
      </c>
    </row>
    <row r="1336" spans="1:40" x14ac:dyDescent="0.3">
      <c r="A1336" t="str">
        <f>"20200111153857978"</f>
        <v>20200111153857978</v>
      </c>
      <c r="B1336" t="str">
        <f>"1578728337971617"</f>
        <v>1578728337971617</v>
      </c>
      <c r="C1336" t="s">
        <v>40</v>
      </c>
      <c r="D1336">
        <v>5.380706</v>
      </c>
      <c r="E1336">
        <v>0.51005279999999997</v>
      </c>
      <c r="F1336" t="s">
        <v>55</v>
      </c>
      <c r="G1336">
        <v>-354.03399999999999</v>
      </c>
      <c r="H1336" s="1">
        <v>6.0989569999999899E-7</v>
      </c>
      <c r="I1336">
        <v>282.77879999999999</v>
      </c>
      <c r="J1336">
        <v>-336.85770000000002</v>
      </c>
      <c r="K1336">
        <v>1.1043799999999999</v>
      </c>
      <c r="L1336">
        <v>283.87200000000001</v>
      </c>
      <c r="M1336">
        <v>-0.99970289999999995</v>
      </c>
      <c r="N1336">
        <v>0</v>
      </c>
      <c r="O1336">
        <v>-1.8564629999999999E-2</v>
      </c>
      <c r="P1336">
        <v>-0.99475809999999998</v>
      </c>
      <c r="Q1336">
        <v>3.8396930000000003E-2</v>
      </c>
      <c r="R1336">
        <v>-9.4775570000000003E-2</v>
      </c>
      <c r="S1336">
        <v>-3.0054020000000001</v>
      </c>
      <c r="T1336">
        <v>-0.18643660000000001</v>
      </c>
      <c r="U1336">
        <v>-0.18649289999999999</v>
      </c>
      <c r="V1336">
        <v>-7.6379600000000006E-2</v>
      </c>
      <c r="W1336">
        <v>5.4014909999999999E-2</v>
      </c>
      <c r="X1336">
        <v>0.99561460000000002</v>
      </c>
      <c r="Y1336">
        <v>-4.334404E-2</v>
      </c>
      <c r="Z1336">
        <v>-1.9246479999999999E-4</v>
      </c>
      <c r="AA1336">
        <v>0.99906019999999895</v>
      </c>
      <c r="AB1336">
        <v>60</v>
      </c>
      <c r="AC1336">
        <v>-17.176299999999902</v>
      </c>
      <c r="AD1336">
        <v>-1.1043793901043</v>
      </c>
      <c r="AE1336">
        <v>-1.0932000000000199</v>
      </c>
      <c r="AF1336">
        <v>-0.770925917749124</v>
      </c>
      <c r="AG1336">
        <v>-1.1043793901043</v>
      </c>
      <c r="AH1336">
        <v>17.123133958527401</v>
      </c>
      <c r="AI1336">
        <v>93.686532453179396</v>
      </c>
      <c r="AJ1336">
        <v>92.577857106796202</v>
      </c>
      <c r="AK1336">
        <v>17.1760209935136</v>
      </c>
      <c r="AL1336">
        <v>86.903666553230295</v>
      </c>
      <c r="AM1336">
        <v>94.386912062781903</v>
      </c>
      <c r="AN1336">
        <v>0.99999994276581206</v>
      </c>
    </row>
    <row r="1337" spans="1:40" x14ac:dyDescent="0.3">
      <c r="A1337" t="str">
        <f>"20200111153857999"</f>
        <v>20200111153857999</v>
      </c>
      <c r="B1337" t="str">
        <f>"1578728337992113"</f>
        <v>1578728337992113</v>
      </c>
      <c r="C1337" t="s">
        <v>40</v>
      </c>
      <c r="D1337">
        <v>5.3501469999999998</v>
      </c>
      <c r="E1337">
        <v>0.51020069999999995</v>
      </c>
      <c r="F1337" t="s">
        <v>55</v>
      </c>
      <c r="G1337">
        <v>-354.73059999999998</v>
      </c>
      <c r="H1337" s="1">
        <v>9.805883000000001E-7</v>
      </c>
      <c r="I1337">
        <v>282.7432</v>
      </c>
      <c r="J1337">
        <v>-337.4529</v>
      </c>
      <c r="K1337">
        <v>1.1043240000000001</v>
      </c>
      <c r="L1337">
        <v>283.86090000000002</v>
      </c>
      <c r="M1337">
        <v>-0.99969790000000003</v>
      </c>
      <c r="N1337">
        <v>0</v>
      </c>
      <c r="O1337">
        <v>-1.882671E-2</v>
      </c>
      <c r="P1337">
        <v>-0.9946914</v>
      </c>
      <c r="Q1337">
        <v>3.7992310000000001E-2</v>
      </c>
      <c r="R1337">
        <v>-9.5632499999999995E-2</v>
      </c>
      <c r="S1337">
        <v>-3.004883</v>
      </c>
      <c r="T1337">
        <v>-0.1856737</v>
      </c>
      <c r="U1337">
        <v>-0.18978880000000001</v>
      </c>
      <c r="V1337">
        <v>-7.6967540000000001E-2</v>
      </c>
      <c r="W1337">
        <v>5.3618760000000001E-2</v>
      </c>
      <c r="X1337">
        <v>0.9955908</v>
      </c>
      <c r="Y1337">
        <v>-4.4183590000000002E-2</v>
      </c>
      <c r="Z1337">
        <v>-2.0143879999999999E-4</v>
      </c>
      <c r="AA1337">
        <v>0.99902340000000001</v>
      </c>
      <c r="AB1337">
        <v>60</v>
      </c>
      <c r="AC1337">
        <v>-17.2776999999999</v>
      </c>
      <c r="AD1337">
        <v>-1.1043230194117</v>
      </c>
      <c r="AE1337">
        <v>-1.1177000000000099</v>
      </c>
      <c r="AF1337">
        <v>-0.78896927322508703</v>
      </c>
      <c r="AG1337">
        <v>-1.1043230194117</v>
      </c>
      <c r="AH1337">
        <v>17.225604288270901</v>
      </c>
      <c r="AI1337">
        <v>93.664346569915594</v>
      </c>
      <c r="AJ1337">
        <v>92.622435642657194</v>
      </c>
      <c r="AK1337">
        <v>17.2789885393038</v>
      </c>
      <c r="AL1337">
        <v>86.926397417139498</v>
      </c>
      <c r="AM1337">
        <v>94.420652695264906</v>
      </c>
      <c r="AN1337">
        <v>1.0000000073411099</v>
      </c>
    </row>
    <row r="1338" spans="1:40" x14ac:dyDescent="0.3">
      <c r="A1338" t="str">
        <f>"20200111153858021"</f>
        <v>20200111153858021</v>
      </c>
      <c r="B1338" t="str">
        <f>"1578728338012144"</f>
        <v>1578728338012144</v>
      </c>
      <c r="C1338" t="s">
        <v>40</v>
      </c>
      <c r="D1338">
        <v>5.3331160000000004</v>
      </c>
      <c r="E1338">
        <v>0.51035489999999994</v>
      </c>
      <c r="F1338" t="s">
        <v>55</v>
      </c>
      <c r="G1338">
        <v>-355.46379999999999</v>
      </c>
      <c r="H1338" s="1">
        <v>1.3707620000000001E-6</v>
      </c>
      <c r="I1338">
        <v>282.71910000000003</v>
      </c>
      <c r="J1338">
        <v>-338.05189999999999</v>
      </c>
      <c r="K1338">
        <v>1.104252</v>
      </c>
      <c r="L1338">
        <v>283.84949999999998</v>
      </c>
      <c r="M1338">
        <v>-0.99969419999999998</v>
      </c>
      <c r="N1338">
        <v>0</v>
      </c>
      <c r="O1338">
        <v>-1.9025230000000001E-2</v>
      </c>
      <c r="P1338">
        <v>-0.99463500000000005</v>
      </c>
      <c r="Q1338">
        <v>3.723696E-2</v>
      </c>
      <c r="R1338">
        <v>-9.6513409999999994E-2</v>
      </c>
      <c r="S1338">
        <v>-3.0047000000000001</v>
      </c>
      <c r="T1338">
        <v>-0.18423030000000001</v>
      </c>
      <c r="U1338">
        <v>-0.19049070000000001</v>
      </c>
      <c r="V1338">
        <v>-7.7640929999999997E-2</v>
      </c>
      <c r="W1338">
        <v>5.2873089999999998E-2</v>
      </c>
      <c r="X1338">
        <v>0.99557839999999997</v>
      </c>
      <c r="Y1338">
        <v>-4.4222520000000001E-2</v>
      </c>
      <c r="Z1338">
        <v>-1.889332E-4</v>
      </c>
      <c r="AA1338">
        <v>0.99902170000000001</v>
      </c>
      <c r="AB1338">
        <v>60</v>
      </c>
      <c r="AC1338">
        <v>-17.411899999999999</v>
      </c>
      <c r="AD1338">
        <v>-1.1042506292380001</v>
      </c>
      <c r="AE1338">
        <v>-1.1303999999999499</v>
      </c>
      <c r="AF1338">
        <v>-0.79570172070021805</v>
      </c>
      <c r="AG1338">
        <v>-1.1042506292380001</v>
      </c>
      <c r="AH1338">
        <v>17.360724609848699</v>
      </c>
      <c r="AI1338">
        <v>93.6356604920161</v>
      </c>
      <c r="AJ1338">
        <v>92.624226096676097</v>
      </c>
      <c r="AK1338">
        <v>17.413996372444299</v>
      </c>
      <c r="AL1338">
        <v>86.969181874983605</v>
      </c>
      <c r="AM1338">
        <v>94.459229042012893</v>
      </c>
      <c r="AN1338">
        <v>1.00000001410198</v>
      </c>
    </row>
    <row r="1339" spans="1:40" x14ac:dyDescent="0.3">
      <c r="A1339" t="str">
        <f>"20200111153858043"</f>
        <v>20200111153858043</v>
      </c>
      <c r="B1339" t="str">
        <f>"1578728338031664"</f>
        <v>1578728338031664</v>
      </c>
      <c r="C1339" t="s">
        <v>40</v>
      </c>
      <c r="D1339">
        <v>5.2836869999999996</v>
      </c>
      <c r="E1339">
        <v>0.51050720000000005</v>
      </c>
      <c r="F1339" t="s">
        <v>55</v>
      </c>
      <c r="G1339">
        <v>-356.09519999999998</v>
      </c>
      <c r="H1339" s="1">
        <v>1.706782E-6</v>
      </c>
      <c r="I1339">
        <v>282.7004</v>
      </c>
      <c r="J1339">
        <v>-338.60719999999998</v>
      </c>
      <c r="K1339">
        <v>1.104179</v>
      </c>
      <c r="L1339">
        <v>283.839</v>
      </c>
      <c r="M1339">
        <v>-0.99969149999999996</v>
      </c>
      <c r="N1339">
        <v>0</v>
      </c>
      <c r="O1339">
        <v>-1.9158169999999999E-2</v>
      </c>
      <c r="P1339">
        <v>-0.99453460000000005</v>
      </c>
      <c r="Q1339">
        <v>3.6647890000000002E-2</v>
      </c>
      <c r="R1339">
        <v>-9.7764669999999998E-2</v>
      </c>
      <c r="S1339">
        <v>-3.0045169999999999</v>
      </c>
      <c r="T1339">
        <v>-0.18387609999999999</v>
      </c>
      <c r="U1339">
        <v>-0.19134519999999999</v>
      </c>
      <c r="V1339">
        <v>-7.8752749999999996E-2</v>
      </c>
      <c r="W1339">
        <v>5.229168E-2</v>
      </c>
      <c r="X1339">
        <v>0.99552180000000001</v>
      </c>
      <c r="Y1339">
        <v>-4.437663E-2</v>
      </c>
      <c r="Z1339">
        <v>-1.851701E-4</v>
      </c>
      <c r="AA1339">
        <v>0.99901490000000004</v>
      </c>
      <c r="AB1339">
        <v>60</v>
      </c>
      <c r="AC1339">
        <v>-17.488</v>
      </c>
      <c r="AD1339">
        <v>-1.1041772932179901</v>
      </c>
      <c r="AE1339">
        <v>-1.1385999999999901</v>
      </c>
      <c r="AF1339">
        <v>-0.80013471902567601</v>
      </c>
      <c r="AG1339">
        <v>-1.1041772932179901</v>
      </c>
      <c r="AH1339">
        <v>17.437384169611001</v>
      </c>
      <c r="AI1339">
        <v>93.619471245864801</v>
      </c>
      <c r="AJ1339">
        <v>92.6272408109011</v>
      </c>
      <c r="AK1339">
        <v>17.4906200502455</v>
      </c>
      <c r="AL1339">
        <v>87.002540424892004</v>
      </c>
      <c r="AM1339">
        <v>94.523078305936906</v>
      </c>
      <c r="AN1339">
        <v>1.00000003485251</v>
      </c>
    </row>
    <row r="1340" spans="1:40" x14ac:dyDescent="0.3">
      <c r="A1340" t="str">
        <f>"20200111153858065"</f>
        <v>20200111153858065</v>
      </c>
      <c r="B1340" t="str">
        <f>"1578728338061918"</f>
        <v>1578728338061918</v>
      </c>
      <c r="C1340" t="s">
        <v>40</v>
      </c>
      <c r="D1340">
        <v>5.2581410000000002</v>
      </c>
      <c r="E1340">
        <v>0.51074419999999998</v>
      </c>
      <c r="F1340" t="s">
        <v>55</v>
      </c>
      <c r="G1340">
        <v>-356.70639999999997</v>
      </c>
      <c r="H1340" s="1">
        <v>2.0320350000000001E-6</v>
      </c>
      <c r="I1340">
        <v>282.67309999999998</v>
      </c>
      <c r="J1340">
        <v>-339.20650000000001</v>
      </c>
      <c r="K1340">
        <v>1.1040970000000001</v>
      </c>
      <c r="L1340">
        <v>283.82749999999999</v>
      </c>
      <c r="M1340">
        <v>-0.99969019999999997</v>
      </c>
      <c r="N1340">
        <v>0</v>
      </c>
      <c r="O1340">
        <v>-1.9237529999999999E-2</v>
      </c>
      <c r="P1340">
        <v>-0.99428119999999998</v>
      </c>
      <c r="Q1340">
        <v>3.5930690000000001E-2</v>
      </c>
      <c r="R1340">
        <v>-0.10056909999999999</v>
      </c>
      <c r="S1340">
        <v>-3.0042110000000002</v>
      </c>
      <c r="T1340">
        <v>-0.1832773</v>
      </c>
      <c r="U1340">
        <v>-0.19351199999999999</v>
      </c>
      <c r="V1340">
        <v>-8.1471719999999997E-2</v>
      </c>
      <c r="W1340">
        <v>5.1580729999999998E-2</v>
      </c>
      <c r="X1340">
        <v>0.99534</v>
      </c>
      <c r="Y1340">
        <v>-4.5020579999999998E-2</v>
      </c>
      <c r="Z1340">
        <v>-1.9935880000000001E-4</v>
      </c>
      <c r="AA1340">
        <v>0.99898609999999999</v>
      </c>
      <c r="AB1340">
        <v>60</v>
      </c>
      <c r="AC1340">
        <v>-17.499899999999901</v>
      </c>
      <c r="AD1340">
        <v>-1.1040949679649901</v>
      </c>
      <c r="AE1340">
        <v>-1.1544000000000001</v>
      </c>
      <c r="AF1340">
        <v>-0.81426231303628804</v>
      </c>
      <c r="AG1340">
        <v>-1.1040949679649901</v>
      </c>
      <c r="AH1340">
        <v>17.449712969154699</v>
      </c>
      <c r="AI1340">
        <v>93.616522359157401</v>
      </c>
      <c r="AJ1340">
        <v>92.671675792167207</v>
      </c>
      <c r="AK1340">
        <v>17.5035576817573</v>
      </c>
      <c r="AL1340">
        <v>87.043329699096802</v>
      </c>
      <c r="AM1340">
        <v>94.679408384321505</v>
      </c>
      <c r="AN1340">
        <v>0.99999996423354498</v>
      </c>
    </row>
    <row r="1341" spans="1:40" x14ac:dyDescent="0.3">
      <c r="A1341" t="str">
        <f>"20200111153858100"</f>
        <v>20200111153858100</v>
      </c>
      <c r="B1341" t="str">
        <f>"1578728338092176"</f>
        <v>1578728338092176</v>
      </c>
      <c r="C1341" t="s">
        <v>40</v>
      </c>
      <c r="D1341">
        <v>5.2372889999999996</v>
      </c>
      <c r="E1341">
        <v>0.51097289999999995</v>
      </c>
      <c r="F1341" t="s">
        <v>55</v>
      </c>
      <c r="G1341">
        <v>-357.42399999999998</v>
      </c>
      <c r="H1341" s="1">
        <v>2.4139019999999999E-6</v>
      </c>
      <c r="I1341">
        <v>282.61880000000002</v>
      </c>
      <c r="J1341">
        <v>-340.13440000000003</v>
      </c>
      <c r="K1341">
        <v>1.1039490000000001</v>
      </c>
      <c r="L1341">
        <v>283.80970000000002</v>
      </c>
      <c r="M1341">
        <v>-0.9996912</v>
      </c>
      <c r="N1341">
        <v>0</v>
      </c>
      <c r="O1341">
        <v>-1.918717E-2</v>
      </c>
      <c r="P1341">
        <v>-0.99382490000000001</v>
      </c>
      <c r="Q1341">
        <v>3.6266350000000003E-2</v>
      </c>
      <c r="R1341">
        <v>-0.1048656</v>
      </c>
      <c r="S1341">
        <v>-3.0036320000000001</v>
      </c>
      <c r="T1341">
        <v>-0.1820389</v>
      </c>
      <c r="U1341">
        <v>-0.19927980000000001</v>
      </c>
      <c r="V1341">
        <v>-8.5808770000000006E-2</v>
      </c>
      <c r="W1341">
        <v>5.1930730000000001E-2</v>
      </c>
      <c r="X1341">
        <v>0.99495730000000004</v>
      </c>
      <c r="Y1341">
        <v>-4.6990320000000002E-2</v>
      </c>
      <c r="Z1341">
        <v>-2.6065890000000002E-4</v>
      </c>
      <c r="AA1341">
        <v>0.99889530000000004</v>
      </c>
      <c r="AB1341">
        <v>60</v>
      </c>
      <c r="AC1341">
        <v>-17.2896</v>
      </c>
      <c r="AD1341">
        <v>-1.103946586098</v>
      </c>
      <c r="AE1341">
        <v>-1.1908999999999901</v>
      </c>
      <c r="AF1341">
        <v>-0.85542984547629997</v>
      </c>
      <c r="AG1341">
        <v>-1.103946586098</v>
      </c>
      <c r="AH1341">
        <v>17.239318715681101</v>
      </c>
      <c r="AI1341">
        <v>93.659531214740397</v>
      </c>
      <c r="AJ1341">
        <v>92.840735950764298</v>
      </c>
      <c r="AK1341">
        <v>17.2957962541862</v>
      </c>
      <c r="AL1341">
        <v>87.023249331775503</v>
      </c>
      <c r="AM1341">
        <v>94.929201416360499</v>
      </c>
      <c r="AN1341">
        <v>0.99999998727526795</v>
      </c>
    </row>
    <row r="1342" spans="1:40" x14ac:dyDescent="0.3">
      <c r="A1342" t="str">
        <f>"20200111153858122"</f>
        <v>20200111153858122</v>
      </c>
      <c r="B1342" t="str">
        <f>"1578728338112205"</f>
        <v>1578728338112205</v>
      </c>
      <c r="C1342" t="s">
        <v>40</v>
      </c>
      <c r="D1342">
        <v>5.1921499999999998</v>
      </c>
      <c r="E1342">
        <v>0.51113069999999905</v>
      </c>
      <c r="F1342" t="s">
        <v>55</v>
      </c>
      <c r="G1342">
        <v>-358.77690000000001</v>
      </c>
      <c r="H1342" s="1">
        <v>3.1338520000000001E-6</v>
      </c>
      <c r="I1342">
        <v>282.50700000000001</v>
      </c>
      <c r="J1342">
        <v>-340.72710000000001</v>
      </c>
      <c r="K1342">
        <v>1.1038349999999999</v>
      </c>
      <c r="L1342">
        <v>283.79849999999999</v>
      </c>
      <c r="M1342">
        <v>-0.99969439999999998</v>
      </c>
      <c r="N1342">
        <v>0</v>
      </c>
      <c r="O1342">
        <v>-1.9021360000000001E-2</v>
      </c>
      <c r="P1342">
        <v>-0.99359470000000005</v>
      </c>
      <c r="Q1342">
        <v>3.5571440000000003E-2</v>
      </c>
      <c r="R1342">
        <v>-0.1072587</v>
      </c>
      <c r="S1342">
        <v>-3.0029599999999999</v>
      </c>
      <c r="T1342">
        <v>-0.1778246</v>
      </c>
      <c r="U1342">
        <v>-0.20983889999999999</v>
      </c>
      <c r="V1342">
        <v>-8.8356439999999994E-2</v>
      </c>
      <c r="W1342">
        <v>5.1252609999999997E-2</v>
      </c>
      <c r="X1342">
        <v>0.99476949999999997</v>
      </c>
      <c r="Y1342">
        <v>-5.0662150000000003E-2</v>
      </c>
      <c r="Z1342">
        <v>-3.7295509999999999E-4</v>
      </c>
      <c r="AA1342">
        <v>0.99871580000000004</v>
      </c>
      <c r="AB1342">
        <v>60</v>
      </c>
      <c r="AC1342">
        <v>-18.049800000000001</v>
      </c>
      <c r="AD1342">
        <v>-1.103831866148</v>
      </c>
      <c r="AE1342">
        <v>-1.2914999999999801</v>
      </c>
      <c r="AF1342">
        <v>-0.94437783597626301</v>
      </c>
      <c r="AG1342">
        <v>-1.103831866148</v>
      </c>
      <c r="AH1342">
        <v>18.004111948036499</v>
      </c>
      <c r="AI1342">
        <v>93.503607426464797</v>
      </c>
      <c r="AJ1342">
        <v>93.002609724761101</v>
      </c>
      <c r="AK1342">
        <v>18.062622769776201</v>
      </c>
      <c r="AL1342">
        <v>87.062154667499897</v>
      </c>
      <c r="AM1342">
        <v>95.075749625350696</v>
      </c>
      <c r="AN1342">
        <v>1.0000000243257601</v>
      </c>
    </row>
    <row r="1343" spans="1:40" x14ac:dyDescent="0.3">
      <c r="A1343" t="str">
        <f>"20200111153858143"</f>
        <v>20200111153858143</v>
      </c>
      <c r="B1343" t="str">
        <f>"1578728338131722"</f>
        <v>1578728338131722</v>
      </c>
      <c r="C1343" t="s">
        <v>40</v>
      </c>
      <c r="D1343">
        <v>5.1808969999999999</v>
      </c>
      <c r="E1343">
        <v>0.51130370000000003</v>
      </c>
      <c r="F1343" t="s">
        <v>55</v>
      </c>
      <c r="G1343">
        <v>-359.35750000000002</v>
      </c>
      <c r="H1343" s="1">
        <v>3.4428380000000001E-6</v>
      </c>
      <c r="I1343">
        <v>282.4606</v>
      </c>
      <c r="J1343">
        <v>-341.28719999999998</v>
      </c>
      <c r="K1343">
        <v>1.1037110000000001</v>
      </c>
      <c r="L1343">
        <v>283.78800000000001</v>
      </c>
      <c r="M1343">
        <v>-0.99969920000000001</v>
      </c>
      <c r="N1343">
        <v>0</v>
      </c>
      <c r="O1343">
        <v>-1.877181E-2</v>
      </c>
      <c r="P1343">
        <v>-0.99348899999999996</v>
      </c>
      <c r="Q1343">
        <v>3.5342159999999997E-2</v>
      </c>
      <c r="R1343">
        <v>-0.1083086</v>
      </c>
      <c r="S1343">
        <v>-3.0024410000000001</v>
      </c>
      <c r="T1343">
        <v>-0.1778911</v>
      </c>
      <c r="U1343">
        <v>-0.21560670000000001</v>
      </c>
      <c r="V1343">
        <v>-8.9641849999999995E-2</v>
      </c>
      <c r="W1343">
        <v>5.1044029999999997E-2</v>
      </c>
      <c r="X1343">
        <v>0.99466520000000003</v>
      </c>
      <c r="Y1343">
        <v>-5.2828079999999999E-2</v>
      </c>
      <c r="Z1343">
        <v>-4.5191349999999998E-4</v>
      </c>
      <c r="AA1343">
        <v>0.99860349999999998</v>
      </c>
      <c r="AB1343">
        <v>59</v>
      </c>
      <c r="AC1343">
        <v>-18.0703</v>
      </c>
      <c r="AD1343">
        <v>-1.1037075571619901</v>
      </c>
      <c r="AE1343">
        <v>-1.3274000000000099</v>
      </c>
      <c r="AF1343">
        <v>-0.98425938673174895</v>
      </c>
      <c r="AG1343">
        <v>-1.1037075571619901</v>
      </c>
      <c r="AH1343">
        <v>18.025152401345402</v>
      </c>
      <c r="AI1343">
        <v>93.498733989978007</v>
      </c>
      <c r="AJ1343">
        <v>93.125519166481197</v>
      </c>
      <c r="AK1343">
        <v>18.085714141383299</v>
      </c>
      <c r="AL1343">
        <v>87.074121033937999</v>
      </c>
      <c r="AM1343">
        <v>95.149734562836201</v>
      </c>
      <c r="AN1343">
        <v>1.0000000071805499</v>
      </c>
    </row>
    <row r="1344" spans="1:40" x14ac:dyDescent="0.3">
      <c r="A1344" t="str">
        <f>"20200111153858166"</f>
        <v>20200111153858166</v>
      </c>
      <c r="B1344" t="str">
        <f>"1578728338161978"</f>
        <v>1578728338161978</v>
      </c>
      <c r="C1344" t="s">
        <v>40</v>
      </c>
      <c r="D1344">
        <v>5.1702570000000003</v>
      </c>
      <c r="E1344">
        <v>0.51154659999999996</v>
      </c>
      <c r="F1344" t="s">
        <v>55</v>
      </c>
      <c r="G1344">
        <v>-359.99950000000001</v>
      </c>
      <c r="H1344" s="1">
        <v>-1.537045E-6</v>
      </c>
      <c r="I1344">
        <v>282.43029999999999</v>
      </c>
      <c r="J1344">
        <v>-341.90609999999998</v>
      </c>
      <c r="K1344">
        <v>1.1035710000000001</v>
      </c>
      <c r="L1344">
        <v>283.77659999999997</v>
      </c>
      <c r="M1344">
        <v>-0.9997066</v>
      </c>
      <c r="N1344">
        <v>0</v>
      </c>
      <c r="O1344">
        <v>-1.8376340000000001E-2</v>
      </c>
      <c r="P1344">
        <v>-0.99341109999999999</v>
      </c>
      <c r="Q1344">
        <v>3.5419470000000002E-2</v>
      </c>
      <c r="R1344">
        <v>-0.1089965</v>
      </c>
      <c r="S1344">
        <v>-3.0021969999999998</v>
      </c>
      <c r="T1344">
        <v>-0.1770794</v>
      </c>
      <c r="U1344">
        <v>-0.21783449999999999</v>
      </c>
      <c r="V1344">
        <v>-9.0706560000000006E-2</v>
      </c>
      <c r="W1344">
        <v>5.1149269999999997E-2</v>
      </c>
      <c r="X1344">
        <v>0.99456330000000004</v>
      </c>
      <c r="Y1344">
        <v>-5.3963940000000002E-2</v>
      </c>
      <c r="Z1344">
        <v>-5.0657480000000003E-4</v>
      </c>
      <c r="AA1344">
        <v>0.99854279999999995</v>
      </c>
      <c r="AB1344">
        <v>59</v>
      </c>
      <c r="AC1344">
        <v>-18.093399999999999</v>
      </c>
      <c r="AD1344">
        <v>-1.10357253704499</v>
      </c>
      <c r="AE1344">
        <v>-1.3462999999999801</v>
      </c>
      <c r="AF1344">
        <v>-1.00980478228785</v>
      </c>
      <c r="AG1344">
        <v>-1.10357253704499</v>
      </c>
      <c r="AH1344">
        <v>18.0483142615711</v>
      </c>
      <c r="AI1344">
        <v>93.493570325660201</v>
      </c>
      <c r="AJ1344">
        <v>93.202365151387497</v>
      </c>
      <c r="AK1344">
        <v>18.1101967335334</v>
      </c>
      <c r="AL1344">
        <v>87.068083443639594</v>
      </c>
      <c r="AM1344">
        <v>95.211096095561203</v>
      </c>
      <c r="AN1344">
        <v>1.00000004277772</v>
      </c>
    </row>
    <row r="1345" spans="1:40" x14ac:dyDescent="0.3">
      <c r="A1345" t="str">
        <f>"20200111153858189"</f>
        <v>20200111153858189</v>
      </c>
      <c r="B1345" t="str">
        <f>"1578728338181497"</f>
        <v>1578728338181497</v>
      </c>
      <c r="C1345" t="s">
        <v>40</v>
      </c>
      <c r="D1345">
        <v>5.1333789999999997</v>
      </c>
      <c r="E1345">
        <v>0.51171789999999995</v>
      </c>
      <c r="F1345" t="s">
        <v>55</v>
      </c>
      <c r="G1345">
        <v>-360.91230000000002</v>
      </c>
      <c r="H1345" s="1">
        <v>-1.051332E-6</v>
      </c>
      <c r="I1345">
        <v>282.3931</v>
      </c>
      <c r="J1345">
        <v>-342.50229999999999</v>
      </c>
      <c r="K1345">
        <v>1.1034280000000001</v>
      </c>
      <c r="L1345">
        <v>283.76600000000002</v>
      </c>
      <c r="M1345">
        <v>-0.99971569999999998</v>
      </c>
      <c r="N1345">
        <v>0</v>
      </c>
      <c r="O1345">
        <v>-1.7873900000000002E-2</v>
      </c>
      <c r="P1345">
        <v>-0.99342039999999998</v>
      </c>
      <c r="Q1345">
        <v>3.5689369999999998E-2</v>
      </c>
      <c r="R1345">
        <v>-0.10882310000000001</v>
      </c>
      <c r="S1345">
        <v>-3.0021360000000001</v>
      </c>
      <c r="T1345">
        <v>-0.17431549999999901</v>
      </c>
      <c r="U1345">
        <v>-0.21853639999999999</v>
      </c>
      <c r="V1345">
        <v>-9.101389E-2</v>
      </c>
      <c r="W1345">
        <v>5.1449290000000002E-2</v>
      </c>
      <c r="X1345">
        <v>0.99451970000000001</v>
      </c>
      <c r="Y1345">
        <v>-5.4699289999999998E-2</v>
      </c>
      <c r="Z1345">
        <v>-5.4909070000000004E-4</v>
      </c>
      <c r="AA1345">
        <v>0.99850269999999997</v>
      </c>
      <c r="AB1345">
        <v>59</v>
      </c>
      <c r="AC1345">
        <v>-18.41</v>
      </c>
      <c r="AD1345">
        <v>-1.103429051332</v>
      </c>
      <c r="AE1345">
        <v>-1.37289999999995</v>
      </c>
      <c r="AF1345">
        <v>-1.0398662155428799</v>
      </c>
      <c r="AG1345">
        <v>-1.103429051332</v>
      </c>
      <c r="AH1345">
        <v>18.365987820090901</v>
      </c>
      <c r="AI1345">
        <v>93.432714534966095</v>
      </c>
      <c r="AJ1345">
        <v>93.240577229806604</v>
      </c>
      <c r="AK1345">
        <v>18.428466730177998</v>
      </c>
      <c r="AL1345">
        <v>87.050870762115096</v>
      </c>
      <c r="AM1345">
        <v>95.228882474814597</v>
      </c>
      <c r="AN1345">
        <v>0.99999999565126296</v>
      </c>
    </row>
    <row r="1346" spans="1:40" x14ac:dyDescent="0.3">
      <c r="A1346" t="str">
        <f>"20200111153858210"</f>
        <v>20200111153858210</v>
      </c>
      <c r="B1346" t="str">
        <f>"1578728338201996"</f>
        <v>1578728338201996</v>
      </c>
      <c r="C1346" t="s">
        <v>40</v>
      </c>
      <c r="D1346">
        <v>5.1693670000000003</v>
      </c>
      <c r="E1346">
        <v>0.51189629999999997</v>
      </c>
      <c r="F1346" t="s">
        <v>55</v>
      </c>
      <c r="G1346">
        <v>-361.78109999999998</v>
      </c>
      <c r="H1346" s="1">
        <v>-5.8898180000000004E-7</v>
      </c>
      <c r="I1346">
        <v>282.3707</v>
      </c>
      <c r="J1346">
        <v>-343.07040000000001</v>
      </c>
      <c r="K1346">
        <v>1.103299</v>
      </c>
      <c r="L1346">
        <v>283.75619999999998</v>
      </c>
      <c r="M1346">
        <v>-0.99972609999999995</v>
      </c>
      <c r="N1346">
        <v>0</v>
      </c>
      <c r="O1346">
        <v>-1.7288399999999999E-2</v>
      </c>
      <c r="P1346">
        <v>-0.9934887</v>
      </c>
      <c r="Q1346">
        <v>3.5983729999999998E-2</v>
      </c>
      <c r="R1346">
        <v>-0.10810069999999999</v>
      </c>
      <c r="S1346">
        <v>-3.0022579999999999</v>
      </c>
      <c r="T1346">
        <v>-0.17183579999999901</v>
      </c>
      <c r="U1346">
        <v>-0.21728520000000001</v>
      </c>
      <c r="V1346">
        <v>-9.0854450000000003E-2</v>
      </c>
      <c r="W1346">
        <v>5.1773590000000001E-2</v>
      </c>
      <c r="X1346">
        <v>0.9945174</v>
      </c>
      <c r="Y1346">
        <v>-5.486771E-2</v>
      </c>
      <c r="Z1346">
        <v>-5.7951779999999896E-4</v>
      </c>
      <c r="AA1346">
        <v>0.99849350000000003</v>
      </c>
      <c r="AB1346">
        <v>59</v>
      </c>
      <c r="AC1346">
        <v>-18.7106999999999</v>
      </c>
      <c r="AD1346">
        <v>-1.1032995889818</v>
      </c>
      <c r="AE1346">
        <v>-1.38549999999997</v>
      </c>
      <c r="AF1346">
        <v>-1.05811553503</v>
      </c>
      <c r="AG1346">
        <v>-1.1032995889818</v>
      </c>
      <c r="AH1346">
        <v>18.667306353017</v>
      </c>
      <c r="AI1346">
        <v>93.377027185365506</v>
      </c>
      <c r="AJ1346">
        <v>93.244214742907005</v>
      </c>
      <c r="AK1346">
        <v>18.729794578315801</v>
      </c>
      <c r="AL1346">
        <v>87.032264799984205</v>
      </c>
      <c r="AM1346">
        <v>95.219785059463504</v>
      </c>
      <c r="AN1346">
        <v>0.99999994730452302</v>
      </c>
    </row>
    <row r="1347" spans="1:40" x14ac:dyDescent="0.3">
      <c r="A1347" t="str">
        <f>"20200111153858233"</f>
        <v>20200111153858233</v>
      </c>
      <c r="B1347" t="str">
        <f>"1578728338221513"</f>
        <v>1578728338221513</v>
      </c>
      <c r="C1347" t="s">
        <v>40</v>
      </c>
      <c r="D1347">
        <v>5.1079790000000003</v>
      </c>
      <c r="E1347">
        <v>0.51205909999999999</v>
      </c>
      <c r="F1347" t="s">
        <v>55</v>
      </c>
      <c r="G1347">
        <v>-362.64850000000001</v>
      </c>
      <c r="H1347" s="1">
        <v>-1.2740210000000001E-7</v>
      </c>
      <c r="I1347">
        <v>282.36219999999997</v>
      </c>
      <c r="J1347">
        <v>-343.65519999999998</v>
      </c>
      <c r="K1347">
        <v>1.103162</v>
      </c>
      <c r="L1347">
        <v>283.74639999999999</v>
      </c>
      <c r="M1347">
        <v>-0.99973800000000002</v>
      </c>
      <c r="N1347">
        <v>0</v>
      </c>
      <c r="O1347">
        <v>-1.6589929999999999E-2</v>
      </c>
      <c r="P1347">
        <v>-0.99365219999999999</v>
      </c>
      <c r="Q1347">
        <v>3.7313850000000003E-2</v>
      </c>
      <c r="R1347">
        <v>-0.1061285</v>
      </c>
      <c r="S1347">
        <v>-3.0025330000000001</v>
      </c>
      <c r="T1347">
        <v>-0.16920399999999999</v>
      </c>
      <c r="U1347">
        <v>-0.21377560000000001</v>
      </c>
      <c r="V1347">
        <v>-8.9553820000000006E-2</v>
      </c>
      <c r="W1347">
        <v>5.313404E-2</v>
      </c>
      <c r="X1347">
        <v>0.99456359999999999</v>
      </c>
      <c r="Y1347">
        <v>-5.4399120000000002E-2</v>
      </c>
      <c r="Z1347">
        <v>-5.9671879999999896E-4</v>
      </c>
      <c r="AA1347">
        <v>0.99851909999999999</v>
      </c>
      <c r="AB1347">
        <v>59</v>
      </c>
      <c r="AC1347">
        <v>-18.993300000000001</v>
      </c>
      <c r="AD1347">
        <v>-1.1031621274021</v>
      </c>
      <c r="AE1347">
        <v>-1.3842000000000201</v>
      </c>
      <c r="AF1347">
        <v>-1.06529797535531</v>
      </c>
      <c r="AG1347">
        <v>-1.1031621274021</v>
      </c>
      <c r="AH1347">
        <v>18.950062215474102</v>
      </c>
      <c r="AI1347">
        <v>93.326425851868294</v>
      </c>
      <c r="AJ1347">
        <v>93.217556832406004</v>
      </c>
      <c r="AK1347">
        <v>19.012014212754199</v>
      </c>
      <c r="AL1347">
        <v>86.954209249931594</v>
      </c>
      <c r="AM1347">
        <v>95.1452273158894</v>
      </c>
      <c r="AN1347">
        <v>0.99999993366413398</v>
      </c>
    </row>
    <row r="1348" spans="1:40" x14ac:dyDescent="0.3">
      <c r="A1348" t="str">
        <f>"20200111153858255"</f>
        <v>20200111153858255</v>
      </c>
      <c r="B1348" t="str">
        <f>"1578728338251770"</f>
        <v>1578728338251770</v>
      </c>
      <c r="C1348" t="s">
        <v>40</v>
      </c>
      <c r="D1348">
        <v>5.1431290000000001</v>
      </c>
      <c r="E1348">
        <v>0.51234570000000001</v>
      </c>
      <c r="F1348" t="s">
        <v>55</v>
      </c>
      <c r="G1348">
        <v>-363.90679999999998</v>
      </c>
      <c r="H1348" s="1">
        <v>5.4221409999999998E-7</v>
      </c>
      <c r="I1348">
        <v>282.35090000000002</v>
      </c>
      <c r="J1348">
        <v>-344.25119999999998</v>
      </c>
      <c r="K1348">
        <v>1.10303</v>
      </c>
      <c r="L1348">
        <v>283.73689999999999</v>
      </c>
      <c r="M1348">
        <v>-0.99975099999999995</v>
      </c>
      <c r="N1348">
        <v>0</v>
      </c>
      <c r="O1348">
        <v>-1.579007E-2</v>
      </c>
      <c r="P1348">
        <v>-0.99389919999999998</v>
      </c>
      <c r="Q1348">
        <v>3.876081E-2</v>
      </c>
      <c r="R1348">
        <v>-0.1032571</v>
      </c>
      <c r="S1348">
        <v>-3.0031430000000001</v>
      </c>
      <c r="T1348">
        <v>-0.16358919999999999</v>
      </c>
      <c r="U1348">
        <v>-0.2069397</v>
      </c>
      <c r="V1348">
        <v>-8.7454279999999995E-2</v>
      </c>
      <c r="W1348">
        <v>5.4607700000000002E-2</v>
      </c>
      <c r="X1348">
        <v>0.99467070000000002</v>
      </c>
      <c r="Y1348">
        <v>-5.2926649999999999E-2</v>
      </c>
      <c r="Z1348">
        <v>-5.8032009999999998E-4</v>
      </c>
      <c r="AA1348">
        <v>0.99859819999999999</v>
      </c>
      <c r="AB1348">
        <v>59</v>
      </c>
      <c r="AC1348">
        <v>-19.6556</v>
      </c>
      <c r="AD1348">
        <v>-1.1030294577858999</v>
      </c>
      <c r="AE1348">
        <v>-1.3859999999999599</v>
      </c>
      <c r="AF1348">
        <v>-1.0720658198388799</v>
      </c>
      <c r="AG1348">
        <v>-1.1030294577858999</v>
      </c>
      <c r="AH1348">
        <v>19.6135750050661</v>
      </c>
      <c r="AI1348">
        <v>93.214025560925194</v>
      </c>
      <c r="AJ1348">
        <v>93.128638420611196</v>
      </c>
      <c r="AK1348">
        <v>19.673797894310201</v>
      </c>
      <c r="AL1348">
        <v>86.869652244945598</v>
      </c>
      <c r="AM1348">
        <v>95.024686993636607</v>
      </c>
      <c r="AN1348">
        <v>1.0000000267140401</v>
      </c>
    </row>
    <row r="1349" spans="1:40" x14ac:dyDescent="0.3">
      <c r="A1349" t="str">
        <f>"20200111153858279"</f>
        <v>20200111153858279</v>
      </c>
      <c r="B1349" t="str">
        <f>"1578728338272266"</f>
        <v>1578728338272266</v>
      </c>
      <c r="C1349" t="s">
        <v>40</v>
      </c>
      <c r="D1349">
        <v>5.1088639999999996</v>
      </c>
      <c r="E1349">
        <v>0.51252059999999999</v>
      </c>
      <c r="F1349" t="s">
        <v>55</v>
      </c>
      <c r="G1349">
        <v>-365.39710000000002</v>
      </c>
      <c r="H1349" s="1">
        <v>1.3352829999999999E-6</v>
      </c>
      <c r="I1349">
        <v>282.35680000000002</v>
      </c>
      <c r="J1349">
        <v>-344.87349999999998</v>
      </c>
      <c r="K1349">
        <v>1.1028979999999999</v>
      </c>
      <c r="L1349">
        <v>283.7276</v>
      </c>
      <c r="M1349">
        <v>-0.99976500000000001</v>
      </c>
      <c r="N1349">
        <v>0</v>
      </c>
      <c r="O1349">
        <v>-1.487612E-2</v>
      </c>
      <c r="P1349">
        <v>-0.9942164</v>
      </c>
      <c r="Q1349">
        <v>3.9341809999999998E-2</v>
      </c>
      <c r="R1349">
        <v>-9.9930119999999997E-2</v>
      </c>
      <c r="S1349">
        <v>-3.0041500000000001</v>
      </c>
      <c r="T1349">
        <v>-0.15670479999999901</v>
      </c>
      <c r="U1349">
        <v>-0.19607540000000001</v>
      </c>
      <c r="V1349">
        <v>-8.5013770000000002E-2</v>
      </c>
      <c r="W1349">
        <v>5.5212369999999997E-2</v>
      </c>
      <c r="X1349">
        <v>0.99484879999999998</v>
      </c>
      <c r="Y1349">
        <v>-5.0228189999999999E-2</v>
      </c>
      <c r="Z1349">
        <v>-5.3313160000000004E-4</v>
      </c>
      <c r="AA1349">
        <v>0.9987376</v>
      </c>
      <c r="AB1349">
        <v>59</v>
      </c>
      <c r="AC1349">
        <v>-20.523599999999998</v>
      </c>
      <c r="AD1349">
        <v>-1.102896664717</v>
      </c>
      <c r="AE1349">
        <v>-1.37079999999997</v>
      </c>
      <c r="AF1349">
        <v>-1.06224487991967</v>
      </c>
      <c r="AG1349">
        <v>-1.102896664717</v>
      </c>
      <c r="AH1349">
        <v>20.482836090774502</v>
      </c>
      <c r="AI1349">
        <v>93.077981973815199</v>
      </c>
      <c r="AJ1349">
        <v>92.968713581828197</v>
      </c>
      <c r="AK1349">
        <v>20.5399931733069</v>
      </c>
      <c r="AL1349">
        <v>86.834954586643306</v>
      </c>
      <c r="AM1349">
        <v>94.884285370992799</v>
      </c>
      <c r="AN1349">
        <v>0.99999994087603294</v>
      </c>
    </row>
    <row r="1350" spans="1:40" x14ac:dyDescent="0.3">
      <c r="A1350" t="str">
        <f>"20200111153858301"</f>
        <v>20200111153858301</v>
      </c>
      <c r="B1350" t="str">
        <f>"1578728338291785"</f>
        <v>1578728338291785</v>
      </c>
      <c r="C1350" t="s">
        <v>40</v>
      </c>
      <c r="D1350">
        <v>5.0820999999999996</v>
      </c>
      <c r="E1350">
        <v>0.51258019999999904</v>
      </c>
      <c r="F1350" t="s">
        <v>55</v>
      </c>
      <c r="G1350">
        <v>-366.42989999999998</v>
      </c>
      <c r="H1350" s="1">
        <v>1.8848999999999999E-6</v>
      </c>
      <c r="I1350">
        <v>282.40249999999997</v>
      </c>
      <c r="J1350">
        <v>-345.47820000000002</v>
      </c>
      <c r="K1350">
        <v>1.102781</v>
      </c>
      <c r="L1350">
        <v>283.71910000000003</v>
      </c>
      <c r="M1350">
        <v>-0.99977870000000002</v>
      </c>
      <c r="N1350">
        <v>0</v>
      </c>
      <c r="O1350">
        <v>-1.39363E-2</v>
      </c>
      <c r="P1350">
        <v>-0.99449339999999997</v>
      </c>
      <c r="Q1350">
        <v>3.952145E-2</v>
      </c>
      <c r="R1350">
        <v>-9.7062480000000007E-2</v>
      </c>
      <c r="S1350">
        <v>-3.0049440000000001</v>
      </c>
      <c r="T1350">
        <v>-0.15374260000000001</v>
      </c>
      <c r="U1350">
        <v>-0.1847229</v>
      </c>
      <c r="V1350">
        <v>-8.3062529999999996E-2</v>
      </c>
      <c r="W1350">
        <v>5.5409949999999999E-2</v>
      </c>
      <c r="X1350">
        <v>0.99500270000000002</v>
      </c>
      <c r="Y1350">
        <v>-4.7395859999999998E-2</v>
      </c>
      <c r="Z1350">
        <v>-4.9864509999999996E-4</v>
      </c>
      <c r="AA1350">
        <v>0.99887599999999999</v>
      </c>
      <c r="AB1350">
        <v>59</v>
      </c>
      <c r="AC1350">
        <v>-20.951699999999899</v>
      </c>
      <c r="AD1350">
        <v>-1.1027791150999999</v>
      </c>
      <c r="AE1350">
        <v>-1.31660000000005</v>
      </c>
      <c r="AF1350">
        <v>-1.02162750958805</v>
      </c>
      <c r="AG1350">
        <v>-1.1027791150999999</v>
      </c>
      <c r="AH1350">
        <v>20.910314029160201</v>
      </c>
      <c r="AI1350">
        <v>93.015308017018398</v>
      </c>
      <c r="AJ1350">
        <v>92.797109383187305</v>
      </c>
      <c r="AK1350">
        <v>20.964280987983901</v>
      </c>
      <c r="AL1350">
        <v>86.823616948385606</v>
      </c>
      <c r="AM1350">
        <v>94.771970123787796</v>
      </c>
      <c r="AN1350">
        <v>1.0000000097281401</v>
      </c>
    </row>
    <row r="1351" spans="1:40" x14ac:dyDescent="0.3">
      <c r="A1351" t="str">
        <f>"20200111153858323"</f>
        <v>20200111153858323</v>
      </c>
      <c r="B1351" t="str">
        <f>"1578728338312281"</f>
        <v>1578728338312281</v>
      </c>
      <c r="C1351" t="s">
        <v>40</v>
      </c>
      <c r="D1351">
        <v>5.0588309999999996</v>
      </c>
      <c r="E1351">
        <v>0.51252790000000004</v>
      </c>
      <c r="F1351" t="s">
        <v>55</v>
      </c>
      <c r="G1351">
        <v>-367.24630000000002</v>
      </c>
      <c r="H1351" s="1">
        <v>2.3193430000000001E-6</v>
      </c>
      <c r="I1351">
        <v>282.44810000000001</v>
      </c>
      <c r="J1351">
        <v>-346.0625</v>
      </c>
      <c r="K1351">
        <v>1.1026750000000001</v>
      </c>
      <c r="L1351">
        <v>283.71129999999999</v>
      </c>
      <c r="M1351">
        <v>-0.9997914</v>
      </c>
      <c r="N1351">
        <v>0</v>
      </c>
      <c r="O1351">
        <v>-1.2992510000000001E-2</v>
      </c>
      <c r="P1351">
        <v>-0.99474169999999995</v>
      </c>
      <c r="Q1351">
        <v>3.9186510000000001E-2</v>
      </c>
      <c r="R1351">
        <v>-9.4623209999999999E-2</v>
      </c>
      <c r="S1351">
        <v>-3.0055239999999999</v>
      </c>
      <c r="T1351">
        <v>-0.15226049999999999</v>
      </c>
      <c r="U1351">
        <v>-0.1754761</v>
      </c>
      <c r="V1351">
        <v>-8.1547540000000002E-2</v>
      </c>
      <c r="W1351">
        <v>5.5089529999999998E-2</v>
      </c>
      <c r="X1351">
        <v>0.99514579999999997</v>
      </c>
      <c r="Y1351">
        <v>-4.5267080000000001E-2</v>
      </c>
      <c r="Z1351">
        <v>-4.8768379999999999E-4</v>
      </c>
      <c r="AA1351">
        <v>0.99897480000000005</v>
      </c>
      <c r="AB1351">
        <v>59</v>
      </c>
      <c r="AC1351">
        <v>-21.183800000000002</v>
      </c>
      <c r="AD1351">
        <v>-1.102672680657</v>
      </c>
      <c r="AE1351">
        <v>-1.2631999999999799</v>
      </c>
      <c r="AF1351">
        <v>-0.98516860092837999</v>
      </c>
      <c r="AG1351">
        <v>-1.102672680657</v>
      </c>
      <c r="AH1351">
        <v>21.141346653651102</v>
      </c>
      <c r="AI1351">
        <v>92.982449378645001</v>
      </c>
      <c r="AJ1351">
        <v>92.668004072504104</v>
      </c>
      <c r="AK1351">
        <v>21.1929937135546</v>
      </c>
      <c r="AL1351">
        <v>86.842003748775497</v>
      </c>
      <c r="AM1351">
        <v>94.684653766916497</v>
      </c>
      <c r="AN1351">
        <v>1.00000001042665</v>
      </c>
    </row>
    <row r="1352" spans="1:40" x14ac:dyDescent="0.3">
      <c r="A1352" t="str">
        <f>"20200111153858346"</f>
        <v>20200111153858346</v>
      </c>
      <c r="B1352" t="str">
        <f>"1578728338341561"</f>
        <v>1578728338341561</v>
      </c>
      <c r="C1352" t="s">
        <v>40</v>
      </c>
      <c r="D1352">
        <v>4.9944870000000003</v>
      </c>
      <c r="E1352">
        <v>0.51244749999999994</v>
      </c>
      <c r="F1352" t="s">
        <v>55</v>
      </c>
      <c r="G1352">
        <v>-367.8621</v>
      </c>
      <c r="H1352" s="1">
        <v>2.6470069999999998E-6</v>
      </c>
      <c r="I1352">
        <v>282.49209999999999</v>
      </c>
      <c r="J1352">
        <v>-346.62909999999999</v>
      </c>
      <c r="K1352">
        <v>1.102587</v>
      </c>
      <c r="L1352">
        <v>283.70429999999999</v>
      </c>
      <c r="M1352">
        <v>-0.99980309999999994</v>
      </c>
      <c r="N1352">
        <v>0</v>
      </c>
      <c r="O1352">
        <v>-1.205468E-2</v>
      </c>
      <c r="P1352">
        <v>-0.99492040000000004</v>
      </c>
      <c r="Q1352">
        <v>3.831503E-2</v>
      </c>
      <c r="R1352">
        <v>-9.3088279999999995E-2</v>
      </c>
      <c r="S1352">
        <v>-3.0058590000000001</v>
      </c>
      <c r="T1352">
        <v>-0.15204329999999999</v>
      </c>
      <c r="U1352">
        <v>-0.1681213</v>
      </c>
      <c r="V1352">
        <v>-8.0936339999999996E-2</v>
      </c>
      <c r="W1352">
        <v>5.4231069999999999E-2</v>
      </c>
      <c r="X1352">
        <v>0.99524279999999998</v>
      </c>
      <c r="Y1352">
        <v>-4.3762099999999998E-2</v>
      </c>
      <c r="Z1352">
        <v>-4.9632270000000002E-4</v>
      </c>
      <c r="AA1352">
        <v>0.99904190000000004</v>
      </c>
      <c r="AB1352">
        <v>59</v>
      </c>
      <c r="AC1352">
        <v>-21.233000000000001</v>
      </c>
      <c r="AD1352">
        <v>-1.1025843529929999</v>
      </c>
      <c r="AE1352">
        <v>-1.21219999999999</v>
      </c>
      <c r="AF1352">
        <v>-0.95356015261918603</v>
      </c>
      <c r="AG1352">
        <v>-1.1025843529929999</v>
      </c>
      <c r="AH1352">
        <v>21.1891204102118</v>
      </c>
      <c r="AI1352">
        <v>92.975715975066194</v>
      </c>
      <c r="AJ1352">
        <v>92.576706040580405</v>
      </c>
      <c r="AK1352">
        <v>21.239204151252501</v>
      </c>
      <c r="AL1352">
        <v>86.891263387887193</v>
      </c>
      <c r="AM1352">
        <v>94.649245560111794</v>
      </c>
      <c r="AN1352">
        <v>0.99999996551888903</v>
      </c>
    </row>
    <row r="1353" spans="1:40" x14ac:dyDescent="0.3">
      <c r="A1353" t="str">
        <f>"20200111153858367"</f>
        <v>20200111153858367</v>
      </c>
      <c r="B1353" t="str">
        <f>"1578728338362058"</f>
        <v>1578728338362058</v>
      </c>
      <c r="C1353" t="s">
        <v>40</v>
      </c>
      <c r="D1353">
        <v>5.0662710000000004</v>
      </c>
      <c r="E1353">
        <v>0.51238490000000003</v>
      </c>
      <c r="F1353" t="s">
        <v>55</v>
      </c>
      <c r="G1353">
        <v>-368.27780000000001</v>
      </c>
      <c r="H1353" s="1">
        <v>2.8682279999999998E-6</v>
      </c>
      <c r="I1353">
        <v>282.52390000000003</v>
      </c>
      <c r="J1353">
        <v>-347.21179999999998</v>
      </c>
      <c r="K1353">
        <v>1.1025</v>
      </c>
      <c r="L1353">
        <v>283.6977</v>
      </c>
      <c r="M1353">
        <v>-0.9998146</v>
      </c>
      <c r="N1353">
        <v>0</v>
      </c>
      <c r="O1353">
        <v>-1.107443E-2</v>
      </c>
      <c r="P1353">
        <v>-0.9950504</v>
      </c>
      <c r="Q1353">
        <v>3.7432930000000003E-2</v>
      </c>
      <c r="R1353">
        <v>-9.2051629999999995E-2</v>
      </c>
      <c r="S1353">
        <v>-3.0059200000000001</v>
      </c>
      <c r="T1353">
        <v>-0.15309389999999901</v>
      </c>
      <c r="U1353">
        <v>-0.1639099</v>
      </c>
      <c r="V1353">
        <v>-8.0866579999999993E-2</v>
      </c>
      <c r="W1353">
        <v>5.3361159999999998E-2</v>
      </c>
      <c r="X1353">
        <v>0.9952955</v>
      </c>
      <c r="Y1353">
        <v>-4.3343729999999997E-2</v>
      </c>
      <c r="Z1353">
        <v>-5.3896769999999905E-4</v>
      </c>
      <c r="AA1353">
        <v>0.99906010000000001</v>
      </c>
      <c r="AB1353">
        <v>59</v>
      </c>
      <c r="AC1353">
        <v>-21.065999999999999</v>
      </c>
      <c r="AD1353">
        <v>-1.102497131772</v>
      </c>
      <c r="AE1353">
        <v>-1.17379999999997</v>
      </c>
      <c r="AF1353">
        <v>-0.93784431267275403</v>
      </c>
      <c r="AG1353">
        <v>-1.102497131772</v>
      </c>
      <c r="AH1353">
        <v>21.0203123508782</v>
      </c>
      <c r="AI1353">
        <v>92.999384485505203</v>
      </c>
      <c r="AJ1353">
        <v>92.554619931734806</v>
      </c>
      <c r="AK1353">
        <v>21.070087403920699</v>
      </c>
      <c r="AL1353">
        <v>86.941177870081901</v>
      </c>
      <c r="AM1353">
        <v>94.645010978532298</v>
      </c>
      <c r="AN1353">
        <v>0.99999997473884505</v>
      </c>
    </row>
    <row r="1354" spans="1:40" x14ac:dyDescent="0.3">
      <c r="A1354" t="str">
        <f>"20200111153858390"</f>
        <v>20200111153858390</v>
      </c>
      <c r="B1354" t="str">
        <f>"1578728338381577"</f>
        <v>1578728338381577</v>
      </c>
      <c r="C1354" t="s">
        <v>40</v>
      </c>
      <c r="D1354">
        <v>5.074713</v>
      </c>
      <c r="E1354">
        <v>0.51231669999999996</v>
      </c>
      <c r="F1354" t="s">
        <v>55</v>
      </c>
      <c r="G1354">
        <v>-368.62169999999998</v>
      </c>
      <c r="H1354" s="1">
        <v>3.0512760000000001E-6</v>
      </c>
      <c r="I1354">
        <v>282.55149999999998</v>
      </c>
      <c r="J1354">
        <v>-347.82729999999998</v>
      </c>
      <c r="K1354">
        <v>1.102419</v>
      </c>
      <c r="L1354">
        <v>283.69130000000001</v>
      </c>
      <c r="M1354">
        <v>-0.99982570000000004</v>
      </c>
      <c r="N1354">
        <v>0</v>
      </c>
      <c r="O1354">
        <v>-1.002655E-2</v>
      </c>
      <c r="P1354">
        <v>-0.99508470000000004</v>
      </c>
      <c r="Q1354">
        <v>3.6238399999999997E-2</v>
      </c>
      <c r="R1354">
        <v>-9.2159080000000004E-2</v>
      </c>
      <c r="S1354">
        <v>-3.00589</v>
      </c>
      <c r="T1354">
        <v>-0.15478690000000001</v>
      </c>
      <c r="U1354">
        <v>-0.16091920000000001</v>
      </c>
      <c r="V1354">
        <v>-8.2011630000000002E-2</v>
      </c>
      <c r="W1354">
        <v>5.2179780000000002E-2</v>
      </c>
      <c r="X1354">
        <v>0.9952645</v>
      </c>
      <c r="Y1354">
        <v>-4.3397850000000002E-2</v>
      </c>
      <c r="Z1354">
        <v>-6.0021360000000004E-4</v>
      </c>
      <c r="AA1354">
        <v>0.99905770000000005</v>
      </c>
      <c r="AB1354">
        <v>59</v>
      </c>
      <c r="AC1354">
        <v>-20.7944</v>
      </c>
      <c r="AD1354">
        <v>-1.1024159487239999</v>
      </c>
      <c r="AE1354">
        <v>-1.1398000000000299</v>
      </c>
      <c r="AF1354">
        <v>-0.92861858549310505</v>
      </c>
      <c r="AG1354">
        <v>-1.1024159487239999</v>
      </c>
      <c r="AH1354">
        <v>20.7466483959148</v>
      </c>
      <c r="AI1354">
        <v>93.038632150448393</v>
      </c>
      <c r="AJ1354">
        <v>92.562844635450602</v>
      </c>
      <c r="AK1354">
        <v>20.7966601420766</v>
      </c>
      <c r="AL1354">
        <v>87.008960575569404</v>
      </c>
      <c r="AM1354">
        <v>94.710635280089306</v>
      </c>
      <c r="AN1354">
        <v>1.00000003092817</v>
      </c>
    </row>
    <row r="1355" spans="1:40" x14ac:dyDescent="0.3">
      <c r="A1355" t="str">
        <f>"20200111153858411"</f>
        <v>20200111153858411</v>
      </c>
      <c r="B1355" t="str">
        <f>"1578728338402074"</f>
        <v>1578728338402074</v>
      </c>
      <c r="C1355" t="s">
        <v>40</v>
      </c>
      <c r="D1355">
        <v>5.081582</v>
      </c>
      <c r="E1355">
        <v>0.51224159999999996</v>
      </c>
      <c r="F1355" t="s">
        <v>55</v>
      </c>
      <c r="G1355">
        <v>-368.87220000000002</v>
      </c>
      <c r="H1355" s="1">
        <v>3.1845350000000001E-6</v>
      </c>
      <c r="I1355">
        <v>282.5609</v>
      </c>
      <c r="J1355">
        <v>-348.38380000000001</v>
      </c>
      <c r="K1355">
        <v>1.102352</v>
      </c>
      <c r="L1355">
        <v>283.68599999999998</v>
      </c>
      <c r="M1355">
        <v>-0.99983509999999998</v>
      </c>
      <c r="N1355">
        <v>0</v>
      </c>
      <c r="O1355">
        <v>-9.0686580000000003E-3</v>
      </c>
      <c r="P1355">
        <v>-0.99512389999999995</v>
      </c>
      <c r="Q1355">
        <v>3.5273510000000001E-2</v>
      </c>
      <c r="R1355">
        <v>-9.2111650000000003E-2</v>
      </c>
      <c r="S1355">
        <v>-3.0055540000000001</v>
      </c>
      <c r="T1355">
        <v>-0.15744320000000001</v>
      </c>
      <c r="U1355">
        <v>-0.161438</v>
      </c>
      <c r="V1355">
        <v>-8.2913589999999995E-2</v>
      </c>
      <c r="W1355">
        <v>5.122546E-2</v>
      </c>
      <c r="X1355">
        <v>0.99523930000000005</v>
      </c>
      <c r="Y1355">
        <v>-4.4528499999999999E-2</v>
      </c>
      <c r="Z1355">
        <v>-6.9024369999999904E-4</v>
      </c>
      <c r="AA1355">
        <v>0.99900789999999995</v>
      </c>
      <c r="AB1355">
        <v>59</v>
      </c>
      <c r="AC1355">
        <v>-20.488399999999999</v>
      </c>
      <c r="AD1355">
        <v>-1.1023488154650001</v>
      </c>
      <c r="AE1355">
        <v>-1.12509999999997</v>
      </c>
      <c r="AF1355">
        <v>-0.93652550567239901</v>
      </c>
      <c r="AG1355">
        <v>-1.1023488154650001</v>
      </c>
      <c r="AH1355">
        <v>20.438772952061999</v>
      </c>
      <c r="AI1355">
        <v>93.0839811844331</v>
      </c>
      <c r="AJ1355">
        <v>92.623516232170104</v>
      </c>
      <c r="AK1355">
        <v>20.489892452613699</v>
      </c>
      <c r="AL1355">
        <v>87.0637121863424</v>
      </c>
      <c r="AM1355">
        <v>94.762325665205594</v>
      </c>
      <c r="AN1355">
        <v>0.99999998771169396</v>
      </c>
    </row>
    <row r="1356" spans="1:40" x14ac:dyDescent="0.3">
      <c r="A1356" t="str">
        <f>"20200111153858434"</f>
        <v>20200111153858434</v>
      </c>
      <c r="B1356" t="str">
        <f>"1578728338421594"</f>
        <v>1578728338421594</v>
      </c>
      <c r="C1356" t="s">
        <v>40</v>
      </c>
      <c r="D1356">
        <v>5.1036419999999998</v>
      </c>
      <c r="E1356">
        <v>0.51215429999999995</v>
      </c>
      <c r="F1356" t="s">
        <v>55</v>
      </c>
      <c r="G1356">
        <v>-369.15969999999999</v>
      </c>
      <c r="H1356" s="1">
        <v>3.3375370000000002E-6</v>
      </c>
      <c r="I1356">
        <v>282.56740000000002</v>
      </c>
      <c r="J1356">
        <v>-348.95679999999999</v>
      </c>
      <c r="K1356">
        <v>1.102298</v>
      </c>
      <c r="L1356">
        <v>283.68110000000001</v>
      </c>
      <c r="M1356">
        <v>-0.9998435</v>
      </c>
      <c r="N1356">
        <v>0</v>
      </c>
      <c r="O1356">
        <v>-8.0696910000000004E-3</v>
      </c>
      <c r="P1356">
        <v>-0.99502630000000003</v>
      </c>
      <c r="Q1356">
        <v>3.4419940000000003E-2</v>
      </c>
      <c r="R1356">
        <v>-9.3477180000000007E-2</v>
      </c>
      <c r="S1356">
        <v>-3.0053709999999998</v>
      </c>
      <c r="T1356">
        <v>-0.1594621</v>
      </c>
      <c r="U1356">
        <v>-0.16180420000000001</v>
      </c>
      <c r="V1356">
        <v>-8.5270869999999999E-2</v>
      </c>
      <c r="W1356">
        <v>5.0384940000000003E-2</v>
      </c>
      <c r="X1356">
        <v>0.99508300000000005</v>
      </c>
      <c r="Y1356">
        <v>-4.5647020000000003E-2</v>
      </c>
      <c r="Z1356">
        <v>-7.8168210000000005E-4</v>
      </c>
      <c r="AA1356">
        <v>0.99895730000000005</v>
      </c>
      <c r="AB1356">
        <v>59</v>
      </c>
      <c r="AC1356">
        <v>-20.2029</v>
      </c>
      <c r="AD1356">
        <v>-1.1022946624629999</v>
      </c>
      <c r="AE1356">
        <v>-1.1136999999999899</v>
      </c>
      <c r="AF1356">
        <v>-0.94779938022486099</v>
      </c>
      <c r="AG1356">
        <v>-1.1022946624629999</v>
      </c>
      <c r="AH1356">
        <v>20.151422809129599</v>
      </c>
      <c r="AI1356">
        <v>93.1275419083385</v>
      </c>
      <c r="AJ1356">
        <v>92.692857657314406</v>
      </c>
      <c r="AK1356">
        <v>20.203792179201301</v>
      </c>
      <c r="AL1356">
        <v>87.111932659112</v>
      </c>
      <c r="AM1356">
        <v>94.897837322509204</v>
      </c>
      <c r="AN1356">
        <v>0.99999997016917896</v>
      </c>
    </row>
    <row r="1357" spans="1:40" x14ac:dyDescent="0.3">
      <c r="A1357" t="str">
        <f>"20200111153858457"</f>
        <v>20200111153858457</v>
      </c>
      <c r="B1357" t="str">
        <f>"1578728338451850"</f>
        <v>1578728338451850</v>
      </c>
      <c r="C1357" t="s">
        <v>40</v>
      </c>
      <c r="D1357">
        <v>5.0824689999999997</v>
      </c>
      <c r="E1357">
        <v>0.51201679999999905</v>
      </c>
      <c r="F1357" t="s">
        <v>55</v>
      </c>
      <c r="G1357">
        <v>-369.49849999999998</v>
      </c>
      <c r="H1357" s="1">
        <v>3.5178279999999999E-6</v>
      </c>
      <c r="I1357">
        <v>282.54410000000001</v>
      </c>
      <c r="J1357">
        <v>-349.5641</v>
      </c>
      <c r="K1357">
        <v>1.1022350000000001</v>
      </c>
      <c r="L1357">
        <v>283.67660000000001</v>
      </c>
      <c r="M1357">
        <v>-0.99985170000000001</v>
      </c>
      <c r="N1357">
        <v>0</v>
      </c>
      <c r="O1357">
        <v>-6.9932819999999904E-3</v>
      </c>
      <c r="P1357">
        <v>-0.99498520000000001</v>
      </c>
      <c r="Q1357">
        <v>3.4476840000000002E-2</v>
      </c>
      <c r="R1357">
        <v>-9.3892240000000002E-2</v>
      </c>
      <c r="S1357">
        <v>-3.0049440000000001</v>
      </c>
      <c r="T1357">
        <v>-0.16124949999999999</v>
      </c>
      <c r="U1357">
        <v>-0.16632079999999999</v>
      </c>
      <c r="V1357">
        <v>-8.675136E-2</v>
      </c>
      <c r="W1357">
        <v>5.0452089999999998E-2</v>
      </c>
      <c r="X1357">
        <v>0.99495169999999999</v>
      </c>
      <c r="Y1357">
        <v>-4.8220529999999998E-2</v>
      </c>
      <c r="Z1357">
        <v>-9.1713470000000003E-4</v>
      </c>
      <c r="AA1357">
        <v>0.99883630000000001</v>
      </c>
      <c r="AB1357">
        <v>59</v>
      </c>
      <c r="AC1357">
        <v>-19.934399999999901</v>
      </c>
      <c r="AD1357">
        <v>-1.1022314821720001</v>
      </c>
      <c r="AE1357">
        <v>-1.1324999999999901</v>
      </c>
      <c r="AF1357">
        <v>-0.99003105950959802</v>
      </c>
      <c r="AG1357">
        <v>-1.1022314821720001</v>
      </c>
      <c r="AH1357">
        <v>19.881245733714099</v>
      </c>
      <c r="AI1357">
        <v>93.169354156216002</v>
      </c>
      <c r="AJ1357">
        <v>92.850816483503294</v>
      </c>
      <c r="AK1357">
        <v>19.936373984840099</v>
      </c>
      <c r="AL1357">
        <v>87.108080574927101</v>
      </c>
      <c r="AM1357">
        <v>94.983104330704407</v>
      </c>
      <c r="AN1357">
        <v>1.00000004859005</v>
      </c>
    </row>
    <row r="1358" spans="1:40" x14ac:dyDescent="0.3">
      <c r="A1358" t="str">
        <f>"20200111153858481"</f>
        <v>20200111153858481</v>
      </c>
      <c r="B1358" t="str">
        <f>"1578728338472345"</f>
        <v>1578728338472345</v>
      </c>
      <c r="C1358" t="s">
        <v>40</v>
      </c>
      <c r="D1358">
        <v>5.0777279999999996</v>
      </c>
      <c r="E1358">
        <v>0.51194549999999905</v>
      </c>
      <c r="F1358" t="s">
        <v>55</v>
      </c>
      <c r="G1358">
        <v>-370.24239999999998</v>
      </c>
      <c r="H1358" s="1">
        <v>-1.40779E-6</v>
      </c>
      <c r="I1358">
        <v>282.51769999999999</v>
      </c>
      <c r="J1358">
        <v>-350.18329999999997</v>
      </c>
      <c r="K1358">
        <v>1.1021810000000001</v>
      </c>
      <c r="L1358">
        <v>283.6728</v>
      </c>
      <c r="M1358">
        <v>-0.99985900000000005</v>
      </c>
      <c r="N1358">
        <v>0</v>
      </c>
      <c r="O1358">
        <v>-5.8751039999999999E-3</v>
      </c>
      <c r="P1358">
        <v>-0.99492559999999997</v>
      </c>
      <c r="Q1358">
        <v>3.4427579999999999E-2</v>
      </c>
      <c r="R1358">
        <v>-9.4539719999999994E-2</v>
      </c>
      <c r="S1358">
        <v>-3.004791</v>
      </c>
      <c r="T1358">
        <v>-0.16016749999999999</v>
      </c>
      <c r="U1358">
        <v>-0.16839599999999999</v>
      </c>
      <c r="V1358">
        <v>-8.8506329999999994E-2</v>
      </c>
      <c r="W1358">
        <v>5.0413510000000002E-2</v>
      </c>
      <c r="X1358">
        <v>0.99479899999999999</v>
      </c>
      <c r="Y1358">
        <v>-5.002463E-2</v>
      </c>
      <c r="Z1358">
        <v>-1.018545E-3</v>
      </c>
      <c r="AA1358">
        <v>0.99874750000000001</v>
      </c>
      <c r="AB1358">
        <v>59</v>
      </c>
      <c r="AC1358">
        <v>-20.059100000000001</v>
      </c>
      <c r="AD1358">
        <v>-1.10218240778999</v>
      </c>
      <c r="AE1358">
        <v>-1.1551</v>
      </c>
      <c r="AF1358">
        <v>-1.03410438365875</v>
      </c>
      <c r="AG1358">
        <v>-1.10218240778999</v>
      </c>
      <c r="AH1358">
        <v>20.005341478001998</v>
      </c>
      <c r="AI1358">
        <v>93.149292659135597</v>
      </c>
      <c r="AJ1358">
        <v>92.959066176709797</v>
      </c>
      <c r="AK1358">
        <v>20.062349453336999</v>
      </c>
      <c r="AL1358">
        <v>87.110293639311806</v>
      </c>
      <c r="AM1358">
        <v>95.084165174898402</v>
      </c>
      <c r="AN1358">
        <v>0.999999971420794</v>
      </c>
    </row>
    <row r="1359" spans="1:40" x14ac:dyDescent="0.3">
      <c r="A1359" t="str">
        <f>"20200111153858501"</f>
        <v>20200111153858501</v>
      </c>
      <c r="B1359" t="str">
        <f>"1578728338491868"</f>
        <v>1578728338491868</v>
      </c>
      <c r="C1359" t="s">
        <v>40</v>
      </c>
      <c r="D1359">
        <v>5.1418400000000002</v>
      </c>
      <c r="E1359">
        <v>0.51188919999999904</v>
      </c>
      <c r="F1359" t="s">
        <v>55</v>
      </c>
      <c r="G1359">
        <v>-370.91019999999997</v>
      </c>
      <c r="H1359" s="1">
        <v>-1.0524479999999999E-6</v>
      </c>
      <c r="I1359">
        <v>282.49329999999998</v>
      </c>
      <c r="J1359">
        <v>-350.73430000000002</v>
      </c>
      <c r="K1359">
        <v>1.102136</v>
      </c>
      <c r="L1359">
        <v>283.66989999999998</v>
      </c>
      <c r="M1359">
        <v>-0.99986450000000004</v>
      </c>
      <c r="N1359">
        <v>0</v>
      </c>
      <c r="O1359">
        <v>-4.8639E-3</v>
      </c>
      <c r="P1359">
        <v>-0.99495259999999996</v>
      </c>
      <c r="Q1359">
        <v>3.373404E-2</v>
      </c>
      <c r="R1359">
        <v>-9.4507599999999997E-2</v>
      </c>
      <c r="S1359">
        <v>-3.0046080000000002</v>
      </c>
      <c r="T1359">
        <v>-0.159775</v>
      </c>
      <c r="U1359">
        <v>-0.17099</v>
      </c>
      <c r="V1359">
        <v>-8.9478470000000004E-2</v>
      </c>
      <c r="W1359">
        <v>4.9728689999999999E-2</v>
      </c>
      <c r="X1359">
        <v>0.99474649999999998</v>
      </c>
      <c r="Y1359">
        <v>-5.1893769999999999E-2</v>
      </c>
      <c r="Z1359">
        <v>-1.119405E-3</v>
      </c>
      <c r="AA1359">
        <v>0.99865199999999998</v>
      </c>
      <c r="AB1359">
        <v>59</v>
      </c>
      <c r="AC1359">
        <v>-20.175899999999899</v>
      </c>
      <c r="AD1359">
        <v>-1.1021370524480001</v>
      </c>
      <c r="AE1359">
        <v>-1.1766000000000001</v>
      </c>
      <c r="AF1359">
        <v>-1.07524268350584</v>
      </c>
      <c r="AG1359">
        <v>-1.1021370524480001</v>
      </c>
      <c r="AH1359">
        <v>20.121544769714099</v>
      </c>
      <c r="AI1359">
        <v>93.130727005830295</v>
      </c>
      <c r="AJ1359">
        <v>93.058827148310598</v>
      </c>
      <c r="AK1359">
        <v>20.1803720686815</v>
      </c>
      <c r="AL1359">
        <v>87.149580209583803</v>
      </c>
      <c r="AM1359">
        <v>95.139981186209795</v>
      </c>
      <c r="AN1359">
        <v>0.99999996923245305</v>
      </c>
    </row>
    <row r="1360" spans="1:40" x14ac:dyDescent="0.3">
      <c r="A1360" t="str">
        <f>"20200111153858523"</f>
        <v>20200111153858523</v>
      </c>
      <c r="B1360" t="str">
        <f>"1578728338512361"</f>
        <v>1578728338512361</v>
      </c>
      <c r="C1360" t="s">
        <v>40</v>
      </c>
      <c r="D1360">
        <v>5.1392620000000004</v>
      </c>
      <c r="E1360">
        <v>0.51179870000000005</v>
      </c>
      <c r="F1360" t="s">
        <v>55</v>
      </c>
      <c r="G1360">
        <v>-371.26620000000003</v>
      </c>
      <c r="H1360" s="1">
        <v>-8.6299430000000001E-7</v>
      </c>
      <c r="I1360">
        <v>282.49889999999999</v>
      </c>
      <c r="J1360">
        <v>-351.30470000000003</v>
      </c>
      <c r="K1360">
        <v>1.1020970000000001</v>
      </c>
      <c r="L1360">
        <v>283.66750000000002</v>
      </c>
      <c r="M1360">
        <v>-0.99986900000000001</v>
      </c>
      <c r="N1360">
        <v>0</v>
      </c>
      <c r="O1360">
        <v>-3.8000590000000002E-3</v>
      </c>
      <c r="P1360">
        <v>-0.99495290000000003</v>
      </c>
      <c r="Q1360">
        <v>3.3334629999999997E-2</v>
      </c>
      <c r="R1360">
        <v>-9.4645220000000002E-2</v>
      </c>
      <c r="S1360">
        <v>-3.0044249999999999</v>
      </c>
      <c r="T1360">
        <v>-0.16127540000000001</v>
      </c>
      <c r="U1360">
        <v>-0.17135619999999999</v>
      </c>
      <c r="V1360">
        <v>-9.0671699999999994E-2</v>
      </c>
      <c r="W1360">
        <v>4.9336730000000002E-2</v>
      </c>
      <c r="X1360">
        <v>0.99465800000000004</v>
      </c>
      <c r="Y1360">
        <v>-5.307659E-2</v>
      </c>
      <c r="Z1360">
        <v>-1.218687E-3</v>
      </c>
      <c r="AA1360">
        <v>0.99858970000000002</v>
      </c>
      <c r="AB1360">
        <v>59</v>
      </c>
      <c r="AC1360">
        <v>-19.961500000000001</v>
      </c>
      <c r="AD1360">
        <v>-1.1020978629942999</v>
      </c>
      <c r="AE1360">
        <v>-1.1686000000000201</v>
      </c>
      <c r="AF1360">
        <v>-1.0894177909665299</v>
      </c>
      <c r="AG1360">
        <v>-1.1020978629942999</v>
      </c>
      <c r="AH1360">
        <v>19.905327491963899</v>
      </c>
      <c r="AI1360">
        <v>93.164332668730907</v>
      </c>
      <c r="AJ1360">
        <v>93.132670420198707</v>
      </c>
      <c r="AK1360">
        <v>19.965558178654099</v>
      </c>
      <c r="AL1360">
        <v>87.1720655618536</v>
      </c>
      <c r="AM1360">
        <v>95.208611183168102</v>
      </c>
      <c r="AN1360">
        <v>1.0000000035359899</v>
      </c>
    </row>
    <row r="1361" spans="1:40" x14ac:dyDescent="0.3">
      <c r="A1361" t="str">
        <f>"20200111153858545"</f>
        <v>20200111153858545</v>
      </c>
      <c r="B1361" t="str">
        <f>"1578728338541642"</f>
        <v>1578728338541642</v>
      </c>
      <c r="C1361" t="s">
        <v>40</v>
      </c>
      <c r="D1361">
        <v>5.157851</v>
      </c>
      <c r="E1361">
        <v>0.51166659999999997</v>
      </c>
      <c r="F1361" t="s">
        <v>55</v>
      </c>
      <c r="G1361">
        <v>-371.76690000000002</v>
      </c>
      <c r="H1361" s="1">
        <v>-5.9654440000000005E-7</v>
      </c>
      <c r="I1361">
        <v>282.49250000000001</v>
      </c>
      <c r="J1361">
        <v>-351.89510000000001</v>
      </c>
      <c r="K1361">
        <v>1.1020639999999999</v>
      </c>
      <c r="L1361">
        <v>283.66579999999999</v>
      </c>
      <c r="M1361">
        <v>-0.99987289999999995</v>
      </c>
      <c r="N1361">
        <v>0</v>
      </c>
      <c r="O1361">
        <v>-2.683094E-3</v>
      </c>
      <c r="P1361">
        <v>-0.99502670000000004</v>
      </c>
      <c r="Q1361">
        <v>3.3023190000000001E-2</v>
      </c>
      <c r="R1361">
        <v>-9.3976580000000004E-2</v>
      </c>
      <c r="S1361">
        <v>-3.0042420000000001</v>
      </c>
      <c r="T1361">
        <v>-0.1618096</v>
      </c>
      <c r="U1361">
        <v>-0.1725159</v>
      </c>
      <c r="V1361">
        <v>-9.1112239999999997E-2</v>
      </c>
      <c r="W1361">
        <v>4.903097E-2</v>
      </c>
      <c r="X1361">
        <v>0.99463279999999998</v>
      </c>
      <c r="Y1361">
        <v>-5.4575470000000001E-2</v>
      </c>
      <c r="Z1361">
        <v>-1.3231530000000001E-3</v>
      </c>
      <c r="AA1361">
        <v>0.99850879999999997</v>
      </c>
      <c r="AB1361">
        <v>59</v>
      </c>
      <c r="AC1361">
        <v>-19.8718</v>
      </c>
      <c r="AD1361">
        <v>-1.10206459654439</v>
      </c>
      <c r="AE1361">
        <v>-1.17329999999998</v>
      </c>
      <c r="AF1361">
        <v>-1.1165490768839801</v>
      </c>
      <c r="AG1361">
        <v>-1.10206459654439</v>
      </c>
      <c r="AH1361">
        <v>19.814146859579399</v>
      </c>
      <c r="AI1361">
        <v>93.178483989667797</v>
      </c>
      <c r="AJ1361">
        <v>93.225269501983902</v>
      </c>
      <c r="AK1361">
        <v>19.876157676699702</v>
      </c>
      <c r="AL1361">
        <v>87.189605373011702</v>
      </c>
      <c r="AM1361">
        <v>95.233909545509604</v>
      </c>
      <c r="AN1361">
        <v>0.99999994156639704</v>
      </c>
    </row>
    <row r="1362" spans="1:40" x14ac:dyDescent="0.3">
      <c r="A1362" t="str">
        <f>"20200111153858568"</f>
        <v>20200111153858568</v>
      </c>
      <c r="B1362" t="str">
        <f>"1578728338562138"</f>
        <v>1578728338562138</v>
      </c>
      <c r="C1362" t="s">
        <v>40</v>
      </c>
      <c r="D1362">
        <v>5.2616009999999998</v>
      </c>
      <c r="E1362">
        <v>0.51175619999999999</v>
      </c>
      <c r="F1362" t="s">
        <v>55</v>
      </c>
      <c r="G1362">
        <v>-372.33510000000001</v>
      </c>
      <c r="H1362" s="1">
        <v>-2.9414099999999999E-7</v>
      </c>
      <c r="I1362">
        <v>282.49759999999998</v>
      </c>
      <c r="J1362">
        <v>-352.50110000000001</v>
      </c>
      <c r="K1362">
        <v>1.1020350000000001</v>
      </c>
      <c r="L1362">
        <v>283.66460000000001</v>
      </c>
      <c r="M1362">
        <v>-0.99987530000000002</v>
      </c>
      <c r="N1362">
        <v>0</v>
      </c>
      <c r="O1362">
        <v>-1.522079E-3</v>
      </c>
      <c r="P1362">
        <v>-0.99515370000000003</v>
      </c>
      <c r="Q1362">
        <v>3.266964E-2</v>
      </c>
      <c r="R1362">
        <v>-9.2744939999999998E-2</v>
      </c>
      <c r="S1362">
        <v>-3.0041500000000001</v>
      </c>
      <c r="T1362">
        <v>-0.1619749</v>
      </c>
      <c r="U1362">
        <v>-0.17169189999999901</v>
      </c>
      <c r="V1362">
        <v>-9.1034119999999996E-2</v>
      </c>
      <c r="W1362">
        <v>4.8680439999999998E-2</v>
      </c>
      <c r="X1362">
        <v>0.99465720000000002</v>
      </c>
      <c r="Y1362">
        <v>-5.5460519999999999E-2</v>
      </c>
      <c r="Z1362">
        <v>-1.4108839999999901E-3</v>
      </c>
      <c r="AA1362">
        <v>0.99845989999999996</v>
      </c>
      <c r="AB1362">
        <v>59</v>
      </c>
      <c r="AC1362">
        <v>-19.834</v>
      </c>
      <c r="AD1362">
        <v>-1.1020352941410001</v>
      </c>
      <c r="AE1362">
        <v>-1.16700000000003</v>
      </c>
      <c r="AF1362">
        <v>-1.1333192454327401</v>
      </c>
      <c r="AG1362">
        <v>-1.1020352941410001</v>
      </c>
      <c r="AH1362">
        <v>19.774914221980101</v>
      </c>
      <c r="AI1362">
        <v>93.184519699453006</v>
      </c>
      <c r="AJ1362">
        <v>93.280087858195103</v>
      </c>
      <c r="AK1362">
        <v>19.837997045777399</v>
      </c>
      <c r="AL1362">
        <v>87.209713357646706</v>
      </c>
      <c r="AM1362">
        <v>95.229319289111501</v>
      </c>
      <c r="AN1362">
        <v>0.99999997087730297</v>
      </c>
    </row>
    <row r="1363" spans="1:40" x14ac:dyDescent="0.3">
      <c r="A1363" t="str">
        <f>"20200111153858590"</f>
        <v>20200111153858590</v>
      </c>
      <c r="B1363" t="str">
        <f>"1578728338581675"</f>
        <v>1578728338581675</v>
      </c>
      <c r="C1363" t="s">
        <v>40</v>
      </c>
      <c r="D1363">
        <v>5.1749299999999998</v>
      </c>
      <c r="E1363">
        <v>0.54526850000000004</v>
      </c>
      <c r="F1363" t="s">
        <v>55</v>
      </c>
      <c r="G1363">
        <v>-372.93549999999999</v>
      </c>
      <c r="H1363" s="1">
        <v>2.532528E-8</v>
      </c>
      <c r="I1363">
        <v>282.52820000000003</v>
      </c>
      <c r="J1363">
        <v>-353.0727</v>
      </c>
      <c r="K1363">
        <v>1.1020110000000001</v>
      </c>
      <c r="L1363">
        <v>283.66419999999999</v>
      </c>
      <c r="M1363">
        <v>-0.99987649999999995</v>
      </c>
      <c r="N1363">
        <v>0</v>
      </c>
      <c r="O1363">
        <v>-4.158643E-4</v>
      </c>
      <c r="P1363">
        <v>-0.99533769999999999</v>
      </c>
      <c r="Q1363">
        <v>3.2437939999999998E-2</v>
      </c>
      <c r="R1363">
        <v>-9.0834219999999993E-2</v>
      </c>
      <c r="S1363">
        <v>-3.0043639999999998</v>
      </c>
      <c r="T1363">
        <v>-0.16202649999999999</v>
      </c>
      <c r="U1363">
        <v>-0.1670837</v>
      </c>
      <c r="V1363">
        <v>-9.0222170000000004E-2</v>
      </c>
      <c r="W1363">
        <v>4.8448489999999997E-2</v>
      </c>
      <c r="X1363">
        <v>0.99474249999999997</v>
      </c>
      <c r="Y1363">
        <v>-5.5033489999999997E-2</v>
      </c>
      <c r="Z1363">
        <v>-1.4593710000000001E-3</v>
      </c>
      <c r="AA1363">
        <v>0.99848340000000002</v>
      </c>
      <c r="AB1363">
        <v>59</v>
      </c>
      <c r="AC1363">
        <v>-19.8628</v>
      </c>
      <c r="AD1363">
        <v>-1.10201097467472</v>
      </c>
      <c r="AE1363">
        <v>-1.1359999999999599</v>
      </c>
      <c r="AF1363">
        <v>-1.1242891961069199</v>
      </c>
      <c r="AG1363">
        <v>-1.10201097467472</v>
      </c>
      <c r="AH1363">
        <v>19.802514228160899</v>
      </c>
      <c r="AI1363">
        <v>93.180117012631399</v>
      </c>
      <c r="AJ1363">
        <v>93.249483604171999</v>
      </c>
      <c r="AK1363">
        <v>19.8649949444066</v>
      </c>
      <c r="AL1363">
        <v>87.223018807909895</v>
      </c>
      <c r="AM1363">
        <v>95.182491168070399</v>
      </c>
      <c r="AN1363">
        <v>0.99999996872451802</v>
      </c>
    </row>
    <row r="1364" spans="1:40" x14ac:dyDescent="0.3">
      <c r="A1364" t="str">
        <f>"20200111153858612"</f>
        <v>20200111153858612</v>
      </c>
      <c r="B1364" t="str">
        <f>"1578728338602153"</f>
        <v>1578728338602153</v>
      </c>
      <c r="C1364" t="s">
        <v>40</v>
      </c>
      <c r="D1364">
        <v>5.1339600000000001</v>
      </c>
      <c r="E1364">
        <v>0.54416069999999905</v>
      </c>
      <c r="F1364" t="s">
        <v>55</v>
      </c>
      <c r="G1364">
        <v>-385.57850000000002</v>
      </c>
      <c r="H1364" s="1">
        <v>1.431784E-6</v>
      </c>
      <c r="I1364">
        <v>284.75330000000002</v>
      </c>
      <c r="J1364">
        <v>-353.6454</v>
      </c>
      <c r="K1364">
        <v>1.1019890000000001</v>
      </c>
      <c r="L1364">
        <v>283.66430000000003</v>
      </c>
      <c r="M1364">
        <v>-0.9998764</v>
      </c>
      <c r="N1364">
        <v>0</v>
      </c>
      <c r="O1364">
        <v>7.0031809999999896E-4</v>
      </c>
      <c r="P1364">
        <v>-0.99546299999999999</v>
      </c>
      <c r="Q1364">
        <v>3.1938000000000001E-2</v>
      </c>
      <c r="R1364">
        <v>-8.9629790000000001E-2</v>
      </c>
      <c r="S1364">
        <v>-3.0266419999999998</v>
      </c>
      <c r="T1364">
        <v>-0.10260900000000001</v>
      </c>
      <c r="U1364">
        <v>0.1014099</v>
      </c>
      <c r="V1364">
        <v>-9.0128529999999998E-2</v>
      </c>
      <c r="W1364">
        <v>4.7949819999999997E-2</v>
      </c>
      <c r="X1364">
        <v>0.99477519999999997</v>
      </c>
      <c r="Y1364">
        <v>3.2768539999999999E-2</v>
      </c>
      <c r="Z1364">
        <v>5.3141199999999999E-4</v>
      </c>
      <c r="AA1364">
        <v>0.99946279999999998</v>
      </c>
      <c r="AB1364">
        <v>59</v>
      </c>
      <c r="AC1364">
        <v>-31.9331</v>
      </c>
      <c r="AD1364">
        <v>-1.1019875682160001</v>
      </c>
      <c r="AE1364">
        <v>1.08899999999999</v>
      </c>
      <c r="AF1364">
        <v>1.06536638685703</v>
      </c>
      <c r="AG1364">
        <v>-1.1019875682160001</v>
      </c>
      <c r="AH1364">
        <v>31.895914542944102</v>
      </c>
      <c r="AI1364">
        <v>91.977650866683206</v>
      </c>
      <c r="AJ1364">
        <v>88.086955224972797</v>
      </c>
      <c r="AK1364">
        <v>31.932722193222698</v>
      </c>
      <c r="AL1364">
        <v>87.251623876802</v>
      </c>
      <c r="AM1364">
        <v>95.176972339421894</v>
      </c>
      <c r="AN1364">
        <v>1.00000001784651</v>
      </c>
    </row>
    <row r="1365" spans="1:40" x14ac:dyDescent="0.3">
      <c r="A1365" t="str">
        <f>"20200111153858636"</f>
        <v>20200111153858636</v>
      </c>
      <c r="B1365" t="str">
        <f>"1578728338632412"</f>
        <v>1578728338632412</v>
      </c>
      <c r="C1365" t="s">
        <v>40</v>
      </c>
      <c r="D1365">
        <v>5.1457319999999998</v>
      </c>
      <c r="E1365">
        <v>0.54167710000000002</v>
      </c>
      <c r="F1365" t="s">
        <v>55</v>
      </c>
      <c r="G1365">
        <v>-387.46179999999998</v>
      </c>
      <c r="H1365" s="1">
        <v>2.4340049999999998E-6</v>
      </c>
      <c r="I1365">
        <v>284.73809999999997</v>
      </c>
      <c r="J1365">
        <v>-354.24520000000001</v>
      </c>
      <c r="K1365">
        <v>1.1019680000000001</v>
      </c>
      <c r="L1365">
        <v>283.66520000000003</v>
      </c>
      <c r="M1365">
        <v>-0.99987479999999995</v>
      </c>
      <c r="N1365">
        <v>0</v>
      </c>
      <c r="O1365">
        <v>1.87554E-3</v>
      </c>
      <c r="P1365">
        <v>-0.99563800000000002</v>
      </c>
      <c r="Q1365">
        <v>3.2002460000000003E-2</v>
      </c>
      <c r="R1365">
        <v>-8.7639869999999995E-2</v>
      </c>
      <c r="S1365">
        <v>-3.0254819999999998</v>
      </c>
      <c r="T1365">
        <v>-9.8592280000000004E-2</v>
      </c>
      <c r="U1365">
        <v>9.6069340000000003E-2</v>
      </c>
      <c r="V1365">
        <v>-8.930573E-2</v>
      </c>
      <c r="W1365">
        <v>4.8012689999999997E-2</v>
      </c>
      <c r="X1365">
        <v>0.99484629999999996</v>
      </c>
      <c r="Y1365">
        <v>2.984769E-2</v>
      </c>
      <c r="Z1365">
        <v>4.2498189999999998E-4</v>
      </c>
      <c r="AA1365">
        <v>0.99955439999999995</v>
      </c>
      <c r="AB1365">
        <v>58</v>
      </c>
      <c r="AC1365">
        <v>-33.2165999999999</v>
      </c>
      <c r="AD1365">
        <v>-1.1019655659950001</v>
      </c>
      <c r="AE1365">
        <v>1.07289999999994</v>
      </c>
      <c r="AF1365">
        <v>1.00948149166877</v>
      </c>
      <c r="AG1365">
        <v>-1.1019655659950001</v>
      </c>
      <c r="AH1365">
        <v>33.182072271966703</v>
      </c>
      <c r="AI1365">
        <v>91.901195745408501</v>
      </c>
      <c r="AJ1365">
        <v>88.2574567823454</v>
      </c>
      <c r="AK1365">
        <v>33.215708651971902</v>
      </c>
      <c r="AL1365">
        <v>87.248017340284406</v>
      </c>
      <c r="AM1365">
        <v>95.129599456299601</v>
      </c>
      <c r="AN1365">
        <v>0.99999994621777799</v>
      </c>
    </row>
    <row r="1366" spans="1:40" x14ac:dyDescent="0.3">
      <c r="A1366" t="str">
        <f>"20200111153858657"</f>
        <v>20200111153858657</v>
      </c>
      <c r="B1366" t="str">
        <f>"1578728338651930"</f>
        <v>1578728338651930</v>
      </c>
      <c r="C1366" t="s">
        <v>40</v>
      </c>
      <c r="D1366">
        <v>5.1658019999999896</v>
      </c>
      <c r="E1366">
        <v>0.54089100000000001</v>
      </c>
      <c r="F1366" t="s">
        <v>55</v>
      </c>
      <c r="G1366">
        <v>-386.81110000000001</v>
      </c>
      <c r="H1366" s="1">
        <v>2.0877130000000001E-6</v>
      </c>
      <c r="I1366">
        <v>284.55560000000003</v>
      </c>
      <c r="J1366">
        <v>-354.82749999999999</v>
      </c>
      <c r="K1366">
        <v>1.101953</v>
      </c>
      <c r="L1366">
        <v>283.66680000000002</v>
      </c>
      <c r="M1366">
        <v>-0.99987210000000004</v>
      </c>
      <c r="N1366">
        <v>0</v>
      </c>
      <c r="O1366">
        <v>3.0215049999999999E-3</v>
      </c>
      <c r="P1366">
        <v>-0.99582530000000002</v>
      </c>
      <c r="Q1366">
        <v>3.2273660000000003E-2</v>
      </c>
      <c r="R1366">
        <v>-8.5385230000000006E-2</v>
      </c>
      <c r="S1366">
        <v>-3.0236510000000001</v>
      </c>
      <c r="T1366">
        <v>-0.10231469999999999</v>
      </c>
      <c r="U1366">
        <v>8.2672120000000002E-2</v>
      </c>
      <c r="V1366">
        <v>-8.8189740000000003E-2</v>
      </c>
      <c r="W1366">
        <v>4.8280360000000001E-2</v>
      </c>
      <c r="X1366">
        <v>0.99493290000000001</v>
      </c>
      <c r="Y1366">
        <v>2.429856E-2</v>
      </c>
      <c r="Z1366">
        <v>3.0870950000000001E-4</v>
      </c>
      <c r="AA1366">
        <v>0.9997047</v>
      </c>
      <c r="AB1366">
        <v>58</v>
      </c>
      <c r="AC1366">
        <v>-31.983599999999999</v>
      </c>
      <c r="AD1366">
        <v>-1.1019509122869999</v>
      </c>
      <c r="AE1366">
        <v>0.88880000000000303</v>
      </c>
      <c r="AF1366">
        <v>0.79120693498599903</v>
      </c>
      <c r="AG1366">
        <v>-1.1019509122869999</v>
      </c>
      <c r="AH1366">
        <v>31.948244842196299</v>
      </c>
      <c r="AI1366">
        <v>91.974843603798206</v>
      </c>
      <c r="AJ1366">
        <v>88.581344486738203</v>
      </c>
      <c r="AK1366">
        <v>31.977033207037501</v>
      </c>
      <c r="AL1366">
        <v>87.232663180586997</v>
      </c>
      <c r="AM1366">
        <v>95.065395504589404</v>
      </c>
      <c r="AN1366">
        <v>0.99999994945270199</v>
      </c>
    </row>
    <row r="1367" spans="1:40" x14ac:dyDescent="0.3">
      <c r="A1367" t="str">
        <f>"20200111153858681"</f>
        <v>20200111153858681</v>
      </c>
      <c r="B1367" t="str">
        <f>"1578728338672425"</f>
        <v>1578728338672425</v>
      </c>
      <c r="C1367" t="s">
        <v>40</v>
      </c>
      <c r="D1367">
        <v>5.1681679999999997</v>
      </c>
      <c r="E1367">
        <v>0.54028869999999996</v>
      </c>
      <c r="F1367" t="s">
        <v>55</v>
      </c>
      <c r="G1367">
        <v>-387.35480000000001</v>
      </c>
      <c r="H1367" s="1">
        <v>2.3770540000000001E-6</v>
      </c>
      <c r="I1367">
        <v>284.56229999999999</v>
      </c>
      <c r="J1367">
        <v>-355.42919999999998</v>
      </c>
      <c r="K1367">
        <v>1.1019399999999999</v>
      </c>
      <c r="L1367">
        <v>283.66919999999999</v>
      </c>
      <c r="M1367">
        <v>-0.99986799999999998</v>
      </c>
      <c r="N1367">
        <v>0</v>
      </c>
      <c r="O1367">
        <v>4.2089290000000001E-3</v>
      </c>
      <c r="P1367">
        <v>-0.99597080000000004</v>
      </c>
      <c r="Q1367">
        <v>3.2329499999999997E-2</v>
      </c>
      <c r="R1367">
        <v>-8.3648879999999995E-2</v>
      </c>
      <c r="S1367">
        <v>-3.0230709999999998</v>
      </c>
      <c r="T1367">
        <v>-0.1024148</v>
      </c>
      <c r="U1367">
        <v>8.3221439999999994E-2</v>
      </c>
      <c r="V1367">
        <v>-8.7634409999999996E-2</v>
      </c>
      <c r="W1367">
        <v>4.8333710000000002E-2</v>
      </c>
      <c r="X1367">
        <v>0.99497939999999996</v>
      </c>
      <c r="Y1367">
        <v>2.329931E-2</v>
      </c>
      <c r="Z1367">
        <v>2.5193980000000002E-4</v>
      </c>
      <c r="AA1367">
        <v>0.99972850000000002</v>
      </c>
      <c r="AB1367">
        <v>58</v>
      </c>
      <c r="AC1367">
        <v>-31.925599999999999</v>
      </c>
      <c r="AD1367">
        <v>-1.1019376229459901</v>
      </c>
      <c r="AE1367">
        <v>0.893100000000004</v>
      </c>
      <c r="AF1367">
        <v>0.75780086193904606</v>
      </c>
      <c r="AG1367">
        <v>-1.1019376229459901</v>
      </c>
      <c r="AH1367">
        <v>31.891113140219002</v>
      </c>
      <c r="AI1367">
        <v>91.978402898147706</v>
      </c>
      <c r="AJ1367">
        <v>88.638786244405196</v>
      </c>
      <c r="AK1367">
        <v>31.919141999644498</v>
      </c>
      <c r="AL1367">
        <v>87.229602939979202</v>
      </c>
      <c r="AM1367">
        <v>95.033429104813806</v>
      </c>
      <c r="AN1367">
        <v>0.99999997188138501</v>
      </c>
    </row>
    <row r="1368" spans="1:40" x14ac:dyDescent="0.3">
      <c r="A1368" t="str">
        <f>"20200111153858703"</f>
        <v>20200111153858703</v>
      </c>
      <c r="B1368" t="str">
        <f>"1578728338691946"</f>
        <v>1578728338691946</v>
      </c>
      <c r="C1368" t="s">
        <v>40</v>
      </c>
      <c r="D1368">
        <v>5.1449150000000001</v>
      </c>
      <c r="E1368">
        <v>0.53988859999999905</v>
      </c>
      <c r="F1368" t="s">
        <v>55</v>
      </c>
      <c r="G1368">
        <v>-388.23950000000002</v>
      </c>
      <c r="H1368" s="1">
        <v>2.8478769999999999E-6</v>
      </c>
      <c r="I1368">
        <v>284.5779</v>
      </c>
      <c r="J1368">
        <v>-356.00569999999999</v>
      </c>
      <c r="K1368">
        <v>1.101931</v>
      </c>
      <c r="L1368">
        <v>283.6721</v>
      </c>
      <c r="M1368">
        <v>-0.99986260000000005</v>
      </c>
      <c r="N1368">
        <v>0</v>
      </c>
      <c r="O1368">
        <v>5.3492879999999998E-3</v>
      </c>
      <c r="P1368">
        <v>-0.99610980000000005</v>
      </c>
      <c r="Q1368">
        <v>3.1638569999999998E-2</v>
      </c>
      <c r="R1368">
        <v>-8.2247299999999995E-2</v>
      </c>
      <c r="S1368">
        <v>-3.022491</v>
      </c>
      <c r="T1368">
        <v>-0.10151060000000001</v>
      </c>
      <c r="U1368">
        <v>8.3709720000000001E-2</v>
      </c>
      <c r="V1368">
        <v>-8.7370690000000001E-2</v>
      </c>
      <c r="W1368">
        <v>4.7640700000000001E-2</v>
      </c>
      <c r="X1368">
        <v>0.99503609999999998</v>
      </c>
      <c r="Y1368">
        <v>2.2327130000000001E-2</v>
      </c>
      <c r="Z1368">
        <v>1.951624E-4</v>
      </c>
      <c r="AA1368">
        <v>0.99975069999999999</v>
      </c>
      <c r="AB1368">
        <v>58</v>
      </c>
      <c r="AC1368">
        <v>-32.233800000000002</v>
      </c>
      <c r="AD1368">
        <v>-1.101928152123</v>
      </c>
      <c r="AE1368">
        <v>0.90579999999999905</v>
      </c>
      <c r="AF1368">
        <v>0.73248259208255895</v>
      </c>
      <c r="AG1368">
        <v>-1.101928152123</v>
      </c>
      <c r="AH1368">
        <v>32.200583242088904</v>
      </c>
      <c r="AI1368">
        <v>91.959433301312899</v>
      </c>
      <c r="AJ1368">
        <v>88.6968893005198</v>
      </c>
      <c r="AK1368">
        <v>32.227757252574101</v>
      </c>
      <c r="AL1368">
        <v>87.269355519434498</v>
      </c>
      <c r="AM1368">
        <v>95.018074869089304</v>
      </c>
      <c r="AN1368">
        <v>1.00000005703538</v>
      </c>
    </row>
    <row r="1369" spans="1:40" x14ac:dyDescent="0.3">
      <c r="A1369" t="str">
        <f>"20200111153858725"</f>
        <v>20200111153858725</v>
      </c>
      <c r="B1369" t="str">
        <f>"1578728338722347"</f>
        <v>1578728338722347</v>
      </c>
      <c r="C1369" t="s">
        <v>40</v>
      </c>
      <c r="D1369">
        <v>5.1674610000000003</v>
      </c>
      <c r="E1369">
        <v>0.53917280000000001</v>
      </c>
      <c r="F1369" t="s">
        <v>55</v>
      </c>
      <c r="G1369">
        <v>-388.3879</v>
      </c>
      <c r="H1369" s="1">
        <v>2.9268589999999998E-6</v>
      </c>
      <c r="I1369">
        <v>284.58280000000002</v>
      </c>
      <c r="J1369">
        <v>-356.57580000000002</v>
      </c>
      <c r="K1369">
        <v>1.101917</v>
      </c>
      <c r="L1369">
        <v>283.67559999999997</v>
      </c>
      <c r="M1369">
        <v>-0.99985590000000002</v>
      </c>
      <c r="N1369">
        <v>0</v>
      </c>
      <c r="O1369">
        <v>6.4792490000000003E-3</v>
      </c>
      <c r="P1369">
        <v>-0.99627690000000002</v>
      </c>
      <c r="Q1369">
        <v>3.0981829999999998E-2</v>
      </c>
      <c r="R1369">
        <v>-8.045302E-2</v>
      </c>
      <c r="S1369">
        <v>-3.0220030000000002</v>
      </c>
      <c r="T1369">
        <v>-0.102835</v>
      </c>
      <c r="U1369">
        <v>8.4991460000000005E-2</v>
      </c>
      <c r="V1369">
        <v>-8.6704390000000006E-2</v>
      </c>
      <c r="W1369">
        <v>4.6980550000000003E-2</v>
      </c>
      <c r="X1369">
        <v>0.9951257</v>
      </c>
      <c r="Y1369">
        <v>2.1626260000000001E-2</v>
      </c>
      <c r="Z1369">
        <v>1.4738379999999901E-4</v>
      </c>
      <c r="AA1369">
        <v>0.99976609999999999</v>
      </c>
      <c r="AB1369">
        <v>58</v>
      </c>
      <c r="AC1369">
        <v>-31.812099999999901</v>
      </c>
      <c r="AD1369">
        <v>-1.101914073141</v>
      </c>
      <c r="AE1369">
        <v>0.90720000000004497</v>
      </c>
      <c r="AF1369">
        <v>0.70019763964215198</v>
      </c>
      <c r="AG1369">
        <v>-1.101914073141</v>
      </c>
      <c r="AH1369">
        <v>31.779212894730001</v>
      </c>
      <c r="AI1369">
        <v>91.985399738229901</v>
      </c>
      <c r="AJ1369">
        <v>88.737795060506699</v>
      </c>
      <c r="AK1369">
        <v>31.806019297732298</v>
      </c>
      <c r="AL1369">
        <v>87.307221550646204</v>
      </c>
      <c r="AM1369">
        <v>94.979553431247396</v>
      </c>
      <c r="AN1369">
        <v>0.99999999106203197</v>
      </c>
    </row>
    <row r="1370" spans="1:40" x14ac:dyDescent="0.3">
      <c r="A1370" t="str">
        <f>"20200111153858748"</f>
        <v>20200111153858748</v>
      </c>
      <c r="B1370" t="str">
        <f>"1578728338741867"</f>
        <v>1578728338741867</v>
      </c>
      <c r="C1370" t="s">
        <v>40</v>
      </c>
      <c r="D1370">
        <v>5.1701199999999998</v>
      </c>
      <c r="E1370">
        <v>0.53889849999999995</v>
      </c>
      <c r="F1370" t="s">
        <v>55</v>
      </c>
      <c r="G1370">
        <v>-388.37419999999997</v>
      </c>
      <c r="H1370" s="1">
        <v>2.919531E-6</v>
      </c>
      <c r="I1370">
        <v>284.56849999999997</v>
      </c>
      <c r="J1370">
        <v>-357.16579999999999</v>
      </c>
      <c r="K1370">
        <v>1.1019080000000001</v>
      </c>
      <c r="L1370">
        <v>283.67989999999998</v>
      </c>
      <c r="M1370">
        <v>-0.99984779999999995</v>
      </c>
      <c r="N1370">
        <v>0</v>
      </c>
      <c r="O1370">
        <v>7.6507329999999998E-3</v>
      </c>
      <c r="P1370">
        <v>-0.99641500000000005</v>
      </c>
      <c r="Q1370">
        <v>3.0739829999999999E-2</v>
      </c>
      <c r="R1370">
        <v>-7.8818630000000001E-2</v>
      </c>
      <c r="S1370">
        <v>-3.0213619999999999</v>
      </c>
      <c r="T1370">
        <v>-0.10469970000000001</v>
      </c>
      <c r="U1370">
        <v>8.4838869999999997E-2</v>
      </c>
      <c r="V1370">
        <v>-8.6237980000000006E-2</v>
      </c>
      <c r="W1370">
        <v>4.6734779999999997E-2</v>
      </c>
      <c r="X1370">
        <v>0.9951778</v>
      </c>
      <c r="Y1370">
        <v>2.0411470000000001E-2</v>
      </c>
      <c r="Z1370" s="1">
        <v>8.8471420000000003E-5</v>
      </c>
      <c r="AA1370">
        <v>0.99979169999999995</v>
      </c>
      <c r="AB1370">
        <v>58</v>
      </c>
      <c r="AC1370">
        <v>-31.208399999999902</v>
      </c>
      <c r="AD1370">
        <v>-1.1019050804689901</v>
      </c>
      <c r="AE1370">
        <v>0.88859999999999595</v>
      </c>
      <c r="AF1370">
        <v>0.648969112391098</v>
      </c>
      <c r="AG1370">
        <v>-1.1019050804689901</v>
      </c>
      <c r="AH1370">
        <v>31.1754521993217</v>
      </c>
      <c r="AI1370">
        <v>92.023854572731494</v>
      </c>
      <c r="AJ1370">
        <v>88.807464879036203</v>
      </c>
      <c r="AK1370">
        <v>31.201669435262499</v>
      </c>
      <c r="AL1370">
        <v>87.321318619554702</v>
      </c>
      <c r="AM1370">
        <v>94.952642453362003</v>
      </c>
      <c r="AN1370">
        <v>0.99999999123448402</v>
      </c>
    </row>
    <row r="1371" spans="1:40" x14ac:dyDescent="0.3">
      <c r="A1371" t="str">
        <f>"20200111153858770"</f>
        <v>20200111153858770</v>
      </c>
      <c r="B1371" t="str">
        <f>"1578728338762362"</f>
        <v>1578728338762362</v>
      </c>
      <c r="C1371" t="s">
        <v>40</v>
      </c>
      <c r="D1371">
        <v>5.1579790000000001</v>
      </c>
      <c r="E1371">
        <v>0.53876190000000002</v>
      </c>
      <c r="F1371" t="s">
        <v>55</v>
      </c>
      <c r="G1371">
        <v>-388.57080000000002</v>
      </c>
      <c r="H1371" s="1">
        <v>3.024155E-6</v>
      </c>
      <c r="I1371">
        <v>284.58850000000001</v>
      </c>
      <c r="J1371">
        <v>-357.7559</v>
      </c>
      <c r="K1371">
        <v>1.1019060000000001</v>
      </c>
      <c r="L1371">
        <v>283.6848</v>
      </c>
      <c r="M1371">
        <v>-0.99983789999999995</v>
      </c>
      <c r="N1371">
        <v>0</v>
      </c>
      <c r="O1371">
        <v>8.8241610000000005E-3</v>
      </c>
      <c r="P1371">
        <v>-0.99655170000000004</v>
      </c>
      <c r="Q1371">
        <v>3.0802510000000002E-2</v>
      </c>
      <c r="R1371">
        <v>-7.7042879999999994E-2</v>
      </c>
      <c r="S1371">
        <v>-3.020966</v>
      </c>
      <c r="T1371">
        <v>-0.10599649999999999</v>
      </c>
      <c r="U1371">
        <v>8.7402339999999995E-2</v>
      </c>
      <c r="V1371">
        <v>-8.5630799999999896E-2</v>
      </c>
      <c r="W1371">
        <v>4.6792880000000002E-2</v>
      </c>
      <c r="X1371">
        <v>0.99522750000000004</v>
      </c>
      <c r="Y1371">
        <v>2.0090210000000001E-2</v>
      </c>
      <c r="Z1371" s="1">
        <v>4.2791940000000002E-5</v>
      </c>
      <c r="AA1371">
        <v>0.99979819999999997</v>
      </c>
      <c r="AB1371">
        <v>58</v>
      </c>
      <c r="AC1371">
        <v>-30.814900000000002</v>
      </c>
      <c r="AD1371">
        <v>-1.1019029758450001</v>
      </c>
      <c r="AE1371">
        <v>0.90370000000001405</v>
      </c>
      <c r="AF1371">
        <v>0.63090963006673595</v>
      </c>
      <c r="AG1371">
        <v>-1.1019029758450001</v>
      </c>
      <c r="AH1371">
        <v>30.782348094366</v>
      </c>
      <c r="AI1371">
        <v>92.049687833653294</v>
      </c>
      <c r="AJ1371">
        <v>88.825840105272306</v>
      </c>
      <c r="AK1371">
        <v>30.808524653611801</v>
      </c>
      <c r="AL1371">
        <v>87.317986091294003</v>
      </c>
      <c r="AM1371">
        <v>94.917699371210105</v>
      </c>
      <c r="AN1371">
        <v>0.99999999214179203</v>
      </c>
    </row>
    <row r="1372" spans="1:40" x14ac:dyDescent="0.3">
      <c r="A1372" t="str">
        <f>"20200111153858794"</f>
        <v>20200111153858794</v>
      </c>
      <c r="B1372" t="str">
        <f>"1578728338781885"</f>
        <v>1578728338781885</v>
      </c>
      <c r="C1372" t="s">
        <v>40</v>
      </c>
      <c r="D1372">
        <v>5.1120489999999998</v>
      </c>
      <c r="E1372">
        <v>0.53867540000000003</v>
      </c>
      <c r="F1372" t="s">
        <v>55</v>
      </c>
      <c r="G1372">
        <v>-389.11950000000002</v>
      </c>
      <c r="H1372" s="1">
        <v>3.3161470000000001E-6</v>
      </c>
      <c r="I1372">
        <v>284.63600000000002</v>
      </c>
      <c r="J1372">
        <v>-358.36</v>
      </c>
      <c r="K1372">
        <v>1.1019000000000001</v>
      </c>
      <c r="L1372">
        <v>283.69069999999999</v>
      </c>
      <c r="M1372">
        <v>-0.99982689999999996</v>
      </c>
      <c r="N1372">
        <v>0</v>
      </c>
      <c r="O1372">
        <v>1.002486E-2</v>
      </c>
      <c r="P1372">
        <v>-0.99667629999999996</v>
      </c>
      <c r="Q1372">
        <v>3.1081629999999999E-2</v>
      </c>
      <c r="R1372">
        <v>-7.5304209999999996E-2</v>
      </c>
      <c r="S1372">
        <v>-3.0207820000000001</v>
      </c>
      <c r="T1372">
        <v>-0.10612969999999999</v>
      </c>
      <c r="U1372">
        <v>9.1613769999999997E-2</v>
      </c>
      <c r="V1372">
        <v>-8.5087270000000007E-2</v>
      </c>
      <c r="W1372">
        <v>4.7066770000000001E-2</v>
      </c>
      <c r="X1372">
        <v>0.99526119999999996</v>
      </c>
      <c r="Y1372">
        <v>2.028456E-2</v>
      </c>
      <c r="Z1372" s="1">
        <v>4.0977900000000001E-6</v>
      </c>
      <c r="AA1372">
        <v>0.99979419999999997</v>
      </c>
      <c r="AB1372">
        <v>58</v>
      </c>
      <c r="AC1372">
        <v>-30.759499999999999</v>
      </c>
      <c r="AD1372">
        <v>-1.101896683853</v>
      </c>
      <c r="AE1372">
        <v>0.94529999999997405</v>
      </c>
      <c r="AF1372">
        <v>0.63603947105735104</v>
      </c>
      <c r="AG1372">
        <v>-1.101896683853</v>
      </c>
      <c r="AH1372">
        <v>30.7280359858926</v>
      </c>
      <c r="AI1372">
        <v>92.053287282761005</v>
      </c>
      <c r="AJ1372">
        <v>88.814204263165394</v>
      </c>
      <c r="AK1372">
        <v>30.7543642116194</v>
      </c>
      <c r="AL1372">
        <v>87.302276035560098</v>
      </c>
      <c r="AM1372">
        <v>94.886471901171305</v>
      </c>
      <c r="AN1372">
        <v>0.99999999028986197</v>
      </c>
    </row>
    <row r="1373" spans="1:40" x14ac:dyDescent="0.3">
      <c r="A1373" t="str">
        <f>"20200111153858816"</f>
        <v>20200111153858816</v>
      </c>
      <c r="B1373" t="str">
        <f>"1578728338811669"</f>
        <v>1578728338811669</v>
      </c>
      <c r="C1373" t="s">
        <v>40</v>
      </c>
      <c r="D1373">
        <v>5.1055599999999997</v>
      </c>
      <c r="E1373">
        <v>0.53838609999999998</v>
      </c>
      <c r="F1373" t="s">
        <v>55</v>
      </c>
      <c r="G1373">
        <v>-390.08870000000002</v>
      </c>
      <c r="H1373" s="1">
        <v>-1.489581E-6</v>
      </c>
      <c r="I1373">
        <v>284.6995</v>
      </c>
      <c r="J1373">
        <v>-358.92770000000002</v>
      </c>
      <c r="K1373">
        <v>1.1019000000000001</v>
      </c>
      <c r="L1373">
        <v>283.6968</v>
      </c>
      <c r="M1373">
        <v>-0.99981509999999996</v>
      </c>
      <c r="N1373">
        <v>0</v>
      </c>
      <c r="O1373">
        <v>1.1147839999999999E-2</v>
      </c>
      <c r="P1373">
        <v>-0.99677079999999996</v>
      </c>
      <c r="Q1373">
        <v>3.0774510000000001E-2</v>
      </c>
      <c r="R1373">
        <v>-7.417E-2</v>
      </c>
      <c r="S1373">
        <v>-3.0205380000000002</v>
      </c>
      <c r="T1373">
        <v>-0.1048999</v>
      </c>
      <c r="U1373">
        <v>9.6038819999999997E-2</v>
      </c>
      <c r="V1373">
        <v>-8.5074269999999994E-2</v>
      </c>
      <c r="W1373">
        <v>4.6756209999999999E-2</v>
      </c>
      <c r="X1373">
        <v>0.99527699999999997</v>
      </c>
      <c r="Y1373">
        <v>2.0627949999999999E-2</v>
      </c>
      <c r="Z1373" s="1">
        <v>-2.8967479999999999E-5</v>
      </c>
      <c r="AA1373">
        <v>0.99978719999999999</v>
      </c>
      <c r="AB1373">
        <v>58</v>
      </c>
      <c r="AC1373">
        <v>-31.160999999999898</v>
      </c>
      <c r="AD1373">
        <v>-1.101901489581</v>
      </c>
      <c r="AE1373">
        <v>1.0026999999999999</v>
      </c>
      <c r="AF1373">
        <v>0.654399747533284</v>
      </c>
      <c r="AG1373">
        <v>-1.101901489581</v>
      </c>
      <c r="AH1373">
        <v>31.131354901446201</v>
      </c>
      <c r="AI1373">
        <v>92.026703722399802</v>
      </c>
      <c r="AJ1373">
        <v>88.795785704045898</v>
      </c>
      <c r="AK1373">
        <v>31.157722701155599</v>
      </c>
      <c r="AL1373">
        <v>87.320089559825803</v>
      </c>
      <c r="AM1373">
        <v>94.885651753591404</v>
      </c>
      <c r="AN1373">
        <v>1.0000000406592899</v>
      </c>
    </row>
    <row r="1374" spans="1:40" x14ac:dyDescent="0.3">
      <c r="A1374" t="str">
        <f>"20200111153858837"</f>
        <v>20200111153858837</v>
      </c>
      <c r="B1374" t="str">
        <f>"1578728338832165"</f>
        <v>1578728338832165</v>
      </c>
      <c r="C1374" t="s">
        <v>40</v>
      </c>
      <c r="D1374">
        <v>5.0592730000000001</v>
      </c>
      <c r="E1374">
        <v>0.53822080000000005</v>
      </c>
      <c r="F1374" t="s">
        <v>55</v>
      </c>
      <c r="G1374">
        <v>-390.7713</v>
      </c>
      <c r="H1374" s="1">
        <v>-1.1263450000000001E-6</v>
      </c>
      <c r="I1374">
        <v>284.71809999999999</v>
      </c>
      <c r="J1374">
        <v>-359.4907</v>
      </c>
      <c r="K1374">
        <v>1.101907</v>
      </c>
      <c r="L1374">
        <v>283.70359999999999</v>
      </c>
      <c r="M1374">
        <v>-0.99980219999999997</v>
      </c>
      <c r="N1374">
        <v>0</v>
      </c>
      <c r="O1374">
        <v>1.225185E-2</v>
      </c>
      <c r="P1374">
        <v>-0.99686430000000004</v>
      </c>
      <c r="Q1374">
        <v>3.0605110000000001E-2</v>
      </c>
      <c r="R1374">
        <v>-7.2976310000000003E-2</v>
      </c>
      <c r="S1374">
        <v>-3.020111</v>
      </c>
      <c r="T1374">
        <v>-0.10450660000000001</v>
      </c>
      <c r="U1374">
        <v>9.6862790000000004E-2</v>
      </c>
      <c r="V1374">
        <v>-8.49829E-2</v>
      </c>
      <c r="W1374">
        <v>4.6580919999999998E-2</v>
      </c>
      <c r="X1374">
        <v>0.99529299999999998</v>
      </c>
      <c r="Y1374">
        <v>1.9802130000000001E-2</v>
      </c>
      <c r="Z1374" s="1">
        <v>-8.1323490000000001E-5</v>
      </c>
      <c r="AA1374">
        <v>0.99980389999999997</v>
      </c>
      <c r="AB1374">
        <v>58</v>
      </c>
      <c r="AC1374">
        <v>-31.2806</v>
      </c>
      <c r="AD1374">
        <v>-1.1019081263449999</v>
      </c>
      <c r="AE1374">
        <v>1.01449999999999</v>
      </c>
      <c r="AF1374">
        <v>0.63035018756931205</v>
      </c>
      <c r="AG1374">
        <v>-1.1019081263449999</v>
      </c>
      <c r="AH1374">
        <v>31.251942502188299</v>
      </c>
      <c r="AI1374">
        <v>92.018937517111297</v>
      </c>
      <c r="AJ1374">
        <v>88.844503542576703</v>
      </c>
      <c r="AK1374">
        <v>31.277714958704401</v>
      </c>
      <c r="AL1374">
        <v>87.330143824642093</v>
      </c>
      <c r="AM1374">
        <v>94.880351830577595</v>
      </c>
      <c r="AN1374">
        <v>1.00000001562472</v>
      </c>
    </row>
    <row r="1375" spans="1:40" x14ac:dyDescent="0.3">
      <c r="A1375" t="str">
        <f>"20200111153858860"</f>
        <v>20200111153858860</v>
      </c>
      <c r="B1375" t="str">
        <f>"1578728338851685"</f>
        <v>1578728338851685</v>
      </c>
      <c r="C1375" t="s">
        <v>40</v>
      </c>
      <c r="D1375">
        <v>5.0761669999999999</v>
      </c>
      <c r="E1375">
        <v>0.53809580000000001</v>
      </c>
      <c r="F1375" t="s">
        <v>55</v>
      </c>
      <c r="G1375">
        <v>-391.09519999999998</v>
      </c>
      <c r="H1375" s="1">
        <v>-9.5395459999999995E-7</v>
      </c>
      <c r="I1375">
        <v>284.73869999999999</v>
      </c>
      <c r="J1375">
        <v>-360.08539999999999</v>
      </c>
      <c r="K1375">
        <v>1.1019159999999999</v>
      </c>
      <c r="L1375">
        <v>283.71140000000003</v>
      </c>
      <c r="M1375">
        <v>-0.99978739999999999</v>
      </c>
      <c r="N1375">
        <v>0</v>
      </c>
      <c r="O1375">
        <v>1.3406120000000001E-2</v>
      </c>
      <c r="P1375">
        <v>-0.99693699999999996</v>
      </c>
      <c r="Q1375">
        <v>3.0584380000000001E-2</v>
      </c>
      <c r="R1375">
        <v>-7.1984690000000004E-2</v>
      </c>
      <c r="S1375">
        <v>-3.0198969999999998</v>
      </c>
      <c r="T1375">
        <v>-0.1052901</v>
      </c>
      <c r="U1375">
        <v>9.8907469999999997E-2</v>
      </c>
      <c r="V1375">
        <v>-8.514294E-2</v>
      </c>
      <c r="W1375">
        <v>4.6554249999999998E-2</v>
      </c>
      <c r="X1375">
        <v>0.99528059999999996</v>
      </c>
      <c r="Y1375">
        <v>1.9327259999999999E-2</v>
      </c>
      <c r="Z1375">
        <v>-1.3043000000000001E-4</v>
      </c>
      <c r="AA1375">
        <v>0.99981319999999996</v>
      </c>
      <c r="AB1375">
        <v>58</v>
      </c>
      <c r="AC1375">
        <v>-31.009799999999899</v>
      </c>
      <c r="AD1375">
        <v>-1.1019169539546001</v>
      </c>
      <c r="AE1375">
        <v>1.0272999999999599</v>
      </c>
      <c r="AF1375">
        <v>0.61066529212420995</v>
      </c>
      <c r="AG1375">
        <v>-1.1019169539546001</v>
      </c>
      <c r="AH1375">
        <v>30.9817087022885</v>
      </c>
      <c r="AI1375">
        <v>92.036567600428995</v>
      </c>
      <c r="AJ1375">
        <v>88.870817156656699</v>
      </c>
      <c r="AK1375">
        <v>31.007312156745801</v>
      </c>
      <c r="AL1375">
        <v>87.331673642596897</v>
      </c>
      <c r="AM1375">
        <v>94.889558628134495</v>
      </c>
      <c r="AN1375">
        <v>1.0000000455806299</v>
      </c>
    </row>
    <row r="1376" spans="1:40" x14ac:dyDescent="0.3">
      <c r="A1376" t="str">
        <f>"20200111153858881"</f>
        <v>20200111153858881</v>
      </c>
      <c r="B1376" t="str">
        <f>"1578728338872184"</f>
        <v>1578728338872184</v>
      </c>
      <c r="C1376" t="s">
        <v>40</v>
      </c>
      <c r="D1376">
        <v>5.027933</v>
      </c>
      <c r="E1376">
        <v>0.53802759999999905</v>
      </c>
      <c r="F1376" t="s">
        <v>55</v>
      </c>
      <c r="G1376">
        <v>-391.57850000000002</v>
      </c>
      <c r="H1376" s="1">
        <v>-6.9678419999999895E-7</v>
      </c>
      <c r="I1376">
        <v>284.75940000000003</v>
      </c>
      <c r="J1376">
        <v>-360.63709999999998</v>
      </c>
      <c r="K1376">
        <v>1.1019289999999999</v>
      </c>
      <c r="L1376">
        <v>283.7192</v>
      </c>
      <c r="M1376">
        <v>-0.99977280000000002</v>
      </c>
      <c r="N1376">
        <v>0</v>
      </c>
      <c r="O1376">
        <v>1.446241E-2</v>
      </c>
      <c r="P1376">
        <v>-0.99702610000000003</v>
      </c>
      <c r="Q1376">
        <v>3.0985990000000001E-2</v>
      </c>
      <c r="R1376">
        <v>-7.0561150000000003E-2</v>
      </c>
      <c r="S1376">
        <v>-3.019714</v>
      </c>
      <c r="T1376">
        <v>-0.1056573</v>
      </c>
      <c r="U1376">
        <v>0.1004944</v>
      </c>
      <c r="V1376">
        <v>-8.4773080000000001E-2</v>
      </c>
      <c r="W1376">
        <v>4.6948160000000003E-2</v>
      </c>
      <c r="X1376">
        <v>0.9952936</v>
      </c>
      <c r="Y1376">
        <v>1.879871E-2</v>
      </c>
      <c r="Z1376">
        <v>-1.770675E-4</v>
      </c>
      <c r="AA1376">
        <v>0.99982329999999997</v>
      </c>
      <c r="AB1376">
        <v>58</v>
      </c>
      <c r="AC1376">
        <v>-30.941400000000002</v>
      </c>
      <c r="AD1376">
        <v>-1.1019296967841901</v>
      </c>
      <c r="AE1376">
        <v>1.04020000000002</v>
      </c>
      <c r="AF1376">
        <v>0.59179935902783598</v>
      </c>
      <c r="AG1376">
        <v>-1.1019296967841901</v>
      </c>
      <c r="AH1376">
        <v>30.914044260901999</v>
      </c>
      <c r="AI1376">
        <v>92.041067502088396</v>
      </c>
      <c r="AJ1376">
        <v>88.903298960640399</v>
      </c>
      <c r="AK1376">
        <v>30.939337551133899</v>
      </c>
      <c r="AL1376">
        <v>87.3090793744949</v>
      </c>
      <c r="AM1376">
        <v>94.868357463915302</v>
      </c>
      <c r="AN1376">
        <v>0.99999997751051495</v>
      </c>
    </row>
    <row r="1377" spans="1:40" x14ac:dyDescent="0.3">
      <c r="A1377" t="str">
        <f>"20200111153858902"</f>
        <v>20200111153858902</v>
      </c>
      <c r="B1377" t="str">
        <f>"1578728338891701"</f>
        <v>1578728338891701</v>
      </c>
      <c r="C1377" t="s">
        <v>40</v>
      </c>
      <c r="D1377">
        <v>5.0085389999999999</v>
      </c>
      <c r="E1377">
        <v>0.53795289999999996</v>
      </c>
      <c r="F1377" t="s">
        <v>55</v>
      </c>
      <c r="G1377">
        <v>-392.40660000000003</v>
      </c>
      <c r="H1377" s="1">
        <v>-2.5610869999999998E-7</v>
      </c>
      <c r="I1377">
        <v>284.815</v>
      </c>
      <c r="J1377">
        <v>-361.19220000000001</v>
      </c>
      <c r="K1377">
        <v>1.1019509999999999</v>
      </c>
      <c r="L1377">
        <v>283.72770000000003</v>
      </c>
      <c r="M1377">
        <v>-0.99975720000000001</v>
      </c>
      <c r="N1377">
        <v>0</v>
      </c>
      <c r="O1377">
        <v>1.55047E-2</v>
      </c>
      <c r="P1377">
        <v>-0.99715529999999997</v>
      </c>
      <c r="Q1377">
        <v>3.1156010000000001E-2</v>
      </c>
      <c r="R1377">
        <v>-6.8634239999999999E-2</v>
      </c>
      <c r="S1377">
        <v>-3.0195620000000001</v>
      </c>
      <c r="T1377">
        <v>-0.1047337</v>
      </c>
      <c r="U1377">
        <v>0.1041565</v>
      </c>
      <c r="V1377">
        <v>-8.3887299999999998E-2</v>
      </c>
      <c r="W1377">
        <v>4.7108209999999998E-2</v>
      </c>
      <c r="X1377">
        <v>0.9953611</v>
      </c>
      <c r="Y1377">
        <v>1.8969799999999998E-2</v>
      </c>
      <c r="Z1377">
        <v>-2.08686E-4</v>
      </c>
      <c r="AA1377">
        <v>0.99982009999999999</v>
      </c>
      <c r="AB1377">
        <v>58</v>
      </c>
      <c r="AC1377">
        <v>-31.214400000000001</v>
      </c>
      <c r="AD1377">
        <v>-1.1019512561086999</v>
      </c>
      <c r="AE1377">
        <v>1.08729999999997</v>
      </c>
      <c r="AF1377">
        <v>0.60239019331114396</v>
      </c>
      <c r="AG1377">
        <v>-1.1019512561086999</v>
      </c>
      <c r="AH1377">
        <v>31.188684624377</v>
      </c>
      <c r="AI1377">
        <v>92.023142239068804</v>
      </c>
      <c r="AJ1377">
        <v>88.893504959945304</v>
      </c>
      <c r="AK1377">
        <v>31.2139587222558</v>
      </c>
      <c r="AL1377">
        <v>87.299899063663801</v>
      </c>
      <c r="AM1377">
        <v>94.8174043088693</v>
      </c>
      <c r="AN1377">
        <v>0.99999999097195202</v>
      </c>
    </row>
    <row r="1378" spans="1:40" x14ac:dyDescent="0.3">
      <c r="A1378" t="str">
        <f>"20200111153858925"</f>
        <v>20200111153858925</v>
      </c>
      <c r="B1378" t="str">
        <f>"1578728338921957"</f>
        <v>1578728338921957</v>
      </c>
      <c r="C1378" t="s">
        <v>40</v>
      </c>
      <c r="D1378">
        <v>5.0388669999999998</v>
      </c>
      <c r="E1378">
        <v>0.51281199999999905</v>
      </c>
      <c r="F1378" t="s">
        <v>55</v>
      </c>
      <c r="G1378">
        <v>-393.09379999999999</v>
      </c>
      <c r="H1378" s="1">
        <v>1.095688E-7</v>
      </c>
      <c r="I1378">
        <v>284.88010000000003</v>
      </c>
      <c r="J1378">
        <v>-361.7774</v>
      </c>
      <c r="K1378">
        <v>1.1019779999999999</v>
      </c>
      <c r="L1378">
        <v>283.73719999999997</v>
      </c>
      <c r="M1378">
        <v>-0.99974019999999997</v>
      </c>
      <c r="N1378">
        <v>0</v>
      </c>
      <c r="O1378">
        <v>1.657291E-2</v>
      </c>
      <c r="P1378">
        <v>-0.9973012</v>
      </c>
      <c r="Q1378">
        <v>3.118369E-2</v>
      </c>
      <c r="R1378">
        <v>-6.646676E-2</v>
      </c>
      <c r="S1378">
        <v>-3.0193180000000002</v>
      </c>
      <c r="T1378">
        <v>-0.10429380000000001</v>
      </c>
      <c r="U1378">
        <v>0.10906979999999999</v>
      </c>
      <c r="V1378">
        <v>-8.2789379999999996E-2</v>
      </c>
      <c r="W1378">
        <v>4.712392E-2</v>
      </c>
      <c r="X1378">
        <v>0.99545229999999996</v>
      </c>
      <c r="Y1378">
        <v>1.9529600000000001E-2</v>
      </c>
      <c r="Z1378">
        <v>-2.3502810000000001E-4</v>
      </c>
      <c r="AA1378">
        <v>0.99980930000000001</v>
      </c>
      <c r="AB1378">
        <v>58</v>
      </c>
      <c r="AC1378">
        <v>-31.316399999999899</v>
      </c>
      <c r="AD1378">
        <v>-1.1019778904311901</v>
      </c>
      <c r="AE1378">
        <v>1.14290000000005</v>
      </c>
      <c r="AF1378">
        <v>0.62290528515099597</v>
      </c>
      <c r="AG1378">
        <v>-1.1019778904311901</v>
      </c>
      <c r="AH1378">
        <v>31.292345795398301</v>
      </c>
      <c r="AI1378">
        <v>92.016471112519298</v>
      </c>
      <c r="AJ1378">
        <v>88.859621096740995</v>
      </c>
      <c r="AK1378">
        <v>31.317938496076799</v>
      </c>
      <c r="AL1378">
        <v>87.298998006891495</v>
      </c>
      <c r="AM1378">
        <v>94.754211303354694</v>
      </c>
      <c r="AN1378">
        <v>1.00000001342612</v>
      </c>
    </row>
    <row r="1379" spans="1:40" x14ac:dyDescent="0.3">
      <c r="A1379" t="str">
        <f>"20200111153858948"</f>
        <v>20200111153858948</v>
      </c>
      <c r="B1379" t="str">
        <f>"1578728338942455"</f>
        <v>1578728338942455</v>
      </c>
      <c r="C1379" t="s">
        <v>40</v>
      </c>
      <c r="D1379">
        <v>4.9908210000000004</v>
      </c>
      <c r="E1379">
        <v>0.51061650000000003</v>
      </c>
      <c r="F1379" t="s">
        <v>55</v>
      </c>
      <c r="G1379">
        <v>-392.43200000000002</v>
      </c>
      <c r="H1379" s="1">
        <v>-2.4258969999999997E-7</v>
      </c>
      <c r="I1379">
        <v>282.87479999999999</v>
      </c>
      <c r="J1379">
        <v>-362.37009999999998</v>
      </c>
      <c r="K1379">
        <v>1.102017</v>
      </c>
      <c r="L1379">
        <v>283.74740000000003</v>
      </c>
      <c r="M1379">
        <v>-0.99972240000000001</v>
      </c>
      <c r="N1379">
        <v>0</v>
      </c>
      <c r="O1379">
        <v>1.7612969999999999E-2</v>
      </c>
      <c r="P1379">
        <v>-0.9974499</v>
      </c>
      <c r="Q1379">
        <v>3.0674670000000001E-2</v>
      </c>
      <c r="R1379">
        <v>-6.4441250000000005E-2</v>
      </c>
      <c r="S1379">
        <v>-3.0058590000000001</v>
      </c>
      <c r="T1379">
        <v>-0.108055399999999</v>
      </c>
      <c r="U1379">
        <v>-8.4564210000000001E-2</v>
      </c>
      <c r="V1379">
        <v>-8.1808800000000001E-2</v>
      </c>
      <c r="W1379">
        <v>4.6599969999999998E-2</v>
      </c>
      <c r="X1379">
        <v>0.99555800000000005</v>
      </c>
      <c r="Y1379">
        <v>-4.568494E-2</v>
      </c>
      <c r="Z1379">
        <v>-1.453637E-3</v>
      </c>
      <c r="AA1379">
        <v>0.99895480000000003</v>
      </c>
      <c r="AB1379">
        <v>58</v>
      </c>
      <c r="AC1379">
        <v>-30.061899999999898</v>
      </c>
      <c r="AD1379">
        <v>-1.1020172425896999</v>
      </c>
      <c r="AE1379">
        <v>-0.87260000000003402</v>
      </c>
      <c r="AF1379">
        <v>-1.4001288504946099</v>
      </c>
      <c r="AG1379">
        <v>-1.1020172425896999</v>
      </c>
      <c r="AH1379">
        <v>30.0015816367662</v>
      </c>
      <c r="AI1379">
        <v>92.101356153133594</v>
      </c>
      <c r="AJ1379">
        <v>92.671969479447299</v>
      </c>
      <c r="AK1379">
        <v>30.0544456529895</v>
      </c>
      <c r="AL1379">
        <v>87.329051069406802</v>
      </c>
      <c r="AM1379">
        <v>94.697658119330697</v>
      </c>
      <c r="AN1379">
        <v>0.99999998416271996</v>
      </c>
    </row>
    <row r="1380" spans="1:40" x14ac:dyDescent="0.3">
      <c r="A1380" t="str">
        <f>"20200111153858970"</f>
        <v>20200111153858970</v>
      </c>
      <c r="B1380" t="str">
        <f>"1578728338961976"</f>
        <v>1578728338961976</v>
      </c>
      <c r="C1380" t="s">
        <v>40</v>
      </c>
      <c r="D1380">
        <v>4.9724339999999998</v>
      </c>
      <c r="E1380">
        <v>0.50971560000000005</v>
      </c>
      <c r="F1380" t="s">
        <v>55</v>
      </c>
      <c r="G1380">
        <v>-392.10739999999998</v>
      </c>
      <c r="H1380" s="1">
        <v>-4.1532500000000002E-7</v>
      </c>
      <c r="I1380">
        <v>282.79660000000001</v>
      </c>
      <c r="J1380">
        <v>-362.9359</v>
      </c>
      <c r="K1380">
        <v>1.10206</v>
      </c>
      <c r="L1380">
        <v>283.7577</v>
      </c>
      <c r="M1380">
        <v>-0.99970550000000002</v>
      </c>
      <c r="N1380">
        <v>0</v>
      </c>
      <c r="O1380">
        <v>1.855503E-2</v>
      </c>
      <c r="P1380">
        <v>-0.99753610000000004</v>
      </c>
      <c r="Q1380">
        <v>3.0479329999999999E-2</v>
      </c>
      <c r="R1380">
        <v>-6.3189640000000005E-2</v>
      </c>
      <c r="S1380">
        <v>-3.004883</v>
      </c>
      <c r="T1380">
        <v>-0.1113561</v>
      </c>
      <c r="U1380">
        <v>-9.6069340000000003E-2</v>
      </c>
      <c r="V1380">
        <v>-8.1503870000000006E-2</v>
      </c>
      <c r="W1380">
        <v>4.6390870000000001E-2</v>
      </c>
      <c r="X1380">
        <v>0.99559280000000006</v>
      </c>
      <c r="Y1380">
        <v>-5.044974E-2</v>
      </c>
      <c r="Z1380">
        <v>-1.62154799999999E-3</v>
      </c>
      <c r="AA1380">
        <v>0.99872530000000004</v>
      </c>
      <c r="AB1380">
        <v>58</v>
      </c>
      <c r="AC1380">
        <v>-29.171499999999899</v>
      </c>
      <c r="AD1380">
        <v>-1.102060415325</v>
      </c>
      <c r="AE1380">
        <v>-0.96109999999998696</v>
      </c>
      <c r="AF1380">
        <v>-1.50014005175313</v>
      </c>
      <c r="AG1380">
        <v>-1.102060415325</v>
      </c>
      <c r="AH1380">
        <v>29.107143723404999</v>
      </c>
      <c r="AI1380">
        <v>92.165437082197002</v>
      </c>
      <c r="AJ1380">
        <v>92.9503311367924</v>
      </c>
      <c r="AK1380">
        <v>29.166603728731499</v>
      </c>
      <c r="AL1380">
        <v>87.341044652900905</v>
      </c>
      <c r="AM1380">
        <v>94.680063369006504</v>
      </c>
      <c r="AN1380">
        <v>1.00000000852808</v>
      </c>
    </row>
    <row r="1381" spans="1:40" x14ac:dyDescent="0.3">
      <c r="A1381" t="str">
        <f>"20200111153858993"</f>
        <v>20200111153858993</v>
      </c>
      <c r="B1381" t="str">
        <f>"1578728338981493"</f>
        <v>1578728338981493</v>
      </c>
      <c r="C1381" t="s">
        <v>40</v>
      </c>
      <c r="D1381">
        <v>4.9713570000000002</v>
      </c>
      <c r="E1381">
        <v>0.50882240000000001</v>
      </c>
      <c r="F1381" t="s">
        <v>55</v>
      </c>
      <c r="G1381">
        <v>-390.90719999999999</v>
      </c>
      <c r="H1381" s="1">
        <v>-1.054025E-6</v>
      </c>
      <c r="I1381">
        <v>282.83580000000001</v>
      </c>
      <c r="J1381">
        <v>-363.51280000000003</v>
      </c>
      <c r="K1381">
        <v>1.102123</v>
      </c>
      <c r="L1381">
        <v>283.7688</v>
      </c>
      <c r="M1381">
        <v>-0.99968840000000003</v>
      </c>
      <c r="N1381">
        <v>0</v>
      </c>
      <c r="O1381">
        <v>1.9454820000000001E-2</v>
      </c>
      <c r="P1381">
        <v>-0.99753550000000002</v>
      </c>
      <c r="Q1381">
        <v>3.1472989999999999E-2</v>
      </c>
      <c r="R1381">
        <v>-6.2708589999999995E-2</v>
      </c>
      <c r="S1381">
        <v>-3.0047609999999998</v>
      </c>
      <c r="T1381">
        <v>-0.1183869</v>
      </c>
      <c r="U1381">
        <v>-9.9029539999999999E-2</v>
      </c>
      <c r="V1381">
        <v>-8.1922129999999996E-2</v>
      </c>
      <c r="W1381">
        <v>4.7369219999999997E-2</v>
      </c>
      <c r="X1381">
        <v>0.99551239999999996</v>
      </c>
      <c r="Y1381">
        <v>-5.2324429999999998E-2</v>
      </c>
      <c r="Z1381">
        <v>-1.796235E-3</v>
      </c>
      <c r="AA1381">
        <v>0.99862850000000003</v>
      </c>
      <c r="AB1381">
        <v>58</v>
      </c>
      <c r="AC1381">
        <v>-27.394399999999901</v>
      </c>
      <c r="AD1381">
        <v>-1.1021240540249999</v>
      </c>
      <c r="AE1381">
        <v>-0.93299999999999195</v>
      </c>
      <c r="AF1381">
        <v>-1.46347566559593</v>
      </c>
      <c r="AG1381">
        <v>-1.1021240540249999</v>
      </c>
      <c r="AH1381">
        <v>27.326880597114901</v>
      </c>
      <c r="AI1381">
        <v>92.306250694722095</v>
      </c>
      <c r="AJ1381">
        <v>93.065514657792804</v>
      </c>
      <c r="AK1381">
        <v>27.3882245065872</v>
      </c>
      <c r="AL1381">
        <v>87.284927625884606</v>
      </c>
      <c r="AM1381">
        <v>94.7043511236961</v>
      </c>
      <c r="AN1381">
        <v>1.0000000084704499</v>
      </c>
    </row>
    <row r="1382" spans="1:40" x14ac:dyDescent="0.3">
      <c r="A1382" t="str">
        <f>"20200111153859015"</f>
        <v>20200111153859015</v>
      </c>
      <c r="B1382" t="str">
        <f>"1578728339011750"</f>
        <v>1578728339011750</v>
      </c>
      <c r="C1382" t="s">
        <v>40</v>
      </c>
      <c r="D1382">
        <v>4.9969939999999999</v>
      </c>
      <c r="E1382">
        <v>0.50849690000000003</v>
      </c>
      <c r="F1382" t="s">
        <v>55</v>
      </c>
      <c r="G1382">
        <v>-390.15219999999999</v>
      </c>
      <c r="H1382" s="1">
        <v>-1.4557849999999999E-6</v>
      </c>
      <c r="I1382">
        <v>282.8426</v>
      </c>
      <c r="J1382">
        <v>-364.08330000000001</v>
      </c>
      <c r="K1382">
        <v>1.102193</v>
      </c>
      <c r="L1382">
        <v>283.78019999999998</v>
      </c>
      <c r="M1382">
        <v>-0.99967220000000001</v>
      </c>
      <c r="N1382">
        <v>0</v>
      </c>
      <c r="O1382">
        <v>2.0275350000000001E-2</v>
      </c>
      <c r="P1382">
        <v>-0.99749370000000004</v>
      </c>
      <c r="Q1382">
        <v>3.2550570000000001E-2</v>
      </c>
      <c r="R1382">
        <v>-6.2825549999999994E-2</v>
      </c>
      <c r="S1382">
        <v>-3.0047299999999999</v>
      </c>
      <c r="T1382">
        <v>-0.12431150000000001</v>
      </c>
      <c r="U1382">
        <v>-0.1044617</v>
      </c>
      <c r="V1382">
        <v>-8.2859680000000005E-2</v>
      </c>
      <c r="W1382">
        <v>4.8430389999999997E-2</v>
      </c>
      <c r="X1382">
        <v>0.99538369999999998</v>
      </c>
      <c r="Y1382">
        <v>-5.4938910000000001E-2</v>
      </c>
      <c r="Z1382">
        <v>-1.9739879999999999E-3</v>
      </c>
      <c r="AA1382">
        <v>0.99848780000000004</v>
      </c>
      <c r="AB1382">
        <v>58</v>
      </c>
      <c r="AC1382">
        <v>-26.0688999999999</v>
      </c>
      <c r="AD1382">
        <v>-1.1021944557850001</v>
      </c>
      <c r="AE1382">
        <v>-0.93759999999997401</v>
      </c>
      <c r="AF1382">
        <v>-1.4634152622491201</v>
      </c>
      <c r="AG1382">
        <v>-1.1021944557850001</v>
      </c>
      <c r="AH1382">
        <v>25.998113057451199</v>
      </c>
      <c r="AI1382">
        <v>92.423778431519494</v>
      </c>
      <c r="AJ1382">
        <v>93.221738804156402</v>
      </c>
      <c r="AK1382">
        <v>26.062584280845201</v>
      </c>
      <c r="AL1382">
        <v>87.224057083166102</v>
      </c>
      <c r="AM1382">
        <v>94.758556201724105</v>
      </c>
      <c r="AN1382">
        <v>0.99999996973547101</v>
      </c>
    </row>
    <row r="1383" spans="1:40" x14ac:dyDescent="0.3">
      <c r="A1383" t="str">
        <f>"20200111153859038"</f>
        <v>20200111153859038</v>
      </c>
      <c r="B1383" t="str">
        <f>"1578728339032246"</f>
        <v>1578728339032246</v>
      </c>
      <c r="C1383" t="s">
        <v>40</v>
      </c>
      <c r="D1383">
        <v>4.9993080000000001</v>
      </c>
      <c r="E1383">
        <v>0.50810829999999996</v>
      </c>
      <c r="F1383" t="s">
        <v>55</v>
      </c>
      <c r="G1383">
        <v>-390.55009999999999</v>
      </c>
      <c r="H1383" s="1">
        <v>-1.244028E-6</v>
      </c>
      <c r="I1383">
        <v>282.83479999999997</v>
      </c>
      <c r="J1383">
        <v>-364.67450000000002</v>
      </c>
      <c r="K1383">
        <v>1.102277</v>
      </c>
      <c r="L1383">
        <v>283.79239999999999</v>
      </c>
      <c r="M1383">
        <v>-0.9996564</v>
      </c>
      <c r="N1383">
        <v>0</v>
      </c>
      <c r="O1383">
        <v>2.103988E-2</v>
      </c>
      <c r="P1383">
        <v>-0.99746630000000003</v>
      </c>
      <c r="Q1383">
        <v>3.2631710000000001E-2</v>
      </c>
      <c r="R1383">
        <v>-6.3214850000000003E-2</v>
      </c>
      <c r="S1383">
        <v>-3.0048219999999999</v>
      </c>
      <c r="T1383">
        <v>-0.12513369999999999</v>
      </c>
      <c r="U1383">
        <v>-0.1073303</v>
      </c>
      <c r="V1383">
        <v>-8.4019360000000001E-2</v>
      </c>
      <c r="W1383">
        <v>4.8492790000000001E-2</v>
      </c>
      <c r="X1383">
        <v>0.99528349999999999</v>
      </c>
      <c r="Y1383">
        <v>-5.665046E-2</v>
      </c>
      <c r="Z1383">
        <v>-2.0543710000000001E-3</v>
      </c>
      <c r="AA1383">
        <v>0.99839199999999995</v>
      </c>
      <c r="AB1383">
        <v>58</v>
      </c>
      <c r="AC1383">
        <v>-25.875599999999899</v>
      </c>
      <c r="AD1383">
        <v>-1.1022782440279999</v>
      </c>
      <c r="AE1383">
        <v>-0.957600000000013</v>
      </c>
      <c r="AF1383">
        <v>-1.4991572522246801</v>
      </c>
      <c r="AG1383">
        <v>-1.1022782440279999</v>
      </c>
      <c r="AH1383">
        <v>25.802960211061201</v>
      </c>
      <c r="AI1383">
        <v>92.442021439018603</v>
      </c>
      <c r="AJ1383">
        <v>93.325158334928005</v>
      </c>
      <c r="AK1383">
        <v>25.869968021777002</v>
      </c>
      <c r="AL1383">
        <v>87.220477772927097</v>
      </c>
      <c r="AM1383">
        <v>94.825326770746301</v>
      </c>
      <c r="AN1383">
        <v>1.00000002445452</v>
      </c>
    </row>
    <row r="1384" spans="1:40" x14ac:dyDescent="0.3">
      <c r="A1384" t="str">
        <f>"20200111153859060"</f>
        <v>20200111153859060</v>
      </c>
      <c r="B1384" t="str">
        <f>"1578728339051765"</f>
        <v>1578728339051765</v>
      </c>
      <c r="C1384" t="s">
        <v>40</v>
      </c>
      <c r="D1384">
        <v>5.0149080000000001</v>
      </c>
      <c r="E1384">
        <v>0.50773489999999999</v>
      </c>
      <c r="F1384" t="s">
        <v>55</v>
      </c>
      <c r="G1384">
        <v>-390.62200000000001</v>
      </c>
      <c r="H1384" s="1">
        <v>-1.2057799999999901E-6</v>
      </c>
      <c r="I1384">
        <v>282.83049999999997</v>
      </c>
      <c r="J1384">
        <v>-365.24799999999999</v>
      </c>
      <c r="K1384">
        <v>1.1023559999999999</v>
      </c>
      <c r="L1384">
        <v>283.80470000000003</v>
      </c>
      <c r="M1384">
        <v>-0.99964219999999904</v>
      </c>
      <c r="N1384">
        <v>0</v>
      </c>
      <c r="O1384">
        <v>2.1714259999999999E-2</v>
      </c>
      <c r="P1384">
        <v>-0.99744929999999998</v>
      </c>
      <c r="Q1384">
        <v>3.2132330000000001E-2</v>
      </c>
      <c r="R1384">
        <v>-6.3736609999999999E-2</v>
      </c>
      <c r="S1384">
        <v>-3.0047299999999999</v>
      </c>
      <c r="T1384">
        <v>-0.12764389999999901</v>
      </c>
      <c r="U1384">
        <v>-0.11138919999999999</v>
      </c>
      <c r="V1384">
        <v>-8.5223590000000002E-2</v>
      </c>
      <c r="W1384">
        <v>4.7975070000000002E-2</v>
      </c>
      <c r="X1384">
        <v>0.99520620000000004</v>
      </c>
      <c r="Y1384">
        <v>-5.8666679999999999E-2</v>
      </c>
      <c r="Z1384">
        <v>-2.166982E-3</v>
      </c>
      <c r="AA1384">
        <v>0.99827529999999998</v>
      </c>
      <c r="AB1384">
        <v>58</v>
      </c>
      <c r="AC1384">
        <v>-25.373999999999899</v>
      </c>
      <c r="AD1384">
        <v>-1.10235720578</v>
      </c>
      <c r="AE1384">
        <v>-0.97420000000005302</v>
      </c>
      <c r="AF1384">
        <v>-1.52214640991404</v>
      </c>
      <c r="AG1384">
        <v>-1.10235720578</v>
      </c>
      <c r="AH1384">
        <v>25.299179482325702</v>
      </c>
      <c r="AI1384">
        <v>92.490464007115094</v>
      </c>
      <c r="AJ1384">
        <v>93.443098172841502</v>
      </c>
      <c r="AK1384">
        <v>25.368890468076799</v>
      </c>
      <c r="AL1384">
        <v>87.250175508649704</v>
      </c>
      <c r="AM1384">
        <v>94.894531784644499</v>
      </c>
      <c r="AN1384">
        <v>1.0000000240762099</v>
      </c>
    </row>
    <row r="1385" spans="1:40" x14ac:dyDescent="0.3">
      <c r="A1385" t="str">
        <f>"20200111153859082"</f>
        <v>20200111153859082</v>
      </c>
      <c r="B1385" t="str">
        <f>"1578728339072261"</f>
        <v>1578728339072261</v>
      </c>
      <c r="C1385" t="s">
        <v>40</v>
      </c>
      <c r="D1385">
        <v>4.9667659999999998</v>
      </c>
      <c r="E1385">
        <v>0.50744239999999996</v>
      </c>
      <c r="F1385" t="s">
        <v>55</v>
      </c>
      <c r="G1385">
        <v>-391.08409999999998</v>
      </c>
      <c r="H1385" s="1">
        <v>-9.598962000000001E-7</v>
      </c>
      <c r="I1385">
        <v>282.80799999999999</v>
      </c>
      <c r="J1385">
        <v>-365.81400000000002</v>
      </c>
      <c r="K1385">
        <v>1.1024419999999999</v>
      </c>
      <c r="L1385">
        <v>283.81720000000001</v>
      </c>
      <c r="M1385">
        <v>-0.99962899999999999</v>
      </c>
      <c r="N1385">
        <v>0</v>
      </c>
      <c r="O1385">
        <v>2.2315370000000001E-2</v>
      </c>
      <c r="P1385">
        <v>-0.99739169999999999</v>
      </c>
      <c r="Q1385">
        <v>3.2136409999999997E-2</v>
      </c>
      <c r="R1385">
        <v>-6.4631579999999994E-2</v>
      </c>
      <c r="S1385">
        <v>-3.0043950000000001</v>
      </c>
      <c r="T1385">
        <v>-0.12818979999999999</v>
      </c>
      <c r="U1385">
        <v>-0.1159058</v>
      </c>
      <c r="V1385">
        <v>-8.6725969999999999E-2</v>
      </c>
      <c r="W1385">
        <v>4.7960290000000003E-2</v>
      </c>
      <c r="X1385">
        <v>0.99507710000000005</v>
      </c>
      <c r="Y1385">
        <v>-6.0766470000000003E-2</v>
      </c>
      <c r="Z1385">
        <v>-2.246816E-3</v>
      </c>
      <c r="AA1385">
        <v>0.99814950000000002</v>
      </c>
      <c r="AB1385">
        <v>58</v>
      </c>
      <c r="AC1385">
        <v>-25.2700999999999</v>
      </c>
      <c r="AD1385">
        <v>-1.1024429598962</v>
      </c>
      <c r="AE1385">
        <v>-1.0092000000000201</v>
      </c>
      <c r="AF1385">
        <v>-1.5699457796965499</v>
      </c>
      <c r="AG1385">
        <v>-1.1024429598962</v>
      </c>
      <c r="AH1385">
        <v>25.193409037574799</v>
      </c>
      <c r="AI1385">
        <v>92.5007732422348</v>
      </c>
      <c r="AJ1385">
        <v>93.565817678827202</v>
      </c>
      <c r="AK1385">
        <v>25.266340636617102</v>
      </c>
      <c r="AL1385">
        <v>87.251023275017204</v>
      </c>
      <c r="AM1385">
        <v>94.981028606818597</v>
      </c>
      <c r="AN1385">
        <v>1.0000000091168599</v>
      </c>
    </row>
    <row r="1386" spans="1:40" x14ac:dyDescent="0.3">
      <c r="A1386" t="str">
        <f>"20200111153859104"</f>
        <v>20200111153859104</v>
      </c>
      <c r="B1386" t="str">
        <f>"1578728339091782"</f>
        <v>1578728339091782</v>
      </c>
      <c r="C1386" t="s">
        <v>40</v>
      </c>
      <c r="D1386">
        <v>5.0076330000000002</v>
      </c>
      <c r="E1386">
        <v>0.50721640000000001</v>
      </c>
      <c r="F1386" t="s">
        <v>55</v>
      </c>
      <c r="G1386">
        <v>-391.46530000000001</v>
      </c>
      <c r="H1386" s="1">
        <v>-7.5701159999999995E-7</v>
      </c>
      <c r="I1386">
        <v>282.78719999999998</v>
      </c>
      <c r="J1386">
        <v>-366.38240000000002</v>
      </c>
      <c r="K1386">
        <v>1.1025259999999999</v>
      </c>
      <c r="L1386">
        <v>283.83010000000002</v>
      </c>
      <c r="M1386">
        <v>-0.99961690000000003</v>
      </c>
      <c r="N1386">
        <v>0</v>
      </c>
      <c r="O1386">
        <v>2.2856370000000001E-2</v>
      </c>
      <c r="P1386">
        <v>-0.99730189999999996</v>
      </c>
      <c r="Q1386">
        <v>3.1743E-2</v>
      </c>
      <c r="R1386">
        <v>-6.6192399999999998E-2</v>
      </c>
      <c r="S1386">
        <v>-3.0041500000000001</v>
      </c>
      <c r="T1386">
        <v>-0.12911210000000001</v>
      </c>
      <c r="U1386">
        <v>-0.12063599999999999</v>
      </c>
      <c r="V1386">
        <v>-8.8833789999999996E-2</v>
      </c>
      <c r="W1386">
        <v>4.7548310000000003E-2</v>
      </c>
      <c r="X1386">
        <v>0.99491090000000004</v>
      </c>
      <c r="Y1386">
        <v>-6.2875329999999993E-2</v>
      </c>
      <c r="Z1386">
        <v>-2.3315969999999999E-3</v>
      </c>
      <c r="AA1386">
        <v>0.99801870000000004</v>
      </c>
      <c r="AB1386">
        <v>57</v>
      </c>
      <c r="AC1386">
        <v>-25.082899999999899</v>
      </c>
      <c r="AD1386">
        <v>-1.1025267570116</v>
      </c>
      <c r="AE1386">
        <v>-1.0429000000000299</v>
      </c>
      <c r="AF1386">
        <v>-1.61289054196627</v>
      </c>
      <c r="AG1386">
        <v>-1.1025267570116</v>
      </c>
      <c r="AH1386">
        <v>25.004279271490901</v>
      </c>
      <c r="AI1386">
        <v>92.519507948160495</v>
      </c>
      <c r="AJ1386">
        <v>93.690727039349198</v>
      </c>
      <c r="AK1386">
        <v>25.080489688939501</v>
      </c>
      <c r="AL1386">
        <v>87.274654903203995</v>
      </c>
      <c r="AM1386">
        <v>95.102305780064597</v>
      </c>
      <c r="AN1386">
        <v>0.99999999148421503</v>
      </c>
    </row>
    <row r="1387" spans="1:40" x14ac:dyDescent="0.3">
      <c r="A1387" t="str">
        <f>"20200111153859138"</f>
        <v>20200111153859138</v>
      </c>
      <c r="B1387" t="str">
        <f>"1578728339131798"</f>
        <v>1578728339131798</v>
      </c>
      <c r="C1387" t="s">
        <v>40</v>
      </c>
      <c r="D1387">
        <v>5.019272</v>
      </c>
      <c r="E1387">
        <v>0.49339129999999998</v>
      </c>
      <c r="F1387" t="s">
        <v>55</v>
      </c>
      <c r="G1387">
        <v>-391.74340000000001</v>
      </c>
      <c r="H1387" s="1">
        <v>-6.0903249999999996E-7</v>
      </c>
      <c r="I1387">
        <v>282.75540000000001</v>
      </c>
      <c r="J1387">
        <v>-367.24029999999999</v>
      </c>
      <c r="K1387">
        <v>1.102652</v>
      </c>
      <c r="L1387">
        <v>283.8501</v>
      </c>
      <c r="M1387">
        <v>-0.99960039999999994</v>
      </c>
      <c r="N1387">
        <v>0</v>
      </c>
      <c r="O1387">
        <v>2.3570199999999999E-2</v>
      </c>
      <c r="P1387">
        <v>-0.99724650000000004</v>
      </c>
      <c r="Q1387">
        <v>3.0005319999999999E-2</v>
      </c>
      <c r="R1387">
        <v>-6.7819329999999997E-2</v>
      </c>
      <c r="S1387">
        <v>-3.0038149999999999</v>
      </c>
      <c r="T1387">
        <v>-0.13058549999999999</v>
      </c>
      <c r="U1387">
        <v>-0.12728879999999901</v>
      </c>
      <c r="V1387">
        <v>-9.1188459999999999E-2</v>
      </c>
      <c r="W1387">
        <v>4.5780700000000001E-2</v>
      </c>
      <c r="X1387">
        <v>0.99478080000000002</v>
      </c>
      <c r="Y1387">
        <v>-6.5793630000000006E-2</v>
      </c>
      <c r="Z1387">
        <v>-2.4527260000000001E-3</v>
      </c>
      <c r="AA1387">
        <v>0.9978302</v>
      </c>
      <c r="AB1387">
        <v>57</v>
      </c>
      <c r="AC1387">
        <v>-24.5031</v>
      </c>
      <c r="AD1387">
        <v>-1.1026526090325</v>
      </c>
      <c r="AE1387">
        <v>-1.09469999999998</v>
      </c>
      <c r="AF1387">
        <v>-1.6686367545124901</v>
      </c>
      <c r="AG1387">
        <v>-1.1026526090325</v>
      </c>
      <c r="AH1387">
        <v>24.421130101239999</v>
      </c>
      <c r="AI1387">
        <v>92.579233493445599</v>
      </c>
      <c r="AJ1387">
        <v>93.908806631443099</v>
      </c>
      <c r="AK1387">
        <v>24.502893437641301</v>
      </c>
      <c r="AL1387">
        <v>87.376042044454294</v>
      </c>
      <c r="AM1387">
        <v>95.237488632431194</v>
      </c>
      <c r="AN1387">
        <v>1.00000002388915</v>
      </c>
    </row>
    <row r="1388" spans="1:40" x14ac:dyDescent="0.3">
      <c r="A1388" t="str">
        <f>"20200111153859161"</f>
        <v>20200111153859161</v>
      </c>
      <c r="B1388" t="str">
        <f>"1578728339152293"</f>
        <v>1578728339152293</v>
      </c>
      <c r="C1388" t="s">
        <v>40</v>
      </c>
      <c r="D1388">
        <v>5.0636289999999997</v>
      </c>
      <c r="E1388">
        <v>0.48837510000000001</v>
      </c>
      <c r="F1388" t="s">
        <v>55</v>
      </c>
      <c r="G1388">
        <v>-384.1936</v>
      </c>
      <c r="H1388" s="1">
        <v>6.9485199999999995E-7</v>
      </c>
      <c r="I1388">
        <v>282.50139999999999</v>
      </c>
      <c r="J1388">
        <v>-367.8306</v>
      </c>
      <c r="K1388">
        <v>1.102732</v>
      </c>
      <c r="L1388">
        <v>283.86419999999998</v>
      </c>
      <c r="M1388">
        <v>-0.99959019999999998</v>
      </c>
      <c r="N1388">
        <v>0</v>
      </c>
      <c r="O1388">
        <v>2.3998169999999999E-2</v>
      </c>
      <c r="P1388">
        <v>-0.99723039999999996</v>
      </c>
      <c r="Q1388">
        <v>2.9110549999999999E-2</v>
      </c>
      <c r="R1388">
        <v>-6.8438959999999993E-2</v>
      </c>
      <c r="S1388">
        <v>-2.997925</v>
      </c>
      <c r="T1388">
        <v>-0.1949862</v>
      </c>
      <c r="U1388">
        <v>-0.23849490000000001</v>
      </c>
      <c r="V1388">
        <v>-9.2245770000000005E-2</v>
      </c>
      <c r="W1388">
        <v>4.4865160000000001E-2</v>
      </c>
      <c r="X1388">
        <v>0.99472499999999997</v>
      </c>
      <c r="Y1388">
        <v>-0.1029388</v>
      </c>
      <c r="Z1388">
        <v>-4.8959980000000004E-3</v>
      </c>
      <c r="AA1388">
        <v>0.99467559999999999</v>
      </c>
      <c r="AB1388">
        <v>57</v>
      </c>
      <c r="AC1388">
        <v>-16.363</v>
      </c>
      <c r="AD1388">
        <v>-1.1027313051479899</v>
      </c>
      <c r="AE1388">
        <v>-1.36279999999999</v>
      </c>
      <c r="AF1388">
        <v>-1.74725653781582</v>
      </c>
      <c r="AG1388">
        <v>-1.1027313051479899</v>
      </c>
      <c r="AH1388">
        <v>16.252274006926701</v>
      </c>
      <c r="AI1388">
        <v>93.859448435275596</v>
      </c>
      <c r="AJ1388">
        <v>96.136211088021298</v>
      </c>
      <c r="AK1388">
        <v>16.383080666850201</v>
      </c>
      <c r="AL1388">
        <v>87.428552509516294</v>
      </c>
      <c r="AM1388">
        <v>95.298168064775595</v>
      </c>
      <c r="AN1388">
        <v>0.99999999514485904</v>
      </c>
    </row>
    <row r="1389" spans="1:40" x14ac:dyDescent="0.3">
      <c r="A1389" t="str">
        <f>"20200111153859182"</f>
        <v>20200111153859182</v>
      </c>
      <c r="B1389" t="str">
        <f>"1578728339171813"</f>
        <v>1578728339171813</v>
      </c>
      <c r="C1389" t="s">
        <v>40</v>
      </c>
      <c r="D1389">
        <v>5.0285460000000004</v>
      </c>
      <c r="E1389">
        <v>0.48659760000000002</v>
      </c>
      <c r="F1389" t="s">
        <v>55</v>
      </c>
      <c r="G1389">
        <v>-385.02659999999997</v>
      </c>
      <c r="H1389" s="1">
        <v>1.1381189999999901E-6</v>
      </c>
      <c r="I1389">
        <v>282.25330000000002</v>
      </c>
      <c r="J1389">
        <v>-368.37920000000003</v>
      </c>
      <c r="K1389">
        <v>1.1028020000000001</v>
      </c>
      <c r="L1389">
        <v>283.8775</v>
      </c>
      <c r="M1389">
        <v>-0.99958150000000001</v>
      </c>
      <c r="N1389">
        <v>0</v>
      </c>
      <c r="O1389">
        <v>2.4363699999999999E-2</v>
      </c>
      <c r="P1389">
        <v>-0.99722670000000002</v>
      </c>
      <c r="Q1389">
        <v>2.7895570000000001E-2</v>
      </c>
      <c r="R1389">
        <v>-6.8999669999999999E-2</v>
      </c>
      <c r="S1389">
        <v>-2.99472</v>
      </c>
      <c r="T1389">
        <v>-0.19204289999999999</v>
      </c>
      <c r="U1389">
        <v>-0.28054810000000002</v>
      </c>
      <c r="V1389">
        <v>-9.3180020000000002E-2</v>
      </c>
      <c r="W1389">
        <v>4.3631360000000001E-2</v>
      </c>
      <c r="X1389">
        <v>0.99469280000000004</v>
      </c>
      <c r="Y1389">
        <v>-0.1172168</v>
      </c>
      <c r="Z1389">
        <v>-5.3042489999999996E-3</v>
      </c>
      <c r="AA1389">
        <v>0.99309219999999998</v>
      </c>
      <c r="AB1389">
        <v>57</v>
      </c>
      <c r="AC1389">
        <v>-16.647399999999902</v>
      </c>
      <c r="AD1389">
        <v>-1.1028008618809999</v>
      </c>
      <c r="AE1389">
        <v>-1.6241999999999699</v>
      </c>
      <c r="AF1389">
        <v>-2.0205759636724698</v>
      </c>
      <c r="AG1389">
        <v>-1.1028008618809999</v>
      </c>
      <c r="AH1389">
        <v>16.531020967752401</v>
      </c>
      <c r="AI1389">
        <v>93.788491317521405</v>
      </c>
      <c r="AJ1389">
        <v>96.968659176205193</v>
      </c>
      <c r="AK1389">
        <v>16.690522795952301</v>
      </c>
      <c r="AL1389">
        <v>87.499313337428205</v>
      </c>
      <c r="AM1389">
        <v>95.351689288683005</v>
      </c>
      <c r="AN1389">
        <v>0.99999998903724496</v>
      </c>
    </row>
    <row r="1390" spans="1:40" x14ac:dyDescent="0.3">
      <c r="A1390" t="str">
        <f>"20200111153859204"</f>
        <v>20200111153859204</v>
      </c>
      <c r="B1390" t="str">
        <f>"1578728339202069"</f>
        <v>1578728339202069</v>
      </c>
      <c r="C1390" t="s">
        <v>40</v>
      </c>
      <c r="D1390">
        <v>5.0668810000000004</v>
      </c>
      <c r="E1390">
        <v>0.4860372</v>
      </c>
      <c r="F1390" t="s">
        <v>55</v>
      </c>
      <c r="G1390">
        <v>-385.24209999999999</v>
      </c>
      <c r="H1390" s="1">
        <v>1.2528169999999999E-6</v>
      </c>
      <c r="I1390">
        <v>282.20620000000002</v>
      </c>
      <c r="J1390">
        <v>-368.94659999999999</v>
      </c>
      <c r="K1390">
        <v>1.1028690000000001</v>
      </c>
      <c r="L1390">
        <v>283.89150000000001</v>
      </c>
      <c r="M1390">
        <v>-0.99957289999999999</v>
      </c>
      <c r="N1390">
        <v>0</v>
      </c>
      <c r="O1390">
        <v>2.471371E-2</v>
      </c>
      <c r="P1390">
        <v>-0.99725710000000001</v>
      </c>
      <c r="Q1390">
        <v>2.6559099999999999E-2</v>
      </c>
      <c r="R1390">
        <v>-6.9087469999999998E-2</v>
      </c>
      <c r="S1390">
        <v>-2.9933169999999998</v>
      </c>
      <c r="T1390">
        <v>-0.19575609999999999</v>
      </c>
      <c r="U1390">
        <v>-0.29666140000000002</v>
      </c>
      <c r="V1390">
        <v>-9.362753E-2</v>
      </c>
      <c r="W1390">
        <v>4.2275050000000002E-2</v>
      </c>
      <c r="X1390">
        <v>0.99470939999999997</v>
      </c>
      <c r="Y1390">
        <v>-0.122878399999999</v>
      </c>
      <c r="Z1390">
        <v>-5.6150490000000004E-3</v>
      </c>
      <c r="AA1390">
        <v>0.9924058</v>
      </c>
      <c r="AB1390">
        <v>57</v>
      </c>
      <c r="AC1390">
        <v>-16.295500000000001</v>
      </c>
      <c r="AD1390">
        <v>-1.102867747183</v>
      </c>
      <c r="AE1390">
        <v>-1.68529999999998</v>
      </c>
      <c r="AF1390">
        <v>-2.0781382386383802</v>
      </c>
      <c r="AG1390">
        <v>-1.102867747183</v>
      </c>
      <c r="AH1390">
        <v>16.1755587535778</v>
      </c>
      <c r="AI1390">
        <v>93.8687544869791</v>
      </c>
      <c r="AJ1390">
        <v>97.320913393211796</v>
      </c>
      <c r="AK1390">
        <v>16.345754090806501</v>
      </c>
      <c r="AL1390">
        <v>87.577096098954001</v>
      </c>
      <c r="AM1390">
        <v>95.377152009563304</v>
      </c>
      <c r="AN1390">
        <v>1.00000004233738</v>
      </c>
    </row>
    <row r="1391" spans="1:40" x14ac:dyDescent="0.3">
      <c r="A1391" t="str">
        <f>"20200111153859227"</f>
        <v>20200111153859227</v>
      </c>
      <c r="B1391" t="str">
        <f>"1578728339221590"</f>
        <v>1578728339221590</v>
      </c>
      <c r="C1391" t="s">
        <v>40</v>
      </c>
      <c r="D1391">
        <v>5.0826099999999999</v>
      </c>
      <c r="E1391">
        <v>0.48611720000000003</v>
      </c>
      <c r="F1391" t="s">
        <v>55</v>
      </c>
      <c r="G1391">
        <v>-385.72809999999998</v>
      </c>
      <c r="H1391" s="1">
        <v>1.5114470000000001E-6</v>
      </c>
      <c r="I1391">
        <v>282.19880000000001</v>
      </c>
      <c r="J1391">
        <v>-369.52710000000002</v>
      </c>
      <c r="K1391">
        <v>1.102935</v>
      </c>
      <c r="L1391">
        <v>283.90600000000001</v>
      </c>
      <c r="M1391">
        <v>-0.99956480000000003</v>
      </c>
      <c r="N1391">
        <v>0</v>
      </c>
      <c r="O1391">
        <v>2.5046100000000002E-2</v>
      </c>
      <c r="P1391">
        <v>-0.99723450000000002</v>
      </c>
      <c r="Q1391">
        <v>2.5140760000000002E-2</v>
      </c>
      <c r="R1391">
        <v>-6.9939020000000005E-2</v>
      </c>
      <c r="S1391">
        <v>-2.9925229999999998</v>
      </c>
      <c r="T1391">
        <v>-0.19666529999999999</v>
      </c>
      <c r="U1391">
        <v>-0.30184939999999999</v>
      </c>
      <c r="V1391">
        <v>-9.4818440000000004E-2</v>
      </c>
      <c r="W1391">
        <v>4.0839109999999998E-2</v>
      </c>
      <c r="X1391">
        <v>0.9946566</v>
      </c>
      <c r="Y1391">
        <v>-0.12492929999999999</v>
      </c>
      <c r="Z1391">
        <v>-5.7310080000000001E-3</v>
      </c>
      <c r="AA1391">
        <v>0.99214910000000001</v>
      </c>
      <c r="AB1391">
        <v>57</v>
      </c>
      <c r="AC1391">
        <v>-16.200999999999901</v>
      </c>
      <c r="AD1391">
        <v>-1.102933488553</v>
      </c>
      <c r="AE1391">
        <v>-1.7072000000000001</v>
      </c>
      <c r="AF1391">
        <v>-2.1028465904139599</v>
      </c>
      <c r="AG1391">
        <v>-1.102933488553</v>
      </c>
      <c r="AH1391">
        <v>16.079448704859701</v>
      </c>
      <c r="AI1391">
        <v>93.890899445382104</v>
      </c>
      <c r="AJ1391">
        <v>97.450772655871205</v>
      </c>
      <c r="AK1391">
        <v>16.2538332929559</v>
      </c>
      <c r="AL1391">
        <v>87.659440581985706</v>
      </c>
      <c r="AM1391">
        <v>95.445426324066005</v>
      </c>
      <c r="AN1391">
        <v>1.00000006069659</v>
      </c>
    </row>
    <row r="1392" spans="1:40" x14ac:dyDescent="0.3">
      <c r="A1392" t="str">
        <f>"20200111153859249"</f>
        <v>20200111153859249</v>
      </c>
      <c r="B1392" t="str">
        <f>"1578728339242088"</f>
        <v>1578728339242088</v>
      </c>
      <c r="C1392" t="s">
        <v>40</v>
      </c>
      <c r="D1392">
        <v>5.0560989999999997</v>
      </c>
      <c r="E1392">
        <v>0.4859676</v>
      </c>
      <c r="F1392" t="s">
        <v>55</v>
      </c>
      <c r="G1392">
        <v>-386.0462</v>
      </c>
      <c r="H1392" s="1">
        <v>1.680705E-6</v>
      </c>
      <c r="I1392">
        <v>282.22730000000001</v>
      </c>
      <c r="J1392">
        <v>-370.11020000000002</v>
      </c>
      <c r="K1392">
        <v>1.1029910000000001</v>
      </c>
      <c r="L1392">
        <v>283.92079999999999</v>
      </c>
      <c r="M1392">
        <v>-0.99955700000000003</v>
      </c>
      <c r="N1392">
        <v>0</v>
      </c>
      <c r="O1392">
        <v>2.5355119999999998E-2</v>
      </c>
      <c r="P1392">
        <v>-0.99715160000000003</v>
      </c>
      <c r="Q1392">
        <v>2.4807389999999999E-2</v>
      </c>
      <c r="R1392">
        <v>-7.1228029999999998E-2</v>
      </c>
      <c r="S1392">
        <v>-2.9920040000000001</v>
      </c>
      <c r="T1392">
        <v>-0.19976740000000001</v>
      </c>
      <c r="U1392">
        <v>-0.3040466</v>
      </c>
      <c r="V1392">
        <v>-9.6419469999999993E-2</v>
      </c>
      <c r="W1392">
        <v>4.0487009999999997E-2</v>
      </c>
      <c r="X1392">
        <v>0.99451699999999998</v>
      </c>
      <c r="Y1392">
        <v>-0.1259612</v>
      </c>
      <c r="Z1392">
        <v>-5.8768880000000003E-3</v>
      </c>
      <c r="AA1392">
        <v>0.9920177</v>
      </c>
      <c r="AB1392">
        <v>57</v>
      </c>
      <c r="AC1392">
        <v>-15.9359999999999</v>
      </c>
      <c r="AD1392">
        <v>-1.102989319295</v>
      </c>
      <c r="AE1392">
        <v>-1.69349999999997</v>
      </c>
      <c r="AF1392">
        <v>-2.0871766615030798</v>
      </c>
      <c r="AG1392">
        <v>-1.102989319295</v>
      </c>
      <c r="AH1392">
        <v>15.813024424143</v>
      </c>
      <c r="AI1392">
        <v>93.955830531686701</v>
      </c>
      <c r="AJ1392">
        <v>97.519062620150294</v>
      </c>
      <c r="AK1392">
        <v>15.988265487330001</v>
      </c>
      <c r="AL1392">
        <v>87.679630954711399</v>
      </c>
      <c r="AM1392">
        <v>95.537579239674599</v>
      </c>
      <c r="AN1392">
        <v>0.99999998773140997</v>
      </c>
    </row>
    <row r="1393" spans="1:40" x14ac:dyDescent="0.3">
      <c r="A1393" t="str">
        <f>"20200111153859272"</f>
        <v>20200111153859272</v>
      </c>
      <c r="B1393" t="str">
        <f>"1578728339261605"</f>
        <v>1578728339261605</v>
      </c>
      <c r="C1393" t="s">
        <v>40</v>
      </c>
      <c r="D1393">
        <v>5.1065490000000002</v>
      </c>
      <c r="E1393">
        <v>0.48606670000000002</v>
      </c>
      <c r="F1393" t="s">
        <v>55</v>
      </c>
      <c r="G1393">
        <v>-386.72160000000002</v>
      </c>
      <c r="H1393" s="1">
        <v>2.0401350000000001E-6</v>
      </c>
      <c r="I1393">
        <v>282.20150000000001</v>
      </c>
      <c r="J1393">
        <v>-370.67090000000002</v>
      </c>
      <c r="K1393">
        <v>1.1030530000000001</v>
      </c>
      <c r="L1393">
        <v>283.93509999999998</v>
      </c>
      <c r="M1393">
        <v>-0.9995501</v>
      </c>
      <c r="N1393">
        <v>0</v>
      </c>
      <c r="O1393">
        <v>2.562876E-2</v>
      </c>
      <c r="P1393">
        <v>-0.99701550000000005</v>
      </c>
      <c r="Q1393">
        <v>2.520331E-2</v>
      </c>
      <c r="R1393">
        <v>-7.2974209999999998E-2</v>
      </c>
      <c r="S1393">
        <v>-2.9913639999999999</v>
      </c>
      <c r="T1393">
        <v>-0.19862450000000001</v>
      </c>
      <c r="U1393">
        <v>-0.30960079999999901</v>
      </c>
      <c r="V1393">
        <v>-9.8438899999999996E-2</v>
      </c>
      <c r="W1393">
        <v>4.0865319999999997E-2</v>
      </c>
      <c r="X1393">
        <v>0.99430370000000001</v>
      </c>
      <c r="Y1393">
        <v>-0.12807499999999999</v>
      </c>
      <c r="Z1393">
        <v>-5.9320700000000002E-3</v>
      </c>
      <c r="AA1393">
        <v>0.99174669999999998</v>
      </c>
      <c r="AB1393">
        <v>57</v>
      </c>
      <c r="AC1393">
        <v>-16.050699999999999</v>
      </c>
      <c r="AD1393">
        <v>-1.103050959865</v>
      </c>
      <c r="AE1393">
        <v>-1.7335999999999601</v>
      </c>
      <c r="AF1393">
        <v>-2.1344753622339399</v>
      </c>
      <c r="AG1393">
        <v>-1.103050959865</v>
      </c>
      <c r="AH1393">
        <v>15.9266395212181</v>
      </c>
      <c r="AI1393">
        <v>93.926880680176893</v>
      </c>
      <c r="AJ1393">
        <v>97.633250301948095</v>
      </c>
      <c r="AK1393">
        <v>16.106848013527401</v>
      </c>
      <c r="AL1393">
        <v>87.657937508759403</v>
      </c>
      <c r="AM1393">
        <v>95.654020748521106</v>
      </c>
      <c r="AN1393">
        <v>1.0000000196228001</v>
      </c>
    </row>
    <row r="1394" spans="1:40" x14ac:dyDescent="0.3">
      <c r="A1394" t="str">
        <f>"20200111153859293"</f>
        <v>20200111153859293</v>
      </c>
      <c r="B1394" t="str">
        <f>"1578728339282101"</f>
        <v>1578728339282101</v>
      </c>
      <c r="C1394" t="s">
        <v>40</v>
      </c>
      <c r="D1394">
        <v>5.1012490000000001</v>
      </c>
      <c r="E1394">
        <v>0.48627789999999999</v>
      </c>
      <c r="F1394" t="s">
        <v>55</v>
      </c>
      <c r="G1394">
        <v>-387.55470000000003</v>
      </c>
      <c r="H1394" s="1">
        <v>2.4834670000000002E-6</v>
      </c>
      <c r="I1394">
        <v>282.16000000000003</v>
      </c>
      <c r="J1394">
        <v>-371.2253</v>
      </c>
      <c r="K1394">
        <v>1.1031169999999999</v>
      </c>
      <c r="L1394">
        <v>283.94940000000003</v>
      </c>
      <c r="M1394">
        <v>-0.99954379999999998</v>
      </c>
      <c r="N1394">
        <v>0</v>
      </c>
      <c r="O1394">
        <v>2.5874589999999999E-2</v>
      </c>
      <c r="P1394">
        <v>-0.99692550000000002</v>
      </c>
      <c r="Q1394">
        <v>2.5703259999999999E-2</v>
      </c>
      <c r="R1394">
        <v>-7.402098E-2</v>
      </c>
      <c r="S1394">
        <v>-2.990936</v>
      </c>
      <c r="T1394">
        <v>-0.1954034</v>
      </c>
      <c r="U1394">
        <v>-0.31445309999999999</v>
      </c>
      <c r="V1394">
        <v>-9.9732600000000005E-2</v>
      </c>
      <c r="W1394">
        <v>4.1348419999999997E-2</v>
      </c>
      <c r="X1394">
        <v>0.99415480000000001</v>
      </c>
      <c r="Y1394">
        <v>-0.1299312</v>
      </c>
      <c r="Z1394">
        <v>-5.9128319999999998E-3</v>
      </c>
      <c r="AA1394">
        <v>0.99150539999999998</v>
      </c>
      <c r="AB1394">
        <v>57</v>
      </c>
      <c r="AC1394">
        <v>-16.3294</v>
      </c>
      <c r="AD1394">
        <v>-1.1031145165330001</v>
      </c>
      <c r="AE1394">
        <v>-1.7894000000000001</v>
      </c>
      <c r="AF1394">
        <v>-2.2014414345790598</v>
      </c>
      <c r="AG1394">
        <v>-1.1031145165330001</v>
      </c>
      <c r="AH1394">
        <v>16.204553449765701</v>
      </c>
      <c r="AI1394">
        <v>93.859025077404198</v>
      </c>
      <c r="AJ1394">
        <v>97.736455559608004</v>
      </c>
      <c r="AK1394">
        <v>16.3905691948992</v>
      </c>
      <c r="AL1394">
        <v>87.630234514530002</v>
      </c>
      <c r="AM1394">
        <v>95.728688077496699</v>
      </c>
      <c r="AN1394">
        <v>1.00000002485114</v>
      </c>
    </row>
    <row r="1395" spans="1:40" x14ac:dyDescent="0.3">
      <c r="A1395" t="str">
        <f>"20200111153859316"</f>
        <v>20200111153859316</v>
      </c>
      <c r="B1395" t="str">
        <f>"1578728339312358"</f>
        <v>1578728339312358</v>
      </c>
      <c r="C1395" t="s">
        <v>40</v>
      </c>
      <c r="D1395">
        <v>5.0974629999999896</v>
      </c>
      <c r="E1395">
        <v>0.48644789999999999</v>
      </c>
      <c r="F1395" t="s">
        <v>55</v>
      </c>
      <c r="G1395">
        <v>-388.23610000000002</v>
      </c>
      <c r="H1395" s="1">
        <v>2.8460649999999998E-6</v>
      </c>
      <c r="I1395">
        <v>282.15359999999998</v>
      </c>
      <c r="J1395">
        <v>-371.78609999999998</v>
      </c>
      <c r="K1395">
        <v>1.103173</v>
      </c>
      <c r="L1395">
        <v>283.96409999999997</v>
      </c>
      <c r="M1395">
        <v>-0.99953809999999998</v>
      </c>
      <c r="N1395">
        <v>0</v>
      </c>
      <c r="O1395">
        <v>2.6095940000000001E-2</v>
      </c>
      <c r="P1395">
        <v>-0.99689329999999998</v>
      </c>
      <c r="Q1395">
        <v>2.5752489999999999E-2</v>
      </c>
      <c r="R1395">
        <v>-7.4436169999999996E-2</v>
      </c>
      <c r="S1395">
        <v>-2.9908139999999999</v>
      </c>
      <c r="T1395">
        <v>-0.19394790000000001</v>
      </c>
      <c r="U1395">
        <v>-0.31573489999999999</v>
      </c>
      <c r="V1395">
        <v>-0.1003724</v>
      </c>
      <c r="W1395">
        <v>4.138033E-2</v>
      </c>
      <c r="X1395">
        <v>0.99408909999999995</v>
      </c>
      <c r="Y1395">
        <v>-0.13057820000000001</v>
      </c>
      <c r="Z1395">
        <v>-5.9041950000000001E-3</v>
      </c>
      <c r="AA1395">
        <v>0.99142039999999998</v>
      </c>
      <c r="AB1395">
        <v>57</v>
      </c>
      <c r="AC1395">
        <v>-16.45</v>
      </c>
      <c r="AD1395">
        <v>-1.1031701539350001</v>
      </c>
      <c r="AE1395">
        <v>-1.81049999999999</v>
      </c>
      <c r="AF1395">
        <v>-2.2293076608984799</v>
      </c>
      <c r="AG1395">
        <v>-1.1031701539350001</v>
      </c>
      <c r="AH1395">
        <v>16.324605851570901</v>
      </c>
      <c r="AI1395">
        <v>93.830561381043097</v>
      </c>
      <c r="AJ1395">
        <v>97.7762782843959</v>
      </c>
      <c r="AK1395">
        <v>16.513011634605501</v>
      </c>
      <c r="AL1395">
        <v>87.628404686894697</v>
      </c>
      <c r="AM1395">
        <v>95.765570177202605</v>
      </c>
      <c r="AN1395">
        <v>1.00000004456573</v>
      </c>
    </row>
    <row r="1396" spans="1:40" x14ac:dyDescent="0.3">
      <c r="A1396" t="str">
        <f>"20200111153859339"</f>
        <v>20200111153859339</v>
      </c>
      <c r="B1396" t="str">
        <f>"1578728339331877"</f>
        <v>1578728339331877</v>
      </c>
      <c r="C1396" t="s">
        <v>40</v>
      </c>
      <c r="D1396">
        <v>5.0921979999999998</v>
      </c>
      <c r="E1396">
        <v>0.48657739999999999</v>
      </c>
      <c r="F1396" t="s">
        <v>55</v>
      </c>
      <c r="G1396">
        <v>-388.82409999999999</v>
      </c>
      <c r="H1396" s="1">
        <v>3.158934E-6</v>
      </c>
      <c r="I1396">
        <v>282.16590000000002</v>
      </c>
      <c r="J1396">
        <v>-372.3897</v>
      </c>
      <c r="K1396">
        <v>1.103232</v>
      </c>
      <c r="L1396">
        <v>283.97989999999999</v>
      </c>
      <c r="M1396">
        <v>-0.9995328</v>
      </c>
      <c r="N1396">
        <v>0</v>
      </c>
      <c r="O1396">
        <v>2.630362E-2</v>
      </c>
      <c r="P1396">
        <v>-0.99684830000000002</v>
      </c>
      <c r="Q1396">
        <v>2.58292E-2</v>
      </c>
      <c r="R1396">
        <v>-7.5009329999999999E-2</v>
      </c>
      <c r="S1396">
        <v>-2.9907840000000001</v>
      </c>
      <c r="T1396">
        <v>-0.1936467</v>
      </c>
      <c r="U1396">
        <v>-0.31564330000000002</v>
      </c>
      <c r="V1396">
        <v>-0.1011562</v>
      </c>
      <c r="W1396">
        <v>4.1437990000000001E-2</v>
      </c>
      <c r="X1396">
        <v>0.99400719999999998</v>
      </c>
      <c r="Y1396">
        <v>-0.1307555</v>
      </c>
      <c r="Z1396">
        <v>-5.9142329999999996E-3</v>
      </c>
      <c r="AA1396">
        <v>0.99139699999999997</v>
      </c>
      <c r="AB1396">
        <v>57</v>
      </c>
      <c r="AC1396">
        <v>-16.434399999999901</v>
      </c>
      <c r="AD1396">
        <v>-1.1032288410660001</v>
      </c>
      <c r="AE1396">
        <v>-1.8139999999999601</v>
      </c>
      <c r="AF1396">
        <v>-2.2357550060410998</v>
      </c>
      <c r="AG1396">
        <v>-1.1032288410660001</v>
      </c>
      <c r="AH1396">
        <v>16.308385306740099</v>
      </c>
      <c r="AI1396">
        <v>93.834290585317902</v>
      </c>
      <c r="AJ1396">
        <v>97.806152499528906</v>
      </c>
      <c r="AK1396">
        <v>16.497852758340901</v>
      </c>
      <c r="AL1396">
        <v>87.625098067400003</v>
      </c>
      <c r="AM1396">
        <v>95.8107616532848</v>
      </c>
      <c r="AN1396">
        <v>0.99999999873275902</v>
      </c>
    </row>
    <row r="1397" spans="1:40" x14ac:dyDescent="0.3">
      <c r="A1397" t="str">
        <f>"20200111153859362"</f>
        <v>20200111153859362</v>
      </c>
      <c r="B1397" t="str">
        <f>"1578728339352373"</f>
        <v>1578728339352373</v>
      </c>
      <c r="C1397" t="s">
        <v>40</v>
      </c>
      <c r="D1397">
        <v>5.1332250000000004</v>
      </c>
      <c r="E1397">
        <v>0.48658489999999999</v>
      </c>
      <c r="F1397" t="s">
        <v>55</v>
      </c>
      <c r="G1397">
        <v>-389.4787</v>
      </c>
      <c r="H1397" s="1">
        <v>3.507306E-6</v>
      </c>
      <c r="I1397">
        <v>282.17320000000001</v>
      </c>
      <c r="J1397">
        <v>-372.9545</v>
      </c>
      <c r="K1397">
        <v>1.1032869999999999</v>
      </c>
      <c r="L1397">
        <v>283.99489999999997</v>
      </c>
      <c r="M1397">
        <v>-0.99952830000000004</v>
      </c>
      <c r="N1397">
        <v>0</v>
      </c>
      <c r="O1397">
        <v>2.6476E-2</v>
      </c>
      <c r="P1397">
        <v>-0.99685729999999995</v>
      </c>
      <c r="Q1397">
        <v>2.6006339999999999E-2</v>
      </c>
      <c r="R1397">
        <v>-7.4828820000000004E-2</v>
      </c>
      <c r="S1397">
        <v>-2.9906920000000001</v>
      </c>
      <c r="T1397">
        <v>-0.19307270000000001</v>
      </c>
      <c r="U1397">
        <v>-0.31619259999999999</v>
      </c>
      <c r="V1397">
        <v>-0.1011522</v>
      </c>
      <c r="W1397">
        <v>4.1599490000000003E-2</v>
      </c>
      <c r="X1397">
        <v>0.99400089999999997</v>
      </c>
      <c r="Y1397">
        <v>-0.13111049999999999</v>
      </c>
      <c r="Z1397">
        <v>-5.9193719999999896E-3</v>
      </c>
      <c r="AA1397">
        <v>0.99135010000000001</v>
      </c>
      <c r="AB1397">
        <v>57</v>
      </c>
      <c r="AC1397">
        <v>-16.5242</v>
      </c>
      <c r="AD1397">
        <v>-1.1032834926940001</v>
      </c>
      <c r="AE1397">
        <v>-1.8216999999999599</v>
      </c>
      <c r="AF1397">
        <v>-2.24870475908696</v>
      </c>
      <c r="AG1397">
        <v>-1.1032834926940001</v>
      </c>
      <c r="AH1397">
        <v>16.3979457291885</v>
      </c>
      <c r="AI1397">
        <v>93.813578243928305</v>
      </c>
      <c r="AJ1397">
        <v>97.808456178145903</v>
      </c>
      <c r="AK1397">
        <v>16.588144311411099</v>
      </c>
      <c r="AL1397">
        <v>87.6158369049284</v>
      </c>
      <c r="AM1397">
        <v>95.810570026981395</v>
      </c>
      <c r="AN1397">
        <v>1.00000003716695</v>
      </c>
    </row>
    <row r="1398" spans="1:40" x14ac:dyDescent="0.3">
      <c r="A1398" t="str">
        <f>"20200111153859383"</f>
        <v>20200111153859383</v>
      </c>
      <c r="B1398" t="str">
        <f>"1578728339371893"</f>
        <v>1578728339371893</v>
      </c>
      <c r="C1398" t="s">
        <v>40</v>
      </c>
      <c r="D1398">
        <v>5.1269109999999998</v>
      </c>
      <c r="E1398">
        <v>0.48659520000000001</v>
      </c>
      <c r="F1398" t="s">
        <v>55</v>
      </c>
      <c r="G1398">
        <v>-390.23489999999998</v>
      </c>
      <c r="H1398" s="1">
        <v>-1.411778E-6</v>
      </c>
      <c r="I1398">
        <v>282.17169999999999</v>
      </c>
      <c r="J1398">
        <v>-373.49810000000002</v>
      </c>
      <c r="K1398">
        <v>1.1033329999999999</v>
      </c>
      <c r="L1398">
        <v>284.00940000000003</v>
      </c>
      <c r="M1398">
        <v>-0.99952439999999998</v>
      </c>
      <c r="N1398">
        <v>0</v>
      </c>
      <c r="O1398">
        <v>2.662395E-2</v>
      </c>
      <c r="P1398">
        <v>-0.99687760000000003</v>
      </c>
      <c r="Q1398">
        <v>2.593167E-2</v>
      </c>
      <c r="R1398">
        <v>-7.458563E-2</v>
      </c>
      <c r="S1398">
        <v>-2.9907840000000001</v>
      </c>
      <c r="T1398">
        <v>-0.1909496</v>
      </c>
      <c r="U1398">
        <v>-0.31555179999999999</v>
      </c>
      <c r="V1398">
        <v>-0.1010611</v>
      </c>
      <c r="W1398">
        <v>4.1510400000000003E-2</v>
      </c>
      <c r="X1398">
        <v>0.99401379999999995</v>
      </c>
      <c r="Y1398">
        <v>-0.1310509</v>
      </c>
      <c r="Z1398">
        <v>-5.8618180000000004E-3</v>
      </c>
      <c r="AA1398">
        <v>0.99135830000000003</v>
      </c>
      <c r="AB1398">
        <v>57</v>
      </c>
      <c r="AC1398">
        <v>-16.736799999999899</v>
      </c>
      <c r="AD1398">
        <v>-1.103334411778</v>
      </c>
      <c r="AE1398">
        <v>-1.8377000000000401</v>
      </c>
      <c r="AF1398">
        <v>-2.2729420209931699</v>
      </c>
      <c r="AG1398">
        <v>-1.103334411778</v>
      </c>
      <c r="AH1398">
        <v>16.6106065244714</v>
      </c>
      <c r="AI1398">
        <v>93.765218383055299</v>
      </c>
      <c r="AJ1398">
        <v>97.7917789449872</v>
      </c>
      <c r="AK1398">
        <v>16.8016624583945</v>
      </c>
      <c r="AL1398">
        <v>87.620945583860404</v>
      </c>
      <c r="AM1398">
        <v>95.805297827271403</v>
      </c>
      <c r="AN1398">
        <v>0.99999994691590299</v>
      </c>
    </row>
    <row r="1399" spans="1:40" x14ac:dyDescent="0.3">
      <c r="A1399" t="str">
        <f>"20200111153859406"</f>
        <v>20200111153859406</v>
      </c>
      <c r="B1399" t="str">
        <f>"1578728339402150"</f>
        <v>1578728339402150</v>
      </c>
      <c r="C1399" t="s">
        <v>40</v>
      </c>
      <c r="D1399">
        <v>5.1238099999999998</v>
      </c>
      <c r="E1399">
        <v>0.48666920000000002</v>
      </c>
      <c r="F1399" t="s">
        <v>55</v>
      </c>
      <c r="G1399">
        <v>-390.77589999999998</v>
      </c>
      <c r="H1399" s="1">
        <v>-1.1238769999999999E-6</v>
      </c>
      <c r="I1399">
        <v>282.1902</v>
      </c>
      <c r="J1399">
        <v>-374.06729999999999</v>
      </c>
      <c r="K1399">
        <v>1.1033790000000001</v>
      </c>
      <c r="L1399">
        <v>284.02460000000002</v>
      </c>
      <c r="M1399">
        <v>-0.99952079999999999</v>
      </c>
      <c r="N1399">
        <v>0</v>
      </c>
      <c r="O1399">
        <v>2.6761199999999999E-2</v>
      </c>
      <c r="P1399">
        <v>-0.99689879999999997</v>
      </c>
      <c r="Q1399">
        <v>2.5847740000000001E-2</v>
      </c>
      <c r="R1399">
        <v>-7.4328089999999999E-2</v>
      </c>
      <c r="S1399">
        <v>-2.9908450000000002</v>
      </c>
      <c r="T1399">
        <v>-0.19099060000000001</v>
      </c>
      <c r="U1399">
        <v>-0.31491089999999999</v>
      </c>
      <c r="V1399">
        <v>-0.1009449</v>
      </c>
      <c r="W1399">
        <v>4.1413209999999999E-2</v>
      </c>
      <c r="X1399">
        <v>0.99402970000000002</v>
      </c>
      <c r="Y1399">
        <v>-0.1309746</v>
      </c>
      <c r="Z1399">
        <v>-5.8693290000000004E-3</v>
      </c>
      <c r="AA1399">
        <v>0.99136840000000004</v>
      </c>
      <c r="AB1399">
        <v>57</v>
      </c>
      <c r="AC1399">
        <v>-16.708599999999901</v>
      </c>
      <c r="AD1399">
        <v>-1.103380123877</v>
      </c>
      <c r="AE1399">
        <v>-1.83440000000001</v>
      </c>
      <c r="AF1399">
        <v>-2.2711529826313899</v>
      </c>
      <c r="AG1399">
        <v>-1.103380123877</v>
      </c>
      <c r="AH1399">
        <v>16.58206723292</v>
      </c>
      <c r="AI1399">
        <v>93.771771302300905</v>
      </c>
      <c r="AJ1399">
        <v>97.798956454932807</v>
      </c>
      <c r="AK1399">
        <v>16.773208914377701</v>
      </c>
      <c r="AL1399">
        <v>87.626519045532206</v>
      </c>
      <c r="AM1399">
        <v>95.798576290124402</v>
      </c>
      <c r="AN1399">
        <v>0.99999998564030201</v>
      </c>
    </row>
    <row r="1400" spans="1:40" x14ac:dyDescent="0.3">
      <c r="A1400" t="str">
        <f>"20200111153859429"</f>
        <v>20200111153859429</v>
      </c>
      <c r="B1400" t="str">
        <f>"1578728339421669"</f>
        <v>1578728339421669</v>
      </c>
      <c r="C1400" t="s">
        <v>40</v>
      </c>
      <c r="D1400">
        <v>5.0912559999999996</v>
      </c>
      <c r="E1400">
        <v>0.4866374</v>
      </c>
      <c r="F1400" t="s">
        <v>55</v>
      </c>
      <c r="G1400">
        <v>-391.38549999999998</v>
      </c>
      <c r="H1400" s="1">
        <v>-7.9951889999999998E-7</v>
      </c>
      <c r="I1400">
        <v>282.2079</v>
      </c>
      <c r="J1400">
        <v>-374.6585</v>
      </c>
      <c r="K1400">
        <v>1.103429</v>
      </c>
      <c r="L1400">
        <v>284.04050000000001</v>
      </c>
      <c r="M1400">
        <v>-0.9995174</v>
      </c>
      <c r="N1400">
        <v>0</v>
      </c>
      <c r="O1400">
        <v>2.688656E-2</v>
      </c>
      <c r="P1400">
        <v>-0.99692340000000002</v>
      </c>
      <c r="Q1400">
        <v>2.5580240000000001E-2</v>
      </c>
      <c r="R1400">
        <v>-7.4089390000000005E-2</v>
      </c>
      <c r="S1400">
        <v>-2.9908450000000002</v>
      </c>
      <c r="T1400">
        <v>-0.19055349999999999</v>
      </c>
      <c r="U1400">
        <v>-0.31375120000000001</v>
      </c>
      <c r="V1400">
        <v>-0.1008361</v>
      </c>
      <c r="W1400">
        <v>4.1132120000000001E-2</v>
      </c>
      <c r="X1400">
        <v>0.99405239999999995</v>
      </c>
      <c r="Y1400">
        <v>-0.13072039999999999</v>
      </c>
      <c r="Z1400">
        <v>-5.855936E-3</v>
      </c>
      <c r="AA1400">
        <v>0.99140200000000001</v>
      </c>
      <c r="AB1400">
        <v>57</v>
      </c>
      <c r="AC1400">
        <v>-16.726999999999901</v>
      </c>
      <c r="AD1400">
        <v>-1.1034297995189</v>
      </c>
      <c r="AE1400">
        <v>-1.83260000000001</v>
      </c>
      <c r="AF1400">
        <v>-2.2719538054496802</v>
      </c>
      <c r="AG1400">
        <v>-1.1034297995189</v>
      </c>
      <c r="AH1400">
        <v>16.6002915651016</v>
      </c>
      <c r="AI1400">
        <v>93.767863162746593</v>
      </c>
      <c r="AJ1400">
        <v>97.793212934871093</v>
      </c>
      <c r="AK1400">
        <v>16.791337393517701</v>
      </c>
      <c r="AL1400">
        <v>87.642638019340197</v>
      </c>
      <c r="AM1400">
        <v>95.792237638611596</v>
      </c>
      <c r="AN1400">
        <v>0.99999997215233105</v>
      </c>
    </row>
    <row r="1401" spans="1:40" x14ac:dyDescent="0.3">
      <c r="A1401" t="str">
        <f>"20200111153859450"</f>
        <v>20200111153859450</v>
      </c>
      <c r="B1401" t="str">
        <f>"1578728339442168"</f>
        <v>1578728339442168</v>
      </c>
      <c r="C1401" t="s">
        <v>40</v>
      </c>
      <c r="D1401">
        <v>5.1451149999999997</v>
      </c>
      <c r="E1401">
        <v>0.47619020000000001</v>
      </c>
      <c r="F1401" t="s">
        <v>55</v>
      </c>
      <c r="G1401">
        <v>-391.95179999999999</v>
      </c>
      <c r="H1401" s="1">
        <v>-4.9814409999999898E-7</v>
      </c>
      <c r="I1401">
        <v>282.22809999999998</v>
      </c>
      <c r="J1401">
        <v>-375.21210000000002</v>
      </c>
      <c r="K1401">
        <v>1.103464</v>
      </c>
      <c r="L1401">
        <v>284.05549999999999</v>
      </c>
      <c r="M1401">
        <v>-0.99951489999999998</v>
      </c>
      <c r="N1401">
        <v>0</v>
      </c>
      <c r="O1401">
        <v>2.6987440000000001E-2</v>
      </c>
      <c r="P1401">
        <v>-0.99696309999999999</v>
      </c>
      <c r="Q1401">
        <v>2.5469519999999999E-2</v>
      </c>
      <c r="R1401">
        <v>-7.3595720000000003E-2</v>
      </c>
      <c r="S1401">
        <v>-2.990875</v>
      </c>
      <c r="T1401">
        <v>-0.1908379</v>
      </c>
      <c r="U1401">
        <v>-0.313446</v>
      </c>
      <c r="V1401">
        <v>-0.10044690000000001</v>
      </c>
      <c r="W1401">
        <v>4.1009669999999998E-2</v>
      </c>
      <c r="X1401">
        <v>0.99409689999999995</v>
      </c>
      <c r="Y1401">
        <v>-0.13071820000000001</v>
      </c>
      <c r="Z1401">
        <v>-5.8709729999999998E-3</v>
      </c>
      <c r="AA1401">
        <v>0.99140209999999995</v>
      </c>
      <c r="AB1401">
        <v>57</v>
      </c>
      <c r="AC1401">
        <v>-16.7396999999999</v>
      </c>
      <c r="AD1401">
        <v>-1.1034644981441</v>
      </c>
      <c r="AE1401">
        <v>-1.8274000000000099</v>
      </c>
      <c r="AF1401">
        <v>-2.2688079077190002</v>
      </c>
      <c r="AG1401">
        <v>-1.1034644981441</v>
      </c>
      <c r="AH1401">
        <v>16.612940332134599</v>
      </c>
      <c r="AI1401">
        <v>93.765268612271001</v>
      </c>
      <c r="AJ1401">
        <v>97.776701316618897</v>
      </c>
      <c r="AK1401">
        <v>16.803419583520999</v>
      </c>
      <c r="AL1401">
        <v>87.649659900718206</v>
      </c>
      <c r="AM1401">
        <v>95.769775761668498</v>
      </c>
      <c r="AN1401">
        <v>1.0000000096713599</v>
      </c>
    </row>
    <row r="1402" spans="1:40" x14ac:dyDescent="0.3">
      <c r="A1402" t="str">
        <f>"20200111153859473"</f>
        <v>20200111153859473</v>
      </c>
      <c r="B1402" t="str">
        <f>"1578728339461685"</f>
        <v>1578728339461685</v>
      </c>
      <c r="C1402" t="s">
        <v>40</v>
      </c>
      <c r="D1402">
        <v>5.0812290000000004</v>
      </c>
      <c r="E1402">
        <v>0.4761939</v>
      </c>
      <c r="F1402" t="s">
        <v>55</v>
      </c>
      <c r="G1402">
        <v>-392.92349999999999</v>
      </c>
      <c r="H1402" s="1">
        <v>1.8965010000000001E-8</v>
      </c>
      <c r="I1402">
        <v>281.70870000000002</v>
      </c>
      <c r="J1402">
        <v>-375.77480000000003</v>
      </c>
      <c r="K1402">
        <v>1.1035029999999999</v>
      </c>
      <c r="L1402">
        <v>284.07069999999999</v>
      </c>
      <c r="M1402">
        <v>-0.99951270000000003</v>
      </c>
      <c r="N1402">
        <v>0</v>
      </c>
      <c r="O1402">
        <v>2.707151E-2</v>
      </c>
      <c r="P1402">
        <v>-0.99701019999999896</v>
      </c>
      <c r="Q1402">
        <v>2.5549329999999999E-2</v>
      </c>
      <c r="R1402">
        <v>-7.2927720000000001E-2</v>
      </c>
      <c r="S1402">
        <v>-2.9847410000000001</v>
      </c>
      <c r="T1402">
        <v>-0.1859565</v>
      </c>
      <c r="U1402">
        <v>-0.39547729999999998</v>
      </c>
      <c r="V1402">
        <v>-9.9867410000000004E-2</v>
      </c>
      <c r="W1402">
        <v>4.1077809999999999E-2</v>
      </c>
      <c r="X1402">
        <v>0.99415249999999999</v>
      </c>
      <c r="Y1402">
        <v>-0.15779119999999999</v>
      </c>
      <c r="Z1402">
        <v>-6.5677909999999999E-3</v>
      </c>
      <c r="AA1402">
        <v>0.98745070000000001</v>
      </c>
      <c r="AB1402">
        <v>57</v>
      </c>
      <c r="AC1402">
        <v>-17.148699999999899</v>
      </c>
      <c r="AD1402">
        <v>-1.1035029810349899</v>
      </c>
      <c r="AE1402">
        <v>-2.3619999999999601</v>
      </c>
      <c r="AF1402">
        <v>-2.81399612367415</v>
      </c>
      <c r="AG1402">
        <v>-1.1035029810349899</v>
      </c>
      <c r="AH1402">
        <v>17.009341821033502</v>
      </c>
      <c r="AI1402">
        <v>93.662294030554193</v>
      </c>
      <c r="AJ1402">
        <v>99.393828994711996</v>
      </c>
      <c r="AK1402">
        <v>17.275821317609399</v>
      </c>
      <c r="AL1402">
        <v>87.645752544378098</v>
      </c>
      <c r="AM1402">
        <v>95.736393202725395</v>
      </c>
      <c r="AN1402">
        <v>1.0000000396553701</v>
      </c>
    </row>
    <row r="1403" spans="1:40" x14ac:dyDescent="0.3">
      <c r="A1403" t="str">
        <f>"20200111153859495"</f>
        <v>20200111153859495</v>
      </c>
      <c r="B1403" t="str">
        <f>"1578728339491942"</f>
        <v>1578728339491942</v>
      </c>
      <c r="C1403" t="s">
        <v>40</v>
      </c>
      <c r="D1403">
        <v>5.092327</v>
      </c>
      <c r="E1403">
        <v>0.47571869999999999</v>
      </c>
      <c r="F1403" t="s">
        <v>55</v>
      </c>
      <c r="G1403">
        <v>-393.2919</v>
      </c>
      <c r="H1403" s="1">
        <v>2.149994E-7</v>
      </c>
      <c r="I1403">
        <v>281.76249999999999</v>
      </c>
      <c r="J1403">
        <v>-376.33249999999998</v>
      </c>
      <c r="K1403">
        <v>1.103556</v>
      </c>
      <c r="L1403">
        <v>284.08580000000001</v>
      </c>
      <c r="M1403">
        <v>-0.99951100000000004</v>
      </c>
      <c r="N1403">
        <v>0</v>
      </c>
      <c r="O1403">
        <v>2.7136779999999999E-2</v>
      </c>
      <c r="P1403">
        <v>-0.99707809999999997</v>
      </c>
      <c r="Q1403">
        <v>2.5254059999999998E-2</v>
      </c>
      <c r="R1403">
        <v>-7.2095419999999993E-2</v>
      </c>
      <c r="S1403">
        <v>-2.9850159999999999</v>
      </c>
      <c r="T1403">
        <v>-0.18804299999999999</v>
      </c>
      <c r="U1403">
        <v>-0.3933411</v>
      </c>
      <c r="V1403">
        <v>-9.9105869999999999E-2</v>
      </c>
      <c r="W1403">
        <v>4.0771450000000001E-2</v>
      </c>
      <c r="X1403">
        <v>0.99424129999999999</v>
      </c>
      <c r="Y1403">
        <v>-0.15714249999999999</v>
      </c>
      <c r="Z1403">
        <v>-6.6248100000000001E-3</v>
      </c>
      <c r="AA1403">
        <v>0.98755369999999998</v>
      </c>
      <c r="AB1403">
        <v>57</v>
      </c>
      <c r="AC1403">
        <v>-16.959399999999999</v>
      </c>
      <c r="AD1403">
        <v>-1.1035557850005999</v>
      </c>
      <c r="AE1403">
        <v>-2.3233000000000099</v>
      </c>
      <c r="AF1403">
        <v>-2.7712056571996602</v>
      </c>
      <c r="AG1403">
        <v>-1.1035557850005999</v>
      </c>
      <c r="AH1403">
        <v>16.820190860378801</v>
      </c>
      <c r="AI1403">
        <v>93.703946749975898</v>
      </c>
      <c r="AJ1403">
        <v>99.355702923827195</v>
      </c>
      <c r="AK1403">
        <v>17.082629678848399</v>
      </c>
      <c r="AL1403">
        <v>87.663320358965507</v>
      </c>
      <c r="AM1403">
        <v>95.692433579754095</v>
      </c>
      <c r="AN1403">
        <v>1.00000002361462</v>
      </c>
    </row>
    <row r="1404" spans="1:40" x14ac:dyDescent="0.3">
      <c r="A1404" t="str">
        <f>"20200111153859517"</f>
        <v>20200111153859517</v>
      </c>
      <c r="B1404" t="str">
        <f>"1578728339512437"</f>
        <v>1578728339512437</v>
      </c>
      <c r="C1404" t="s">
        <v>40</v>
      </c>
      <c r="D1404">
        <v>5.1076370000000004</v>
      </c>
      <c r="E1404">
        <v>0.47567779999999998</v>
      </c>
      <c r="F1404" t="s">
        <v>55</v>
      </c>
      <c r="G1404">
        <v>-393.80689999999998</v>
      </c>
      <c r="H1404" s="1">
        <v>4.8906040000000003E-7</v>
      </c>
      <c r="I1404">
        <v>281.77659999999997</v>
      </c>
      <c r="J1404">
        <v>-376.89729999999997</v>
      </c>
      <c r="K1404">
        <v>1.103634</v>
      </c>
      <c r="L1404">
        <v>284.10120000000001</v>
      </c>
      <c r="M1404">
        <v>-0.9995096</v>
      </c>
      <c r="N1404">
        <v>0</v>
      </c>
      <c r="O1404">
        <v>2.718564E-2</v>
      </c>
      <c r="P1404">
        <v>-0.99710350000000003</v>
      </c>
      <c r="Q1404">
        <v>2.4444529999999999E-2</v>
      </c>
      <c r="R1404">
        <v>-7.2019130000000001E-2</v>
      </c>
      <c r="S1404">
        <v>-2.9850460000000001</v>
      </c>
      <c r="T1404">
        <v>-0.18851309999999999</v>
      </c>
      <c r="U1404">
        <v>-0.39447019999999999</v>
      </c>
      <c r="V1404">
        <v>-9.9083089999999999E-2</v>
      </c>
      <c r="W1404">
        <v>3.9950050000000001E-2</v>
      </c>
      <c r="X1404">
        <v>0.99427690000000002</v>
      </c>
      <c r="Y1404">
        <v>-0.1575539</v>
      </c>
      <c r="Z1404">
        <v>-6.657105E-3</v>
      </c>
      <c r="AA1404">
        <v>0.98748800000000003</v>
      </c>
      <c r="AB1404">
        <v>57</v>
      </c>
      <c r="AC1404">
        <v>-16.909600000000001</v>
      </c>
      <c r="AD1404">
        <v>-1.1036335109396</v>
      </c>
      <c r="AE1404">
        <v>-2.32460000000003</v>
      </c>
      <c r="AF1404">
        <v>-2.7719058522798901</v>
      </c>
      <c r="AG1404">
        <v>-1.1036335109396</v>
      </c>
      <c r="AH1404">
        <v>16.770034382030499</v>
      </c>
      <c r="AI1404">
        <v>93.714936494847393</v>
      </c>
      <c r="AJ1404">
        <v>99.385516074572195</v>
      </c>
      <c r="AK1404">
        <v>17.033364968638999</v>
      </c>
      <c r="AL1404">
        <v>87.710421459525094</v>
      </c>
      <c r="AM1404">
        <v>95.690931301547195</v>
      </c>
      <c r="AN1404">
        <v>1.00000000954628</v>
      </c>
    </row>
    <row r="1405" spans="1:40" x14ac:dyDescent="0.3">
      <c r="A1405" t="str">
        <f>"20200111153859539"</f>
        <v>20200111153859539</v>
      </c>
      <c r="B1405" t="str">
        <f>"1578728339531957"</f>
        <v>1578728339531957</v>
      </c>
      <c r="C1405" t="s">
        <v>40</v>
      </c>
      <c r="D1405">
        <v>5.1174410000000004</v>
      </c>
      <c r="E1405">
        <v>0.47544049999999999</v>
      </c>
      <c r="F1405" t="s">
        <v>55</v>
      </c>
      <c r="G1405">
        <v>-393.98509999999999</v>
      </c>
      <c r="H1405" s="1">
        <v>5.8387890000000004E-7</v>
      </c>
      <c r="I1405">
        <v>281.84370000000001</v>
      </c>
      <c r="J1405">
        <v>-377.4665</v>
      </c>
      <c r="K1405">
        <v>1.1037189999999999</v>
      </c>
      <c r="L1405">
        <v>284.11669999999998</v>
      </c>
      <c r="M1405">
        <v>-0.99950859999999997</v>
      </c>
      <c r="N1405">
        <v>0</v>
      </c>
      <c r="O1405">
        <v>2.722316E-2</v>
      </c>
      <c r="P1405">
        <v>-0.99711139999999998</v>
      </c>
      <c r="Q1405">
        <v>2.4896669999999999E-2</v>
      </c>
      <c r="R1405">
        <v>-7.1755799999999995E-2</v>
      </c>
      <c r="S1405">
        <v>-2.9849549999999998</v>
      </c>
      <c r="T1405">
        <v>-0.19278690000000001</v>
      </c>
      <c r="U1405">
        <v>-0.39434809999999998</v>
      </c>
      <c r="V1405">
        <v>-9.8859929999999999E-2</v>
      </c>
      <c r="W1405">
        <v>4.0391249999999997E-2</v>
      </c>
      <c r="X1405">
        <v>0.99428130000000003</v>
      </c>
      <c r="Y1405">
        <v>-0.1575386</v>
      </c>
      <c r="Z1405">
        <v>-6.8098669999999998E-3</v>
      </c>
      <c r="AA1405">
        <v>0.98748930000000001</v>
      </c>
      <c r="AB1405">
        <v>57</v>
      </c>
      <c r="AC1405">
        <v>-16.5185999999999</v>
      </c>
      <c r="AD1405">
        <v>-1.1037184161211</v>
      </c>
      <c r="AE1405">
        <v>-2.2729999999999602</v>
      </c>
      <c r="AF1405">
        <v>-2.7100261625316802</v>
      </c>
      <c r="AG1405">
        <v>-1.1037184161211</v>
      </c>
      <c r="AH1405">
        <v>16.378826698889402</v>
      </c>
      <c r="AI1405">
        <v>93.803598232209296</v>
      </c>
      <c r="AJ1405">
        <v>99.394991349239703</v>
      </c>
      <c r="AK1405">
        <v>16.6381609613546</v>
      </c>
      <c r="AL1405">
        <v>87.685122167833399</v>
      </c>
      <c r="AM1405">
        <v>95.678172784166307</v>
      </c>
      <c r="AN1405">
        <v>1.0000000211829201</v>
      </c>
    </row>
    <row r="1406" spans="1:40" x14ac:dyDescent="0.3">
      <c r="A1406" t="str">
        <f>"20200111153859561"</f>
        <v>20200111153859561</v>
      </c>
      <c r="B1406" t="str">
        <f>"1578728339551477"</f>
        <v>1578728339551477</v>
      </c>
      <c r="C1406" t="s">
        <v>40</v>
      </c>
      <c r="D1406">
        <v>5.106725</v>
      </c>
      <c r="E1406">
        <v>0.47521330000000001</v>
      </c>
      <c r="F1406" t="s">
        <v>55</v>
      </c>
      <c r="G1406">
        <v>-394.76819999999998</v>
      </c>
      <c r="H1406" s="1">
        <v>1.000585E-6</v>
      </c>
      <c r="I1406">
        <v>281.82389999999998</v>
      </c>
      <c r="J1406">
        <v>-378.0127</v>
      </c>
      <c r="K1406">
        <v>1.1038019999999999</v>
      </c>
      <c r="L1406">
        <v>284.13159999999999</v>
      </c>
      <c r="M1406">
        <v>-0.99950810000000001</v>
      </c>
      <c r="N1406">
        <v>0</v>
      </c>
      <c r="O1406">
        <v>2.7246490000000002E-2</v>
      </c>
      <c r="P1406">
        <v>-0.99711179999999999</v>
      </c>
      <c r="Q1406">
        <v>2.614855E-2</v>
      </c>
      <c r="R1406">
        <v>-7.130338E-2</v>
      </c>
      <c r="S1406">
        <v>-2.9850159999999999</v>
      </c>
      <c r="T1406">
        <v>-0.19042220000000001</v>
      </c>
      <c r="U1406">
        <v>-0.3955688</v>
      </c>
      <c r="V1406">
        <v>-9.8432469999999994E-2</v>
      </c>
      <c r="W1406">
        <v>4.1632849999999999E-2</v>
      </c>
      <c r="X1406">
        <v>0.9942725</v>
      </c>
      <c r="Y1406">
        <v>-0.1579642</v>
      </c>
      <c r="Z1406">
        <v>-6.7411769999999897E-3</v>
      </c>
      <c r="AA1406">
        <v>0.98742180000000002</v>
      </c>
      <c r="AB1406">
        <v>57</v>
      </c>
      <c r="AC1406">
        <v>-16.755499999999898</v>
      </c>
      <c r="AD1406">
        <v>-1.103800999415</v>
      </c>
      <c r="AE1406">
        <v>-2.3077000000000099</v>
      </c>
      <c r="AF1406">
        <v>-2.7517072048426501</v>
      </c>
      <c r="AG1406">
        <v>-1.103800999415</v>
      </c>
      <c r="AH1406">
        <v>16.615627972104701</v>
      </c>
      <c r="AI1406">
        <v>93.749735268536796</v>
      </c>
      <c r="AJ1406">
        <v>99.403382573359295</v>
      </c>
      <c r="AK1406">
        <v>16.8780734118228</v>
      </c>
      <c r="AL1406">
        <v>87.613923830952004</v>
      </c>
      <c r="AM1406">
        <v>95.653830082974196</v>
      </c>
      <c r="AN1406">
        <v>1.00000002480283</v>
      </c>
    </row>
    <row r="1407" spans="1:40" x14ac:dyDescent="0.3">
      <c r="A1407" t="str">
        <f>"20200111153859584"</f>
        <v>20200111153859584</v>
      </c>
      <c r="B1407" t="str">
        <f>"1578728339571974"</f>
        <v>1578728339571974</v>
      </c>
      <c r="C1407" t="s">
        <v>40</v>
      </c>
      <c r="D1407">
        <v>5.1352510000000002</v>
      </c>
      <c r="E1407">
        <v>0.47503830000000002</v>
      </c>
      <c r="F1407" t="s">
        <v>55</v>
      </c>
      <c r="G1407">
        <v>-395.67790000000002</v>
      </c>
      <c r="H1407" s="1">
        <v>1.4847369999999999E-6</v>
      </c>
      <c r="I1407">
        <v>281.78609999999998</v>
      </c>
      <c r="J1407">
        <v>-378.59010000000001</v>
      </c>
      <c r="K1407">
        <v>1.1038779999999999</v>
      </c>
      <c r="L1407">
        <v>284.14729999999997</v>
      </c>
      <c r="M1407">
        <v>-0.99950839999999996</v>
      </c>
      <c r="N1407">
        <v>0</v>
      </c>
      <c r="O1407">
        <v>2.7241810000000002E-2</v>
      </c>
      <c r="P1407">
        <v>-0.9971063</v>
      </c>
      <c r="Q1407">
        <v>2.925606E-2</v>
      </c>
      <c r="R1407">
        <v>-7.0168919999999996E-2</v>
      </c>
      <c r="S1407">
        <v>-2.9852289999999999</v>
      </c>
      <c r="T1407">
        <v>-0.1865299</v>
      </c>
      <c r="U1407">
        <v>-0.3963623</v>
      </c>
      <c r="V1407">
        <v>-9.7295729999999997E-2</v>
      </c>
      <c r="W1407">
        <v>4.4727959999999997E-2</v>
      </c>
      <c r="X1407">
        <v>0.99424990000000002</v>
      </c>
      <c r="Y1407">
        <v>-0.1582228</v>
      </c>
      <c r="Z1407">
        <v>-6.6108180000000001E-3</v>
      </c>
      <c r="AA1407">
        <v>0.98738130000000002</v>
      </c>
      <c r="AB1407">
        <v>56</v>
      </c>
      <c r="AC1407">
        <v>-17.087800000000001</v>
      </c>
      <c r="AD1407">
        <v>-1.1038765152629999</v>
      </c>
      <c r="AE1407">
        <v>-2.36119999999999</v>
      </c>
      <c r="AF1407">
        <v>-2.8143573419369901</v>
      </c>
      <c r="AG1407">
        <v>-1.1038765152629999</v>
      </c>
      <c r="AH1407">
        <v>16.947724591132499</v>
      </c>
      <c r="AI1407">
        <v>93.676445071958</v>
      </c>
      <c r="AJ1407">
        <v>99.428558755334507</v>
      </c>
      <c r="AK1407">
        <v>17.215240905254301</v>
      </c>
      <c r="AL1407">
        <v>87.436421290875003</v>
      </c>
      <c r="AM1407">
        <v>95.589079270077804</v>
      </c>
      <c r="AN1407">
        <v>0.99999995656600105</v>
      </c>
    </row>
    <row r="1408" spans="1:40" x14ac:dyDescent="0.3">
      <c r="A1408" t="str">
        <f>"20200111153859607"</f>
        <v>20200111153859607</v>
      </c>
      <c r="B1408" t="str">
        <f>"1578728339602229"</f>
        <v>1578728339602229</v>
      </c>
      <c r="C1408" t="s">
        <v>40</v>
      </c>
      <c r="D1408">
        <v>5.1175379999999997</v>
      </c>
      <c r="E1408">
        <v>0.47463359999999899</v>
      </c>
      <c r="F1408" t="s">
        <v>55</v>
      </c>
      <c r="G1408">
        <v>-397.1961</v>
      </c>
      <c r="H1408" s="1">
        <v>2.2926350000000002E-6</v>
      </c>
      <c r="I1408">
        <v>281.68939999999998</v>
      </c>
      <c r="J1408">
        <v>-379.1377</v>
      </c>
      <c r="K1408">
        <v>1.103969</v>
      </c>
      <c r="L1408">
        <v>284.16219999999998</v>
      </c>
      <c r="M1408">
        <v>-0.99950969999999995</v>
      </c>
      <c r="N1408">
        <v>0</v>
      </c>
      <c r="O1408">
        <v>2.7191369999999999E-2</v>
      </c>
      <c r="P1408">
        <v>-0.99712619999999996</v>
      </c>
      <c r="Q1408">
        <v>3.080778E-2</v>
      </c>
      <c r="R1408">
        <v>-6.9211499999999995E-2</v>
      </c>
      <c r="S1408">
        <v>-2.986145</v>
      </c>
      <c r="T1408">
        <v>-0.177165299999999</v>
      </c>
      <c r="U1408">
        <v>-0.39447019999999999</v>
      </c>
      <c r="V1408">
        <v>-9.629335E-2</v>
      </c>
      <c r="W1408">
        <v>4.6266080000000001E-2</v>
      </c>
      <c r="X1408">
        <v>0.99427710000000002</v>
      </c>
      <c r="Y1408">
        <v>-0.157554799999999</v>
      </c>
      <c r="Z1408">
        <v>-6.255175E-3</v>
      </c>
      <c r="AA1408">
        <v>0.98749039999999999</v>
      </c>
      <c r="AB1408">
        <v>56</v>
      </c>
      <c r="AC1408">
        <v>-18.058399999999999</v>
      </c>
      <c r="AD1408">
        <v>-1.1039667073649999</v>
      </c>
      <c r="AE1408">
        <v>-2.4727999999999999</v>
      </c>
      <c r="AF1408">
        <v>-2.9521473898541002</v>
      </c>
      <c r="AG1408">
        <v>-1.1039667073649999</v>
      </c>
      <c r="AH1408">
        <v>17.918739874112799</v>
      </c>
      <c r="AI1408">
        <v>93.478736469928293</v>
      </c>
      <c r="AJ1408">
        <v>99.355549168356106</v>
      </c>
      <c r="AK1408">
        <v>18.193821901362998</v>
      </c>
      <c r="AL1408">
        <v>87.348202137876797</v>
      </c>
      <c r="AM1408">
        <v>95.531706928895701</v>
      </c>
      <c r="AN1408">
        <v>0.99999995549859799</v>
      </c>
    </row>
    <row r="1409" spans="1:40" x14ac:dyDescent="0.3">
      <c r="A1409" t="str">
        <f>"20200111153859630"</f>
        <v>20200111153859630</v>
      </c>
      <c r="B1409" t="str">
        <f>"1578728339621749"</f>
        <v>1578728339621749</v>
      </c>
      <c r="C1409" t="s">
        <v>40</v>
      </c>
      <c r="D1409">
        <v>5.0891449999999896</v>
      </c>
      <c r="E1409">
        <v>0.47457559999999899</v>
      </c>
      <c r="F1409" t="s">
        <v>55</v>
      </c>
      <c r="G1409">
        <v>-398.0401</v>
      </c>
      <c r="H1409" s="1">
        <v>2.7417419999999998E-6</v>
      </c>
      <c r="I1409">
        <v>281.66480000000001</v>
      </c>
      <c r="J1409">
        <v>-379.7396</v>
      </c>
      <c r="K1409">
        <v>1.104055</v>
      </c>
      <c r="L1409">
        <v>284.17849999999999</v>
      </c>
      <c r="M1409">
        <v>-0.99951319999999999</v>
      </c>
      <c r="N1409">
        <v>0</v>
      </c>
      <c r="O1409">
        <v>2.70653E-2</v>
      </c>
      <c r="P1409">
        <v>-0.99708920000000001</v>
      </c>
      <c r="Q1409">
        <v>3.0673140000000002E-2</v>
      </c>
      <c r="R1409">
        <v>-6.9802050000000004E-2</v>
      </c>
      <c r="S1409">
        <v>-2.9866640000000002</v>
      </c>
      <c r="T1409">
        <v>-0.174432</v>
      </c>
      <c r="U1409">
        <v>-0.39459230000000001</v>
      </c>
      <c r="V1409">
        <v>-9.6764799999999998E-2</v>
      </c>
      <c r="W1409">
        <v>4.6111260000000001E-2</v>
      </c>
      <c r="X1409">
        <v>0.99423859999999997</v>
      </c>
      <c r="Y1409">
        <v>-0.15745799999999999</v>
      </c>
      <c r="Z1409">
        <v>-6.1476169999999898E-3</v>
      </c>
      <c r="AA1409">
        <v>0.98750660000000001</v>
      </c>
      <c r="AB1409">
        <v>56</v>
      </c>
      <c r="AC1409">
        <v>-18.3005</v>
      </c>
      <c r="AD1409">
        <v>-1.1040522582579999</v>
      </c>
      <c r="AE1409">
        <v>-2.5136999999999698</v>
      </c>
      <c r="AF1409">
        <v>-2.9974396482669601</v>
      </c>
      <c r="AG1409">
        <v>-1.1040522582579999</v>
      </c>
      <c r="AH1409">
        <v>18.160877775597999</v>
      </c>
      <c r="AI1409">
        <v>93.432568235886507</v>
      </c>
      <c r="AJ1409">
        <v>99.372133308141201</v>
      </c>
      <c r="AK1409">
        <v>18.439659905057301</v>
      </c>
      <c r="AL1409">
        <v>87.357082356544396</v>
      </c>
      <c r="AM1409">
        <v>95.5588347246334</v>
      </c>
      <c r="AN1409">
        <v>1.0000000342738899</v>
      </c>
    </row>
    <row r="1410" spans="1:40" x14ac:dyDescent="0.3">
      <c r="A1410" t="str">
        <f>"20200111153859651"</f>
        <v>20200111153859651</v>
      </c>
      <c r="B1410" t="str">
        <f>"1578728339642245"</f>
        <v>1578728339642245</v>
      </c>
      <c r="C1410" t="s">
        <v>40</v>
      </c>
      <c r="D1410">
        <v>5.1528739999999997</v>
      </c>
      <c r="E1410">
        <v>0.47468949999999999</v>
      </c>
      <c r="F1410" t="s">
        <v>55</v>
      </c>
      <c r="G1410">
        <v>-398.49509999999998</v>
      </c>
      <c r="H1410" s="1">
        <v>2.9838850000000001E-6</v>
      </c>
      <c r="I1410">
        <v>281.69060000000002</v>
      </c>
      <c r="J1410">
        <v>-380.27659999999997</v>
      </c>
      <c r="K1410">
        <v>1.1041379999999901</v>
      </c>
      <c r="L1410">
        <v>284.19279999999998</v>
      </c>
      <c r="M1410">
        <v>-0.99951849999999998</v>
      </c>
      <c r="N1410">
        <v>0</v>
      </c>
      <c r="O1410">
        <v>2.687407E-2</v>
      </c>
      <c r="P1410">
        <v>-0.99697720000000001</v>
      </c>
      <c r="Q1410">
        <v>3.001649E-2</v>
      </c>
      <c r="R1410">
        <v>-7.1663389999999993E-2</v>
      </c>
      <c r="S1410">
        <v>-2.98645</v>
      </c>
      <c r="T1410">
        <v>-0.17579900000000001</v>
      </c>
      <c r="U1410">
        <v>-0.39614870000000002</v>
      </c>
      <c r="V1410">
        <v>-9.8440330000000006E-2</v>
      </c>
      <c r="W1410">
        <v>4.5432010000000002E-2</v>
      </c>
      <c r="X1410">
        <v>0.99410529999999997</v>
      </c>
      <c r="Y1410">
        <v>-0.157778799999999</v>
      </c>
      <c r="Z1410">
        <v>-6.1941309999999899E-3</v>
      </c>
      <c r="AA1410">
        <v>0.98745510000000003</v>
      </c>
      <c r="AB1410">
        <v>56</v>
      </c>
      <c r="AC1410">
        <v>-18.218499999999999</v>
      </c>
      <c r="AD1410">
        <v>-1.1041350161150001</v>
      </c>
      <c r="AE1410">
        <v>-2.5021999999999598</v>
      </c>
      <c r="AF1410">
        <v>-2.98021656877971</v>
      </c>
      <c r="AG1410">
        <v>-1.1041350161150001</v>
      </c>
      <c r="AH1410">
        <v>18.079489749223001</v>
      </c>
      <c r="AI1410">
        <v>93.448356980805499</v>
      </c>
      <c r="AJ1410">
        <v>99.3604403876124</v>
      </c>
      <c r="AK1410">
        <v>18.3567087061625</v>
      </c>
      <c r="AL1410">
        <v>87.396041144075099</v>
      </c>
      <c r="AM1410">
        <v>95.655223462804102</v>
      </c>
      <c r="AN1410">
        <v>0.99999995679561804</v>
      </c>
    </row>
    <row r="1411" spans="1:40" x14ac:dyDescent="0.3">
      <c r="A1411" t="str">
        <f>"20200111153859673"</f>
        <v>20200111153859673</v>
      </c>
      <c r="B1411" t="str">
        <f>"1578728339661765"</f>
        <v>1578728339661765</v>
      </c>
      <c r="C1411" t="s">
        <v>40</v>
      </c>
      <c r="D1411">
        <v>5.0958649999999999</v>
      </c>
      <c r="E1411">
        <v>0.47441699999999998</v>
      </c>
      <c r="F1411" t="s">
        <v>55</v>
      </c>
      <c r="G1411">
        <v>-398.92720000000003</v>
      </c>
      <c r="H1411" s="1">
        <v>3.2138489999999999E-6</v>
      </c>
      <c r="I1411">
        <v>281.69450000000001</v>
      </c>
      <c r="J1411">
        <v>-380.81959999999998</v>
      </c>
      <c r="K1411">
        <v>1.104239</v>
      </c>
      <c r="L1411">
        <v>284.2072</v>
      </c>
      <c r="M1411">
        <v>-0.99952589999999997</v>
      </c>
      <c r="N1411">
        <v>0</v>
      </c>
      <c r="O1411">
        <v>2.6595199999999999E-2</v>
      </c>
      <c r="P1411">
        <v>-0.99678679999999997</v>
      </c>
      <c r="Q1411">
        <v>2.9987139999999999E-2</v>
      </c>
      <c r="R1411">
        <v>-7.4278440000000001E-2</v>
      </c>
      <c r="S1411">
        <v>-2.9856569999999998</v>
      </c>
      <c r="T1411">
        <v>-0.17675339999999901</v>
      </c>
      <c r="U1411">
        <v>-0.39993289999999998</v>
      </c>
      <c r="V1411">
        <v>-0.1007811</v>
      </c>
      <c r="W1411">
        <v>4.5373419999999998E-2</v>
      </c>
      <c r="X1411">
        <v>0.99387349999999997</v>
      </c>
      <c r="Y1411">
        <v>-0.1587625</v>
      </c>
      <c r="Z1411">
        <v>-6.2413540000000002E-3</v>
      </c>
      <c r="AA1411">
        <v>0.98729710000000004</v>
      </c>
      <c r="AB1411">
        <v>56</v>
      </c>
      <c r="AC1411">
        <v>-18.107600000000001</v>
      </c>
      <c r="AD1411">
        <v>-1.1042357861509999</v>
      </c>
      <c r="AE1411">
        <v>-2.5126999999999899</v>
      </c>
      <c r="AF1411">
        <v>-2.98256222386593</v>
      </c>
      <c r="AG1411">
        <v>-1.1042357861509999</v>
      </c>
      <c r="AH1411">
        <v>17.968799905379001</v>
      </c>
      <c r="AI1411">
        <v>93.469224795649893</v>
      </c>
      <c r="AJ1411">
        <v>99.424351020076301</v>
      </c>
      <c r="AK1411">
        <v>18.248089876208901</v>
      </c>
      <c r="AL1411">
        <v>87.399401826668594</v>
      </c>
      <c r="AM1411">
        <v>95.790134761418003</v>
      </c>
      <c r="AN1411">
        <v>1.0000000556809701</v>
      </c>
    </row>
    <row r="1412" spans="1:40" x14ac:dyDescent="0.3">
      <c r="A1412" t="str">
        <f>"20200111153859696"</f>
        <v>20200111153859696</v>
      </c>
      <c r="B1412" t="str">
        <f>"1578728339692022"</f>
        <v>1578728339692022</v>
      </c>
      <c r="C1412" t="s">
        <v>40</v>
      </c>
      <c r="D1412">
        <v>5.1361420000000004</v>
      </c>
      <c r="E1412">
        <v>0.47397800000000001</v>
      </c>
      <c r="F1412" t="s">
        <v>55</v>
      </c>
      <c r="G1412">
        <v>-399.21879999999999</v>
      </c>
      <c r="H1412" s="1">
        <v>3.3690249999999999E-6</v>
      </c>
      <c r="I1412">
        <v>281.68380000000002</v>
      </c>
      <c r="J1412">
        <v>-381.4006</v>
      </c>
      <c r="K1412">
        <v>1.104355</v>
      </c>
      <c r="L1412">
        <v>284.22239999999999</v>
      </c>
      <c r="M1412">
        <v>-0.9995366</v>
      </c>
      <c r="N1412">
        <v>0</v>
      </c>
      <c r="O1412">
        <v>2.6190580000000001E-2</v>
      </c>
      <c r="P1412">
        <v>-0.99663009999999996</v>
      </c>
      <c r="Q1412">
        <v>3.0636770000000001E-2</v>
      </c>
      <c r="R1412">
        <v>-7.6091039999999999E-2</v>
      </c>
      <c r="S1412">
        <v>-2.9845579999999998</v>
      </c>
      <c r="T1412">
        <v>-0.17911920000000001</v>
      </c>
      <c r="U1412">
        <v>-0.40933229999999998</v>
      </c>
      <c r="V1412">
        <v>-0.1021989</v>
      </c>
      <c r="W1412">
        <v>4.5989330000000002E-2</v>
      </c>
      <c r="X1412">
        <v>0.99370029999999998</v>
      </c>
      <c r="Y1412">
        <v>-0.1614505</v>
      </c>
      <c r="Z1412">
        <v>-6.3817850000000001E-3</v>
      </c>
      <c r="AA1412">
        <v>0.98686019999999997</v>
      </c>
      <c r="AB1412">
        <v>56</v>
      </c>
      <c r="AC1412">
        <v>-17.818199999999901</v>
      </c>
      <c r="AD1412">
        <v>-1.1043516309750001</v>
      </c>
      <c r="AE1412">
        <v>-2.53859999999997</v>
      </c>
      <c r="AF1412">
        <v>-2.99318491159356</v>
      </c>
      <c r="AG1412">
        <v>-1.1043516309750001</v>
      </c>
      <c r="AH1412">
        <v>17.679030135886698</v>
      </c>
      <c r="AI1412">
        <v>93.524409564330398</v>
      </c>
      <c r="AJ1412">
        <v>99.609454472269405</v>
      </c>
      <c r="AK1412">
        <v>17.964600050805998</v>
      </c>
      <c r="AL1412">
        <v>87.3640756538354</v>
      </c>
      <c r="AM1412">
        <v>95.872042109661805</v>
      </c>
      <c r="AN1412">
        <v>0.99999995992757296</v>
      </c>
    </row>
    <row r="1413" spans="1:40" x14ac:dyDescent="0.3">
      <c r="A1413" t="str">
        <f>"20200111153859718"</f>
        <v>20200111153859718</v>
      </c>
      <c r="B1413" t="str">
        <f>"1578728339711541"</f>
        <v>1578728339711541</v>
      </c>
      <c r="C1413" t="s">
        <v>40</v>
      </c>
      <c r="D1413">
        <v>5.1027769999999997</v>
      </c>
      <c r="E1413">
        <v>0.47374559999999999</v>
      </c>
      <c r="F1413" t="s">
        <v>55</v>
      </c>
      <c r="G1413">
        <v>-399.78460000000001</v>
      </c>
      <c r="H1413" s="1">
        <v>3.6700890000000001E-6</v>
      </c>
      <c r="I1413">
        <v>281.64420000000001</v>
      </c>
      <c r="J1413">
        <v>-381.95780000000002</v>
      </c>
      <c r="K1413">
        <v>1.1044590000000001</v>
      </c>
      <c r="L1413">
        <v>284.23660000000001</v>
      </c>
      <c r="M1413">
        <v>-0.99954949999999998</v>
      </c>
      <c r="N1413">
        <v>0</v>
      </c>
      <c r="O1413">
        <v>2.5698160000000001E-2</v>
      </c>
      <c r="P1413">
        <v>-0.99644639999999995</v>
      </c>
      <c r="Q1413">
        <v>2.955083E-2</v>
      </c>
      <c r="R1413">
        <v>-7.8874420000000001E-2</v>
      </c>
      <c r="S1413">
        <v>-2.9837039999999999</v>
      </c>
      <c r="T1413">
        <v>-0.1792348</v>
      </c>
      <c r="U1413">
        <v>-0.41842649999999998</v>
      </c>
      <c r="V1413">
        <v>-0.1044978</v>
      </c>
      <c r="W1413">
        <v>4.4867530000000003E-2</v>
      </c>
      <c r="X1413">
        <v>0.99351250000000002</v>
      </c>
      <c r="Y1413">
        <v>-0.16394909999999999</v>
      </c>
      <c r="Z1413">
        <v>-6.4315759999999996E-3</v>
      </c>
      <c r="AA1413">
        <v>0.98644779999999999</v>
      </c>
      <c r="AB1413">
        <v>56</v>
      </c>
      <c r="AC1413">
        <v>-17.826799999999899</v>
      </c>
      <c r="AD1413">
        <v>-1.104455329911</v>
      </c>
      <c r="AE1413">
        <v>-2.5923999999999898</v>
      </c>
      <c r="AF1413">
        <v>-3.0382940310353201</v>
      </c>
      <c r="AG1413">
        <v>-1.104455329911</v>
      </c>
      <c r="AH1413">
        <v>17.687796617517002</v>
      </c>
      <c r="AI1413">
        <v>93.521561096024698</v>
      </c>
      <c r="AJ1413">
        <v>99.746773984905403</v>
      </c>
      <c r="AK1413">
        <v>17.980800910344399</v>
      </c>
      <c r="AL1413">
        <v>87.428416559533403</v>
      </c>
      <c r="AM1413">
        <v>96.004302390349906</v>
      </c>
      <c r="AN1413">
        <v>0.99999998655469502</v>
      </c>
    </row>
    <row r="1414" spans="1:40" x14ac:dyDescent="0.3">
      <c r="A1414" t="str">
        <f>"20200111153859742"</f>
        <v>20200111153859742</v>
      </c>
      <c r="B1414" t="str">
        <f>"1578728339732037"</f>
        <v>1578728339732037</v>
      </c>
      <c r="C1414" t="s">
        <v>40</v>
      </c>
      <c r="D1414">
        <v>5.1373879999999996</v>
      </c>
      <c r="E1414">
        <v>0.4735724</v>
      </c>
      <c r="F1414" t="s">
        <v>55</v>
      </c>
      <c r="G1414">
        <v>-399.85759999999999</v>
      </c>
      <c r="H1414" s="1">
        <v>3.708947E-6</v>
      </c>
      <c r="I1414">
        <v>281.6644</v>
      </c>
      <c r="J1414">
        <v>-382.55079999999998</v>
      </c>
      <c r="K1414">
        <v>1.104565</v>
      </c>
      <c r="L1414">
        <v>284.25150000000002</v>
      </c>
      <c r="M1414">
        <v>-0.99956529999999999</v>
      </c>
      <c r="N1414">
        <v>0</v>
      </c>
      <c r="O1414">
        <v>2.5082E-2</v>
      </c>
      <c r="P1414">
        <v>-0.9962763</v>
      </c>
      <c r="Q1414">
        <v>2.606031E-2</v>
      </c>
      <c r="R1414">
        <v>-8.2187999999999997E-2</v>
      </c>
      <c r="S1414">
        <v>-2.9822690000000001</v>
      </c>
      <c r="T1414">
        <v>-0.18401229999999999</v>
      </c>
      <c r="U1414">
        <v>-0.4285583</v>
      </c>
      <c r="V1414">
        <v>-0.1072022</v>
      </c>
      <c r="W1414">
        <v>4.1338409999999999E-2</v>
      </c>
      <c r="X1414">
        <v>0.99337750000000002</v>
      </c>
      <c r="Y1414">
        <v>-0.1666685</v>
      </c>
      <c r="Z1414">
        <v>-6.6498549999999997E-3</v>
      </c>
      <c r="AA1414">
        <v>0.98599060000000005</v>
      </c>
      <c r="AB1414">
        <v>56</v>
      </c>
      <c r="AC1414">
        <v>-17.306799999999999</v>
      </c>
      <c r="AD1414">
        <v>-1.104561291053</v>
      </c>
      <c r="AE1414">
        <v>-2.5871000000000199</v>
      </c>
      <c r="AF1414">
        <v>-3.00844074726092</v>
      </c>
      <c r="AG1414">
        <v>-1.104561291053</v>
      </c>
      <c r="AH1414">
        <v>17.1680543924302</v>
      </c>
      <c r="AI1414">
        <v>93.626129672928201</v>
      </c>
      <c r="AJ1414">
        <v>99.939298826538106</v>
      </c>
      <c r="AK1414">
        <v>17.464617459220701</v>
      </c>
      <c r="AL1414">
        <v>87.630808516656899</v>
      </c>
      <c r="AM1414">
        <v>96.159344857997098</v>
      </c>
      <c r="AN1414">
        <v>1.0000000166662</v>
      </c>
    </row>
    <row r="1415" spans="1:40" x14ac:dyDescent="0.3">
      <c r="A1415" t="str">
        <f>"20200111153859762"</f>
        <v>20200111153859762</v>
      </c>
      <c r="B1415" t="str">
        <f>"1578728339751557"</f>
        <v>1578728339751557</v>
      </c>
      <c r="C1415" t="s">
        <v>40</v>
      </c>
      <c r="D1415">
        <v>5.1117330000000001</v>
      </c>
      <c r="E1415">
        <v>0.47339360000000003</v>
      </c>
      <c r="F1415" t="s">
        <v>55</v>
      </c>
      <c r="G1415">
        <v>-399.30680000000001</v>
      </c>
      <c r="H1415" s="1">
        <v>3.4158310000000002E-6</v>
      </c>
      <c r="I1415">
        <v>281.78199999999998</v>
      </c>
      <c r="J1415">
        <v>-383.05700000000002</v>
      </c>
      <c r="K1415">
        <v>1.104644</v>
      </c>
      <c r="L1415">
        <v>284.2638</v>
      </c>
      <c r="M1415">
        <v>-0.99958000000000002</v>
      </c>
      <c r="N1415">
        <v>0</v>
      </c>
      <c r="O1415">
        <v>2.4489279999999999E-2</v>
      </c>
      <c r="P1415">
        <v>-0.99613580000000002</v>
      </c>
      <c r="Q1415">
        <v>2.2631410000000001E-2</v>
      </c>
      <c r="R1415">
        <v>-8.4861190000000003E-2</v>
      </c>
      <c r="S1415">
        <v>-2.9801030000000002</v>
      </c>
      <c r="T1415">
        <v>-0.19644900000000001</v>
      </c>
      <c r="U1415">
        <v>-0.43920900000000002</v>
      </c>
      <c r="V1415">
        <v>-0.10928599999999999</v>
      </c>
      <c r="W1415">
        <v>3.7877859999999999E-2</v>
      </c>
      <c r="X1415">
        <v>0.99328839999999996</v>
      </c>
      <c r="Y1415">
        <v>-0.1695796</v>
      </c>
      <c r="Z1415">
        <v>-7.1581519999999897E-3</v>
      </c>
      <c r="AA1415">
        <v>0.98549050000000005</v>
      </c>
      <c r="AB1415">
        <v>56</v>
      </c>
      <c r="AC1415">
        <v>-16.2498</v>
      </c>
      <c r="AD1415">
        <v>-1.1046405841689999</v>
      </c>
      <c r="AE1415">
        <v>-2.4818000000000202</v>
      </c>
      <c r="AF1415">
        <v>-2.8661065115090198</v>
      </c>
      <c r="AG1415">
        <v>-1.1046405841689999</v>
      </c>
      <c r="AH1415">
        <v>16.111385259585202</v>
      </c>
      <c r="AI1415">
        <v>93.861775748297205</v>
      </c>
      <c r="AJ1415">
        <v>100.087010635599</v>
      </c>
      <c r="AK1415">
        <v>16.4015710326264</v>
      </c>
      <c r="AL1415">
        <v>87.829239205388603</v>
      </c>
      <c r="AM1415">
        <v>96.278682055399997</v>
      </c>
      <c r="AN1415">
        <v>1.0000000038243599</v>
      </c>
    </row>
    <row r="1416" spans="1:40" x14ac:dyDescent="0.3">
      <c r="A1416" t="str">
        <f>"20200111153859785"</f>
        <v>20200111153859785</v>
      </c>
      <c r="B1416" t="str">
        <f>"1578728339781813"</f>
        <v>1578728339781813</v>
      </c>
      <c r="C1416" t="s">
        <v>40</v>
      </c>
      <c r="D1416">
        <v>5.1346119999999997</v>
      </c>
      <c r="E1416">
        <v>0.47342430000000002</v>
      </c>
      <c r="F1416" t="s">
        <v>55</v>
      </c>
      <c r="G1416">
        <v>-398.8553</v>
      </c>
      <c r="H1416" s="1">
        <v>3.1755360000000001E-6</v>
      </c>
      <c r="I1416">
        <v>281.88650000000001</v>
      </c>
      <c r="J1416">
        <v>-383.62419999999997</v>
      </c>
      <c r="K1416">
        <v>1.104741</v>
      </c>
      <c r="L1416">
        <v>284.27730000000003</v>
      </c>
      <c r="M1416">
        <v>-0.99959779999999998</v>
      </c>
      <c r="N1416">
        <v>0</v>
      </c>
      <c r="O1416">
        <v>2.37594E-2</v>
      </c>
      <c r="P1416">
        <v>-0.99604459999999995</v>
      </c>
      <c r="Q1416">
        <v>2.064686E-2</v>
      </c>
      <c r="R1416">
        <v>-8.6426619999999996E-2</v>
      </c>
      <c r="S1416">
        <v>-2.9781490000000002</v>
      </c>
      <c r="T1416">
        <v>-0.20823739999999999</v>
      </c>
      <c r="U1416">
        <v>-0.44815060000000001</v>
      </c>
      <c r="V1416">
        <v>-0.1101292</v>
      </c>
      <c r="W1416">
        <v>3.5861259999999999E-2</v>
      </c>
      <c r="X1416">
        <v>0.99327010000000004</v>
      </c>
      <c r="Y1416">
        <v>-0.17179259999999999</v>
      </c>
      <c r="Z1416">
        <v>-7.6160730000000001E-3</v>
      </c>
      <c r="AA1416">
        <v>0.98510370000000003</v>
      </c>
      <c r="AB1416">
        <v>56</v>
      </c>
      <c r="AC1416">
        <v>-15.2311</v>
      </c>
      <c r="AD1416">
        <v>-1.104737824464</v>
      </c>
      <c r="AE1416">
        <v>-2.3908000000000098</v>
      </c>
      <c r="AF1416">
        <v>-2.73799231487475</v>
      </c>
      <c r="AG1416">
        <v>-1.104737824464</v>
      </c>
      <c r="AH1416">
        <v>15.092498444832801</v>
      </c>
      <c r="AI1416">
        <v>94.119457302931906</v>
      </c>
      <c r="AJ1416">
        <v>100.282434639</v>
      </c>
      <c r="AK1416">
        <v>15.378574605092499</v>
      </c>
      <c r="AL1416">
        <v>87.944860459359106</v>
      </c>
      <c r="AM1416">
        <v>96.326849727883399</v>
      </c>
      <c r="AN1416">
        <v>0.99999998110771804</v>
      </c>
    </row>
    <row r="1417" spans="1:40" x14ac:dyDescent="0.3">
      <c r="A1417" t="str">
        <f>"20200111153859808"</f>
        <v>20200111153859808</v>
      </c>
      <c r="B1417" t="str">
        <f>"1578728339802310"</f>
        <v>1578728339802310</v>
      </c>
      <c r="C1417" t="s">
        <v>40</v>
      </c>
      <c r="D1417">
        <v>5.1363440000000002</v>
      </c>
      <c r="E1417">
        <v>0.49078119999999997</v>
      </c>
      <c r="F1417" t="s">
        <v>55</v>
      </c>
      <c r="G1417">
        <v>-398.9033</v>
      </c>
      <c r="H1417" s="1">
        <v>3.2011199999999999E-6</v>
      </c>
      <c r="I1417">
        <v>281.9588</v>
      </c>
      <c r="J1417">
        <v>-384.1857</v>
      </c>
      <c r="K1417">
        <v>1.104832</v>
      </c>
      <c r="L1417">
        <v>284.29020000000003</v>
      </c>
      <c r="M1417">
        <v>-0.9996159</v>
      </c>
      <c r="N1417">
        <v>0</v>
      </c>
      <c r="O1417">
        <v>2.2984870000000001E-2</v>
      </c>
      <c r="P1417">
        <v>-0.99595739999999999</v>
      </c>
      <c r="Q1417">
        <v>1.9238760000000001E-2</v>
      </c>
      <c r="R1417">
        <v>-8.7743619999999994E-2</v>
      </c>
      <c r="S1417">
        <v>-2.9772029999999998</v>
      </c>
      <c r="T1417">
        <v>-0.2152626</v>
      </c>
      <c r="U1417">
        <v>-0.45175169999999998</v>
      </c>
      <c r="V1417">
        <v>-0.110679</v>
      </c>
      <c r="W1417">
        <v>3.4424000000000003E-2</v>
      </c>
      <c r="X1417">
        <v>0.99325980000000003</v>
      </c>
      <c r="Y1417">
        <v>-0.1722091</v>
      </c>
      <c r="Z1417">
        <v>-7.83342699999999E-3</v>
      </c>
      <c r="AA1417">
        <v>0.9850293</v>
      </c>
      <c r="AB1417">
        <v>56</v>
      </c>
      <c r="AC1417">
        <v>-14.717599999999999</v>
      </c>
      <c r="AD1417">
        <v>-1.1048287988800001</v>
      </c>
      <c r="AE1417">
        <v>-2.3314000000000301</v>
      </c>
      <c r="AF1417">
        <v>-2.6545138446638599</v>
      </c>
      <c r="AG1417">
        <v>-1.1048287988800001</v>
      </c>
      <c r="AH1417">
        <v>14.5799664950758</v>
      </c>
      <c r="AI1417">
        <v>94.263606987644195</v>
      </c>
      <c r="AJ1417">
        <v>100.318581556547</v>
      </c>
      <c r="AK1417">
        <v>14.8607709565782</v>
      </c>
      <c r="AL1417">
        <v>88.027260219850703</v>
      </c>
      <c r="AM1417">
        <v>96.358242730513794</v>
      </c>
      <c r="AN1417">
        <v>0.99999994155651795</v>
      </c>
    </row>
    <row r="1418" spans="1:40" x14ac:dyDescent="0.3">
      <c r="A1418" t="str">
        <f>"20200111153859830"</f>
        <v>20200111153859830</v>
      </c>
      <c r="B1418" t="str">
        <f>"1578728339821829"</f>
        <v>1578728339821829</v>
      </c>
      <c r="C1418" t="s">
        <v>40</v>
      </c>
      <c r="D1418">
        <v>5.1217810000000004</v>
      </c>
      <c r="E1418">
        <v>0.49117100000000002</v>
      </c>
      <c r="F1418" t="s">
        <v>55</v>
      </c>
      <c r="G1418">
        <v>-398.79410000000001</v>
      </c>
      <c r="H1418" s="1">
        <v>3.1429949999999999E-6</v>
      </c>
      <c r="I1418">
        <v>282.74419999999998</v>
      </c>
      <c r="J1418">
        <v>-384.75790000000001</v>
      </c>
      <c r="K1418">
        <v>1.1049100000000001</v>
      </c>
      <c r="L1418">
        <v>284.30290000000002</v>
      </c>
      <c r="M1418">
        <v>-0.99963460000000004</v>
      </c>
      <c r="N1418">
        <v>0</v>
      </c>
      <c r="O1418">
        <v>2.2156840000000001E-2</v>
      </c>
      <c r="P1418">
        <v>-0.99587250000000005</v>
      </c>
      <c r="Q1418">
        <v>1.8179440000000002E-2</v>
      </c>
      <c r="R1418">
        <v>-8.8924359999999994E-2</v>
      </c>
      <c r="S1418">
        <v>-2.9886469999999998</v>
      </c>
      <c r="T1418">
        <v>-0.22603090000000001</v>
      </c>
      <c r="U1418">
        <v>-0.31628420000000002</v>
      </c>
      <c r="V1418">
        <v>-0.11103970000000001</v>
      </c>
      <c r="W1418">
        <v>3.3337909999999998E-2</v>
      </c>
      <c r="X1418">
        <v>0.99325660000000005</v>
      </c>
      <c r="Y1418">
        <v>-0.12683039999999901</v>
      </c>
      <c r="Z1418">
        <v>-6.445241E-3</v>
      </c>
      <c r="AA1418">
        <v>0.99190350000000005</v>
      </c>
      <c r="AB1418">
        <v>56</v>
      </c>
      <c r="AC1418">
        <v>-14.036199999999999</v>
      </c>
      <c r="AD1418">
        <v>-1.104906857005</v>
      </c>
      <c r="AE1418">
        <v>-1.5587000000000399</v>
      </c>
      <c r="AF1418">
        <v>-1.8579795066096501</v>
      </c>
      <c r="AG1418">
        <v>-1.104906857005</v>
      </c>
      <c r="AH1418">
        <v>13.9130502279203</v>
      </c>
      <c r="AI1418">
        <v>94.500833749811306</v>
      </c>
      <c r="AJ1418">
        <v>97.606401881187494</v>
      </c>
      <c r="AK1418">
        <v>14.079981308733</v>
      </c>
      <c r="AL1418">
        <v>88.089524367680994</v>
      </c>
      <c r="AM1418">
        <v>96.378813936642004</v>
      </c>
      <c r="AN1418">
        <v>0.99999995233140804</v>
      </c>
    </row>
    <row r="1419" spans="1:40" x14ac:dyDescent="0.3">
      <c r="A1419" t="str">
        <f>"20200111153859852"</f>
        <v>20200111153859852</v>
      </c>
      <c r="B1419" t="str">
        <f>"1578728339842328"</f>
        <v>1578728339842328</v>
      </c>
      <c r="C1419" t="s">
        <v>40</v>
      </c>
      <c r="D1419">
        <v>5.2817160000000003</v>
      </c>
      <c r="E1419">
        <v>0.49086649999999998</v>
      </c>
      <c r="F1419" t="s">
        <v>55</v>
      </c>
      <c r="G1419">
        <v>-399.73899999999998</v>
      </c>
      <c r="H1419" s="1">
        <v>3.645836E-6</v>
      </c>
      <c r="I1419">
        <v>282.71350000000001</v>
      </c>
      <c r="J1419">
        <v>-385.30290000000002</v>
      </c>
      <c r="K1419">
        <v>1.1049789999999999</v>
      </c>
      <c r="L1419">
        <v>284.31450000000001</v>
      </c>
      <c r="M1419">
        <v>-0.99965250000000005</v>
      </c>
      <c r="N1419">
        <v>0</v>
      </c>
      <c r="O1419">
        <v>2.134312E-2</v>
      </c>
      <c r="P1419">
        <v>-0.99574609999999997</v>
      </c>
      <c r="Q1419">
        <v>1.7237519999999999E-2</v>
      </c>
      <c r="R1419">
        <v>-9.0516139999999995E-2</v>
      </c>
      <c r="S1419">
        <v>-2.988159</v>
      </c>
      <c r="T1419">
        <v>-0.220386</v>
      </c>
      <c r="U1419">
        <v>-0.31701659999999998</v>
      </c>
      <c r="V1419">
        <v>-0.1118228</v>
      </c>
      <c r="W1419">
        <v>3.2370459999999997E-2</v>
      </c>
      <c r="X1419">
        <v>0.99320079999999999</v>
      </c>
      <c r="Y1419">
        <v>-0.12630459999999999</v>
      </c>
      <c r="Z1419">
        <v>-6.2065459999999899E-3</v>
      </c>
      <c r="AA1419">
        <v>0.99197210000000002</v>
      </c>
      <c r="AB1419">
        <v>56</v>
      </c>
      <c r="AC1419">
        <v>-14.4361</v>
      </c>
      <c r="AD1419">
        <v>-1.1049753541639999</v>
      </c>
      <c r="AE1419">
        <v>-1.60099999999999</v>
      </c>
      <c r="AF1419">
        <v>-1.8977998604373001</v>
      </c>
      <c r="AG1419">
        <v>-1.1049753541639999</v>
      </c>
      <c r="AH1419">
        <v>14.3157827513818</v>
      </c>
      <c r="AI1419">
        <v>94.375540452758202</v>
      </c>
      <c r="AJ1419">
        <v>97.551496313643199</v>
      </c>
      <c r="AK1419">
        <v>14.483240335931299</v>
      </c>
      <c r="AL1419">
        <v>88.144985216382295</v>
      </c>
      <c r="AM1419">
        <v>96.423783258790095</v>
      </c>
      <c r="AN1419">
        <v>1.0000000072005399</v>
      </c>
    </row>
    <row r="1420" spans="1:40" x14ac:dyDescent="0.3">
      <c r="A1420" t="str">
        <f>"20200111153859874"</f>
        <v>20200111153859874</v>
      </c>
      <c r="B1420" t="str">
        <f>"1578728339861846"</f>
        <v>1578728339861846</v>
      </c>
      <c r="C1420" t="s">
        <v>40</v>
      </c>
      <c r="D1420">
        <v>5.1993879999999999</v>
      </c>
      <c r="E1420">
        <v>0.49342989999999998</v>
      </c>
      <c r="F1420" t="s">
        <v>59</v>
      </c>
      <c r="G1420">
        <v>-400.16609999999997</v>
      </c>
      <c r="H1420" s="1">
        <v>8.7242409999999906E-6</v>
      </c>
      <c r="I1420">
        <v>282.70150000000001</v>
      </c>
      <c r="J1420">
        <v>-385.85070000000002</v>
      </c>
      <c r="K1420">
        <v>1.1050469999999999</v>
      </c>
      <c r="L1420">
        <v>284.32589999999999</v>
      </c>
      <c r="M1420">
        <v>-0.99966980000000005</v>
      </c>
      <c r="N1420">
        <v>0</v>
      </c>
      <c r="O1420">
        <v>2.0509110000000001E-2</v>
      </c>
      <c r="P1420">
        <v>-0.99563880000000005</v>
      </c>
      <c r="Q1420">
        <v>1.724477E-2</v>
      </c>
      <c r="R1420">
        <v>-9.1682529999999998E-2</v>
      </c>
      <c r="S1420">
        <v>-2.9871829999999999</v>
      </c>
      <c r="T1420">
        <v>-0.2220752</v>
      </c>
      <c r="U1420">
        <v>-0.32418819999999998</v>
      </c>
      <c r="V1420">
        <v>-0.1121634</v>
      </c>
      <c r="W1420">
        <v>3.2355679999999998E-2</v>
      </c>
      <c r="X1420">
        <v>0.99316289999999996</v>
      </c>
      <c r="Y1420">
        <v>-0.1278571</v>
      </c>
      <c r="Z1420">
        <v>-6.2509250000000001E-3</v>
      </c>
      <c r="AA1420">
        <v>0.99177289999999996</v>
      </c>
      <c r="AB1420">
        <v>56</v>
      </c>
      <c r="AC1420">
        <v>-14.315399999999901</v>
      </c>
      <c r="AD1420">
        <v>-1.1050382757589901</v>
      </c>
      <c r="AE1420">
        <v>-1.6243999999999801</v>
      </c>
      <c r="AF1420">
        <v>-1.90647395974338</v>
      </c>
      <c r="AG1420">
        <v>-1.1050382757589901</v>
      </c>
      <c r="AH1420">
        <v>14.195558233631701</v>
      </c>
      <c r="AI1420">
        <v>94.411703238303403</v>
      </c>
      <c r="AJ1420">
        <v>97.649096527490499</v>
      </c>
      <c r="AK1420">
        <v>14.365570859332401</v>
      </c>
      <c r="AL1420">
        <v>88.145832538061796</v>
      </c>
      <c r="AM1420">
        <v>96.443428915479402</v>
      </c>
      <c r="AN1420">
        <v>1.0000000321321101</v>
      </c>
    </row>
    <row r="1421" spans="1:40" x14ac:dyDescent="0.3">
      <c r="A1421" t="str">
        <f>"20200111153859897"</f>
        <v>20200111153859897</v>
      </c>
      <c r="B1421" t="str">
        <f>"1578728339892101"</f>
        <v>1578728339892101</v>
      </c>
      <c r="C1421" t="s">
        <v>40</v>
      </c>
      <c r="D1421">
        <v>5.1394929999999999</v>
      </c>
      <c r="E1421">
        <v>0.49173729999999899</v>
      </c>
      <c r="F1421" t="s">
        <v>59</v>
      </c>
      <c r="G1421">
        <v>-406.05439999999999</v>
      </c>
      <c r="H1421" s="1">
        <v>6.2130730000000002E-6</v>
      </c>
      <c r="I1421">
        <v>282.21749999999997</v>
      </c>
      <c r="J1421">
        <v>-386.42750000000001</v>
      </c>
      <c r="K1421">
        <v>1.105113</v>
      </c>
      <c r="L1421">
        <v>284.3372</v>
      </c>
      <c r="M1421">
        <v>-0.99968789999999996</v>
      </c>
      <c r="N1421">
        <v>0</v>
      </c>
      <c r="O1421">
        <v>1.9619009999999999E-2</v>
      </c>
      <c r="P1421">
        <v>-0.99546319999999999</v>
      </c>
      <c r="Q1421">
        <v>1.7630710000000001E-2</v>
      </c>
      <c r="R1421">
        <v>-9.3499959999999993E-2</v>
      </c>
      <c r="S1421">
        <v>-2.9872740000000002</v>
      </c>
      <c r="T1421">
        <v>-0.1633896</v>
      </c>
      <c r="U1421">
        <v>-0.31173709999999999</v>
      </c>
      <c r="V1421">
        <v>-0.1130973</v>
      </c>
      <c r="W1421">
        <v>3.2717889999999999E-2</v>
      </c>
      <c r="X1421">
        <v>0.99304510000000001</v>
      </c>
      <c r="Y1421">
        <v>-0.1230757</v>
      </c>
      <c r="Z1421">
        <v>-4.4239420000000002E-3</v>
      </c>
      <c r="AA1421">
        <v>0.99238740000000003</v>
      </c>
      <c r="AB1421">
        <v>56</v>
      </c>
      <c r="AC1421">
        <v>-19.6268999999999</v>
      </c>
      <c r="AD1421">
        <v>-1.1051067869269999</v>
      </c>
      <c r="AE1421">
        <v>-2.1197000000000199</v>
      </c>
      <c r="AF1421">
        <v>-2.4965746083222999</v>
      </c>
      <c r="AG1421">
        <v>-1.1051067869269999</v>
      </c>
      <c r="AH1421">
        <v>19.520357543218701</v>
      </c>
      <c r="AI1421">
        <v>93.214104572954597</v>
      </c>
      <c r="AJ1421">
        <v>97.288330521755597</v>
      </c>
      <c r="AK1421">
        <v>19.7103654050483</v>
      </c>
      <c r="AL1421">
        <v>88.125068408611</v>
      </c>
      <c r="AM1421">
        <v>96.497385769465396</v>
      </c>
      <c r="AN1421">
        <v>1.0000000151136701</v>
      </c>
    </row>
    <row r="1422" spans="1:40" x14ac:dyDescent="0.3">
      <c r="A1422" t="str">
        <f>"20200111153859919"</f>
        <v>20200111153859919</v>
      </c>
      <c r="B1422" t="str">
        <f>"1578728339911621"</f>
        <v>1578728339911621</v>
      </c>
      <c r="C1422" t="s">
        <v>40</v>
      </c>
      <c r="D1422">
        <v>5.1105130000000001</v>
      </c>
      <c r="E1422">
        <v>0.49157780000000001</v>
      </c>
      <c r="F1422" t="s">
        <v>59</v>
      </c>
      <c r="G1422">
        <v>-404.95690000000002</v>
      </c>
      <c r="H1422" s="1">
        <v>6.6850070000000004E-6</v>
      </c>
      <c r="I1422">
        <v>282.28879999999998</v>
      </c>
      <c r="J1422">
        <v>-386.97930000000002</v>
      </c>
      <c r="K1422">
        <v>1.1051660000000001</v>
      </c>
      <c r="L1422">
        <v>284.34769999999997</v>
      </c>
      <c r="M1422">
        <v>-0.9997045</v>
      </c>
      <c r="N1422">
        <v>0</v>
      </c>
      <c r="O1422">
        <v>1.8759870000000001E-2</v>
      </c>
      <c r="P1422">
        <v>-0.99520580000000003</v>
      </c>
      <c r="Q1422">
        <v>1.7398759999999999E-2</v>
      </c>
      <c r="R1422">
        <v>-9.6245880000000006E-2</v>
      </c>
      <c r="S1422">
        <v>-2.9858699999999998</v>
      </c>
      <c r="T1422">
        <v>-0.17807919999999999</v>
      </c>
      <c r="U1422">
        <v>-0.33007809999999999</v>
      </c>
      <c r="V1422">
        <v>-0.1149874</v>
      </c>
      <c r="W1422">
        <v>3.2460530000000001E-2</v>
      </c>
      <c r="X1422">
        <v>0.99283650000000001</v>
      </c>
      <c r="Y1422">
        <v>-0.12824829999999901</v>
      </c>
      <c r="Z1422">
        <v>-4.9242840000000001E-3</v>
      </c>
      <c r="AA1422">
        <v>0.99172990000000005</v>
      </c>
      <c r="AB1422">
        <v>56</v>
      </c>
      <c r="AC1422">
        <v>-17.977599999999899</v>
      </c>
      <c r="AD1422">
        <v>-1.1051593149929999</v>
      </c>
      <c r="AE1422">
        <v>-2.0588999999999902</v>
      </c>
      <c r="AF1422">
        <v>-2.3869316995616798</v>
      </c>
      <c r="AG1422">
        <v>-1.1051593149929999</v>
      </c>
      <c r="AH1422">
        <v>17.869151460875699</v>
      </c>
      <c r="AI1422">
        <v>93.508003427087402</v>
      </c>
      <c r="AJ1422">
        <v>97.608435918186899</v>
      </c>
      <c r="AK1422">
        <v>18.061710715810001</v>
      </c>
      <c r="AL1422">
        <v>88.139821955385202</v>
      </c>
      <c r="AM1422">
        <v>96.606394904787507</v>
      </c>
      <c r="AN1422">
        <v>1.0000000519494401</v>
      </c>
    </row>
    <row r="1423" spans="1:40" x14ac:dyDescent="0.3">
      <c r="A1423" t="str">
        <f>"20200111153859941"</f>
        <v>20200111153859941</v>
      </c>
      <c r="B1423" t="str">
        <f>"1578728339932117"</f>
        <v>1578728339932117</v>
      </c>
      <c r="C1423" t="s">
        <v>40</v>
      </c>
      <c r="D1423">
        <v>5.1317139999999997</v>
      </c>
      <c r="E1423">
        <v>0.49156109999999997</v>
      </c>
      <c r="F1423" t="s">
        <v>59</v>
      </c>
      <c r="G1423">
        <v>-405.15390000000002</v>
      </c>
      <c r="H1423" s="1">
        <v>6.5990099999999997E-6</v>
      </c>
      <c r="I1423">
        <v>282.28230000000002</v>
      </c>
      <c r="J1423">
        <v>-387.53219999999999</v>
      </c>
      <c r="K1423">
        <v>1.1052090000000001</v>
      </c>
      <c r="L1423">
        <v>284.35759999999999</v>
      </c>
      <c r="M1423">
        <v>-0.99972019999999995</v>
      </c>
      <c r="N1423">
        <v>0</v>
      </c>
      <c r="O1423">
        <v>1.7894009999999998E-2</v>
      </c>
      <c r="P1423">
        <v>-0.99486540000000001</v>
      </c>
      <c r="Q1423">
        <v>1.7229439999999999E-2</v>
      </c>
      <c r="R1423">
        <v>-9.9727469999999999E-2</v>
      </c>
      <c r="S1423">
        <v>-2.9848330000000001</v>
      </c>
      <c r="T1423">
        <v>-0.1815013</v>
      </c>
      <c r="U1423">
        <v>-0.33920289999999997</v>
      </c>
      <c r="V1423">
        <v>-0.1176048</v>
      </c>
      <c r="W1423">
        <v>3.2264180000000003E-2</v>
      </c>
      <c r="X1423">
        <v>0.99253619999999998</v>
      </c>
      <c r="Y1423">
        <v>-0.13040839999999901</v>
      </c>
      <c r="Z1423">
        <v>-5.0325730000000003E-3</v>
      </c>
      <c r="AA1423">
        <v>0.99144759999999998</v>
      </c>
      <c r="AB1423">
        <v>56</v>
      </c>
      <c r="AC1423">
        <v>-17.621700000000001</v>
      </c>
      <c r="AD1423">
        <v>-1.1052024009899999</v>
      </c>
      <c r="AE1423">
        <v>-2.07529999999996</v>
      </c>
      <c r="AF1423">
        <v>-2.3810901776390501</v>
      </c>
      <c r="AG1423">
        <v>-1.1052024009899999</v>
      </c>
      <c r="AH1423">
        <v>17.513788560844699</v>
      </c>
      <c r="AI1423">
        <v>93.5780155283299</v>
      </c>
      <c r="AJ1423">
        <v>97.7421888527862</v>
      </c>
      <c r="AK1423">
        <v>17.709428351451098</v>
      </c>
      <c r="AL1423">
        <v>88.151077757387995</v>
      </c>
      <c r="AM1423">
        <v>96.757423406857697</v>
      </c>
      <c r="AN1423">
        <v>0.99999998730227602</v>
      </c>
    </row>
    <row r="1424" spans="1:40" x14ac:dyDescent="0.3">
      <c r="A1424" t="str">
        <f>"20200111153859963"</f>
        <v>20200111153859963</v>
      </c>
      <c r="B1424" t="str">
        <f>"1578728339951637"</f>
        <v>1578728339951637</v>
      </c>
      <c r="C1424" t="s">
        <v>40</v>
      </c>
      <c r="D1424">
        <v>5.1216049999999997</v>
      </c>
      <c r="E1424">
        <v>0.49130420000000002</v>
      </c>
      <c r="F1424" t="s">
        <v>59</v>
      </c>
      <c r="G1424">
        <v>-405.74310000000003</v>
      </c>
      <c r="H1424" s="1">
        <v>6.3498230000000002E-6</v>
      </c>
      <c r="I1424">
        <v>282.22370000000001</v>
      </c>
      <c r="J1424">
        <v>-388.06979999999999</v>
      </c>
      <c r="K1424">
        <v>1.1052439999999999</v>
      </c>
      <c r="L1424">
        <v>284.36680000000001</v>
      </c>
      <c r="M1424">
        <v>-0.99973520000000005</v>
      </c>
      <c r="N1424">
        <v>0</v>
      </c>
      <c r="O1424">
        <v>1.7048319999999999E-2</v>
      </c>
      <c r="P1424">
        <v>-0.99451509999999999</v>
      </c>
      <c r="Q1424">
        <v>1.6702769999999999E-2</v>
      </c>
      <c r="R1424">
        <v>-0.1032513</v>
      </c>
      <c r="S1424">
        <v>-2.9835820000000002</v>
      </c>
      <c r="T1424">
        <v>-0.18107119999999999</v>
      </c>
      <c r="U1424">
        <v>-0.34960940000000001</v>
      </c>
      <c r="V1424">
        <v>-0.1202829</v>
      </c>
      <c r="W1424">
        <v>3.1711330000000003E-2</v>
      </c>
      <c r="X1424">
        <v>0.99223300000000003</v>
      </c>
      <c r="Y1424">
        <v>-0.13302649999999999</v>
      </c>
      <c r="Z1424">
        <v>-5.049741E-3</v>
      </c>
      <c r="AA1424">
        <v>0.99109959999999997</v>
      </c>
      <c r="AB1424">
        <v>56</v>
      </c>
      <c r="AC1424">
        <v>-17.673300000000001</v>
      </c>
      <c r="AD1424">
        <v>-1.105237650177</v>
      </c>
      <c r="AE1424">
        <v>-2.1431</v>
      </c>
      <c r="AF1424">
        <v>-2.4347405055438398</v>
      </c>
      <c r="AG1424">
        <v>-1.105237650177</v>
      </c>
      <c r="AH1424">
        <v>17.5664851571592</v>
      </c>
      <c r="AI1424">
        <v>93.566154821319699</v>
      </c>
      <c r="AJ1424">
        <v>97.891005325138806</v>
      </c>
      <c r="AK1424">
        <v>17.7688185417433</v>
      </c>
      <c r="AL1424">
        <v>88.182769890016104</v>
      </c>
      <c r="AM1424">
        <v>96.911923294527497</v>
      </c>
      <c r="AN1424">
        <v>0.99999995538588804</v>
      </c>
    </row>
    <row r="1425" spans="1:40" x14ac:dyDescent="0.3">
      <c r="A1425" t="str">
        <f>"20200111153859985"</f>
        <v>20200111153859985</v>
      </c>
      <c r="B1425" t="str">
        <f>"1578728339981893"</f>
        <v>1578728339981893</v>
      </c>
      <c r="C1425" t="s">
        <v>40</v>
      </c>
      <c r="D1425">
        <v>5.0694470000000003</v>
      </c>
      <c r="E1425">
        <v>0.4913941</v>
      </c>
      <c r="F1425" t="s">
        <v>59</v>
      </c>
      <c r="G1425">
        <v>-406.10640000000001</v>
      </c>
      <c r="H1425" s="1">
        <v>6.1986019999999999E-6</v>
      </c>
      <c r="I1425">
        <v>282.17599999999999</v>
      </c>
      <c r="J1425">
        <v>-388.63170000000002</v>
      </c>
      <c r="K1425">
        <v>1.1052690000000001</v>
      </c>
      <c r="L1425">
        <v>284.3759</v>
      </c>
      <c r="M1425">
        <v>-0.99974989999999997</v>
      </c>
      <c r="N1425">
        <v>0</v>
      </c>
      <c r="O1425">
        <v>1.6160049999999999E-2</v>
      </c>
      <c r="P1425">
        <v>-0.99404130000000002</v>
      </c>
      <c r="Q1425">
        <v>1.6126930000000001E-2</v>
      </c>
      <c r="R1425">
        <v>-0.1078055</v>
      </c>
      <c r="S1425">
        <v>-2.981995</v>
      </c>
      <c r="T1425">
        <v>-0.18273</v>
      </c>
      <c r="U1425">
        <v>-0.36221310000000001</v>
      </c>
      <c r="V1425">
        <v>-0.1239474</v>
      </c>
      <c r="W1425">
        <v>3.1105569999999999E-2</v>
      </c>
      <c r="X1425">
        <v>0.99180109999999999</v>
      </c>
      <c r="Y1425">
        <v>-0.136326799999999</v>
      </c>
      <c r="Z1425">
        <v>-5.1437890000000002E-3</v>
      </c>
      <c r="AA1425">
        <v>0.99065060000000005</v>
      </c>
      <c r="AB1425">
        <v>56</v>
      </c>
      <c r="AC1425">
        <v>-17.474699999999899</v>
      </c>
      <c r="AD1425">
        <v>-1.1052628013979999</v>
      </c>
      <c r="AE1425">
        <v>-2.1999000000000102</v>
      </c>
      <c r="AF1425">
        <v>-2.4723023558492798</v>
      </c>
      <c r="AG1425">
        <v>-1.1052628013979999</v>
      </c>
      <c r="AH1425">
        <v>17.3684647081101</v>
      </c>
      <c r="AI1425">
        <v>93.604933963508302</v>
      </c>
      <c r="AJ1425">
        <v>98.101305541460405</v>
      </c>
      <c r="AK1425">
        <v>17.578323330618201</v>
      </c>
      <c r="AL1425">
        <v>88.217494538343601</v>
      </c>
      <c r="AM1425">
        <v>97.123438616029802</v>
      </c>
      <c r="AN1425">
        <v>0.99999996820649595</v>
      </c>
    </row>
    <row r="1426" spans="1:40" x14ac:dyDescent="0.3">
      <c r="A1426" t="str">
        <f>"20200111153900009"</f>
        <v>20200111153900009</v>
      </c>
      <c r="B1426" t="str">
        <f>"1578728340002390"</f>
        <v>1578728340002390</v>
      </c>
      <c r="C1426" t="s">
        <v>40</v>
      </c>
      <c r="D1426">
        <v>5.0634199999999998</v>
      </c>
      <c r="E1426">
        <v>0.49162519999999998</v>
      </c>
      <c r="F1426" t="s">
        <v>59</v>
      </c>
      <c r="G1426">
        <v>-406.65940000000001</v>
      </c>
      <c r="H1426" s="1">
        <v>5.9680469999999997E-6</v>
      </c>
      <c r="I1426">
        <v>282.10489999999999</v>
      </c>
      <c r="J1426">
        <v>-389.20800000000003</v>
      </c>
      <c r="K1426">
        <v>1.1052820000000001</v>
      </c>
      <c r="L1426">
        <v>284.38479999999998</v>
      </c>
      <c r="M1426">
        <v>-0.9997644</v>
      </c>
      <c r="N1426">
        <v>0</v>
      </c>
      <c r="O1426">
        <v>1.524471E-2</v>
      </c>
      <c r="P1426">
        <v>-0.99348309999999995</v>
      </c>
      <c r="Q1426">
        <v>1.540034E-2</v>
      </c>
      <c r="R1426">
        <v>-0.11293590000000001</v>
      </c>
      <c r="S1426">
        <v>-2.980194</v>
      </c>
      <c r="T1426">
        <v>-0.1827134</v>
      </c>
      <c r="U1426">
        <v>-0.37542720000000002</v>
      </c>
      <c r="V1426">
        <v>-0.128160199999999</v>
      </c>
      <c r="W1426">
        <v>3.0346809999999998E-2</v>
      </c>
      <c r="X1426">
        <v>0.99128910000000003</v>
      </c>
      <c r="Y1426">
        <v>-0.13981199999999999</v>
      </c>
      <c r="Z1426">
        <v>-5.195463E-3</v>
      </c>
      <c r="AA1426">
        <v>0.9901645</v>
      </c>
      <c r="AB1426">
        <v>56</v>
      </c>
      <c r="AC1426">
        <v>-17.4513999999999</v>
      </c>
      <c r="AD1426">
        <v>-1.1052760319529999</v>
      </c>
      <c r="AE1426">
        <v>-2.2798999999999898</v>
      </c>
      <c r="AF1426">
        <v>-2.5357075927172601</v>
      </c>
      <c r="AG1426">
        <v>-1.1052760319529999</v>
      </c>
      <c r="AH1426">
        <v>17.3461984688348</v>
      </c>
      <c r="AI1426">
        <v>93.607640147243899</v>
      </c>
      <c r="AJ1426">
        <v>98.316723246924795</v>
      </c>
      <c r="AK1426">
        <v>17.565365052363099</v>
      </c>
      <c r="AL1426">
        <v>88.260988917633497</v>
      </c>
      <c r="AM1426">
        <v>97.366701744328495</v>
      </c>
      <c r="AN1426">
        <v>1.0000000227600101</v>
      </c>
    </row>
    <row r="1427" spans="1:40" x14ac:dyDescent="0.3">
      <c r="A1427" t="str">
        <f>"20200111153900030"</f>
        <v>20200111153900030</v>
      </c>
      <c r="B1427" t="str">
        <f>"1578728340021909"</f>
        <v>1578728340021909</v>
      </c>
      <c r="C1427" t="s">
        <v>40</v>
      </c>
      <c r="D1427">
        <v>5.1496440000000003</v>
      </c>
      <c r="E1427">
        <v>0.4914385</v>
      </c>
      <c r="F1427" t="s">
        <v>59</v>
      </c>
      <c r="G1427">
        <v>-407.18040000000002</v>
      </c>
      <c r="H1427" s="1">
        <v>5.7508960000000002E-6</v>
      </c>
      <c r="I1427">
        <v>282.03769999999997</v>
      </c>
      <c r="J1427">
        <v>-389.74529999999999</v>
      </c>
      <c r="K1427">
        <v>1.105297</v>
      </c>
      <c r="L1427">
        <v>284.39249999999998</v>
      </c>
      <c r="M1427">
        <v>-0.99977709999999997</v>
      </c>
      <c r="N1427">
        <v>0</v>
      </c>
      <c r="O1427">
        <v>1.4388140000000001E-2</v>
      </c>
      <c r="P1427">
        <v>-0.99248970000000003</v>
      </c>
      <c r="Q1427">
        <v>1.4345689999999999E-2</v>
      </c>
      <c r="R1427">
        <v>-0.1214846</v>
      </c>
      <c r="S1427">
        <v>-2.9783019999999998</v>
      </c>
      <c r="T1427">
        <v>-0.1831622</v>
      </c>
      <c r="U1427">
        <v>-0.38894649999999997</v>
      </c>
      <c r="V1427">
        <v>-0.13584189999999999</v>
      </c>
      <c r="W1427">
        <v>2.9243890000000002E-2</v>
      </c>
      <c r="X1427">
        <v>0.99029880000000003</v>
      </c>
      <c r="Y1427">
        <v>-0.14345579999999999</v>
      </c>
      <c r="Z1427">
        <v>-5.2690200000000001E-3</v>
      </c>
      <c r="AA1427">
        <v>0.98964269999999999</v>
      </c>
      <c r="AB1427">
        <v>56</v>
      </c>
      <c r="AC1427">
        <v>-17.435099999999998</v>
      </c>
      <c r="AD1427">
        <v>-1.1052912491039999</v>
      </c>
      <c r="AE1427">
        <v>-2.3548000000000102</v>
      </c>
      <c r="AF1427">
        <v>-2.5952018469498799</v>
      </c>
      <c r="AG1427">
        <v>-1.1052912491039999</v>
      </c>
      <c r="AH1427">
        <v>17.331006160025002</v>
      </c>
      <c r="AI1427">
        <v>93.608987458781201</v>
      </c>
      <c r="AJ1427">
        <v>98.516380214234303</v>
      </c>
      <c r="AK1427">
        <v>17.559057944279999</v>
      </c>
      <c r="AL1427">
        <v>88.324209560999705</v>
      </c>
      <c r="AM1427">
        <v>97.810667338676396</v>
      </c>
      <c r="AN1427">
        <v>0.99999997008968999</v>
      </c>
    </row>
    <row r="1428" spans="1:40" x14ac:dyDescent="0.3">
      <c r="A1428" t="str">
        <f>"20200111153900053"</f>
        <v>20200111153900053</v>
      </c>
      <c r="B1428" t="str">
        <f>"1578728340042405"</f>
        <v>1578728340042405</v>
      </c>
      <c r="C1428" t="s">
        <v>40</v>
      </c>
      <c r="D1428">
        <v>4.7726810000000004</v>
      </c>
      <c r="E1428">
        <v>0.48774830000000002</v>
      </c>
      <c r="F1428" t="s">
        <v>59</v>
      </c>
      <c r="G1428">
        <v>-407.26859999999999</v>
      </c>
      <c r="H1428" s="1">
        <v>5.7315470000000003E-6</v>
      </c>
      <c r="I1428">
        <v>281.94189999999998</v>
      </c>
      <c r="J1428">
        <v>-390.2971</v>
      </c>
      <c r="K1428">
        <v>1.105307</v>
      </c>
      <c r="L1428">
        <v>284.40010000000001</v>
      </c>
      <c r="M1428">
        <v>-0.9997895</v>
      </c>
      <c r="N1428">
        <v>0</v>
      </c>
      <c r="O1428">
        <v>1.3505359999999999E-2</v>
      </c>
      <c r="P1428">
        <v>-0.99077479999999996</v>
      </c>
      <c r="Q1428">
        <v>1.4396839999999999E-2</v>
      </c>
      <c r="R1428">
        <v>-0.1347527</v>
      </c>
      <c r="S1428">
        <v>-2.9744869999999999</v>
      </c>
      <c r="T1428">
        <v>-0.18761739999999999</v>
      </c>
      <c r="U1428">
        <v>-0.4159851</v>
      </c>
      <c r="V1428">
        <v>-0.1482125</v>
      </c>
      <c r="W1428">
        <v>2.922102E-2</v>
      </c>
      <c r="X1428">
        <v>0.98852370000000001</v>
      </c>
      <c r="Y1428">
        <v>-0.1515454</v>
      </c>
      <c r="Z1428">
        <v>-5.5987930000000003E-3</v>
      </c>
      <c r="AA1428">
        <v>0.98843440000000005</v>
      </c>
      <c r="AB1428">
        <v>56</v>
      </c>
      <c r="AC1428">
        <v>-16.971499999999899</v>
      </c>
      <c r="AD1428">
        <v>-1.1053012684529999</v>
      </c>
      <c r="AE1428">
        <v>-2.4582000000000299</v>
      </c>
      <c r="AF1428">
        <v>-2.6760918741180002</v>
      </c>
      <c r="AG1428">
        <v>-1.1053012684529999</v>
      </c>
      <c r="AH1428">
        <v>16.8666787513895</v>
      </c>
      <c r="AI1428">
        <v>93.703136633136396</v>
      </c>
      <c r="AJ1428">
        <v>99.015482971866405</v>
      </c>
      <c r="AK1428">
        <v>17.113386886158398</v>
      </c>
      <c r="AL1428">
        <v>88.325520457699398</v>
      </c>
      <c r="AM1428">
        <v>98.527021210407796</v>
      </c>
      <c r="AN1428">
        <v>0.99999995931388896</v>
      </c>
    </row>
    <row r="1429" spans="1:40" x14ac:dyDescent="0.3">
      <c r="A1429" t="str">
        <f>"20200111153900080"</f>
        <v>20200111153900080</v>
      </c>
      <c r="B1429" t="str">
        <f>"1578728340071685"</f>
        <v>1578728340071685</v>
      </c>
      <c r="C1429" t="s">
        <v>40</v>
      </c>
      <c r="D1429">
        <v>4.7320310000000001</v>
      </c>
      <c r="E1429">
        <v>0.35677510000000001</v>
      </c>
      <c r="F1429" t="s">
        <v>59</v>
      </c>
      <c r="G1429">
        <v>-407.17309999999998</v>
      </c>
      <c r="H1429" s="1">
        <v>5.8358559999999999E-6</v>
      </c>
      <c r="I1429">
        <v>281.6422</v>
      </c>
      <c r="J1429">
        <v>-390.90300000000002</v>
      </c>
      <c r="K1429">
        <v>1.1053090000000001</v>
      </c>
      <c r="L1429">
        <v>284.40769999999998</v>
      </c>
      <c r="M1429">
        <v>-0.99980219999999997</v>
      </c>
      <c r="N1429">
        <v>0</v>
      </c>
      <c r="O1429">
        <v>1.2532740000000001E-2</v>
      </c>
      <c r="P1429">
        <v>-0.9885678</v>
      </c>
      <c r="Q1429">
        <v>1.287903E-2</v>
      </c>
      <c r="R1429">
        <v>-0.1502261</v>
      </c>
      <c r="S1429">
        <v>-2.964874</v>
      </c>
      <c r="T1429">
        <v>-0.19418630000000001</v>
      </c>
      <c r="U1429">
        <v>-0.4845276</v>
      </c>
      <c r="V1429">
        <v>-0.1626908</v>
      </c>
      <c r="W1429">
        <v>2.761568E-2</v>
      </c>
      <c r="X1429">
        <v>0.98629060000000002</v>
      </c>
      <c r="Y1429">
        <v>-0.17325270000000001</v>
      </c>
      <c r="Z1429">
        <v>-6.445213E-3</v>
      </c>
      <c r="AA1429">
        <v>0.98485630000000002</v>
      </c>
      <c r="AB1429">
        <v>55</v>
      </c>
      <c r="AC1429">
        <v>-16.2700999999999</v>
      </c>
      <c r="AD1429">
        <v>-1.1053031641439901</v>
      </c>
      <c r="AE1429">
        <v>-2.7654999999999701</v>
      </c>
      <c r="AF1429">
        <v>-2.9559569972419899</v>
      </c>
      <c r="AG1429">
        <v>-1.1053031641439901</v>
      </c>
      <c r="AH1429">
        <v>16.161664962643599</v>
      </c>
      <c r="AI1429">
        <v>93.848742514344096</v>
      </c>
      <c r="AJ1429">
        <v>100.364795631788</v>
      </c>
      <c r="AK1429">
        <v>16.466899866670499</v>
      </c>
      <c r="AL1429">
        <v>88.417536961548294</v>
      </c>
      <c r="AM1429">
        <v>99.366718680046503</v>
      </c>
      <c r="AN1429">
        <v>1.0000000349174301</v>
      </c>
    </row>
    <row r="1430" spans="1:40" x14ac:dyDescent="0.3">
      <c r="A1430" t="str">
        <f>"20200111153900143"</f>
        <v>20200111153900143</v>
      </c>
      <c r="B1430" t="str">
        <f>"1578728340131729"</f>
        <v>1578728340131729</v>
      </c>
      <c r="C1430" t="s">
        <v>40</v>
      </c>
      <c r="D1430">
        <v>4.9644079999999997</v>
      </c>
      <c r="E1430">
        <v>0.32639859999999998</v>
      </c>
      <c r="F1430" t="s">
        <v>59</v>
      </c>
      <c r="G1430">
        <v>-404.61829999999998</v>
      </c>
      <c r="H1430">
        <v>8.000119E-2</v>
      </c>
      <c r="I1430">
        <v>276.73520000000002</v>
      </c>
      <c r="J1430">
        <v>-392.51119999999997</v>
      </c>
      <c r="K1430">
        <v>1.1053200000000001</v>
      </c>
      <c r="L1430">
        <v>284.42500000000001</v>
      </c>
      <c r="M1430">
        <v>-0.99983160000000004</v>
      </c>
      <c r="N1430">
        <v>0</v>
      </c>
      <c r="O1430">
        <v>9.9390480000000007E-3</v>
      </c>
      <c r="P1430">
        <v>-0.98092000000000001</v>
      </c>
      <c r="Q1430">
        <v>9.3777180000000002E-3</v>
      </c>
      <c r="R1430">
        <v>-0.19418569999999999</v>
      </c>
      <c r="S1430">
        <v>-2.7994690000000002</v>
      </c>
      <c r="T1430">
        <v>-0.20927789999999999</v>
      </c>
      <c r="U1430">
        <v>-1.5660400000000001</v>
      </c>
      <c r="V1430">
        <v>-0.2040023</v>
      </c>
      <c r="W1430">
        <v>2.3847529999999999E-2</v>
      </c>
      <c r="X1430">
        <v>0.97867990000000005</v>
      </c>
      <c r="Y1430">
        <v>-0.49578309999999998</v>
      </c>
      <c r="Z1430">
        <v>-1.7944689999999999E-2</v>
      </c>
      <c r="AA1430">
        <v>0.86826099999999995</v>
      </c>
      <c r="AB1430">
        <v>55</v>
      </c>
      <c r="AC1430">
        <v>-12.107100000000001</v>
      </c>
      <c r="AD1430">
        <v>-1.0253188099999999</v>
      </c>
      <c r="AE1430">
        <v>-7.6897999999999902</v>
      </c>
      <c r="AF1430">
        <v>-7.7700595942668302</v>
      </c>
      <c r="AG1430">
        <v>-1.0253188099999999</v>
      </c>
      <c r="AH1430">
        <v>11.968897992903599</v>
      </c>
      <c r="AI1430">
        <v>94.109762507575894</v>
      </c>
      <c r="AJ1430">
        <v>122.991131461059</v>
      </c>
      <c r="AK1430">
        <v>14.306628670834</v>
      </c>
      <c r="AL1430">
        <v>88.633507629543104</v>
      </c>
      <c r="AM1430">
        <v>101.774497449967</v>
      </c>
      <c r="AN1430">
        <v>0.99999999487820002</v>
      </c>
    </row>
    <row r="1431" spans="1:40" x14ac:dyDescent="0.3">
      <c r="A1431" t="str">
        <f>"20200111153900164"</f>
        <v>20200111153900164</v>
      </c>
      <c r="B1431" t="str">
        <f>"1578728340161985"</f>
        <v>1578728340161985</v>
      </c>
      <c r="C1431" t="s">
        <v>40</v>
      </c>
      <c r="D1431">
        <v>4.6899930000000003</v>
      </c>
      <c r="E1431">
        <v>0.34112330000000002</v>
      </c>
      <c r="F1431" t="s">
        <v>59</v>
      </c>
      <c r="G1431">
        <v>-401.87</v>
      </c>
      <c r="H1431">
        <v>8.0001630000000004E-2</v>
      </c>
      <c r="I1431">
        <v>277.70159999999998</v>
      </c>
      <c r="J1431">
        <v>-393.0573</v>
      </c>
      <c r="K1431">
        <v>1.105334</v>
      </c>
      <c r="L1431">
        <v>284.42989999999998</v>
      </c>
      <c r="M1431">
        <v>-0.99984010000000001</v>
      </c>
      <c r="N1431">
        <v>0</v>
      </c>
      <c r="O1431">
        <v>9.0551360000000001E-3</v>
      </c>
      <c r="P1431">
        <v>-0.97888830000000004</v>
      </c>
      <c r="Q1431">
        <v>1.119329E-2</v>
      </c>
      <c r="R1431">
        <v>-0.20409079999999999</v>
      </c>
      <c r="S1431">
        <v>-2.6799930000000001</v>
      </c>
      <c r="T1431">
        <v>-0.29360910000000001</v>
      </c>
      <c r="U1431">
        <v>-1.9252929999999999</v>
      </c>
      <c r="V1431">
        <v>-0.2130293</v>
      </c>
      <c r="W1431">
        <v>2.559842E-2</v>
      </c>
      <c r="X1431">
        <v>0.97671039999999998</v>
      </c>
      <c r="Y1431">
        <v>-0.58841269999999901</v>
      </c>
      <c r="Z1431">
        <v>-2.9716050000000001E-2</v>
      </c>
      <c r="AA1431">
        <v>0.80801449999999997</v>
      </c>
      <c r="AB1431">
        <v>55</v>
      </c>
      <c r="AC1431">
        <v>-8.8126999999999995</v>
      </c>
      <c r="AD1431">
        <v>-1.0253323700000001</v>
      </c>
      <c r="AE1431">
        <v>-6.7282999999999902</v>
      </c>
      <c r="AF1431">
        <v>-6.7501080837078504</v>
      </c>
      <c r="AG1431">
        <v>-1.0253323700000001</v>
      </c>
      <c r="AH1431">
        <v>8.6771998681315807</v>
      </c>
      <c r="AI1431">
        <v>95.328383696945394</v>
      </c>
      <c r="AJ1431">
        <v>127.879816906103</v>
      </c>
      <c r="AK1431">
        <v>11.041243732578801</v>
      </c>
      <c r="AL1431">
        <v>88.533158319558396</v>
      </c>
      <c r="AM1431">
        <v>102.304031563569</v>
      </c>
      <c r="AN1431">
        <v>0.99999998361657305</v>
      </c>
    </row>
    <row r="1432" spans="1:40" x14ac:dyDescent="0.3">
      <c r="A1432" t="str">
        <f>"20200111153900187"</f>
        <v>20200111153900187</v>
      </c>
      <c r="B1432" t="str">
        <f>"1578728340182481"</f>
        <v>1578728340182481</v>
      </c>
      <c r="C1432" t="s">
        <v>40</v>
      </c>
      <c r="D1432">
        <v>4.8486589999999996</v>
      </c>
      <c r="E1432">
        <v>0.3477635</v>
      </c>
      <c r="F1432" t="s">
        <v>59</v>
      </c>
      <c r="G1432">
        <v>-401.55399999999997</v>
      </c>
      <c r="H1432">
        <v>8.0001589999999997E-2</v>
      </c>
      <c r="I1432">
        <v>278.62380000000002</v>
      </c>
      <c r="J1432">
        <v>-393.6078</v>
      </c>
      <c r="K1432">
        <v>1.1053409999999999</v>
      </c>
      <c r="L1432">
        <v>284.43439999999998</v>
      </c>
      <c r="M1432">
        <v>-0.99984779999999995</v>
      </c>
      <c r="N1432">
        <v>0</v>
      </c>
      <c r="O1432">
        <v>8.1633230000000001E-3</v>
      </c>
      <c r="P1432">
        <v>-0.97716420000000004</v>
      </c>
      <c r="Q1432">
        <v>1.204531E-2</v>
      </c>
      <c r="R1432">
        <v>-0.2121449</v>
      </c>
      <c r="S1432">
        <v>-2.6857600000000001</v>
      </c>
      <c r="T1432">
        <v>-0.3240981</v>
      </c>
      <c r="U1432">
        <v>-1.8352660000000001</v>
      </c>
      <c r="V1432">
        <v>-0.22020000000000001</v>
      </c>
      <c r="W1432">
        <v>2.639733E-2</v>
      </c>
      <c r="X1432">
        <v>0.97509749999999995</v>
      </c>
      <c r="Y1432">
        <v>-0.56805490000000003</v>
      </c>
      <c r="Z1432">
        <v>-3.1806479999999998E-2</v>
      </c>
      <c r="AA1432">
        <v>0.82237579999999999</v>
      </c>
      <c r="AB1432">
        <v>55</v>
      </c>
      <c r="AC1432">
        <v>-7.9462000000000304</v>
      </c>
      <c r="AD1432">
        <v>-1.02533941</v>
      </c>
      <c r="AE1432">
        <v>-5.81059999999996</v>
      </c>
      <c r="AF1432">
        <v>-5.8122248190900798</v>
      </c>
      <c r="AG1432">
        <v>-1.02533941</v>
      </c>
      <c r="AH1432">
        <v>7.8137248825724104</v>
      </c>
      <c r="AI1432">
        <v>96.010435393465997</v>
      </c>
      <c r="AJ1432">
        <v>126.643646795447</v>
      </c>
      <c r="AK1432">
        <v>9.7922201156774005</v>
      </c>
      <c r="AL1432">
        <v>88.487368689287806</v>
      </c>
      <c r="AM1432">
        <v>102.72528899058</v>
      </c>
      <c r="AN1432">
        <v>0.999999996768689</v>
      </c>
    </row>
    <row r="1433" spans="1:40" x14ac:dyDescent="0.3">
      <c r="A1433" t="str">
        <f>"20200111153900210"</f>
        <v>20200111153900210</v>
      </c>
      <c r="B1433" t="str">
        <f>"1578728340202006"</f>
        <v>1578728340202006</v>
      </c>
      <c r="C1433" t="s">
        <v>40</v>
      </c>
      <c r="D1433">
        <v>4.6803280000000003</v>
      </c>
      <c r="E1433">
        <v>0.34452500000000003</v>
      </c>
      <c r="F1433" t="s">
        <v>41</v>
      </c>
      <c r="G1433">
        <v>-394.48669999999998</v>
      </c>
      <c r="H1433">
        <v>0.99418220000000002</v>
      </c>
      <c r="I1433">
        <v>283.8433</v>
      </c>
      <c r="J1433">
        <v>-394.1755</v>
      </c>
      <c r="K1433">
        <v>1.1053440000000001</v>
      </c>
      <c r="L1433">
        <v>284.43860000000001</v>
      </c>
      <c r="M1433">
        <v>-0.99985489999999999</v>
      </c>
      <c r="N1433">
        <v>0</v>
      </c>
      <c r="O1433">
        <v>7.241913E-3</v>
      </c>
      <c r="P1433">
        <v>-0.97542740000000006</v>
      </c>
      <c r="Q1433">
        <v>1.1479700000000001E-2</v>
      </c>
      <c r="R1433">
        <v>-0.22002240000000001</v>
      </c>
      <c r="S1433">
        <v>-2.6825869999999998</v>
      </c>
      <c r="T1433">
        <v>-0.33924530000000003</v>
      </c>
      <c r="U1433">
        <v>-1.8041689999999999</v>
      </c>
      <c r="V1433">
        <v>-0.227164</v>
      </c>
      <c r="W1433">
        <v>2.578051E-2</v>
      </c>
      <c r="X1433">
        <v>0.97351520000000002</v>
      </c>
      <c r="Y1433">
        <v>-0.56094599999999994</v>
      </c>
      <c r="Z1433">
        <v>-3.2902250000000001E-2</v>
      </c>
      <c r="AA1433">
        <v>0.82719830000000005</v>
      </c>
      <c r="AB1433">
        <v>55</v>
      </c>
      <c r="AC1433">
        <v>-0.31119999999998499</v>
      </c>
      <c r="AD1433">
        <v>-0.11116180000000001</v>
      </c>
      <c r="AE1433">
        <v>-0.59530000000000804</v>
      </c>
      <c r="AF1433">
        <v>-0.58161082169898504</v>
      </c>
      <c r="AG1433">
        <v>-0.11116180000000001</v>
      </c>
      <c r="AH1433">
        <v>0.298700254766192</v>
      </c>
      <c r="AI1433">
        <v>99.6489641448036</v>
      </c>
      <c r="AJ1433">
        <v>152.81614196458199</v>
      </c>
      <c r="AK1433">
        <v>0.663211833348891</v>
      </c>
      <c r="AL1433">
        <v>88.5227218828567</v>
      </c>
      <c r="AM1433">
        <v>103.134605764881</v>
      </c>
      <c r="AN1433">
        <v>0.99999998111144905</v>
      </c>
    </row>
    <row r="1434" spans="1:40" x14ac:dyDescent="0.3">
      <c r="A1434" t="str">
        <f>"20200111153900231"</f>
        <v>20200111153900231</v>
      </c>
      <c r="B1434" t="str">
        <f>"1578728340222028"</f>
        <v>1578728340222028</v>
      </c>
      <c r="C1434" t="s">
        <v>40</v>
      </c>
      <c r="D1434">
        <v>4.5916709999999998</v>
      </c>
      <c r="E1434">
        <v>0.34579389999999999</v>
      </c>
      <c r="F1434" t="s">
        <v>41</v>
      </c>
      <c r="G1434">
        <v>-394.98500000000001</v>
      </c>
      <c r="H1434">
        <v>1.0137050000000001</v>
      </c>
      <c r="I1434">
        <v>283.87509999999997</v>
      </c>
      <c r="J1434">
        <v>-394.7099</v>
      </c>
      <c r="K1434">
        <v>1.1053459999999999</v>
      </c>
      <c r="L1434">
        <v>284.44200000000001</v>
      </c>
      <c r="M1434">
        <v>-0.99986090000000005</v>
      </c>
      <c r="N1434">
        <v>0</v>
      </c>
      <c r="O1434">
        <v>6.3740430000000002E-3</v>
      </c>
      <c r="P1434">
        <v>-0.9741881</v>
      </c>
      <c r="Q1434">
        <v>1.128447E-2</v>
      </c>
      <c r="R1434">
        <v>-0.22545580000000001</v>
      </c>
      <c r="S1434">
        <v>-2.661133</v>
      </c>
      <c r="T1434">
        <v>-0.30120459999999999</v>
      </c>
      <c r="U1434">
        <v>-1.852905</v>
      </c>
      <c r="V1434">
        <v>-0.2317437</v>
      </c>
      <c r="W1434">
        <v>2.554932E-2</v>
      </c>
      <c r="X1434">
        <v>0.97244129999999995</v>
      </c>
      <c r="Y1434">
        <v>-0.57413239999999999</v>
      </c>
      <c r="Z1434">
        <v>-2.9871689999999999E-2</v>
      </c>
      <c r="AA1434">
        <v>0.81821739999999998</v>
      </c>
      <c r="AB1434">
        <v>55</v>
      </c>
      <c r="AC1434">
        <v>-0.275100000000009</v>
      </c>
      <c r="AD1434">
        <v>-9.1641E-2</v>
      </c>
      <c r="AE1434">
        <v>-0.56690000000003204</v>
      </c>
      <c r="AF1434">
        <v>-0.55686402837412696</v>
      </c>
      <c r="AG1434">
        <v>-9.1641E-2</v>
      </c>
      <c r="AH1434">
        <v>0.26585741949042602</v>
      </c>
      <c r="AI1434">
        <v>98.447223850685106</v>
      </c>
      <c r="AJ1434">
        <v>154.47930805339499</v>
      </c>
      <c r="AK1434">
        <v>0.62383955186904305</v>
      </c>
      <c r="AL1434">
        <v>88.535972481057499</v>
      </c>
      <c r="AM1434">
        <v>103.40420967707701</v>
      </c>
      <c r="AN1434">
        <v>0.99999999609392098</v>
      </c>
    </row>
    <row r="1435" spans="1:40" x14ac:dyDescent="0.3">
      <c r="A1435" t="str">
        <f>"20200111153900254"</f>
        <v>20200111153900254</v>
      </c>
      <c r="B1435" t="str">
        <f>"1578728340242525"</f>
        <v>1578728340242525</v>
      </c>
      <c r="C1435" t="s">
        <v>40</v>
      </c>
      <c r="D1435">
        <v>4.7025930000000002</v>
      </c>
      <c r="E1435">
        <v>0.34568850000000001</v>
      </c>
      <c r="F1435" t="s">
        <v>41</v>
      </c>
      <c r="G1435">
        <v>-395.48180000000002</v>
      </c>
      <c r="H1435">
        <v>1.0130170000000001</v>
      </c>
      <c r="I1435">
        <v>283.90190000000001</v>
      </c>
      <c r="J1435">
        <v>-395.24810000000002</v>
      </c>
      <c r="K1435">
        <v>1.105342</v>
      </c>
      <c r="L1435">
        <v>284.44490000000002</v>
      </c>
      <c r="M1435">
        <v>-0.99986609999999998</v>
      </c>
      <c r="N1435">
        <v>0</v>
      </c>
      <c r="O1435">
        <v>5.4985640000000001E-3</v>
      </c>
      <c r="P1435">
        <v>-0.973665</v>
      </c>
      <c r="Q1435">
        <v>1.1196340000000001E-2</v>
      </c>
      <c r="R1435">
        <v>-0.22770869999999999</v>
      </c>
      <c r="S1435">
        <v>-2.6535340000000001</v>
      </c>
      <c r="T1435">
        <v>-0.31736429999999999</v>
      </c>
      <c r="U1435">
        <v>-1.8564449999999999</v>
      </c>
      <c r="V1435">
        <v>-0.2331416</v>
      </c>
      <c r="W1435">
        <v>2.5447310000000001E-2</v>
      </c>
      <c r="X1435">
        <v>0.97210980000000002</v>
      </c>
      <c r="Y1435">
        <v>-0.57496329999999995</v>
      </c>
      <c r="Z1435">
        <v>-3.1479399999999998E-2</v>
      </c>
      <c r="AA1435">
        <v>0.81757340000000001</v>
      </c>
      <c r="AB1435">
        <v>55</v>
      </c>
      <c r="AC1435">
        <v>-0.23369999999999799</v>
      </c>
      <c r="AD1435">
        <v>-9.2325000000000004E-2</v>
      </c>
      <c r="AE1435">
        <v>-0.54300000000000603</v>
      </c>
      <c r="AF1435">
        <v>-0.53131742236549195</v>
      </c>
      <c r="AG1435">
        <v>-9.2325000000000004E-2</v>
      </c>
      <c r="AH1435">
        <v>0.22521704984412</v>
      </c>
      <c r="AI1435">
        <v>99.089527236780796</v>
      </c>
      <c r="AJ1435">
        <v>157.02868053014299</v>
      </c>
      <c r="AK1435">
        <v>0.584418367673877</v>
      </c>
      <c r="AL1435">
        <v>88.5418191553496</v>
      </c>
      <c r="AM1435">
        <v>103.486551365886</v>
      </c>
      <c r="AN1435">
        <v>1.0000000172464101</v>
      </c>
    </row>
    <row r="1436" spans="1:40" x14ac:dyDescent="0.3">
      <c r="A1436" t="str">
        <f>"20200111153900276"</f>
        <v>20200111153900276</v>
      </c>
      <c r="B1436" t="str">
        <f>"1578728340271804"</f>
        <v>1578728340271804</v>
      </c>
      <c r="C1436" t="s">
        <v>40</v>
      </c>
      <c r="D1436">
        <v>5.0301330000000002</v>
      </c>
      <c r="E1436">
        <v>0.34776560000000001</v>
      </c>
      <c r="F1436" t="s">
        <v>41</v>
      </c>
      <c r="G1436">
        <v>-395.97890000000001</v>
      </c>
      <c r="H1436">
        <v>1.019253</v>
      </c>
      <c r="I1436">
        <v>283.93090000000001</v>
      </c>
      <c r="J1436">
        <v>-395.79910000000001</v>
      </c>
      <c r="K1436">
        <v>1.1053329999999999</v>
      </c>
      <c r="L1436">
        <v>284.44749999999999</v>
      </c>
      <c r="M1436">
        <v>-0.9998707</v>
      </c>
      <c r="N1436">
        <v>0</v>
      </c>
      <c r="O1436">
        <v>4.6022329999999998E-3</v>
      </c>
      <c r="P1436">
        <v>-0.97383450000000005</v>
      </c>
      <c r="Q1436">
        <v>1.0525339999999999E-2</v>
      </c>
      <c r="R1436">
        <v>-0.22701499999999999</v>
      </c>
      <c r="S1436">
        <v>-2.648895</v>
      </c>
      <c r="T1436">
        <v>-0.31201790000000001</v>
      </c>
      <c r="U1436">
        <v>-1.863434</v>
      </c>
      <c r="V1436">
        <v>-0.23157469999999999</v>
      </c>
      <c r="W1436">
        <v>2.4782809999999999E-2</v>
      </c>
      <c r="X1436">
        <v>0.97250139999999996</v>
      </c>
      <c r="Y1436">
        <v>-0.57643489999999997</v>
      </c>
      <c r="Z1436">
        <v>-3.095794E-2</v>
      </c>
      <c r="AA1436">
        <v>0.81655649999999902</v>
      </c>
      <c r="AB1436">
        <v>55</v>
      </c>
      <c r="AC1436">
        <v>-0.17979999999999999</v>
      </c>
      <c r="AD1436">
        <v>-8.6079999999999907E-2</v>
      </c>
      <c r="AE1436">
        <v>-0.51659999999998196</v>
      </c>
      <c r="AF1436">
        <v>-0.50491783542377899</v>
      </c>
      <c r="AG1436">
        <v>-8.6079999999999907E-2</v>
      </c>
      <c r="AH1436">
        <v>0.17313267509821401</v>
      </c>
      <c r="AI1436">
        <v>99.160995135541299</v>
      </c>
      <c r="AJ1436">
        <v>161.07352904557101</v>
      </c>
      <c r="AK1436">
        <v>0.54067246102950195</v>
      </c>
      <c r="AL1436">
        <v>88.579904191335501</v>
      </c>
      <c r="AM1436">
        <v>103.39398906229999</v>
      </c>
      <c r="AN1436">
        <v>1.00000000117677</v>
      </c>
    </row>
    <row r="1437" spans="1:40" x14ac:dyDescent="0.3">
      <c r="A1437" t="str">
        <f>"20200111153900299"</f>
        <v>20200111153900299</v>
      </c>
      <c r="B1437" t="str">
        <f>"1578728340292302"</f>
        <v>1578728340292302</v>
      </c>
      <c r="C1437" t="s">
        <v>40</v>
      </c>
      <c r="D1437">
        <v>5.0500489999999996</v>
      </c>
      <c r="E1437">
        <v>0.34974159999999999</v>
      </c>
      <c r="F1437" t="s">
        <v>59</v>
      </c>
      <c r="G1437">
        <v>-403.80680000000001</v>
      </c>
      <c r="H1437">
        <v>8.0001230000000007E-2</v>
      </c>
      <c r="I1437">
        <v>278.8895</v>
      </c>
      <c r="J1437">
        <v>-396.36079999999998</v>
      </c>
      <c r="K1437">
        <v>1.105316</v>
      </c>
      <c r="L1437">
        <v>284.44959999999998</v>
      </c>
      <c r="M1437">
        <v>-0.99987459999999995</v>
      </c>
      <c r="N1437">
        <v>0</v>
      </c>
      <c r="O1437">
        <v>3.6867829999999999E-3</v>
      </c>
      <c r="P1437">
        <v>-0.97409710000000005</v>
      </c>
      <c r="Q1437">
        <v>9.2863779999999996E-3</v>
      </c>
      <c r="R1437">
        <v>-0.22594040000000001</v>
      </c>
      <c r="S1437">
        <v>-2.6547550000000002</v>
      </c>
      <c r="T1437">
        <v>-0.33992060000000002</v>
      </c>
      <c r="U1437">
        <v>-1.84259</v>
      </c>
      <c r="V1437">
        <v>-0.22960659999999999</v>
      </c>
      <c r="W1437">
        <v>2.3553879999999999E-2</v>
      </c>
      <c r="X1437">
        <v>0.97299849999999999</v>
      </c>
      <c r="Y1437">
        <v>-0.57004699999999997</v>
      </c>
      <c r="Z1437">
        <v>-3.3244250000000003E-2</v>
      </c>
      <c r="AA1437">
        <v>0.82093919999999998</v>
      </c>
      <c r="AB1437">
        <v>55</v>
      </c>
      <c r="AC1437">
        <v>-7.4460000000000202</v>
      </c>
      <c r="AD1437">
        <v>-1.02531477</v>
      </c>
      <c r="AE1437">
        <v>-5.5600999999999701</v>
      </c>
      <c r="AF1437">
        <v>-5.5203159486364699</v>
      </c>
      <c r="AG1437">
        <v>-1.02531477</v>
      </c>
      <c r="AH1437">
        <v>7.3361419036806303</v>
      </c>
      <c r="AI1437">
        <v>96.372189222938204</v>
      </c>
      <c r="AJ1437">
        <v>126.960808535929</v>
      </c>
      <c r="AK1437">
        <v>9.2381890314763098</v>
      </c>
      <c r="AL1437">
        <v>88.650337308213494</v>
      </c>
      <c r="AM1437">
        <v>103.277662369533</v>
      </c>
      <c r="AN1437">
        <v>1.0000000285144299</v>
      </c>
    </row>
    <row r="1438" spans="1:40" x14ac:dyDescent="0.3">
      <c r="A1438" t="str">
        <f>"20200111153900320"</f>
        <v>20200111153900320</v>
      </c>
      <c r="B1438" t="str">
        <f>"1578728340312017"</f>
        <v>1578728340312017</v>
      </c>
      <c r="C1438" t="s">
        <v>40</v>
      </c>
      <c r="D1438">
        <v>5.0243209999999996</v>
      </c>
      <c r="E1438">
        <v>0.35169709999999899</v>
      </c>
      <c r="F1438" t="s">
        <v>59</v>
      </c>
      <c r="G1438">
        <v>-403.7552</v>
      </c>
      <c r="H1438">
        <v>8.0001199999999995E-2</v>
      </c>
      <c r="I1438">
        <v>279.38900000000001</v>
      </c>
      <c r="J1438">
        <v>-396.90159999999997</v>
      </c>
      <c r="K1438">
        <v>1.1052959999999901</v>
      </c>
      <c r="L1438">
        <v>284.4511</v>
      </c>
      <c r="M1438">
        <v>-0.99987740000000003</v>
      </c>
      <c r="N1438">
        <v>0</v>
      </c>
      <c r="O1438">
        <v>2.8054270000000001E-3</v>
      </c>
      <c r="P1438">
        <v>-0.97448219999999997</v>
      </c>
      <c r="Q1438">
        <v>7.3959569999999999E-3</v>
      </c>
      <c r="R1438">
        <v>-0.2243425</v>
      </c>
      <c r="S1438">
        <v>-2.6609189999999998</v>
      </c>
      <c r="T1438">
        <v>-0.3689655</v>
      </c>
      <c r="U1438">
        <v>-1.821075</v>
      </c>
      <c r="V1438">
        <v>-0.22714580000000001</v>
      </c>
      <c r="W1438">
        <v>2.167705E-2</v>
      </c>
      <c r="X1438">
        <v>0.97361949999999997</v>
      </c>
      <c r="Y1438">
        <v>-0.56339479999999997</v>
      </c>
      <c r="Z1438">
        <v>-3.5545390000000003E-2</v>
      </c>
      <c r="AA1438">
        <v>0.82542280000000001</v>
      </c>
      <c r="AB1438">
        <v>55</v>
      </c>
      <c r="AC1438">
        <v>-6.8536000000000197</v>
      </c>
      <c r="AD1438">
        <v>-1.02529479999999</v>
      </c>
      <c r="AE1438">
        <v>-5.0620999999999796</v>
      </c>
      <c r="AF1438">
        <v>-5.0087804640193401</v>
      </c>
      <c r="AG1438">
        <v>-1.02529479999999</v>
      </c>
      <c r="AH1438">
        <v>6.7417467656236099</v>
      </c>
      <c r="AI1438">
        <v>96.960061004484999</v>
      </c>
      <c r="AJ1438">
        <v>126.610501445476</v>
      </c>
      <c r="AK1438">
        <v>8.46110280137556</v>
      </c>
      <c r="AL1438">
        <v>88.757899258380405</v>
      </c>
      <c r="AM1438">
        <v>103.132231732222</v>
      </c>
      <c r="AN1438">
        <v>1.00000001986729</v>
      </c>
    </row>
    <row r="1439" spans="1:40" x14ac:dyDescent="0.3">
      <c r="A1439" t="str">
        <f>"20200111153900343"</f>
        <v>20200111153900343</v>
      </c>
      <c r="B1439" t="str">
        <f>"1578728340332513"</f>
        <v>1578728340332513</v>
      </c>
      <c r="C1439" t="s">
        <v>40</v>
      </c>
      <c r="D1439">
        <v>5.0236260000000001</v>
      </c>
      <c r="E1439">
        <v>0.35311540000000002</v>
      </c>
      <c r="F1439" t="s">
        <v>59</v>
      </c>
      <c r="G1439">
        <v>-404.07819999999998</v>
      </c>
      <c r="H1439">
        <v>4.1523989999999997E-2</v>
      </c>
      <c r="I1439">
        <v>279.6164</v>
      </c>
      <c r="J1439">
        <v>-397.44</v>
      </c>
      <c r="K1439">
        <v>1.105281</v>
      </c>
      <c r="L1439">
        <v>284.45209999999997</v>
      </c>
      <c r="M1439">
        <v>-0.99987969999999904</v>
      </c>
      <c r="N1439">
        <v>0</v>
      </c>
      <c r="O1439">
        <v>1.9274139999999999E-3</v>
      </c>
      <c r="P1439">
        <v>-0.97465100000000005</v>
      </c>
      <c r="Q1439">
        <v>5.6015140000000001E-3</v>
      </c>
      <c r="R1439">
        <v>-0.2236609</v>
      </c>
      <c r="S1439">
        <v>-2.667786</v>
      </c>
      <c r="T1439">
        <v>-0.39543929999999999</v>
      </c>
      <c r="U1439">
        <v>-1.7972410000000001</v>
      </c>
      <c r="V1439">
        <v>-0.22560330000000001</v>
      </c>
      <c r="W1439">
        <v>1.9889779999999999E-2</v>
      </c>
      <c r="X1439">
        <v>0.9740162</v>
      </c>
      <c r="Y1439">
        <v>-0.55611750000000004</v>
      </c>
      <c r="Z1439">
        <v>-3.7476170000000003E-2</v>
      </c>
      <c r="AA1439">
        <v>0.8302583</v>
      </c>
      <c r="AB1439">
        <v>55</v>
      </c>
      <c r="AC1439">
        <v>-6.6381999999999799</v>
      </c>
      <c r="AD1439">
        <v>-1.06375701</v>
      </c>
      <c r="AE1439">
        <v>-4.8356999999999699</v>
      </c>
      <c r="AF1439">
        <v>-4.7684879039565899</v>
      </c>
      <c r="AG1439">
        <v>-1.06375701</v>
      </c>
      <c r="AH1439">
        <v>6.5194910373065698</v>
      </c>
      <c r="AI1439">
        <v>97.502542556647995</v>
      </c>
      <c r="AJ1439">
        <v>126.18249426522399</v>
      </c>
      <c r="AK1439">
        <v>8.1470129036368402</v>
      </c>
      <c r="AL1439">
        <v>88.860324404687304</v>
      </c>
      <c r="AM1439">
        <v>103.040982092711</v>
      </c>
      <c r="AN1439">
        <v>1.0000000050908799</v>
      </c>
    </row>
    <row r="1440" spans="1:40" x14ac:dyDescent="0.3">
      <c r="A1440" t="str">
        <f>"20200111153900366"</f>
        <v>20200111153900366</v>
      </c>
      <c r="B1440" t="str">
        <f>"1578728340361794"</f>
        <v>1578728340361794</v>
      </c>
      <c r="C1440" t="s">
        <v>40</v>
      </c>
      <c r="D1440">
        <v>5.1221399999999999</v>
      </c>
      <c r="E1440">
        <v>0.35502729999999999</v>
      </c>
      <c r="F1440" t="s">
        <v>59</v>
      </c>
      <c r="G1440">
        <v>-404.55430000000001</v>
      </c>
      <c r="H1440" s="1">
        <v>7.3972289999999901E-6</v>
      </c>
      <c r="I1440">
        <v>279.70609999999999</v>
      </c>
      <c r="J1440">
        <v>-398.00470000000001</v>
      </c>
      <c r="K1440">
        <v>1.105278</v>
      </c>
      <c r="L1440">
        <v>284.45269999999999</v>
      </c>
      <c r="M1440">
        <v>-0.99988100000000002</v>
      </c>
      <c r="N1440">
        <v>0</v>
      </c>
      <c r="O1440">
        <v>1.0060780000000001E-3</v>
      </c>
      <c r="P1440">
        <v>-0.97439989999999999</v>
      </c>
      <c r="Q1440">
        <v>5.3209549999999996E-3</v>
      </c>
      <c r="R1440">
        <v>-0.2247586</v>
      </c>
      <c r="S1440">
        <v>-2.671478</v>
      </c>
      <c r="T1440">
        <v>-0.4150394</v>
      </c>
      <c r="U1440">
        <v>-1.7821959999999999</v>
      </c>
      <c r="V1440">
        <v>-0.22580239999999999</v>
      </c>
      <c r="W1440">
        <v>1.9604679999999999E-2</v>
      </c>
      <c r="X1440">
        <v>0.97397579999999995</v>
      </c>
      <c r="Y1440">
        <v>-0.55120459999999905</v>
      </c>
      <c r="Z1440">
        <v>-3.8853369999999998E-2</v>
      </c>
      <c r="AA1440">
        <v>0.83346500000000001</v>
      </c>
      <c r="AB1440">
        <v>55</v>
      </c>
      <c r="AC1440">
        <v>-6.5495999999999901</v>
      </c>
      <c r="AD1440">
        <v>-1.105270602771</v>
      </c>
      <c r="AE1440">
        <v>-4.7465999999999999</v>
      </c>
      <c r="AF1440">
        <v>-4.6660657627806001</v>
      </c>
      <c r="AG1440">
        <v>-1.105270602771</v>
      </c>
      <c r="AH1440">
        <v>6.42485948739892</v>
      </c>
      <c r="AI1440">
        <v>97.924351491912404</v>
      </c>
      <c r="AJ1440">
        <v>125.98909599804399</v>
      </c>
      <c r="AK1440">
        <v>8.0170201596829607</v>
      </c>
      <c r="AL1440">
        <v>88.876662570163006</v>
      </c>
      <c r="AM1440">
        <v>103.052620023941</v>
      </c>
      <c r="AN1440">
        <v>0.99999996315465001</v>
      </c>
    </row>
    <row r="1441" spans="1:40" x14ac:dyDescent="0.3">
      <c r="A1441" t="str">
        <f>"20200111153900389"</f>
        <v>20200111153900389</v>
      </c>
      <c r="B1441" t="str">
        <f>"1578728340382289"</f>
        <v>1578728340382289</v>
      </c>
      <c r="C1441" t="s">
        <v>40</v>
      </c>
      <c r="D1441">
        <v>4.944007</v>
      </c>
      <c r="E1441">
        <v>0.35593380000000002</v>
      </c>
      <c r="F1441" t="s">
        <v>41</v>
      </c>
      <c r="G1441">
        <v>-398.90289999999999</v>
      </c>
      <c r="H1441">
        <v>0.9607694</v>
      </c>
      <c r="I1441">
        <v>283.85879999999997</v>
      </c>
      <c r="J1441">
        <v>-398.5523</v>
      </c>
      <c r="K1441">
        <v>1.105272</v>
      </c>
      <c r="L1441">
        <v>284.45280000000002</v>
      </c>
      <c r="M1441">
        <v>-0.99988169999999998</v>
      </c>
      <c r="N1441">
        <v>0</v>
      </c>
      <c r="O1441">
        <v>1.121008E-4</v>
      </c>
      <c r="P1441">
        <v>-0.97398929999999995</v>
      </c>
      <c r="Q1441">
        <v>5.1430690000000001E-3</v>
      </c>
      <c r="R1441">
        <v>-0.22653680000000001</v>
      </c>
      <c r="S1441">
        <v>-2.6732480000000001</v>
      </c>
      <c r="T1441">
        <v>-0.4300369</v>
      </c>
      <c r="U1441">
        <v>-1.768402</v>
      </c>
      <c r="V1441">
        <v>-0.22670879999999999</v>
      </c>
      <c r="W1441">
        <v>1.9416849999999999E-2</v>
      </c>
      <c r="X1441">
        <v>0.973769</v>
      </c>
      <c r="Y1441">
        <v>-0.54691579999999995</v>
      </c>
      <c r="Z1441">
        <v>-3.9831129999999999E-2</v>
      </c>
      <c r="AA1441">
        <v>0.83623959999999997</v>
      </c>
      <c r="AB1441">
        <v>55</v>
      </c>
      <c r="AC1441">
        <v>-0.35059999999998498</v>
      </c>
      <c r="AD1441">
        <v>-0.14450260000000001</v>
      </c>
      <c r="AE1441">
        <v>-0.59400000000005004</v>
      </c>
      <c r="AF1441">
        <v>-0.56906306023610798</v>
      </c>
      <c r="AG1441">
        <v>-0.14450260000000001</v>
      </c>
      <c r="AH1441">
        <v>0.33579530734909002</v>
      </c>
      <c r="AI1441">
        <v>102.33606036539</v>
      </c>
      <c r="AJ1441">
        <v>149.455802743775</v>
      </c>
      <c r="AK1441">
        <v>0.67636695393086399</v>
      </c>
      <c r="AL1441">
        <v>88.887426504208804</v>
      </c>
      <c r="AM1441">
        <v>103.10589717872899</v>
      </c>
      <c r="AN1441">
        <v>0.99999997971118104</v>
      </c>
    </row>
    <row r="1442" spans="1:40" x14ac:dyDescent="0.3">
      <c r="A1442" t="str">
        <f>"20200111153900410"</f>
        <v>20200111153900410</v>
      </c>
      <c r="B1442" t="str">
        <f>"1578728340401809"</f>
        <v>1578728340401809</v>
      </c>
      <c r="C1442" t="s">
        <v>40</v>
      </c>
      <c r="D1442">
        <v>5.0970440000000004</v>
      </c>
      <c r="E1442">
        <v>0.35662430000000001</v>
      </c>
      <c r="F1442" t="s">
        <v>41</v>
      </c>
      <c r="G1442">
        <v>-399.39929999999998</v>
      </c>
      <c r="H1442">
        <v>0.96613400000000005</v>
      </c>
      <c r="I1442">
        <v>283.89330000000001</v>
      </c>
      <c r="J1442">
        <v>-399.10019999999997</v>
      </c>
      <c r="K1442">
        <v>1.105267</v>
      </c>
      <c r="L1442">
        <v>284.45229999999998</v>
      </c>
      <c r="M1442">
        <v>-0.99988140000000003</v>
      </c>
      <c r="N1442">
        <v>0</v>
      </c>
      <c r="O1442">
        <v>-7.8193770000000004E-4</v>
      </c>
      <c r="P1442">
        <v>-0.97335799999999995</v>
      </c>
      <c r="Q1442">
        <v>4.0112250000000002E-3</v>
      </c>
      <c r="R1442">
        <v>-0.22925680000000001</v>
      </c>
      <c r="S1442">
        <v>-2.671967</v>
      </c>
      <c r="T1442">
        <v>-0.43895269999999997</v>
      </c>
      <c r="U1442">
        <v>-1.7648619999999999</v>
      </c>
      <c r="V1442">
        <v>-0.2285548</v>
      </c>
      <c r="W1442">
        <v>1.8269299999999999E-2</v>
      </c>
      <c r="X1442">
        <v>0.97335959999999999</v>
      </c>
      <c r="Y1442">
        <v>-0.54539389999999999</v>
      </c>
      <c r="Z1442">
        <v>-4.0432040000000002E-2</v>
      </c>
      <c r="AA1442">
        <v>0.83720409999999901</v>
      </c>
      <c r="AB1442">
        <v>55</v>
      </c>
      <c r="AC1442">
        <v>-0.29910000000000903</v>
      </c>
      <c r="AD1442">
        <v>-0.13913299999999901</v>
      </c>
      <c r="AE1442">
        <v>-0.55899999999996897</v>
      </c>
      <c r="AF1442">
        <v>-0.53309160339071004</v>
      </c>
      <c r="AG1442">
        <v>-0.13913299999999901</v>
      </c>
      <c r="AH1442">
        <v>0.28577385736511202</v>
      </c>
      <c r="AI1442">
        <v>102.95417073338101</v>
      </c>
      <c r="AJ1442">
        <v>151.805622737372</v>
      </c>
      <c r="AK1442">
        <v>0.62065396707667497</v>
      </c>
      <c r="AL1442">
        <v>88.953187964721295</v>
      </c>
      <c r="AM1442">
        <v>103.214247245682</v>
      </c>
      <c r="AN1442">
        <v>0.99999998741884399</v>
      </c>
    </row>
    <row r="1443" spans="1:40" x14ac:dyDescent="0.3">
      <c r="A1443" t="str">
        <f>"20200111153900433"</f>
        <v>20200111153900433</v>
      </c>
      <c r="B1443" t="str">
        <f>"1578728340422305"</f>
        <v>1578728340422305</v>
      </c>
      <c r="C1443" t="s">
        <v>40</v>
      </c>
      <c r="D1443">
        <v>4.9869320000000004</v>
      </c>
      <c r="E1443">
        <v>0.35699969999999998</v>
      </c>
      <c r="F1443" t="s">
        <v>41</v>
      </c>
      <c r="G1443">
        <v>-399.89519999999999</v>
      </c>
      <c r="H1443">
        <v>0.97190089999999996</v>
      </c>
      <c r="I1443">
        <v>283.92610000000002</v>
      </c>
      <c r="J1443">
        <v>-399.6354</v>
      </c>
      <c r="K1443">
        <v>1.105261</v>
      </c>
      <c r="L1443">
        <v>284.45139999999998</v>
      </c>
      <c r="M1443">
        <v>-0.99988030000000006</v>
      </c>
      <c r="N1443">
        <v>0</v>
      </c>
      <c r="O1443">
        <v>-1.65636E-3</v>
      </c>
      <c r="P1443">
        <v>-0.97262190000000004</v>
      </c>
      <c r="Q1443">
        <v>4.0295309999999899E-3</v>
      </c>
      <c r="R1443">
        <v>-0.23235839999999999</v>
      </c>
      <c r="S1443">
        <v>-2.6679689999999998</v>
      </c>
      <c r="T1443">
        <v>-0.44751069999999998</v>
      </c>
      <c r="U1443">
        <v>-1.766357</v>
      </c>
      <c r="V1443">
        <v>-0.23080619999999999</v>
      </c>
      <c r="W1443">
        <v>1.8269299999999999E-2</v>
      </c>
      <c r="X1443">
        <v>0.97282820000000003</v>
      </c>
      <c r="Y1443">
        <v>-0.54536609999999996</v>
      </c>
      <c r="Z1443">
        <v>-4.1122649999999997E-2</v>
      </c>
      <c r="AA1443">
        <v>0.83718859999999995</v>
      </c>
      <c r="AB1443">
        <v>55</v>
      </c>
      <c r="AC1443">
        <v>-0.25979999999998399</v>
      </c>
      <c r="AD1443">
        <v>-0.13336010000000001</v>
      </c>
      <c r="AE1443">
        <v>-0.52529999999995802</v>
      </c>
      <c r="AF1443">
        <v>-0.49902669761407698</v>
      </c>
      <c r="AG1443">
        <v>-0.13336010000000001</v>
      </c>
      <c r="AH1443">
        <v>0.24783561028204601</v>
      </c>
      <c r="AI1443">
        <v>103.46041124940101</v>
      </c>
      <c r="AJ1443">
        <v>153.58925968651101</v>
      </c>
      <c r="AK1443">
        <v>0.57291801414120003</v>
      </c>
      <c r="AL1443">
        <v>88.9531879653277</v>
      </c>
      <c r="AM1443">
        <v>103.346809635425</v>
      </c>
      <c r="AN1443">
        <v>0.99999998799808498</v>
      </c>
    </row>
    <row r="1444" spans="1:40" x14ac:dyDescent="0.3">
      <c r="A1444" t="str">
        <f>"20200111153900455"</f>
        <v>20200111153900455</v>
      </c>
      <c r="B1444" t="str">
        <f>"1578728340451585"</f>
        <v>1578728340451585</v>
      </c>
      <c r="C1444" t="s">
        <v>40</v>
      </c>
      <c r="D1444">
        <v>5.0555260000000004</v>
      </c>
      <c r="E1444">
        <v>0.35757480000000003</v>
      </c>
      <c r="F1444" t="s">
        <v>41</v>
      </c>
      <c r="G1444">
        <v>-400.38889999999998</v>
      </c>
      <c r="H1444">
        <v>0.97748990000000002</v>
      </c>
      <c r="I1444">
        <v>283.9502</v>
      </c>
      <c r="J1444">
        <v>-400.17500000000001</v>
      </c>
      <c r="K1444">
        <v>1.105259</v>
      </c>
      <c r="L1444">
        <v>284.45</v>
      </c>
      <c r="M1444">
        <v>-0.99987839999999995</v>
      </c>
      <c r="N1444">
        <v>0</v>
      </c>
      <c r="O1444">
        <v>-2.5382830000000001E-3</v>
      </c>
      <c r="P1444">
        <v>-0.97184530000000002</v>
      </c>
      <c r="Q1444">
        <v>4.2911019999999998E-3</v>
      </c>
      <c r="R1444">
        <v>-0.2355804</v>
      </c>
      <c r="S1444">
        <v>-2.663116</v>
      </c>
      <c r="T1444">
        <v>-0.4515576</v>
      </c>
      <c r="U1444">
        <v>-1.771423</v>
      </c>
      <c r="V1444">
        <v>-0.23317260000000001</v>
      </c>
      <c r="W1444">
        <v>1.8511489999999999E-2</v>
      </c>
      <c r="X1444">
        <v>0.97225919999999999</v>
      </c>
      <c r="Y1444">
        <v>-0.54633100000000001</v>
      </c>
      <c r="Z1444">
        <v>-4.1472189999999999E-2</v>
      </c>
      <c r="AA1444">
        <v>0.83654200000000001</v>
      </c>
      <c r="AB1444">
        <v>55</v>
      </c>
      <c r="AC1444">
        <v>-0.21389999999996601</v>
      </c>
      <c r="AD1444">
        <v>-0.1277691</v>
      </c>
      <c r="AE1444">
        <v>-0.49979999999999303</v>
      </c>
      <c r="AF1444">
        <v>-0.47312237732609902</v>
      </c>
      <c r="AG1444">
        <v>-0.1277691</v>
      </c>
      <c r="AH1444">
        <v>0.203905342412255</v>
      </c>
      <c r="AI1444">
        <v>103.92851315807501</v>
      </c>
      <c r="AJ1444">
        <v>156.685020177106</v>
      </c>
      <c r="AK1444">
        <v>0.53079856396355096</v>
      </c>
      <c r="AL1444">
        <v>88.9393092128809</v>
      </c>
      <c r="AM1444">
        <v>103.486282174431</v>
      </c>
      <c r="AN1444">
        <v>1.0000000443187</v>
      </c>
    </row>
    <row r="1445" spans="1:40" x14ac:dyDescent="0.3">
      <c r="A1445" t="str">
        <f>"20200111153900477"</f>
        <v>20200111153900477</v>
      </c>
      <c r="B1445" t="str">
        <f>"1578728340472081"</f>
        <v>1578728340472081</v>
      </c>
      <c r="C1445" t="s">
        <v>40</v>
      </c>
      <c r="D1445">
        <v>5.0437190000000003</v>
      </c>
      <c r="E1445">
        <v>0.35805049999999999</v>
      </c>
      <c r="F1445" t="s">
        <v>59</v>
      </c>
      <c r="G1445">
        <v>-406.61750000000001</v>
      </c>
      <c r="H1445" s="1">
        <v>6.3907639999999997E-6</v>
      </c>
      <c r="I1445">
        <v>280.149</v>
      </c>
      <c r="J1445">
        <v>-400.73439999999999</v>
      </c>
      <c r="K1445">
        <v>1.1052500000000001</v>
      </c>
      <c r="L1445">
        <v>284.44810000000001</v>
      </c>
      <c r="M1445">
        <v>-0.99987570000000003</v>
      </c>
      <c r="N1445">
        <v>0</v>
      </c>
      <c r="O1445">
        <v>-3.453926E-3</v>
      </c>
      <c r="P1445">
        <v>-0.97140530000000003</v>
      </c>
      <c r="Q1445">
        <v>3.7652330000000002E-3</v>
      </c>
      <c r="R1445">
        <v>-0.23739679999999999</v>
      </c>
      <c r="S1445">
        <v>-2.658722</v>
      </c>
      <c r="T1445">
        <v>-0.4561231</v>
      </c>
      <c r="U1445">
        <v>-1.774994</v>
      </c>
      <c r="V1445">
        <v>-0.23409779999999999</v>
      </c>
      <c r="W1445">
        <v>1.7976570000000001E-2</v>
      </c>
      <c r="X1445">
        <v>0.97204690000000005</v>
      </c>
      <c r="Y1445">
        <v>-0.54686769999999996</v>
      </c>
      <c r="Z1445">
        <v>-4.1829760000000001E-2</v>
      </c>
      <c r="AA1445">
        <v>0.83617350000000001</v>
      </c>
      <c r="AB1445">
        <v>55</v>
      </c>
      <c r="AC1445">
        <v>-5.8831000000000104</v>
      </c>
      <c r="AD1445">
        <v>-1.1052436092360001</v>
      </c>
      <c r="AE1445">
        <v>-4.2991000000000099</v>
      </c>
      <c r="AF1445">
        <v>-4.1825209647660904</v>
      </c>
      <c r="AG1445">
        <v>-1.1052436092360001</v>
      </c>
      <c r="AH1445">
        <v>5.76526848272335</v>
      </c>
      <c r="AI1445">
        <v>98.820446536818693</v>
      </c>
      <c r="AJ1445">
        <v>125.959704623837</v>
      </c>
      <c r="AK1445">
        <v>7.2078683211021701</v>
      </c>
      <c r="AL1445">
        <v>88.969962984622001</v>
      </c>
      <c r="AM1445">
        <v>103.540676086389</v>
      </c>
      <c r="AN1445">
        <v>1.0000000564167</v>
      </c>
    </row>
    <row r="1446" spans="1:40" x14ac:dyDescent="0.3">
      <c r="A1446" t="str">
        <f>"20200111153900500"</f>
        <v>20200111153900500</v>
      </c>
      <c r="B1446" t="str">
        <f>"1578728340491601"</f>
        <v>1578728340491601</v>
      </c>
      <c r="C1446" t="s">
        <v>40</v>
      </c>
      <c r="D1446">
        <v>5.053274</v>
      </c>
      <c r="E1446">
        <v>0.3583694</v>
      </c>
      <c r="F1446" t="s">
        <v>59</v>
      </c>
      <c r="G1446">
        <v>-407.11110000000002</v>
      </c>
      <c r="H1446" s="1">
        <v>6.1647429999999997E-6</v>
      </c>
      <c r="I1446">
        <v>280.18349999999998</v>
      </c>
      <c r="J1446">
        <v>-401.27390000000003</v>
      </c>
      <c r="K1446">
        <v>1.1052439999999999</v>
      </c>
      <c r="L1446">
        <v>284.44569999999999</v>
      </c>
      <c r="M1446">
        <v>-0.99987250000000005</v>
      </c>
      <c r="N1446">
        <v>0</v>
      </c>
      <c r="O1446">
        <v>-4.3373930000000002E-3</v>
      </c>
      <c r="P1446">
        <v>-0.97143979999999996</v>
      </c>
      <c r="Q1446">
        <v>2.5794390000000002E-3</v>
      </c>
      <c r="R1446">
        <v>-0.23727300000000001</v>
      </c>
      <c r="S1446">
        <v>-2.6560060000000001</v>
      </c>
      <c r="T1446">
        <v>-0.4603544</v>
      </c>
      <c r="U1446">
        <v>-1.77627599999999</v>
      </c>
      <c r="V1446">
        <v>-0.23311100000000001</v>
      </c>
      <c r="W1446">
        <v>1.6794670000000001E-2</v>
      </c>
      <c r="X1446">
        <v>0.97230510000000003</v>
      </c>
      <c r="Y1446">
        <v>-0.5467069</v>
      </c>
      <c r="Z1446">
        <v>-4.2093220000000001E-2</v>
      </c>
      <c r="AA1446">
        <v>0.83626540000000005</v>
      </c>
      <c r="AB1446">
        <v>55</v>
      </c>
      <c r="AC1446">
        <v>-5.8371999999999904</v>
      </c>
      <c r="AD1446">
        <v>-1.105237835257</v>
      </c>
      <c r="AE1446">
        <v>-4.2622</v>
      </c>
      <c r="AF1446">
        <v>-4.14002918681767</v>
      </c>
      <c r="AG1446">
        <v>-1.105237835257</v>
      </c>
      <c r="AH1446">
        <v>5.7218360017165999</v>
      </c>
      <c r="AI1446">
        <v>98.894267339068605</v>
      </c>
      <c r="AJ1446">
        <v>125.887584181401</v>
      </c>
      <c r="AK1446">
        <v>7.1484823263911101</v>
      </c>
      <c r="AL1446">
        <v>89.037691052021401</v>
      </c>
      <c r="AM1446">
        <v>103.482236184608</v>
      </c>
      <c r="AN1446">
        <v>1.0000000033737</v>
      </c>
    </row>
    <row r="1447" spans="1:40" x14ac:dyDescent="0.3">
      <c r="A1447" t="str">
        <f>"20200111153900521"</f>
        <v>20200111153900521</v>
      </c>
      <c r="B1447" t="str">
        <f>"1578728340512100"</f>
        <v>1578728340512100</v>
      </c>
      <c r="C1447" t="s">
        <v>40</v>
      </c>
      <c r="D1447">
        <v>5.131456</v>
      </c>
      <c r="E1447">
        <v>0.35893720000000001</v>
      </c>
      <c r="F1447" t="s">
        <v>59</v>
      </c>
      <c r="G1447">
        <v>-407.57819999999998</v>
      </c>
      <c r="H1447" s="1">
        <v>5.9464679999999997E-6</v>
      </c>
      <c r="I1447">
        <v>280.23750000000001</v>
      </c>
      <c r="J1447">
        <v>-401.81420000000003</v>
      </c>
      <c r="K1447">
        <v>1.105237</v>
      </c>
      <c r="L1447">
        <v>284.44290000000001</v>
      </c>
      <c r="M1447">
        <v>-0.99986830000000004</v>
      </c>
      <c r="N1447">
        <v>0</v>
      </c>
      <c r="O1447">
        <v>-5.2221739999999996E-3</v>
      </c>
      <c r="P1447">
        <v>-0.97182800000000003</v>
      </c>
      <c r="Q1447">
        <v>1.6349330000000001E-3</v>
      </c>
      <c r="R1447">
        <v>-0.23568629999999999</v>
      </c>
      <c r="S1447">
        <v>-2.656342</v>
      </c>
      <c r="T1447">
        <v>-0.46569820000000001</v>
      </c>
      <c r="U1447">
        <v>-1.773163</v>
      </c>
      <c r="V1447">
        <v>-0.23065840000000001</v>
      </c>
      <c r="W1447">
        <v>1.5864489999999998E-2</v>
      </c>
      <c r="X1447">
        <v>0.97290549999999998</v>
      </c>
      <c r="Y1447">
        <v>-0.54513590000000001</v>
      </c>
      <c r="Z1447">
        <v>-4.231994E-2</v>
      </c>
      <c r="AA1447">
        <v>0.83727890000000005</v>
      </c>
      <c r="AB1447">
        <v>55</v>
      </c>
      <c r="AC1447">
        <v>-5.7639999999999496</v>
      </c>
      <c r="AD1447">
        <v>-1.105231053532</v>
      </c>
      <c r="AE1447">
        <v>-4.2053999999999903</v>
      </c>
      <c r="AF1447">
        <v>-4.0774034110502004</v>
      </c>
      <c r="AG1447">
        <v>-1.105231053532</v>
      </c>
      <c r="AH1447">
        <v>5.6503092266835697</v>
      </c>
      <c r="AI1447">
        <v>99.013065606928507</v>
      </c>
      <c r="AJ1447">
        <v>125.81515171031801</v>
      </c>
      <c r="AK1447">
        <v>7.0549804121117701</v>
      </c>
      <c r="AL1447">
        <v>89.090993587626897</v>
      </c>
      <c r="AM1447">
        <v>103.337546475021</v>
      </c>
      <c r="AN1447">
        <v>1.0000000457318801</v>
      </c>
    </row>
    <row r="1448" spans="1:40" x14ac:dyDescent="0.3">
      <c r="A1448" t="str">
        <f>"20200111153900544"</f>
        <v>20200111153900544</v>
      </c>
      <c r="B1448" t="str">
        <f>"1578728340531618"</f>
        <v>1578728340531618</v>
      </c>
      <c r="C1448" t="s">
        <v>40</v>
      </c>
      <c r="D1448">
        <v>5.1379710000000003</v>
      </c>
      <c r="E1448">
        <v>0.35951850000000002</v>
      </c>
      <c r="F1448" t="s">
        <v>59</v>
      </c>
      <c r="G1448">
        <v>-408.05059999999997</v>
      </c>
      <c r="H1448" s="1">
        <v>5.7227040000000004E-6</v>
      </c>
      <c r="I1448">
        <v>280.30650000000003</v>
      </c>
      <c r="J1448">
        <v>-402.34050000000002</v>
      </c>
      <c r="K1448">
        <v>1.105237</v>
      </c>
      <c r="L1448">
        <v>284.43970000000002</v>
      </c>
      <c r="M1448">
        <v>-0.99986339999999996</v>
      </c>
      <c r="N1448">
        <v>0</v>
      </c>
      <c r="O1448">
        <v>-6.0844260000000004E-3</v>
      </c>
      <c r="P1448">
        <v>-0.97270889999999999</v>
      </c>
      <c r="Q1448">
        <v>2.251893E-3</v>
      </c>
      <c r="R1448">
        <v>-0.23201840000000001</v>
      </c>
      <c r="S1448">
        <v>-2.6598820000000001</v>
      </c>
      <c r="T1448">
        <v>-0.47138999999999998</v>
      </c>
      <c r="U1448">
        <v>-1.76422099999999</v>
      </c>
      <c r="V1448">
        <v>-0.22614799999999999</v>
      </c>
      <c r="W1448">
        <v>1.650861E-2</v>
      </c>
      <c r="X1448">
        <v>0.97395310000000002</v>
      </c>
      <c r="Y1448">
        <v>-0.54185220000000001</v>
      </c>
      <c r="Z1448">
        <v>-4.2418879999999999E-2</v>
      </c>
      <c r="AA1448">
        <v>0.8394026</v>
      </c>
      <c r="AB1448">
        <v>55</v>
      </c>
      <c r="AC1448">
        <v>-5.71009999999995</v>
      </c>
      <c r="AD1448">
        <v>-1.105231277296</v>
      </c>
      <c r="AE1448">
        <v>-4.13319999999998</v>
      </c>
      <c r="AF1448">
        <v>-4.0000403416859198</v>
      </c>
      <c r="AG1448">
        <v>-1.105231277296</v>
      </c>
      <c r="AH1448">
        <v>5.5975364614674596</v>
      </c>
      <c r="AI1448">
        <v>99.126412891523003</v>
      </c>
      <c r="AJ1448">
        <v>125.54987609513</v>
      </c>
      <c r="AK1448">
        <v>6.9680896484535699</v>
      </c>
      <c r="AL1448">
        <v>89.054083396320905</v>
      </c>
      <c r="AM1448">
        <v>103.07220624409401</v>
      </c>
      <c r="AN1448">
        <v>1.0000000465538701</v>
      </c>
    </row>
    <row r="1449" spans="1:40" x14ac:dyDescent="0.3">
      <c r="A1449" t="str">
        <f>"20200111153900568"</f>
        <v>20200111153900568</v>
      </c>
      <c r="B1449" t="str">
        <f>"1578728340561873"</f>
        <v>1578728340561873</v>
      </c>
      <c r="C1449" t="s">
        <v>40</v>
      </c>
      <c r="D1449">
        <v>5.0584559999999996</v>
      </c>
      <c r="E1449">
        <v>0.4433531</v>
      </c>
      <c r="F1449" t="s">
        <v>59</v>
      </c>
      <c r="G1449">
        <v>-408.57069999999999</v>
      </c>
      <c r="H1449" s="1">
        <v>5.4819419999999999E-6</v>
      </c>
      <c r="I1449">
        <v>280.35539999999997</v>
      </c>
      <c r="J1449">
        <v>-402.92169999999999</v>
      </c>
      <c r="K1449">
        <v>1.1052299999999999</v>
      </c>
      <c r="L1449">
        <v>284.4357</v>
      </c>
      <c r="M1449">
        <v>-0.9998572</v>
      </c>
      <c r="N1449">
        <v>0</v>
      </c>
      <c r="O1449">
        <v>-7.0373769999999896E-3</v>
      </c>
      <c r="P1449">
        <v>-0.97383459999999999</v>
      </c>
      <c r="Q1449">
        <v>2.7932899999999999E-3</v>
      </c>
      <c r="R1449">
        <v>-0.22724079999999999</v>
      </c>
      <c r="S1449">
        <v>-2.6680600000000001</v>
      </c>
      <c r="T1449">
        <v>-0.47330820000000001</v>
      </c>
      <c r="U1449">
        <v>-1.7490540000000001</v>
      </c>
      <c r="V1449">
        <v>-0.2204362</v>
      </c>
      <c r="W1449">
        <v>1.7085019999999999E-2</v>
      </c>
      <c r="X1449">
        <v>0.97525170000000005</v>
      </c>
      <c r="Y1449">
        <v>-0.53655980000000003</v>
      </c>
      <c r="Z1449">
        <v>-4.1963229999999997E-2</v>
      </c>
      <c r="AA1449">
        <v>0.84281830000000002</v>
      </c>
      <c r="AB1449">
        <v>54</v>
      </c>
      <c r="AC1449">
        <v>-5.649</v>
      </c>
      <c r="AD1449">
        <v>-1.105224518058</v>
      </c>
      <c r="AE1449">
        <v>-4.0803000000000198</v>
      </c>
      <c r="AF1449">
        <v>-3.94129731934756</v>
      </c>
      <c r="AG1449">
        <v>-1.105224518058</v>
      </c>
      <c r="AH1449">
        <v>5.5382638307057102</v>
      </c>
      <c r="AI1449">
        <v>99.235047970088303</v>
      </c>
      <c r="AJ1449">
        <v>125.437500587682</v>
      </c>
      <c r="AK1449">
        <v>6.8867780604079201</v>
      </c>
      <c r="AL1449">
        <v>89.021052780096497</v>
      </c>
      <c r="AM1449">
        <v>102.73654533819401</v>
      </c>
      <c r="AN1449">
        <v>0.99999994726586305</v>
      </c>
    </row>
    <row r="1450" spans="1:40" x14ac:dyDescent="0.3">
      <c r="A1450" t="str">
        <f>"20200111153900590"</f>
        <v>20200111153900590</v>
      </c>
      <c r="B1450" t="str">
        <f>"1578728340582369"</f>
        <v>1578728340582369</v>
      </c>
      <c r="C1450" t="s">
        <v>40</v>
      </c>
      <c r="D1450">
        <v>5.3636059999999999</v>
      </c>
      <c r="E1450">
        <v>0.45858710000000003</v>
      </c>
      <c r="F1450" t="s">
        <v>59</v>
      </c>
      <c r="G1450">
        <v>-411.85399999999998</v>
      </c>
      <c r="H1450" s="1">
        <v>2.852094E-6</v>
      </c>
      <c r="I1450">
        <v>280.98480000000001</v>
      </c>
      <c r="J1450">
        <v>-403.46129999999999</v>
      </c>
      <c r="K1450">
        <v>1.105224</v>
      </c>
      <c r="L1450">
        <v>284.4314</v>
      </c>
      <c r="M1450">
        <v>-0.99985060000000003</v>
      </c>
      <c r="N1450">
        <v>0</v>
      </c>
      <c r="O1450">
        <v>-7.9226279999999993E-3</v>
      </c>
      <c r="P1450">
        <v>-0.97518090000000002</v>
      </c>
      <c r="Q1450">
        <v>2.6659029999999998E-3</v>
      </c>
      <c r="R1450">
        <v>-0.22139310000000001</v>
      </c>
      <c r="S1450">
        <v>-2.8267519999999999</v>
      </c>
      <c r="T1450">
        <v>-0.34976400000000002</v>
      </c>
      <c r="U1450">
        <v>-1.0920719999999999</v>
      </c>
      <c r="V1450">
        <v>-0.2137144</v>
      </c>
      <c r="W1450">
        <v>1.6999199999999999E-2</v>
      </c>
      <c r="X1450">
        <v>0.97674830000000001</v>
      </c>
      <c r="Y1450">
        <v>-0.35069919999999999</v>
      </c>
      <c r="Z1450">
        <v>-1.9927940000000002E-2</v>
      </c>
      <c r="AA1450">
        <v>0.93627609999999994</v>
      </c>
      <c r="AB1450">
        <v>54</v>
      </c>
      <c r="AC1450">
        <v>-8.3927000000000405</v>
      </c>
      <c r="AD1450">
        <v>-1.1052211479059999</v>
      </c>
      <c r="AE1450">
        <v>-3.4465999999999801</v>
      </c>
      <c r="AF1450">
        <v>-3.3305686095496001</v>
      </c>
      <c r="AG1450">
        <v>-1.1052211479059999</v>
      </c>
      <c r="AH1450">
        <v>8.2966302019784592</v>
      </c>
      <c r="AI1450">
        <v>97.0473818326425</v>
      </c>
      <c r="AJ1450">
        <v>111.87231784130201</v>
      </c>
      <c r="AK1450">
        <v>9.0082336646579595</v>
      </c>
      <c r="AL1450">
        <v>89.025970698524603</v>
      </c>
      <c r="AM1450">
        <v>102.34192600614401</v>
      </c>
      <c r="AN1450">
        <v>1.0000000295604401</v>
      </c>
    </row>
    <row r="1451" spans="1:40" x14ac:dyDescent="0.3">
      <c r="A1451" t="str">
        <f>"20200111153900611"</f>
        <v>20200111153900611</v>
      </c>
      <c r="B1451" t="str">
        <f>"1578728340601892"</f>
        <v>1578728340601892</v>
      </c>
      <c r="C1451" t="s">
        <v>40</v>
      </c>
      <c r="D1451">
        <v>5.3706839999999998</v>
      </c>
      <c r="E1451">
        <v>0.54662180000000005</v>
      </c>
      <c r="F1451" t="s">
        <v>59</v>
      </c>
      <c r="G1451">
        <v>-413.05090000000001</v>
      </c>
      <c r="H1451" s="1">
        <v>3.0437799999999998E-6</v>
      </c>
      <c r="I1451">
        <v>281.22089999999997</v>
      </c>
      <c r="J1451">
        <v>-403.97800000000001</v>
      </c>
      <c r="K1451">
        <v>1.1052280000000001</v>
      </c>
      <c r="L1451">
        <v>284.42689999999999</v>
      </c>
      <c r="M1451">
        <v>-0.9998437</v>
      </c>
      <c r="N1451">
        <v>0</v>
      </c>
      <c r="O1451">
        <v>-8.7708030000000006E-3</v>
      </c>
      <c r="P1451">
        <v>-0.97625729999999999</v>
      </c>
      <c r="Q1451">
        <v>2.655063E-3</v>
      </c>
      <c r="R1451">
        <v>-0.2165986</v>
      </c>
      <c r="S1451">
        <v>-2.8598330000000001</v>
      </c>
      <c r="T1451">
        <v>-0.32960149999999999</v>
      </c>
      <c r="U1451">
        <v>-0.95745849999999999</v>
      </c>
      <c r="V1451">
        <v>-0.20808119999999999</v>
      </c>
      <c r="W1451">
        <v>1.7021620000000001E-2</v>
      </c>
      <c r="X1451">
        <v>0.97796340000000004</v>
      </c>
      <c r="Y1451">
        <v>-0.30736829999999998</v>
      </c>
      <c r="Z1451">
        <v>-1.6208779999999999E-2</v>
      </c>
      <c r="AA1451">
        <v>0.95145259999999998</v>
      </c>
      <c r="AB1451">
        <v>54</v>
      </c>
      <c r="AC1451">
        <v>-9.0729000000000006</v>
      </c>
      <c r="AD1451">
        <v>-1.1052249562200001</v>
      </c>
      <c r="AE1451">
        <v>-3.2060000000000102</v>
      </c>
      <c r="AF1451">
        <v>-3.08558573048817</v>
      </c>
      <c r="AG1451">
        <v>-1.1052249562200001</v>
      </c>
      <c r="AH1451">
        <v>8.9821808605121696</v>
      </c>
      <c r="AI1451">
        <v>96.637736578881004</v>
      </c>
      <c r="AJ1451">
        <v>108.958775387222</v>
      </c>
      <c r="AK1451">
        <v>9.5614818158586097</v>
      </c>
      <c r="AL1451">
        <v>89.024685879827203</v>
      </c>
      <c r="AM1451">
        <v>102.011695905986</v>
      </c>
      <c r="AN1451">
        <v>0.99999996654021095</v>
      </c>
    </row>
    <row r="1452" spans="1:40" x14ac:dyDescent="0.3">
      <c r="A1452" t="str">
        <f>"20200111153900634"</f>
        <v>20200111153900634</v>
      </c>
      <c r="B1452" t="str">
        <f>"1578728340622386"</f>
        <v>1578728340622386</v>
      </c>
      <c r="C1452" t="s">
        <v>40</v>
      </c>
      <c r="D1452">
        <v>5.3124419999999999</v>
      </c>
      <c r="E1452">
        <v>0.55649079999999995</v>
      </c>
      <c r="F1452" t="s">
        <v>59</v>
      </c>
      <c r="G1452">
        <v>-421.26069999999999</v>
      </c>
      <c r="H1452" s="1">
        <v>3.8911860000000002E-6</v>
      </c>
      <c r="I1452">
        <v>282.8981</v>
      </c>
      <c r="J1452">
        <v>-404.52120000000002</v>
      </c>
      <c r="K1452">
        <v>1.105235</v>
      </c>
      <c r="L1452">
        <v>284.42169999999999</v>
      </c>
      <c r="M1452">
        <v>-0.99983549999999999</v>
      </c>
      <c r="N1452">
        <v>0</v>
      </c>
      <c r="O1452">
        <v>-9.6626090000000008E-3</v>
      </c>
      <c r="P1452">
        <v>-0.9766842</v>
      </c>
      <c r="Q1452">
        <v>3.0942600000000002E-3</v>
      </c>
      <c r="R1452">
        <v>-0.21465919999999999</v>
      </c>
      <c r="S1452">
        <v>-3.014313</v>
      </c>
      <c r="T1452">
        <v>-0.19276499999999999</v>
      </c>
      <c r="U1452">
        <v>-0.26663209999999998</v>
      </c>
      <c r="V1452">
        <v>-0.2052668</v>
      </c>
      <c r="W1452">
        <v>1.747597E-2</v>
      </c>
      <c r="X1452">
        <v>0.97855000000000003</v>
      </c>
      <c r="Y1452">
        <v>-7.8341869999999994E-2</v>
      </c>
      <c r="Z1452">
        <v>-1.8814669999999999E-3</v>
      </c>
      <c r="AA1452">
        <v>0.99692480000000006</v>
      </c>
      <c r="AB1452">
        <v>54</v>
      </c>
      <c r="AC1452">
        <v>-16.7394999999999</v>
      </c>
      <c r="AD1452">
        <v>-1.1052311088140001</v>
      </c>
      <c r="AE1452">
        <v>-1.5235999999999801</v>
      </c>
      <c r="AF1452">
        <v>-1.3559002821159301</v>
      </c>
      <c r="AG1452">
        <v>-1.1052311088140001</v>
      </c>
      <c r="AH1452">
        <v>16.6813198882145</v>
      </c>
      <c r="AI1452">
        <v>93.778202682340094</v>
      </c>
      <c r="AJ1452">
        <v>94.6469313868093</v>
      </c>
      <c r="AK1452">
        <v>16.772788515684301</v>
      </c>
      <c r="AL1452">
        <v>88.998649686955105</v>
      </c>
      <c r="AM1452">
        <v>101.84695333203599</v>
      </c>
      <c r="AN1452">
        <v>0.99999998560484005</v>
      </c>
    </row>
    <row r="1453" spans="1:40" x14ac:dyDescent="0.3">
      <c r="A1453" t="str">
        <f>"20200111153900656"</f>
        <v>20200111153900656</v>
      </c>
      <c r="B1453" t="str">
        <f>"1578728340651667"</f>
        <v>1578728340651667</v>
      </c>
      <c r="C1453" t="s">
        <v>40</v>
      </c>
      <c r="D1453">
        <v>5.2857500000000002</v>
      </c>
      <c r="E1453">
        <v>0.55743860000000001</v>
      </c>
      <c r="F1453" t="s">
        <v>59</v>
      </c>
      <c r="G1453">
        <v>-423.22930000000002</v>
      </c>
      <c r="H1453" s="1">
        <v>3.5082480000000002E-6</v>
      </c>
      <c r="I1453">
        <v>283.28399999999999</v>
      </c>
      <c r="J1453">
        <v>-405.05759999999998</v>
      </c>
      <c r="K1453">
        <v>1.1052489999999999</v>
      </c>
      <c r="L1453">
        <v>284.416</v>
      </c>
      <c r="M1453">
        <v>-0.99982669999999996</v>
      </c>
      <c r="N1453">
        <v>0</v>
      </c>
      <c r="O1453">
        <v>-1.054357E-2</v>
      </c>
      <c r="P1453">
        <v>-0.97654890000000005</v>
      </c>
      <c r="Q1453">
        <v>5.2972990000000001E-3</v>
      </c>
      <c r="R1453">
        <v>-0.2152308</v>
      </c>
      <c r="S1453">
        <v>-3.0317080000000001</v>
      </c>
      <c r="T1453">
        <v>-0.17910670000000001</v>
      </c>
      <c r="U1453">
        <v>-0.18435670000000001</v>
      </c>
      <c r="V1453">
        <v>-0.20498449999999999</v>
      </c>
      <c r="W1453">
        <v>1.967762E-2</v>
      </c>
      <c r="X1453">
        <v>0.97856739999999998</v>
      </c>
      <c r="Y1453">
        <v>-5.0099949999999997E-2</v>
      </c>
      <c r="Z1453">
        <v>-8.5545749999999996E-4</v>
      </c>
      <c r="AA1453">
        <v>0.99874379999999996</v>
      </c>
      <c r="AB1453">
        <v>54</v>
      </c>
      <c r="AC1453">
        <v>-18.171700000000001</v>
      </c>
      <c r="AD1453">
        <v>-1.1052454917519901</v>
      </c>
      <c r="AE1453">
        <v>-1.1319999999999999</v>
      </c>
      <c r="AF1453">
        <v>-0.936867506060021</v>
      </c>
      <c r="AG1453">
        <v>-1.1052454917519901</v>
      </c>
      <c r="AH1453">
        <v>18.1158683911206</v>
      </c>
      <c r="AI1453">
        <v>93.486628737818506</v>
      </c>
      <c r="AJ1453">
        <v>92.960430911629501</v>
      </c>
      <c r="AK1453">
        <v>18.173716622786699</v>
      </c>
      <c r="AL1453">
        <v>88.872482656874197</v>
      </c>
      <c r="AM1453">
        <v>101.830915484163</v>
      </c>
      <c r="AN1453">
        <v>1.0000000051559299</v>
      </c>
    </row>
    <row r="1454" spans="1:40" x14ac:dyDescent="0.3">
      <c r="A1454" t="str">
        <f>"20200111153900678"</f>
        <v>20200111153900678</v>
      </c>
      <c r="B1454" t="str">
        <f>"1578728340672164"</f>
        <v>1578728340672164</v>
      </c>
      <c r="C1454" t="s">
        <v>40</v>
      </c>
      <c r="D1454">
        <v>5.3072869999999996</v>
      </c>
      <c r="E1454">
        <v>0.55605579999999999</v>
      </c>
      <c r="F1454" t="s">
        <v>59</v>
      </c>
      <c r="G1454">
        <v>-424.10390000000001</v>
      </c>
      <c r="H1454" s="1">
        <v>3.3521800000000001E-6</v>
      </c>
      <c r="I1454">
        <v>283.29480000000001</v>
      </c>
      <c r="J1454">
        <v>-405.61649999999997</v>
      </c>
      <c r="K1454">
        <v>1.1052599999999999</v>
      </c>
      <c r="L1454">
        <v>284.40960000000001</v>
      </c>
      <c r="M1454">
        <v>-0.99981660000000006</v>
      </c>
      <c r="N1454">
        <v>0</v>
      </c>
      <c r="O1454">
        <v>-1.1461600000000001E-2</v>
      </c>
      <c r="P1454">
        <v>-0.97638879999999995</v>
      </c>
      <c r="Q1454">
        <v>7.2675379999999996E-3</v>
      </c>
      <c r="R1454">
        <v>-0.21589820000000001</v>
      </c>
      <c r="S1454">
        <v>-3.0336609999999999</v>
      </c>
      <c r="T1454">
        <v>-0.1760417</v>
      </c>
      <c r="U1454">
        <v>-0.17858889999999999</v>
      </c>
      <c r="V1454">
        <v>-0.20476059999999999</v>
      </c>
      <c r="W1454">
        <v>2.1645589999999999E-2</v>
      </c>
      <c r="X1454">
        <v>0.97857269999999996</v>
      </c>
      <c r="Y1454">
        <v>-4.7260360000000001E-2</v>
      </c>
      <c r="Z1454">
        <v>-7.0492250000000003E-4</v>
      </c>
      <c r="AA1454">
        <v>0.99888239999999995</v>
      </c>
      <c r="AB1454">
        <v>54</v>
      </c>
      <c r="AC1454">
        <v>-18.487400000000001</v>
      </c>
      <c r="AD1454">
        <v>-1.1052566478200001</v>
      </c>
      <c r="AE1454">
        <v>-1.1148</v>
      </c>
      <c r="AF1454">
        <v>-0.899602947292241</v>
      </c>
      <c r="AG1454">
        <v>-1.1052566478200001</v>
      </c>
      <c r="AH1454">
        <v>18.4333192124415</v>
      </c>
      <c r="AI1454">
        <v>93.427261469885707</v>
      </c>
      <c r="AJ1454">
        <v>92.793994333864205</v>
      </c>
      <c r="AK1454">
        <v>18.4883242861026</v>
      </c>
      <c r="AL1454">
        <v>88.759702159666602</v>
      </c>
      <c r="AM1454">
        <v>101.81829426009899</v>
      </c>
      <c r="AN1454">
        <v>0.99999998203204798</v>
      </c>
    </row>
    <row r="1455" spans="1:40" x14ac:dyDescent="0.3">
      <c r="A1455" t="str">
        <f>"20200111153900701"</f>
        <v>20200111153900701</v>
      </c>
      <c r="B1455" t="str">
        <f>"1578728340691681"</f>
        <v>1578728340691681</v>
      </c>
      <c r="C1455" t="s">
        <v>40</v>
      </c>
      <c r="D1455">
        <v>5.2009449999999999</v>
      </c>
      <c r="E1455">
        <v>0.55491519999999905</v>
      </c>
      <c r="F1455" t="s">
        <v>59</v>
      </c>
      <c r="G1455">
        <v>-423.93419999999998</v>
      </c>
      <c r="H1455" s="1">
        <v>3.3857750000000002E-6</v>
      </c>
      <c r="I1455">
        <v>283.25479999999999</v>
      </c>
      <c r="J1455">
        <v>-406.16629999999998</v>
      </c>
      <c r="K1455">
        <v>1.1052660000000001</v>
      </c>
      <c r="L1455">
        <v>284.40280000000001</v>
      </c>
      <c r="M1455">
        <v>-0.99980599999999997</v>
      </c>
      <c r="N1455">
        <v>0</v>
      </c>
      <c r="O1455">
        <v>-1.236485E-2</v>
      </c>
      <c r="P1455">
        <v>-0.97603450000000003</v>
      </c>
      <c r="Q1455">
        <v>8.4908080000000007E-3</v>
      </c>
      <c r="R1455">
        <v>-0.21745059999999999</v>
      </c>
      <c r="S1455">
        <v>-3.031647</v>
      </c>
      <c r="T1455">
        <v>-0.18292420000000001</v>
      </c>
      <c r="U1455">
        <v>-0.19113160000000001</v>
      </c>
      <c r="V1455">
        <v>-0.2054367</v>
      </c>
      <c r="W1455">
        <v>2.2861220000000002E-2</v>
      </c>
      <c r="X1455">
        <v>0.97840329999999998</v>
      </c>
      <c r="Y1455">
        <v>-5.0504849999999997E-2</v>
      </c>
      <c r="Z1455">
        <v>-7.7613740000000001E-4</v>
      </c>
      <c r="AA1455">
        <v>0.99872349999999999</v>
      </c>
      <c r="AB1455">
        <v>54</v>
      </c>
      <c r="AC1455">
        <v>-17.767899999999901</v>
      </c>
      <c r="AD1455">
        <v>-1.1052626142249999</v>
      </c>
      <c r="AE1455">
        <v>-1.1480000000000199</v>
      </c>
      <c r="AF1455">
        <v>-0.92462597369998401</v>
      </c>
      <c r="AG1455">
        <v>-1.1052626142249999</v>
      </c>
      <c r="AH1455">
        <v>17.712483741571599</v>
      </c>
      <c r="AI1455">
        <v>93.565796133412704</v>
      </c>
      <c r="AJ1455">
        <v>92.988238326594001</v>
      </c>
      <c r="AK1455">
        <v>17.7710050062759</v>
      </c>
      <c r="AL1455">
        <v>88.690034385146902</v>
      </c>
      <c r="AM1455">
        <v>101.858209067015</v>
      </c>
      <c r="AN1455">
        <v>0.99999994526883196</v>
      </c>
    </row>
    <row r="1456" spans="1:40" x14ac:dyDescent="0.3">
      <c r="A1456" t="str">
        <f>"20200111153900724"</f>
        <v>20200111153900724</v>
      </c>
      <c r="B1456" t="str">
        <f>"1578728340711686"</f>
        <v>1578728340711686</v>
      </c>
      <c r="C1456" t="s">
        <v>40</v>
      </c>
      <c r="D1456">
        <v>5.1555600000000004</v>
      </c>
      <c r="E1456">
        <v>0.55352749999999995</v>
      </c>
      <c r="F1456" t="s">
        <v>59</v>
      </c>
      <c r="G1456">
        <v>-424.18900000000002</v>
      </c>
      <c r="H1456" s="1">
        <v>3.3467110000000002E-6</v>
      </c>
      <c r="I1456">
        <v>283.18459999999999</v>
      </c>
      <c r="J1456">
        <v>-406.70100000000002</v>
      </c>
      <c r="K1456">
        <v>1.1052660000000001</v>
      </c>
      <c r="L1456">
        <v>284.39569999999998</v>
      </c>
      <c r="M1456">
        <v>-0.99979470000000004</v>
      </c>
      <c r="N1456">
        <v>0</v>
      </c>
      <c r="O1456">
        <v>-1.324414E-2</v>
      </c>
      <c r="P1456">
        <v>-0.97570170000000001</v>
      </c>
      <c r="Q1456">
        <v>8.0924699999999992E-3</v>
      </c>
      <c r="R1456">
        <v>-0.21895410000000001</v>
      </c>
      <c r="S1456">
        <v>-3.0296940000000001</v>
      </c>
      <c r="T1456">
        <v>-0.18579970000000001</v>
      </c>
      <c r="U1456">
        <v>-0.20477290000000001</v>
      </c>
      <c r="V1456">
        <v>-0.2060824</v>
      </c>
      <c r="W1456">
        <v>2.2456500000000001E-2</v>
      </c>
      <c r="X1456">
        <v>0.9782769</v>
      </c>
      <c r="Y1456">
        <v>-5.4136900000000002E-2</v>
      </c>
      <c r="Z1456">
        <v>-8.4604809999999999E-4</v>
      </c>
      <c r="AA1456">
        <v>0.99853320000000001</v>
      </c>
      <c r="AB1456">
        <v>54</v>
      </c>
      <c r="AC1456">
        <v>-17.488</v>
      </c>
      <c r="AD1456">
        <v>-1.105262653289</v>
      </c>
      <c r="AE1456">
        <v>-1.2110999999999801</v>
      </c>
      <c r="AF1456">
        <v>-0.97547516309858295</v>
      </c>
      <c r="AG1456">
        <v>-1.105262653289</v>
      </c>
      <c r="AH1456">
        <v>17.433204993742098</v>
      </c>
      <c r="AI1456">
        <v>93.622038028550094</v>
      </c>
      <c r="AJ1456">
        <v>93.202646256901502</v>
      </c>
      <c r="AK1456">
        <v>17.495422077801098</v>
      </c>
      <c r="AL1456">
        <v>88.713229123377502</v>
      </c>
      <c r="AM1456">
        <v>101.895913139298</v>
      </c>
      <c r="AN1456">
        <v>0.99999997152780895</v>
      </c>
    </row>
    <row r="1457" spans="1:40" x14ac:dyDescent="0.3">
      <c r="A1457" t="str">
        <f>"20200111153900745"</f>
        <v>20200111153900745</v>
      </c>
      <c r="B1457" t="str">
        <f>"1578728340741942"</f>
        <v>1578728340741942</v>
      </c>
      <c r="C1457" t="s">
        <v>40</v>
      </c>
      <c r="D1457">
        <v>5.2305229999999998</v>
      </c>
      <c r="E1457">
        <v>0.55196400000000001</v>
      </c>
      <c r="F1457" t="s">
        <v>59</v>
      </c>
      <c r="G1457">
        <v>-424.46170000000001</v>
      </c>
      <c r="H1457" s="1">
        <v>3.3055649999999998E-6</v>
      </c>
      <c r="I1457">
        <v>283.1019</v>
      </c>
      <c r="J1457">
        <v>-407.22660000000002</v>
      </c>
      <c r="K1457">
        <v>1.105251</v>
      </c>
      <c r="L1457">
        <v>284.38830000000002</v>
      </c>
      <c r="M1457">
        <v>-0.99978299999999998</v>
      </c>
      <c r="N1457">
        <v>0</v>
      </c>
      <c r="O1457">
        <v>-1.4108529999999999E-2</v>
      </c>
      <c r="P1457">
        <v>-0.97536440000000002</v>
      </c>
      <c r="Q1457">
        <v>7.6841000000000001E-3</v>
      </c>
      <c r="R1457">
        <v>-0.2204663</v>
      </c>
      <c r="S1457">
        <v>-3.0268250000000001</v>
      </c>
      <c r="T1457">
        <v>-0.18836220000000001</v>
      </c>
      <c r="U1457">
        <v>-0.2204895</v>
      </c>
      <c r="V1457">
        <v>-0.20675180000000001</v>
      </c>
      <c r="W1457">
        <v>2.2041270000000002E-2</v>
      </c>
      <c r="X1457">
        <v>0.97814509999999999</v>
      </c>
      <c r="Y1457">
        <v>-5.848714E-2</v>
      </c>
      <c r="Z1457">
        <v>-9.3974779999999995E-4</v>
      </c>
      <c r="AA1457">
        <v>0.9982877</v>
      </c>
      <c r="AB1457">
        <v>54</v>
      </c>
      <c r="AC1457">
        <v>-17.2350999999999</v>
      </c>
      <c r="AD1457">
        <v>-1.105247694435</v>
      </c>
      <c r="AE1457">
        <v>-1.28640000000001</v>
      </c>
      <c r="AF1457">
        <v>-1.0388330510819801</v>
      </c>
      <c r="AG1457">
        <v>-1.105247694435</v>
      </c>
      <c r="AH1457">
        <v>17.1812713087978</v>
      </c>
      <c r="AI1457">
        <v>93.673996527860794</v>
      </c>
      <c r="AJ1457">
        <v>93.460068543537105</v>
      </c>
      <c r="AK1457">
        <v>17.248096427159499</v>
      </c>
      <c r="AL1457">
        <v>88.737025952707597</v>
      </c>
      <c r="AM1457">
        <v>101.935009379021</v>
      </c>
      <c r="AN1457">
        <v>0.99999998052023098</v>
      </c>
    </row>
    <row r="1458" spans="1:40" x14ac:dyDescent="0.3">
      <c r="A1458" t="str">
        <f>"20200111153900768"</f>
        <v>20200111153900768</v>
      </c>
      <c r="B1458" t="str">
        <f>"1578728340762437"</f>
        <v>1578728340762437</v>
      </c>
      <c r="C1458" t="s">
        <v>40</v>
      </c>
      <c r="D1458">
        <v>5.3017570000000003</v>
      </c>
      <c r="E1458">
        <v>0.55099730000000002</v>
      </c>
      <c r="F1458" t="s">
        <v>59</v>
      </c>
      <c r="G1458">
        <v>-424.72269999999997</v>
      </c>
      <c r="H1458" s="1">
        <v>3.2669180000000001E-6</v>
      </c>
      <c r="I1458">
        <v>283.01440000000002</v>
      </c>
      <c r="J1458">
        <v>-407.76639999999998</v>
      </c>
      <c r="K1458">
        <v>1.10524</v>
      </c>
      <c r="L1458">
        <v>284.3802</v>
      </c>
      <c r="M1458">
        <v>-0.99977000000000005</v>
      </c>
      <c r="N1458">
        <v>0</v>
      </c>
      <c r="O1458">
        <v>-1.4996870000000001E-2</v>
      </c>
      <c r="P1458">
        <v>-0.97528870000000001</v>
      </c>
      <c r="Q1458">
        <v>7.6505319999999998E-3</v>
      </c>
      <c r="R1458">
        <v>-0.22080169999999999</v>
      </c>
      <c r="S1458">
        <v>-3.0236209999999999</v>
      </c>
      <c r="T1458">
        <v>-0.1910056</v>
      </c>
      <c r="U1458">
        <v>-0.23742679999999999</v>
      </c>
      <c r="V1458">
        <v>-0.20621880000000001</v>
      </c>
      <c r="W1458">
        <v>2.2008380000000001E-2</v>
      </c>
      <c r="X1458">
        <v>0.97825839999999997</v>
      </c>
      <c r="Y1458">
        <v>-6.3226089999999999E-2</v>
      </c>
      <c r="Z1458">
        <v>-1.047065E-3</v>
      </c>
      <c r="AA1458">
        <v>0.99799870000000002</v>
      </c>
      <c r="AB1458">
        <v>54</v>
      </c>
      <c r="AC1458">
        <v>-16.956299999999999</v>
      </c>
      <c r="AD1458">
        <v>-1.1052367330820001</v>
      </c>
      <c r="AE1458">
        <v>-1.3657999999999699</v>
      </c>
      <c r="AF1458">
        <v>-1.10665360223943</v>
      </c>
      <c r="AG1458">
        <v>-1.1052367330820001</v>
      </c>
      <c r="AH1458">
        <v>16.9035239932454</v>
      </c>
      <c r="AI1458">
        <v>93.732989991997201</v>
      </c>
      <c r="AJ1458">
        <v>93.745740989809406</v>
      </c>
      <c r="AK1458">
        <v>16.9757283738202</v>
      </c>
      <c r="AL1458">
        <v>88.738910930219205</v>
      </c>
      <c r="AM1458">
        <v>101.90378084529</v>
      </c>
      <c r="AN1458">
        <v>1.0000000297171101</v>
      </c>
    </row>
    <row r="1459" spans="1:40" x14ac:dyDescent="0.3">
      <c r="A1459" t="str">
        <f>"20200111153900789"</f>
        <v>20200111153900789</v>
      </c>
      <c r="B1459" t="str">
        <f>"1578728340781960"</f>
        <v>1578728340781960</v>
      </c>
      <c r="C1459" t="s">
        <v>40</v>
      </c>
      <c r="D1459">
        <v>5.2669509999999997</v>
      </c>
      <c r="E1459">
        <v>0.51141229999999904</v>
      </c>
      <c r="F1459" t="s">
        <v>59</v>
      </c>
      <c r="G1459">
        <v>-425.19659999999999</v>
      </c>
      <c r="H1459" s="1">
        <v>3.1875949999999998E-6</v>
      </c>
      <c r="I1459">
        <v>282.96010000000001</v>
      </c>
      <c r="J1459">
        <v>-408.30450000000002</v>
      </c>
      <c r="K1459">
        <v>1.105232</v>
      </c>
      <c r="L1459">
        <v>284.3716</v>
      </c>
      <c r="M1459">
        <v>-0.99975650000000005</v>
      </c>
      <c r="N1459">
        <v>0</v>
      </c>
      <c r="O1459">
        <v>-1.5883189999999998E-2</v>
      </c>
      <c r="P1459">
        <v>-0.97549180000000002</v>
      </c>
      <c r="Q1459">
        <v>7.3264280000000003E-3</v>
      </c>
      <c r="R1459">
        <v>-0.21991459999999999</v>
      </c>
      <c r="S1459">
        <v>-3.0217900000000002</v>
      </c>
      <c r="T1459">
        <v>-0.19160930000000001</v>
      </c>
      <c r="U1459">
        <v>-0.2461853</v>
      </c>
      <c r="V1459">
        <v>-0.2044599</v>
      </c>
      <c r="W1459">
        <v>2.1692309999999999E-2</v>
      </c>
      <c r="X1459">
        <v>0.97863449999999996</v>
      </c>
      <c r="Y1459">
        <v>-6.5259670000000006E-2</v>
      </c>
      <c r="Z1459">
        <v>-1.059153E-3</v>
      </c>
      <c r="AA1459">
        <v>0.99786779999999997</v>
      </c>
      <c r="AB1459">
        <v>54</v>
      </c>
      <c r="AC1459">
        <v>-16.8920999999999</v>
      </c>
      <c r="AD1459">
        <v>-1.105228812405</v>
      </c>
      <c r="AE1459">
        <v>-1.41149999999998</v>
      </c>
      <c r="AF1459">
        <v>-1.13815143239297</v>
      </c>
      <c r="AG1459">
        <v>-1.105228812405</v>
      </c>
      <c r="AH1459">
        <v>16.840796172704401</v>
      </c>
      <c r="AI1459">
        <v>93.746305020402602</v>
      </c>
      <c r="AJ1459">
        <v>93.866341040848994</v>
      </c>
      <c r="AK1459">
        <v>16.915357966694199</v>
      </c>
      <c r="AL1459">
        <v>88.757024627091795</v>
      </c>
      <c r="AM1459">
        <v>101.80070129198</v>
      </c>
      <c r="AN1459">
        <v>0.99999994580569596</v>
      </c>
    </row>
    <row r="1460" spans="1:40" x14ac:dyDescent="0.3">
      <c r="A1460" t="str">
        <f>"20200111153900812"</f>
        <v>20200111153900812</v>
      </c>
      <c r="B1460" t="str">
        <f>"1578728340802453"</f>
        <v>1578728340802453</v>
      </c>
      <c r="C1460" t="s">
        <v>40</v>
      </c>
      <c r="D1460">
        <v>5.1794159999999998</v>
      </c>
      <c r="E1460">
        <v>0.51381840000000001</v>
      </c>
      <c r="F1460" t="s">
        <v>59</v>
      </c>
      <c r="G1460">
        <v>-424.05790000000002</v>
      </c>
      <c r="H1460" s="1">
        <v>3.5234149999999998E-6</v>
      </c>
      <c r="I1460">
        <v>281.42930000000001</v>
      </c>
      <c r="J1460">
        <v>-408.83409999999998</v>
      </c>
      <c r="K1460">
        <v>1.105235</v>
      </c>
      <c r="L1460">
        <v>284.36279999999999</v>
      </c>
      <c r="M1460">
        <v>-0.99974220000000003</v>
      </c>
      <c r="N1460">
        <v>0</v>
      </c>
      <c r="O1460">
        <v>-1.6755450000000002E-2</v>
      </c>
      <c r="P1460">
        <v>-0.9758327</v>
      </c>
      <c r="Q1460">
        <v>7.3603239999999997E-3</v>
      </c>
      <c r="R1460">
        <v>-0.21839529999999999</v>
      </c>
      <c r="S1460">
        <v>-2.9526370000000002</v>
      </c>
      <c r="T1460">
        <v>-0.2071508</v>
      </c>
      <c r="U1460">
        <v>-0.55148319999999995</v>
      </c>
      <c r="V1460">
        <v>-0.20208100000000001</v>
      </c>
      <c r="W1460">
        <v>2.1738070000000002E-2</v>
      </c>
      <c r="X1460">
        <v>0.97912750000000004</v>
      </c>
      <c r="Y1460">
        <v>-0.16674710000000001</v>
      </c>
      <c r="Z1460">
        <v>-4.6285329999999998E-3</v>
      </c>
      <c r="AA1460">
        <v>0.98598889999999995</v>
      </c>
      <c r="AB1460">
        <v>54</v>
      </c>
      <c r="AC1460">
        <v>-15.223800000000001</v>
      </c>
      <c r="AD1460">
        <v>-1.105231476585</v>
      </c>
      <c r="AE1460">
        <v>-2.93349999999998</v>
      </c>
      <c r="AF1460">
        <v>-2.6644360924693902</v>
      </c>
      <c r="AG1460">
        <v>-1.105231476585</v>
      </c>
      <c r="AH1460">
        <v>15.193607655757599</v>
      </c>
      <c r="AI1460">
        <v>94.098228000988001</v>
      </c>
      <c r="AJ1460">
        <v>99.946569020788004</v>
      </c>
      <c r="AK1460">
        <v>15.4650079180317</v>
      </c>
      <c r="AL1460">
        <v>88.754402181033896</v>
      </c>
      <c r="AM1460">
        <v>101.661471354892</v>
      </c>
      <c r="AN1460">
        <v>0.99999996775228694</v>
      </c>
    </row>
    <row r="1461" spans="1:40" x14ac:dyDescent="0.3">
      <c r="A1461" t="str">
        <f>"20200111153900835"</f>
        <v>20200111153900835</v>
      </c>
      <c r="B1461" t="str">
        <f>"1578728340831733"</f>
        <v>1578728340831733</v>
      </c>
      <c r="C1461" t="s">
        <v>40</v>
      </c>
      <c r="D1461">
        <v>5.127739</v>
      </c>
      <c r="E1461">
        <v>0.51614340000000003</v>
      </c>
      <c r="F1461" t="s">
        <v>59</v>
      </c>
      <c r="G1461">
        <v>-426.7484</v>
      </c>
      <c r="H1461" s="1">
        <v>3.070636E-6</v>
      </c>
      <c r="I1461">
        <v>281.14929999999998</v>
      </c>
      <c r="J1461">
        <v>-409.38619999999997</v>
      </c>
      <c r="K1461">
        <v>1.105235</v>
      </c>
      <c r="L1461">
        <v>284.35309999999998</v>
      </c>
      <c r="M1461">
        <v>-0.99972649999999996</v>
      </c>
      <c r="N1461">
        <v>0</v>
      </c>
      <c r="O1461">
        <v>-1.7665139999999999E-2</v>
      </c>
      <c r="P1461">
        <v>-0.97628369999999998</v>
      </c>
      <c r="Q1461">
        <v>7.3717349999999999E-3</v>
      </c>
      <c r="R1461">
        <v>-0.2163697</v>
      </c>
      <c r="S1461">
        <v>-2.957001</v>
      </c>
      <c r="T1461">
        <v>-0.18243300000000001</v>
      </c>
      <c r="U1461">
        <v>-0.53042599999999995</v>
      </c>
      <c r="V1461">
        <v>-0.19915640000000001</v>
      </c>
      <c r="W1461">
        <v>2.1764769999999999E-2</v>
      </c>
      <c r="X1461">
        <v>0.97972599999999999</v>
      </c>
      <c r="Y1461">
        <v>-0.15888450000000001</v>
      </c>
      <c r="Z1461">
        <v>-3.7780119999999999E-3</v>
      </c>
      <c r="AA1461">
        <v>0.98729</v>
      </c>
      <c r="AB1461">
        <v>54</v>
      </c>
      <c r="AC1461">
        <v>-17.362200000000001</v>
      </c>
      <c r="AD1461">
        <v>-1.1052319293640001</v>
      </c>
      <c r="AE1461">
        <v>-3.2038000000000002</v>
      </c>
      <c r="AF1461">
        <v>-2.88525145136785</v>
      </c>
      <c r="AG1461">
        <v>-1.1052319293640001</v>
      </c>
      <c r="AH1461">
        <v>17.348108208243399</v>
      </c>
      <c r="AI1461">
        <v>93.596071126788402</v>
      </c>
      <c r="AJ1461">
        <v>99.442719325557903</v>
      </c>
      <c r="AK1461">
        <v>17.621097354030699</v>
      </c>
      <c r="AL1461">
        <v>88.752872069327097</v>
      </c>
      <c r="AM1461">
        <v>101.49039079882201</v>
      </c>
      <c r="AN1461">
        <v>1.00000000597505</v>
      </c>
    </row>
    <row r="1462" spans="1:40" x14ac:dyDescent="0.3">
      <c r="A1462" t="str">
        <f>"20200111153900857"</f>
        <v>20200111153900857</v>
      </c>
      <c r="B1462" t="str">
        <f>"1578728340852229"</f>
        <v>1578728340852229</v>
      </c>
      <c r="C1462" t="s">
        <v>40</v>
      </c>
      <c r="D1462">
        <v>5.1878060000000001</v>
      </c>
      <c r="E1462">
        <v>0.51617120000000005</v>
      </c>
      <c r="F1462" t="s">
        <v>59</v>
      </c>
      <c r="G1462">
        <v>-427.98419999999999</v>
      </c>
      <c r="H1462" s="1">
        <v>2.8496230000000002E-6</v>
      </c>
      <c r="I1462">
        <v>281.17</v>
      </c>
      <c r="J1462">
        <v>-409.91419999999999</v>
      </c>
      <c r="K1462">
        <v>1.1052390000000001</v>
      </c>
      <c r="L1462">
        <v>284.3433</v>
      </c>
      <c r="M1462">
        <v>-0.99971089999999996</v>
      </c>
      <c r="N1462">
        <v>0</v>
      </c>
      <c r="O1462">
        <v>-1.8535490000000002E-2</v>
      </c>
      <c r="P1462">
        <v>-0.97685310000000003</v>
      </c>
      <c r="Q1462">
        <v>7.848341E-3</v>
      </c>
      <c r="R1462">
        <v>-0.21376619999999999</v>
      </c>
      <c r="S1462">
        <v>-2.9618530000000001</v>
      </c>
      <c r="T1462">
        <v>-0.17601559999999999</v>
      </c>
      <c r="U1462">
        <v>-0.50692749999999998</v>
      </c>
      <c r="V1462">
        <v>-0.19569130000000001</v>
      </c>
      <c r="W1462">
        <v>2.2260080000000002E-2</v>
      </c>
      <c r="X1462">
        <v>0.98041290000000003</v>
      </c>
      <c r="Y1462">
        <v>-0.15017269999999999</v>
      </c>
      <c r="Z1462">
        <v>-3.3338920000000002E-3</v>
      </c>
      <c r="AA1462">
        <v>0.98865409999999998</v>
      </c>
      <c r="AB1462">
        <v>54</v>
      </c>
      <c r="AC1462">
        <v>-18.07</v>
      </c>
      <c r="AD1462">
        <v>-1.1052361503769901</v>
      </c>
      <c r="AE1462">
        <v>-3.1732999999999798</v>
      </c>
      <c r="AF1462">
        <v>-2.82751768077169</v>
      </c>
      <c r="AG1462">
        <v>-1.1052361503769901</v>
      </c>
      <c r="AH1462">
        <v>18.060177689137699</v>
      </c>
      <c r="AI1462">
        <v>93.459943131727599</v>
      </c>
      <c r="AJ1462">
        <v>98.898047077330205</v>
      </c>
      <c r="AK1462">
        <v>18.3135584020803</v>
      </c>
      <c r="AL1462">
        <v>88.724486043253805</v>
      </c>
      <c r="AM1462">
        <v>101.28794368877099</v>
      </c>
      <c r="AN1462">
        <v>1.0000000252718499</v>
      </c>
    </row>
    <row r="1463" spans="1:40" x14ac:dyDescent="0.3">
      <c r="A1463" t="str">
        <f>"20200111153900879"</f>
        <v>20200111153900879</v>
      </c>
      <c r="B1463" t="str">
        <f>"1578728340871751"</f>
        <v>1578728340871751</v>
      </c>
      <c r="C1463" t="s">
        <v>40</v>
      </c>
      <c r="D1463">
        <v>5.1989179999999999</v>
      </c>
      <c r="E1463">
        <v>0.51560740000000005</v>
      </c>
      <c r="F1463" t="s">
        <v>59</v>
      </c>
      <c r="G1463">
        <v>-427.70890000000003</v>
      </c>
      <c r="H1463" s="1">
        <v>2.8826920000000001E-6</v>
      </c>
      <c r="I1463">
        <v>281.3503</v>
      </c>
      <c r="J1463">
        <v>-410.46170000000001</v>
      </c>
      <c r="K1463">
        <v>1.105246</v>
      </c>
      <c r="L1463">
        <v>284.33260000000001</v>
      </c>
      <c r="M1463">
        <v>-0.99969379999999997</v>
      </c>
      <c r="N1463">
        <v>0</v>
      </c>
      <c r="O1463">
        <v>-1.943814E-2</v>
      </c>
      <c r="P1463">
        <v>-0.97739730000000002</v>
      </c>
      <c r="Q1463">
        <v>9.1617109999999995E-3</v>
      </c>
      <c r="R1463">
        <v>-0.2112115</v>
      </c>
      <c r="S1463">
        <v>-2.9635310000000001</v>
      </c>
      <c r="T1463">
        <v>-0.1840659</v>
      </c>
      <c r="U1463">
        <v>-0.49844359999999999</v>
      </c>
      <c r="V1463">
        <v>-0.19224479999999999</v>
      </c>
      <c r="W1463">
        <v>2.3590590000000002E-2</v>
      </c>
      <c r="X1463">
        <v>0.98106340000000003</v>
      </c>
      <c r="Y1463">
        <v>-0.14642249999999901</v>
      </c>
      <c r="Z1463">
        <v>-3.3138500000000001E-3</v>
      </c>
      <c r="AA1463">
        <v>0.9892166</v>
      </c>
      <c r="AB1463">
        <v>54</v>
      </c>
      <c r="AC1463">
        <v>-17.247199999999999</v>
      </c>
      <c r="AD1463">
        <v>-1.105243117308</v>
      </c>
      <c r="AE1463">
        <v>-2.9823</v>
      </c>
      <c r="AF1463">
        <v>-2.6359332301276699</v>
      </c>
      <c r="AG1463">
        <v>-1.105243117308</v>
      </c>
      <c r="AH1463">
        <v>17.233203054033499</v>
      </c>
      <c r="AI1463">
        <v>93.627536702875901</v>
      </c>
      <c r="AJ1463">
        <v>98.696369901534993</v>
      </c>
      <c r="AK1463">
        <v>17.468628848412799</v>
      </c>
      <c r="AL1463">
        <v>88.648233339399198</v>
      </c>
      <c r="AM1463">
        <v>101.086941916302</v>
      </c>
      <c r="AN1463">
        <v>0.99999998694157399</v>
      </c>
    </row>
    <row r="1464" spans="1:40" x14ac:dyDescent="0.3">
      <c r="A1464" t="str">
        <f>"20200111153900902"</f>
        <v>20200111153900902</v>
      </c>
      <c r="B1464" t="str">
        <f>"1578728340892249"</f>
        <v>1578728340892249</v>
      </c>
      <c r="C1464" t="s">
        <v>40</v>
      </c>
      <c r="D1464">
        <v>5.207681</v>
      </c>
      <c r="E1464">
        <v>0.51494689999999999</v>
      </c>
      <c r="F1464" t="s">
        <v>59</v>
      </c>
      <c r="G1464">
        <v>-427.2346</v>
      </c>
      <c r="H1464" s="1">
        <v>2.9506780000000002E-6</v>
      </c>
      <c r="I1464">
        <v>281.53489999999999</v>
      </c>
      <c r="J1464">
        <v>-410.98219999999998</v>
      </c>
      <c r="K1464">
        <v>1.105261</v>
      </c>
      <c r="L1464">
        <v>284.322</v>
      </c>
      <c r="M1464">
        <v>-0.99967680000000003</v>
      </c>
      <c r="N1464">
        <v>0</v>
      </c>
      <c r="O1464">
        <v>-2.0295469999999999E-2</v>
      </c>
      <c r="P1464">
        <v>-0.9779755</v>
      </c>
      <c r="Q1464">
        <v>1.04297E-2</v>
      </c>
      <c r="R1464">
        <v>-0.20846010000000001</v>
      </c>
      <c r="S1464">
        <v>-2.9643860000000002</v>
      </c>
      <c r="T1464">
        <v>-0.1953368</v>
      </c>
      <c r="U1464">
        <v>-0.49444579999999999</v>
      </c>
      <c r="V1464">
        <v>-0.1886439</v>
      </c>
      <c r="W1464">
        <v>2.488721E-2</v>
      </c>
      <c r="X1464">
        <v>0.9817302</v>
      </c>
      <c r="Y1464">
        <v>-0.1442061</v>
      </c>
      <c r="Z1464">
        <v>-3.387288E-3</v>
      </c>
      <c r="AA1464">
        <v>0.98954189999999997</v>
      </c>
      <c r="AB1464">
        <v>54</v>
      </c>
      <c r="AC1464">
        <v>-16.252400000000002</v>
      </c>
      <c r="AD1464">
        <v>-1.1052580493219999</v>
      </c>
      <c r="AE1464">
        <v>-2.7871000000000001</v>
      </c>
      <c r="AF1464">
        <v>-2.4456495336287598</v>
      </c>
      <c r="AG1464">
        <v>-1.1052580493219999</v>
      </c>
      <c r="AH1464">
        <v>16.232695599385899</v>
      </c>
      <c r="AI1464">
        <v>93.851827250782094</v>
      </c>
      <c r="AJ1464">
        <v>98.567854231193493</v>
      </c>
      <c r="AK1464">
        <v>16.4530606094809</v>
      </c>
      <c r="AL1464">
        <v>88.573920721670206</v>
      </c>
      <c r="AM1464">
        <v>100.87706393521</v>
      </c>
      <c r="AN1464">
        <v>1.0000000399104101</v>
      </c>
    </row>
    <row r="1465" spans="1:40" x14ac:dyDescent="0.3">
      <c r="A1465" t="str">
        <f>"20200111153900923"</f>
        <v>20200111153900923</v>
      </c>
      <c r="B1465" t="str">
        <f>"1578728340911765"</f>
        <v>1578728340911765</v>
      </c>
      <c r="C1465" t="s">
        <v>40</v>
      </c>
      <c r="D1465">
        <v>5.2005650000000001</v>
      </c>
      <c r="E1465">
        <v>0.51438879999999998</v>
      </c>
      <c r="F1465" t="s">
        <v>59</v>
      </c>
      <c r="G1465">
        <v>-427.59010000000001</v>
      </c>
      <c r="H1465" s="1">
        <v>2.8845769999999999E-6</v>
      </c>
      <c r="I1465">
        <v>281.56979999999999</v>
      </c>
      <c r="J1465">
        <v>-411.51339999999999</v>
      </c>
      <c r="K1465">
        <v>1.105286</v>
      </c>
      <c r="L1465">
        <v>284.3107</v>
      </c>
      <c r="M1465">
        <v>-0.99965800000000005</v>
      </c>
      <c r="N1465">
        <v>0</v>
      </c>
      <c r="O1465">
        <v>-2.1163230000000002E-2</v>
      </c>
      <c r="P1465">
        <v>-0.97851869999999996</v>
      </c>
      <c r="Q1465">
        <v>1.1538659999999999E-2</v>
      </c>
      <c r="R1465">
        <v>-0.20583560000000001</v>
      </c>
      <c r="S1465">
        <v>-2.9649049999999999</v>
      </c>
      <c r="T1465">
        <v>-0.19731509999999999</v>
      </c>
      <c r="U1465">
        <v>-0.49133300000000002</v>
      </c>
      <c r="V1465">
        <v>-0.18515999999999999</v>
      </c>
      <c r="W1465">
        <v>2.6069849999999999E-2</v>
      </c>
      <c r="X1465">
        <v>0.98236250000000003</v>
      </c>
      <c r="Y1465">
        <v>-0.1423085</v>
      </c>
      <c r="Z1465">
        <v>-3.301324E-3</v>
      </c>
      <c r="AA1465">
        <v>0.98981680000000005</v>
      </c>
      <c r="AB1465">
        <v>54</v>
      </c>
      <c r="AC1465">
        <v>-16.076699999999999</v>
      </c>
      <c r="AD1465">
        <v>-1.1052831154230001</v>
      </c>
      <c r="AE1465">
        <v>-2.7409000000000101</v>
      </c>
      <c r="AF1465">
        <v>-2.3890377430471599</v>
      </c>
      <c r="AG1465">
        <v>-1.1052831154230001</v>
      </c>
      <c r="AH1465">
        <v>16.057357938726099</v>
      </c>
      <c r="AI1465">
        <v>93.894915570785997</v>
      </c>
      <c r="AJ1465">
        <v>98.4624745977289</v>
      </c>
      <c r="AK1465">
        <v>16.2716900190273</v>
      </c>
      <c r="AL1465">
        <v>88.506138334132601</v>
      </c>
      <c r="AM1465">
        <v>100.67413161290899</v>
      </c>
      <c r="AN1465">
        <v>0.99999997204263502</v>
      </c>
    </row>
    <row r="1466" spans="1:40" x14ac:dyDescent="0.3">
      <c r="A1466" t="str">
        <f>"20200111153900945"</f>
        <v>20200111153900945</v>
      </c>
      <c r="B1466" t="str">
        <f>"1578728340942021"</f>
        <v>1578728340942021</v>
      </c>
      <c r="C1466" t="s">
        <v>40</v>
      </c>
      <c r="D1466">
        <v>5.0932750000000002</v>
      </c>
      <c r="E1466">
        <v>0.51330070000000005</v>
      </c>
      <c r="F1466" t="s">
        <v>59</v>
      </c>
      <c r="G1466">
        <v>-428.0772</v>
      </c>
      <c r="H1466" s="1">
        <v>2.7967069999999998E-6</v>
      </c>
      <c r="I1466">
        <v>281.58659999999998</v>
      </c>
      <c r="J1466">
        <v>-412.05180000000001</v>
      </c>
      <c r="K1466">
        <v>1.105316</v>
      </c>
      <c r="L1466">
        <v>284.29880000000003</v>
      </c>
      <c r="M1466">
        <v>-0.9996372</v>
      </c>
      <c r="N1466">
        <v>0</v>
      </c>
      <c r="O1466">
        <v>-2.203248E-2</v>
      </c>
      <c r="P1466">
        <v>-0.97905929999999997</v>
      </c>
      <c r="Q1466">
        <v>1.242775E-2</v>
      </c>
      <c r="R1466">
        <v>-0.20319580000000001</v>
      </c>
      <c r="S1466">
        <v>-2.9656069999999999</v>
      </c>
      <c r="T1466">
        <v>-0.1978914</v>
      </c>
      <c r="U1466">
        <v>-0.4877319</v>
      </c>
      <c r="V1466">
        <v>-0.1816574</v>
      </c>
      <c r="W1466">
        <v>2.710518E-2</v>
      </c>
      <c r="X1466">
        <v>0.98298819999999998</v>
      </c>
      <c r="Y1466">
        <v>-0.14024449999999999</v>
      </c>
      <c r="Z1466">
        <v>-3.184662E-3</v>
      </c>
      <c r="AA1466">
        <v>0.99011179999999999</v>
      </c>
      <c r="AB1466">
        <v>54</v>
      </c>
      <c r="AC1466">
        <v>-16.025399999999902</v>
      </c>
      <c r="AD1466">
        <v>-1.105313203293</v>
      </c>
      <c r="AE1466">
        <v>-2.7122000000000499</v>
      </c>
      <c r="AF1466">
        <v>-2.3475628941833802</v>
      </c>
      <c r="AG1466">
        <v>-1.105313203293</v>
      </c>
      <c r="AH1466">
        <v>16.007243185078298</v>
      </c>
      <c r="AI1466">
        <v>93.908374778621507</v>
      </c>
      <c r="AJ1466">
        <v>98.343309548186994</v>
      </c>
      <c r="AK1466">
        <v>16.2161833735857</v>
      </c>
      <c r="AL1466">
        <v>88.446797280901507</v>
      </c>
      <c r="AM1466">
        <v>100.470204346895</v>
      </c>
      <c r="AN1466">
        <v>0.99999995154841403</v>
      </c>
    </row>
    <row r="1467" spans="1:40" x14ac:dyDescent="0.3">
      <c r="A1467" t="str">
        <f>"20200111153900970"</f>
        <v>20200111153900970</v>
      </c>
      <c r="B1467" t="str">
        <f>"1578728340962517"</f>
        <v>1578728340962517</v>
      </c>
      <c r="C1467" t="s">
        <v>40</v>
      </c>
      <c r="D1467">
        <v>5.1066880000000001</v>
      </c>
      <c r="E1467">
        <v>0.51286750000000003</v>
      </c>
      <c r="F1467" t="s">
        <v>59</v>
      </c>
      <c r="G1467">
        <v>-428.51</v>
      </c>
      <c r="H1467" s="1">
        <v>2.7197180000000001E-6</v>
      </c>
      <c r="I1467">
        <v>281.58909999999997</v>
      </c>
      <c r="J1467">
        <v>-412.63490000000002</v>
      </c>
      <c r="K1467">
        <v>1.1053649999999999</v>
      </c>
      <c r="L1467">
        <v>284.28539999999998</v>
      </c>
      <c r="M1467">
        <v>-0.99961299999999997</v>
      </c>
      <c r="N1467">
        <v>0</v>
      </c>
      <c r="O1467">
        <v>-2.2965289999999999E-2</v>
      </c>
      <c r="P1467">
        <v>-0.97955360000000002</v>
      </c>
      <c r="Q1467">
        <v>1.2664750000000001E-2</v>
      </c>
      <c r="R1467">
        <v>-0.20078370000000001</v>
      </c>
      <c r="S1467">
        <v>-2.9653930000000002</v>
      </c>
      <c r="T1467">
        <v>-0.1991532</v>
      </c>
      <c r="U1467">
        <v>-0.48822019999999999</v>
      </c>
      <c r="V1467">
        <v>-0.17831820000000001</v>
      </c>
      <c r="W1467">
        <v>2.7567060000000001E-2</v>
      </c>
      <c r="X1467">
        <v>0.98358659999999998</v>
      </c>
      <c r="Y1467">
        <v>-0.13949110000000001</v>
      </c>
      <c r="Z1467">
        <v>-3.1179039999999999E-3</v>
      </c>
      <c r="AA1467">
        <v>0.99021840000000005</v>
      </c>
      <c r="AB1467">
        <v>54</v>
      </c>
      <c r="AC1467">
        <v>-15.8750999999999</v>
      </c>
      <c r="AD1467">
        <v>-1.105362280282</v>
      </c>
      <c r="AE1467">
        <v>-2.6962999999999999</v>
      </c>
      <c r="AF1467">
        <v>-2.3200349897850101</v>
      </c>
      <c r="AG1467">
        <v>-1.105362280282</v>
      </c>
      <c r="AH1467">
        <v>15.858114151743299</v>
      </c>
      <c r="AI1467">
        <v>93.945389254221496</v>
      </c>
      <c r="AJ1467">
        <v>98.323299295850603</v>
      </c>
      <c r="AK1467">
        <v>16.0649983683229</v>
      </c>
      <c r="AL1467">
        <v>88.420323627172493</v>
      </c>
      <c r="AM1467">
        <v>100.275763045283</v>
      </c>
      <c r="AN1467">
        <v>0.99999996147392101</v>
      </c>
    </row>
    <row r="1468" spans="1:40" x14ac:dyDescent="0.3">
      <c r="A1468" t="str">
        <f>"20200111153900991"</f>
        <v>20200111153900991</v>
      </c>
      <c r="B1468" t="str">
        <f>"1578728340982039"</f>
        <v>1578728340982039</v>
      </c>
      <c r="C1468" t="s">
        <v>40</v>
      </c>
      <c r="D1468">
        <v>5.1092069999999996</v>
      </c>
      <c r="E1468">
        <v>0.51292090000000001</v>
      </c>
      <c r="F1468" t="s">
        <v>59</v>
      </c>
      <c r="G1468">
        <v>-429.18029999999999</v>
      </c>
      <c r="H1468" s="1">
        <v>2.6015060000000002E-6</v>
      </c>
      <c r="I1468">
        <v>281.58120000000002</v>
      </c>
      <c r="J1468">
        <v>-413.13099999999997</v>
      </c>
      <c r="K1468">
        <v>1.1054060000000001</v>
      </c>
      <c r="L1468">
        <v>284.27359999999999</v>
      </c>
      <c r="M1468">
        <v>-0.99959129999999996</v>
      </c>
      <c r="N1468">
        <v>0</v>
      </c>
      <c r="O1468">
        <v>-2.3751959999999999E-2</v>
      </c>
      <c r="P1468">
        <v>-0.98004820000000004</v>
      </c>
      <c r="Q1468">
        <v>1.2260149999999999E-2</v>
      </c>
      <c r="R1468">
        <v>-0.1983829</v>
      </c>
      <c r="S1468">
        <v>-2.9658199999999999</v>
      </c>
      <c r="T1468">
        <v>-0.19813990000000001</v>
      </c>
      <c r="U1468">
        <v>-0.48474119999999998</v>
      </c>
      <c r="V1468">
        <v>-0.17513119999999999</v>
      </c>
      <c r="W1468">
        <v>2.739689E-2</v>
      </c>
      <c r="X1468">
        <v>0.98416389999999998</v>
      </c>
      <c r="Y1468">
        <v>-0.13756599999999999</v>
      </c>
      <c r="Z1468">
        <v>-2.9860049999999999E-3</v>
      </c>
      <c r="AA1468">
        <v>0.99048809999999998</v>
      </c>
      <c r="AB1468">
        <v>54</v>
      </c>
      <c r="AC1468">
        <v>-16.049299999999999</v>
      </c>
      <c r="AD1468">
        <v>-1.1054033984939999</v>
      </c>
      <c r="AE1468">
        <v>-2.6923999999999602</v>
      </c>
      <c r="AF1468">
        <v>-2.29977851812429</v>
      </c>
      <c r="AG1468">
        <v>-1.1054033984939999</v>
      </c>
      <c r="AH1468">
        <v>16.034744897328</v>
      </c>
      <c r="AI1468">
        <v>93.903795621757396</v>
      </c>
      <c r="AJ1468">
        <v>98.161968221043495</v>
      </c>
      <c r="AK1468">
        <v>16.236500294959299</v>
      </c>
      <c r="AL1468">
        <v>88.430077480312093</v>
      </c>
      <c r="AM1468">
        <v>100.09011977319599</v>
      </c>
      <c r="AN1468">
        <v>1.0000000544291501</v>
      </c>
    </row>
    <row r="1469" spans="1:40" x14ac:dyDescent="0.3">
      <c r="A1469" t="str">
        <f>"20200111153901013"</f>
        <v>20200111153901013</v>
      </c>
      <c r="B1469" t="str">
        <f>"1578728341002533"</f>
        <v>1578728341002533</v>
      </c>
      <c r="C1469" t="s">
        <v>40</v>
      </c>
      <c r="D1469">
        <v>5.0970129999999996</v>
      </c>
      <c r="E1469">
        <v>0.51281319999999997</v>
      </c>
      <c r="F1469" t="s">
        <v>59</v>
      </c>
      <c r="G1469">
        <v>-429.84289999999999</v>
      </c>
      <c r="H1469" s="1">
        <v>2.483797E-6</v>
      </c>
      <c r="I1469">
        <v>281.58330000000001</v>
      </c>
      <c r="J1469">
        <v>-413.64920000000001</v>
      </c>
      <c r="K1469">
        <v>1.105448</v>
      </c>
      <c r="L1469">
        <v>284.26080000000002</v>
      </c>
      <c r="M1469">
        <v>-0.99956719999999999</v>
      </c>
      <c r="N1469">
        <v>0</v>
      </c>
      <c r="O1469">
        <v>-2.4567060000000002E-2</v>
      </c>
      <c r="P1469">
        <v>-0.98044949999999997</v>
      </c>
      <c r="Q1469">
        <v>1.131678E-2</v>
      </c>
      <c r="R1469">
        <v>-0.1964458</v>
      </c>
      <c r="S1469">
        <v>-2.9668580000000002</v>
      </c>
      <c r="T1469">
        <v>-0.19624220000000001</v>
      </c>
      <c r="U1469">
        <v>-0.47760010000000003</v>
      </c>
      <c r="V1469">
        <v>-0.17237939999999999</v>
      </c>
      <c r="W1469">
        <v>2.673147E-2</v>
      </c>
      <c r="X1469">
        <v>0.98466779999999998</v>
      </c>
      <c r="Y1469">
        <v>-0.1343926</v>
      </c>
      <c r="Z1469">
        <v>-2.7993710000000002E-3</v>
      </c>
      <c r="AA1469">
        <v>0.99092420000000003</v>
      </c>
      <c r="AB1469">
        <v>53</v>
      </c>
      <c r="AC1469">
        <v>-16.1936999999999</v>
      </c>
      <c r="AD1469">
        <v>-1.1054455162029999</v>
      </c>
      <c r="AE1469">
        <v>-2.6775000000000002</v>
      </c>
      <c r="AF1469">
        <v>-2.2685180705738301</v>
      </c>
      <c r="AG1469">
        <v>-1.1054455162029999</v>
      </c>
      <c r="AH1469">
        <v>16.181200854112401</v>
      </c>
      <c r="AI1469">
        <v>93.870449356036801</v>
      </c>
      <c r="AJ1469">
        <v>97.9805493091541</v>
      </c>
      <c r="AK1469">
        <v>16.376795935314799</v>
      </c>
      <c r="AL1469">
        <v>88.468217051330896</v>
      </c>
      <c r="AM1469">
        <v>99.929776124347597</v>
      </c>
      <c r="AN1469">
        <v>0.99999995269477904</v>
      </c>
    </row>
    <row r="1470" spans="1:40" x14ac:dyDescent="0.3">
      <c r="A1470" t="str">
        <f>"20200111153901036"</f>
        <v>20200111153901036</v>
      </c>
      <c r="B1470" t="str">
        <f>"1578728341031813"</f>
        <v>1578728341031813</v>
      </c>
      <c r="C1470" t="s">
        <v>40</v>
      </c>
      <c r="D1470">
        <v>5.06534</v>
      </c>
      <c r="E1470">
        <v>0.51239040000000002</v>
      </c>
      <c r="F1470" t="s">
        <v>59</v>
      </c>
      <c r="G1470">
        <v>-430.39370000000002</v>
      </c>
      <c r="H1470" s="1">
        <v>2.6558219999999998E-6</v>
      </c>
      <c r="I1470">
        <v>281.59370000000001</v>
      </c>
      <c r="J1470">
        <v>-414.20460000000003</v>
      </c>
      <c r="K1470">
        <v>1.105488</v>
      </c>
      <c r="L1470">
        <v>284.24650000000003</v>
      </c>
      <c r="M1470">
        <v>-0.99954030000000005</v>
      </c>
      <c r="N1470">
        <v>0</v>
      </c>
      <c r="O1470">
        <v>-2.5433850000000001E-2</v>
      </c>
      <c r="P1470">
        <v>-0.98078129999999997</v>
      </c>
      <c r="Q1470">
        <v>1.024917E-2</v>
      </c>
      <c r="R1470">
        <v>-0.19484170000000001</v>
      </c>
      <c r="S1470">
        <v>-2.9674070000000001</v>
      </c>
      <c r="T1470">
        <v>-0.19590340000000001</v>
      </c>
      <c r="U1470">
        <v>-0.47265629999999997</v>
      </c>
      <c r="V1470">
        <v>-0.16991049999999999</v>
      </c>
      <c r="W1470">
        <v>2.6003120000000001E-2</v>
      </c>
      <c r="X1470">
        <v>0.9851164</v>
      </c>
      <c r="Y1470">
        <v>-0.1319023</v>
      </c>
      <c r="Z1470">
        <v>-2.656042E-3</v>
      </c>
      <c r="AA1470">
        <v>0.99125920000000001</v>
      </c>
      <c r="AB1470">
        <v>53</v>
      </c>
      <c r="AC1470">
        <v>-16.1890999999999</v>
      </c>
      <c r="AD1470">
        <v>-1.1054853441779999</v>
      </c>
      <c r="AE1470">
        <v>-2.6528000000000098</v>
      </c>
      <c r="AF1470">
        <v>-2.2300078887426902</v>
      </c>
      <c r="AG1470">
        <v>-1.1054853441779999</v>
      </c>
      <c r="AH1470">
        <v>16.1778776184841</v>
      </c>
      <c r="AI1470">
        <v>93.872619108508204</v>
      </c>
      <c r="AJ1470">
        <v>97.848365856559298</v>
      </c>
      <c r="AK1470">
        <v>16.368224010829501</v>
      </c>
      <c r="AL1470">
        <v>88.509963065913396</v>
      </c>
      <c r="AM1470">
        <v>99.785956620944702</v>
      </c>
      <c r="AN1470">
        <v>1.0000000309044701</v>
      </c>
    </row>
    <row r="1471" spans="1:40" x14ac:dyDescent="0.3">
      <c r="A1471" t="str">
        <f>"20200111153901059"</f>
        <v>20200111153901059</v>
      </c>
      <c r="B1471" t="str">
        <f>"1578728341052309"</f>
        <v>1578728341052309</v>
      </c>
      <c r="C1471" t="s">
        <v>40</v>
      </c>
      <c r="D1471">
        <v>5.0583859999999996</v>
      </c>
      <c r="E1471">
        <v>0.51209589999999905</v>
      </c>
      <c r="F1471" t="s">
        <v>59</v>
      </c>
      <c r="G1471">
        <v>-430.92899999999997</v>
      </c>
      <c r="H1471" s="1">
        <v>2.8934180000000002E-6</v>
      </c>
      <c r="I1471">
        <v>281.59120000000001</v>
      </c>
      <c r="J1471">
        <v>-414.73200000000003</v>
      </c>
      <c r="K1471">
        <v>1.105529</v>
      </c>
      <c r="L1471">
        <v>284.23239999999998</v>
      </c>
      <c r="M1471">
        <v>-0.99951319999999999</v>
      </c>
      <c r="N1471">
        <v>0</v>
      </c>
      <c r="O1471">
        <v>-2.6253829999999999E-2</v>
      </c>
      <c r="P1471">
        <v>-0.98118839999999996</v>
      </c>
      <c r="Q1471">
        <v>9.6933579999999991E-3</v>
      </c>
      <c r="R1471">
        <v>-0.19280939999999999</v>
      </c>
      <c r="S1471">
        <v>-2.9672550000000002</v>
      </c>
      <c r="T1471">
        <v>-0.19613559999999999</v>
      </c>
      <c r="U1471">
        <v>-0.47109990000000002</v>
      </c>
      <c r="V1471">
        <v>-0.1670584</v>
      </c>
      <c r="W1471">
        <v>2.5808149999999998E-2</v>
      </c>
      <c r="X1471">
        <v>0.98560919999999996</v>
      </c>
      <c r="Y1471">
        <v>-0.1305936</v>
      </c>
      <c r="Z1471">
        <v>-2.5627319999999999E-3</v>
      </c>
      <c r="AA1471">
        <v>0.99143269999999994</v>
      </c>
      <c r="AB1471">
        <v>53</v>
      </c>
      <c r="AC1471">
        <v>-16.196999999999999</v>
      </c>
      <c r="AD1471">
        <v>-1.1055261065819999</v>
      </c>
      <c r="AE1471">
        <v>-2.64119999999996</v>
      </c>
      <c r="AF1471">
        <v>-2.2049892403537901</v>
      </c>
      <c r="AG1471">
        <v>-1.1055261065819999</v>
      </c>
      <c r="AH1471">
        <v>16.187307742993301</v>
      </c>
      <c r="AI1471">
        <v>93.871356151253494</v>
      </c>
      <c r="AJ1471">
        <v>97.756927115676007</v>
      </c>
      <c r="AK1471">
        <v>16.374159443732701</v>
      </c>
      <c r="AL1471">
        <v>88.521137776199694</v>
      </c>
      <c r="AM1471">
        <v>99.620066470219598</v>
      </c>
      <c r="AN1471">
        <v>1.00000003237081</v>
      </c>
    </row>
    <row r="1472" spans="1:40" x14ac:dyDescent="0.3">
      <c r="A1472" t="str">
        <f>"20200111153901080"</f>
        <v>20200111153901080</v>
      </c>
      <c r="B1472" t="str">
        <f>"1578728341071832"</f>
        <v>1578728341071832</v>
      </c>
      <c r="C1472" t="s">
        <v>40</v>
      </c>
      <c r="D1472">
        <v>5.0663039999999997</v>
      </c>
      <c r="E1472">
        <v>0.51173469999999999</v>
      </c>
      <c r="F1472" t="s">
        <v>59</v>
      </c>
      <c r="G1472">
        <v>-431.4658</v>
      </c>
      <c r="H1472" s="1">
        <v>3.1309599999999999E-6</v>
      </c>
      <c r="I1472">
        <v>281.59699999999998</v>
      </c>
      <c r="J1472">
        <v>-415.24779999999998</v>
      </c>
      <c r="K1472">
        <v>1.105561</v>
      </c>
      <c r="L1472">
        <v>284.2183</v>
      </c>
      <c r="M1472">
        <v>-0.99948579999999998</v>
      </c>
      <c r="N1472">
        <v>0</v>
      </c>
      <c r="O1472">
        <v>-2.7054269999999998E-2</v>
      </c>
      <c r="P1472">
        <v>-0.98154209999999997</v>
      </c>
      <c r="Q1472">
        <v>9.2258359999999994E-3</v>
      </c>
      <c r="R1472">
        <v>-0.19102530000000001</v>
      </c>
      <c r="S1472">
        <v>-2.96759</v>
      </c>
      <c r="T1472">
        <v>-0.19605539999999999</v>
      </c>
      <c r="U1472">
        <v>-0.46737669999999998</v>
      </c>
      <c r="V1472">
        <v>-0.16447429999999999</v>
      </c>
      <c r="W1472">
        <v>2.5714250000000001E-2</v>
      </c>
      <c r="X1472">
        <v>0.98604610000000004</v>
      </c>
      <c r="Y1472">
        <v>-0.12857449999999901</v>
      </c>
      <c r="Z1472">
        <v>-2.4429740000000001E-3</v>
      </c>
      <c r="AA1472">
        <v>0.99169680000000004</v>
      </c>
      <c r="AB1472">
        <v>53</v>
      </c>
      <c r="AC1472">
        <v>-16.218</v>
      </c>
      <c r="AD1472">
        <v>-1.1055578690400001</v>
      </c>
      <c r="AE1472">
        <v>-2.6213000000000202</v>
      </c>
      <c r="AF1472">
        <v>-2.17167433622626</v>
      </c>
      <c r="AG1472">
        <v>-1.1055578690400001</v>
      </c>
      <c r="AH1472">
        <v>16.209582279981198</v>
      </c>
      <c r="AI1472">
        <v>93.867310096236494</v>
      </c>
      <c r="AJ1472">
        <v>97.630747488561198</v>
      </c>
      <c r="AK1472">
        <v>16.391735274701698</v>
      </c>
      <c r="AL1472">
        <v>88.526519536048497</v>
      </c>
      <c r="AM1472">
        <v>99.469857368627601</v>
      </c>
      <c r="AN1472">
        <v>0.99999996466938001</v>
      </c>
    </row>
    <row r="1473" spans="1:40" x14ac:dyDescent="0.3">
      <c r="A1473" t="str">
        <f>"20200111153901103"</f>
        <v>20200111153901103</v>
      </c>
      <c r="B1473" t="str">
        <f>"1578728341092325"</f>
        <v>1578728341092325</v>
      </c>
      <c r="C1473" t="s">
        <v>40</v>
      </c>
      <c r="D1473">
        <v>5.219983</v>
      </c>
      <c r="E1473">
        <v>0.51176429999999995</v>
      </c>
      <c r="F1473" t="s">
        <v>59</v>
      </c>
      <c r="G1473">
        <v>-432.02010000000001</v>
      </c>
      <c r="H1473" s="1">
        <v>3.3774160000000001E-6</v>
      </c>
      <c r="I1473">
        <v>281.58980000000003</v>
      </c>
      <c r="J1473">
        <v>-415.76139999999998</v>
      </c>
      <c r="K1473">
        <v>1.1055969999999999</v>
      </c>
      <c r="L1473">
        <v>284.20389999999998</v>
      </c>
      <c r="M1473">
        <v>-0.9994575</v>
      </c>
      <c r="N1473">
        <v>0</v>
      </c>
      <c r="O1473">
        <v>-2.7847529999999999E-2</v>
      </c>
      <c r="P1473">
        <v>-0.98178869999999896</v>
      </c>
      <c r="Q1473">
        <v>8.9082980000000003E-3</v>
      </c>
      <c r="R1473">
        <v>-0.18976789999999999</v>
      </c>
      <c r="S1473">
        <v>-2.967743</v>
      </c>
      <c r="T1473">
        <v>-0.1956204</v>
      </c>
      <c r="U1473">
        <v>-0.4650879</v>
      </c>
      <c r="V1473">
        <v>-0.16242699999999999</v>
      </c>
      <c r="W1473">
        <v>2.5774310000000002E-2</v>
      </c>
      <c r="X1473">
        <v>0.98638389999999998</v>
      </c>
      <c r="Y1473">
        <v>-0.1270387</v>
      </c>
      <c r="Z1473">
        <v>-2.335462E-3</v>
      </c>
      <c r="AA1473">
        <v>0.99189499999999997</v>
      </c>
      <c r="AB1473">
        <v>53</v>
      </c>
      <c r="AC1473">
        <v>-16.258700000000001</v>
      </c>
      <c r="AD1473">
        <v>-1.105593622584</v>
      </c>
      <c r="AE1473">
        <v>-2.6140999999999499</v>
      </c>
      <c r="AF1473">
        <v>-2.1505576103758601</v>
      </c>
      <c r="AG1473">
        <v>-1.105593622584</v>
      </c>
      <c r="AH1473">
        <v>16.251944566790499</v>
      </c>
      <c r="AI1473">
        <v>93.8582139541505</v>
      </c>
      <c r="AJ1473">
        <v>97.537937772334402</v>
      </c>
      <c r="AK1473">
        <v>16.4308532187429</v>
      </c>
      <c r="AL1473">
        <v>88.523077294857899</v>
      </c>
      <c r="AM1473">
        <v>99.350930306416302</v>
      </c>
      <c r="AN1473">
        <v>1.0000000217820899</v>
      </c>
    </row>
    <row r="1474" spans="1:40" x14ac:dyDescent="0.3">
      <c r="A1474" t="str">
        <f>"20200111153901125"</f>
        <v>20200111153901125</v>
      </c>
      <c r="B1474" t="str">
        <f>"1578728341122582"</f>
        <v>1578728341122582</v>
      </c>
      <c r="C1474" t="s">
        <v>40</v>
      </c>
      <c r="D1474">
        <v>5.0471789999999999</v>
      </c>
      <c r="E1474">
        <v>0.53277750000000001</v>
      </c>
      <c r="F1474" t="s">
        <v>59</v>
      </c>
      <c r="G1474">
        <v>-432.5686</v>
      </c>
      <c r="H1474" s="1">
        <v>3.6204410000000002E-6</v>
      </c>
      <c r="I1474">
        <v>281.59230000000002</v>
      </c>
      <c r="J1474">
        <v>-416.29700000000003</v>
      </c>
      <c r="K1474">
        <v>1.105634</v>
      </c>
      <c r="L1474">
        <v>284.18830000000003</v>
      </c>
      <c r="M1474">
        <v>-0.99942739999999997</v>
      </c>
      <c r="N1474">
        <v>0</v>
      </c>
      <c r="O1474">
        <v>-2.866718E-2</v>
      </c>
      <c r="P1474">
        <v>-0.98207869999999997</v>
      </c>
      <c r="Q1474">
        <v>8.7657910000000002E-3</v>
      </c>
      <c r="R1474">
        <v>-0.18826760000000001</v>
      </c>
      <c r="S1474">
        <v>-2.9682010000000001</v>
      </c>
      <c r="T1474">
        <v>-0.19525110000000001</v>
      </c>
      <c r="U1474">
        <v>-0.46121220000000002</v>
      </c>
      <c r="V1474">
        <v>-0.16010949999999999</v>
      </c>
      <c r="W1474">
        <v>2.6041249999999998E-2</v>
      </c>
      <c r="X1474">
        <v>0.98675570000000001</v>
      </c>
      <c r="Y1474">
        <v>-0.124944</v>
      </c>
      <c r="Z1474">
        <v>-2.2090320000000001E-3</v>
      </c>
      <c r="AA1474">
        <v>0.99216130000000002</v>
      </c>
      <c r="AB1474">
        <v>53</v>
      </c>
      <c r="AC1474">
        <v>-16.271599999999999</v>
      </c>
      <c r="AD1474">
        <v>-1.1056303795589999</v>
      </c>
      <c r="AE1474">
        <v>-2.5960000000000001</v>
      </c>
      <c r="AF1474">
        <v>-2.11885655225398</v>
      </c>
      <c r="AG1474">
        <v>-1.1056303795589999</v>
      </c>
      <c r="AH1474">
        <v>16.266106026281399</v>
      </c>
      <c r="AI1474">
        <v>93.856016910762804</v>
      </c>
      <c r="AJ1474">
        <v>97.421677283458195</v>
      </c>
      <c r="AK1474">
        <v>16.440747455133</v>
      </c>
      <c r="AL1474">
        <v>88.507777599313002</v>
      </c>
      <c r="AM1474">
        <v>99.216404793324401</v>
      </c>
      <c r="AN1474">
        <v>1.00000000508715</v>
      </c>
    </row>
    <row r="1475" spans="1:40" x14ac:dyDescent="0.3">
      <c r="A1475" t="str">
        <f>"20200111153901147"</f>
        <v>20200111153901147</v>
      </c>
      <c r="B1475" t="str">
        <f>"1578728341142101"</f>
        <v>1578728341142101</v>
      </c>
      <c r="C1475" t="s">
        <v>40</v>
      </c>
      <c r="D1475">
        <v>5.0808369999999998</v>
      </c>
      <c r="E1475">
        <v>0.53132939999999995</v>
      </c>
      <c r="F1475" t="s">
        <v>59</v>
      </c>
      <c r="G1475">
        <v>-439.35860000000002</v>
      </c>
      <c r="H1475" s="1">
        <v>6.6031530000000003E-6</v>
      </c>
      <c r="I1475">
        <v>281.91669999999999</v>
      </c>
      <c r="J1475">
        <v>-416.82889999999998</v>
      </c>
      <c r="K1475">
        <v>1.1056760000000001</v>
      </c>
      <c r="L1475">
        <v>284.17250000000001</v>
      </c>
      <c r="M1475">
        <v>-0.99939659999999997</v>
      </c>
      <c r="N1475">
        <v>0</v>
      </c>
      <c r="O1475">
        <v>-2.947025E-2</v>
      </c>
      <c r="P1475">
        <v>-0.98226709999999995</v>
      </c>
      <c r="Q1475">
        <v>8.9909269999999993E-3</v>
      </c>
      <c r="R1475">
        <v>-0.1872713</v>
      </c>
      <c r="S1475">
        <v>-2.99939</v>
      </c>
      <c r="T1475">
        <v>-0.14379749999999999</v>
      </c>
      <c r="U1475">
        <v>-0.2954407</v>
      </c>
      <c r="V1475">
        <v>-0.1583147</v>
      </c>
      <c r="W1475">
        <v>2.6684759999999998E-2</v>
      </c>
      <c r="X1475">
        <v>0.98702809999999996</v>
      </c>
      <c r="Y1475">
        <v>-6.8605529999999998E-2</v>
      </c>
      <c r="Z1475">
        <v>-2.314153E-4</v>
      </c>
      <c r="AA1475">
        <v>0.99764379999999997</v>
      </c>
      <c r="AB1475">
        <v>53</v>
      </c>
      <c r="AC1475">
        <v>-22.529699999999998</v>
      </c>
      <c r="AD1475">
        <v>-1.1056693968469999</v>
      </c>
      <c r="AE1475">
        <v>-2.2558000000000198</v>
      </c>
      <c r="AF1475">
        <v>-1.58696755764917</v>
      </c>
      <c r="AG1475">
        <v>-1.1056693968469999</v>
      </c>
      <c r="AH1475">
        <v>22.532670896784499</v>
      </c>
      <c r="AI1475">
        <v>92.802297889041995</v>
      </c>
      <c r="AJ1475">
        <v>94.028667866876205</v>
      </c>
      <c r="AK1475">
        <v>22.6155306943471</v>
      </c>
      <c r="AL1475">
        <v>88.470894434180394</v>
      </c>
      <c r="AM1475">
        <v>99.112361036579699</v>
      </c>
      <c r="AN1475">
        <v>1.0000000454209701</v>
      </c>
    </row>
    <row r="1476" spans="1:40" x14ac:dyDescent="0.3">
      <c r="A1476" t="str">
        <f>"20200111153901170"</f>
        <v>20200111153901170</v>
      </c>
      <c r="B1476" t="str">
        <f>"1578728341161621"</f>
        <v>1578728341161621</v>
      </c>
      <c r="C1476" t="s">
        <v>40</v>
      </c>
      <c r="D1476">
        <v>5.0645680000000004</v>
      </c>
      <c r="E1476">
        <v>0.52985749999999998</v>
      </c>
      <c r="F1476" t="s">
        <v>55</v>
      </c>
      <c r="G1476">
        <v>-440.5659</v>
      </c>
      <c r="H1476" s="1">
        <v>-1.110944E-6</v>
      </c>
      <c r="I1476">
        <v>281.76369999999997</v>
      </c>
      <c r="J1476">
        <v>-417.35809999999998</v>
      </c>
      <c r="K1476">
        <v>1.1057140000000001</v>
      </c>
      <c r="L1476">
        <v>284.15620000000001</v>
      </c>
      <c r="M1476">
        <v>-0.99936559999999997</v>
      </c>
      <c r="N1476">
        <v>0</v>
      </c>
      <c r="O1476">
        <v>-3.0252480000000002E-2</v>
      </c>
      <c r="P1476">
        <v>-0.98236860000000004</v>
      </c>
      <c r="Q1476">
        <v>9.5517669999999992E-3</v>
      </c>
      <c r="R1476">
        <v>-0.18671019999999999</v>
      </c>
      <c r="S1476">
        <v>-2.9974370000000001</v>
      </c>
      <c r="T1476">
        <v>-0.13962169999999999</v>
      </c>
      <c r="U1476">
        <v>-0.30416870000000001</v>
      </c>
      <c r="V1476">
        <v>-0.15697939999999999</v>
      </c>
      <c r="W1476">
        <v>2.7669539999999999E-2</v>
      </c>
      <c r="X1476">
        <v>0.98721420000000004</v>
      </c>
      <c r="Y1476">
        <v>-7.0764919999999995E-2</v>
      </c>
      <c r="Z1476">
        <v>-2.386662E-4</v>
      </c>
      <c r="AA1476">
        <v>0.99749299999999996</v>
      </c>
      <c r="AB1476">
        <v>52</v>
      </c>
      <c r="AC1476">
        <v>-23.207799999999999</v>
      </c>
      <c r="AD1476">
        <v>-1.10571511094399</v>
      </c>
      <c r="AE1476">
        <v>-2.39250000000004</v>
      </c>
      <c r="AF1476">
        <v>-1.68540145142824</v>
      </c>
      <c r="AG1476">
        <v>-1.10571511094399</v>
      </c>
      <c r="AH1476">
        <v>23.217417187849399</v>
      </c>
      <c r="AI1476">
        <v>92.719470772488606</v>
      </c>
      <c r="AJ1476">
        <v>94.151939076241405</v>
      </c>
      <c r="AK1476">
        <v>23.304755841537801</v>
      </c>
      <c r="AL1476">
        <v>88.414449785543297</v>
      </c>
      <c r="AM1476">
        <v>99.035101252788706</v>
      </c>
      <c r="AN1476">
        <v>1.0000000060748999</v>
      </c>
    </row>
    <row r="1477" spans="1:40" x14ac:dyDescent="0.3">
      <c r="A1477" t="str">
        <f>"20200111153901191"</f>
        <v>20200111153901191</v>
      </c>
      <c r="B1477" t="str">
        <f>"1578728341182120"</f>
        <v>1578728341182120</v>
      </c>
      <c r="C1477" t="s">
        <v>40</v>
      </c>
      <c r="D1477">
        <v>5.0286839999999904</v>
      </c>
      <c r="E1477">
        <v>0.52896540000000003</v>
      </c>
      <c r="F1477" t="s">
        <v>55</v>
      </c>
      <c r="G1477">
        <v>-440.54820000000001</v>
      </c>
      <c r="H1477" s="1">
        <v>-1.1187410000000001E-6</v>
      </c>
      <c r="I1477">
        <v>281.7269</v>
      </c>
      <c r="J1477">
        <v>-417.85469999999998</v>
      </c>
      <c r="K1477">
        <v>1.105742</v>
      </c>
      <c r="L1477">
        <v>284.14060000000001</v>
      </c>
      <c r="M1477">
        <v>-0.99933649999999996</v>
      </c>
      <c r="N1477">
        <v>0</v>
      </c>
      <c r="O1477">
        <v>-3.0963250000000001E-2</v>
      </c>
      <c r="P1477">
        <v>-0.98248210000000002</v>
      </c>
      <c r="Q1477">
        <v>1.002544E-2</v>
      </c>
      <c r="R1477">
        <v>-0.1860879</v>
      </c>
      <c r="S1477">
        <v>-2.9956049999999999</v>
      </c>
      <c r="T1477">
        <v>-0.1428316</v>
      </c>
      <c r="U1477">
        <v>-0.31381229999999999</v>
      </c>
      <c r="V1477">
        <v>-0.1556517</v>
      </c>
      <c r="W1477">
        <v>2.854514E-2</v>
      </c>
      <c r="X1477">
        <v>0.98739949999999999</v>
      </c>
      <c r="Y1477">
        <v>-7.3289530000000006E-2</v>
      </c>
      <c r="Z1477">
        <v>-2.7050590000000002E-4</v>
      </c>
      <c r="AA1477">
        <v>0.99731069999999999</v>
      </c>
      <c r="AB1477">
        <v>52</v>
      </c>
      <c r="AC1477">
        <v>-22.6935</v>
      </c>
      <c r="AD1477">
        <v>-1.1057431187410001</v>
      </c>
      <c r="AE1477">
        <v>-2.4137</v>
      </c>
      <c r="AF1477">
        <v>-1.70574411145816</v>
      </c>
      <c r="AG1477">
        <v>-1.1057431187410001</v>
      </c>
      <c r="AH1477">
        <v>22.7040651718672</v>
      </c>
      <c r="AI1477">
        <v>92.780416965178802</v>
      </c>
      <c r="AJ1477">
        <v>94.296529166862896</v>
      </c>
      <c r="AK1477">
        <v>22.794885526073799</v>
      </c>
      <c r="AL1477">
        <v>88.364261801367405</v>
      </c>
      <c r="AM1477">
        <v>98.958274916907399</v>
      </c>
      <c r="AN1477">
        <v>1.00000002466537</v>
      </c>
    </row>
    <row r="1478" spans="1:40" x14ac:dyDescent="0.3">
      <c r="A1478" t="str">
        <f>"20200111153901214"</f>
        <v>20200111153901214</v>
      </c>
      <c r="B1478" t="str">
        <f>"1578728341201636"</f>
        <v>1578728341201636</v>
      </c>
      <c r="C1478" t="s">
        <v>40</v>
      </c>
      <c r="D1478">
        <v>5.0176720000000001</v>
      </c>
      <c r="E1478">
        <v>0.52791460000000001</v>
      </c>
      <c r="F1478" t="s">
        <v>55</v>
      </c>
      <c r="G1478">
        <v>-441.38139999999999</v>
      </c>
      <c r="H1478" s="1">
        <v>-6.7123409999999995E-7</v>
      </c>
      <c r="I1478">
        <v>281.6327</v>
      </c>
      <c r="J1478">
        <v>-418.36840000000001</v>
      </c>
      <c r="K1478">
        <v>1.105764</v>
      </c>
      <c r="L1478">
        <v>284.1241</v>
      </c>
      <c r="M1478">
        <v>-0.99930669999999999</v>
      </c>
      <c r="N1478">
        <v>0</v>
      </c>
      <c r="O1478">
        <v>-3.1666069999999998E-2</v>
      </c>
      <c r="P1478">
        <v>-0.98248789999999997</v>
      </c>
      <c r="Q1478">
        <v>1.0360090000000001E-2</v>
      </c>
      <c r="R1478">
        <v>-0.1860388</v>
      </c>
      <c r="S1478">
        <v>-2.994507</v>
      </c>
      <c r="T1478">
        <v>-0.1407399</v>
      </c>
      <c r="U1478">
        <v>-0.31921389999999999</v>
      </c>
      <c r="V1478">
        <v>-0.15490770000000001</v>
      </c>
      <c r="W1478">
        <v>2.9290610000000002E-2</v>
      </c>
      <c r="X1478">
        <v>0.9874946</v>
      </c>
      <c r="Y1478">
        <v>-7.4405750000000007E-2</v>
      </c>
      <c r="Z1478">
        <v>-2.5987440000000003E-4</v>
      </c>
      <c r="AA1478">
        <v>0.997228</v>
      </c>
      <c r="AB1478">
        <v>52</v>
      </c>
      <c r="AC1478">
        <v>-23.012999999999899</v>
      </c>
      <c r="AD1478">
        <v>-1.1057646712341</v>
      </c>
      <c r="AE1478">
        <v>-2.4913999999999898</v>
      </c>
      <c r="AF1478">
        <v>-1.7572689809814399</v>
      </c>
      <c r="AG1478">
        <v>-1.1057646712341</v>
      </c>
      <c r="AH1478">
        <v>23.027812814936901</v>
      </c>
      <c r="AI1478">
        <v>92.741197107104696</v>
      </c>
      <c r="AJ1478">
        <v>94.363824656276805</v>
      </c>
      <c r="AK1478">
        <v>23.1212212657429</v>
      </c>
      <c r="AL1478">
        <v>88.321531538283494</v>
      </c>
      <c r="AM1478">
        <v>98.915299924164003</v>
      </c>
      <c r="AN1478">
        <v>0.99999996019130999</v>
      </c>
    </row>
    <row r="1479" spans="1:40" x14ac:dyDescent="0.3">
      <c r="A1479" t="str">
        <f>"20200111153901238"</f>
        <v>20200111153901238</v>
      </c>
      <c r="B1479" t="str">
        <f>"1578728341231895"</f>
        <v>1578728341231895</v>
      </c>
      <c r="C1479" t="s">
        <v>40</v>
      </c>
      <c r="D1479">
        <v>5.0060079999999996</v>
      </c>
      <c r="E1479">
        <v>0.52727539999999995</v>
      </c>
      <c r="F1479" t="s">
        <v>55</v>
      </c>
      <c r="G1479">
        <v>-441.75760000000002</v>
      </c>
      <c r="H1479" s="1">
        <v>-4.6825269999999997E-7</v>
      </c>
      <c r="I1479">
        <v>281.5686</v>
      </c>
      <c r="J1479">
        <v>-418.89060000000001</v>
      </c>
      <c r="K1479">
        <v>1.1057669999999999</v>
      </c>
      <c r="L1479">
        <v>284.10700000000003</v>
      </c>
      <c r="M1479">
        <v>-0.99927759999999999</v>
      </c>
      <c r="N1479">
        <v>0</v>
      </c>
      <c r="O1479">
        <v>-3.233308E-2</v>
      </c>
      <c r="P1479">
        <v>-0.98239929999999998</v>
      </c>
      <c r="Q1479">
        <v>1.122514E-2</v>
      </c>
      <c r="R1479">
        <v>-0.1864546</v>
      </c>
      <c r="S1479">
        <v>-2.993042</v>
      </c>
      <c r="T1479">
        <v>-0.14150119999999999</v>
      </c>
      <c r="U1479">
        <v>-0.32702639999999999</v>
      </c>
      <c r="V1479">
        <v>-0.1546659</v>
      </c>
      <c r="W1479">
        <v>3.055604E-2</v>
      </c>
      <c r="X1479">
        <v>0.98749419999999999</v>
      </c>
      <c r="Y1479">
        <v>-7.6362219999999995E-2</v>
      </c>
      <c r="Z1479">
        <v>-2.7606830000000002E-4</v>
      </c>
      <c r="AA1479">
        <v>0.99708010000000002</v>
      </c>
      <c r="AB1479">
        <v>52</v>
      </c>
      <c r="AC1479">
        <v>-22.867000000000001</v>
      </c>
      <c r="AD1479">
        <v>-1.1057674682526999</v>
      </c>
      <c r="AE1479">
        <v>-2.5384000000000202</v>
      </c>
      <c r="AF1479">
        <v>-1.7934216372818099</v>
      </c>
      <c r="AG1479">
        <v>-1.1057674682526999</v>
      </c>
      <c r="AH1479">
        <v>22.884269838062401</v>
      </c>
      <c r="AI1479">
        <v>92.757936109067302</v>
      </c>
      <c r="AJ1479">
        <v>94.481064843700395</v>
      </c>
      <c r="AK1479">
        <v>22.981054999372201</v>
      </c>
      <c r="AL1479">
        <v>88.248995326371301</v>
      </c>
      <c r="AM1479">
        <v>98.9016103423657</v>
      </c>
      <c r="AN1479">
        <v>1.00000000361846</v>
      </c>
    </row>
    <row r="1480" spans="1:40" x14ac:dyDescent="0.3">
      <c r="A1480" t="str">
        <f>"20200111153901259"</f>
        <v>20200111153901259</v>
      </c>
      <c r="B1480" t="str">
        <f>"1578728341252389"</f>
        <v>1578728341252389</v>
      </c>
      <c r="C1480" t="s">
        <v>40</v>
      </c>
      <c r="D1480">
        <v>5.051374</v>
      </c>
      <c r="E1480">
        <v>0.52679960000000003</v>
      </c>
      <c r="F1480" t="s">
        <v>55</v>
      </c>
      <c r="G1480">
        <v>-442.77550000000002</v>
      </c>
      <c r="H1480" s="1">
        <v>7.8834519999999997E-8</v>
      </c>
      <c r="I1480">
        <v>281.44499999999999</v>
      </c>
      <c r="J1480">
        <v>-419.41180000000003</v>
      </c>
      <c r="K1480">
        <v>1.105753</v>
      </c>
      <c r="L1480">
        <v>284.08960000000002</v>
      </c>
      <c r="M1480">
        <v>-0.99925059999999999</v>
      </c>
      <c r="N1480">
        <v>0</v>
      </c>
      <c r="O1480">
        <v>-3.294296E-2</v>
      </c>
      <c r="P1480">
        <v>-0.98234180000000004</v>
      </c>
      <c r="Q1480">
        <v>1.1880160000000001E-2</v>
      </c>
      <c r="R1480">
        <v>-0.18671879999999999</v>
      </c>
      <c r="S1480">
        <v>-2.992035</v>
      </c>
      <c r="T1480">
        <v>-0.138518</v>
      </c>
      <c r="U1480">
        <v>-0.33346559999999997</v>
      </c>
      <c r="V1480">
        <v>-0.15432709999999999</v>
      </c>
      <c r="W1480">
        <v>3.1586459999999997E-2</v>
      </c>
      <c r="X1480">
        <v>0.98751480000000003</v>
      </c>
      <c r="Y1480">
        <v>-7.7910599999999997E-2</v>
      </c>
      <c r="Z1480">
        <v>-2.779255E-4</v>
      </c>
      <c r="AA1480">
        <v>0.99696030000000002</v>
      </c>
      <c r="AB1480">
        <v>52</v>
      </c>
      <c r="AC1480">
        <v>-23.363699999999898</v>
      </c>
      <c r="AD1480">
        <v>-1.10575292116548</v>
      </c>
      <c r="AE1480">
        <v>-2.64460000000002</v>
      </c>
      <c r="AF1480">
        <v>-1.8692016852157201</v>
      </c>
      <c r="AG1480">
        <v>-1.10575292116548</v>
      </c>
      <c r="AH1480">
        <v>23.3864315631727</v>
      </c>
      <c r="AI1480">
        <v>92.698439670356905</v>
      </c>
      <c r="AJ1480">
        <v>94.569751535724095</v>
      </c>
      <c r="AK1480">
        <v>23.487055705678401</v>
      </c>
      <c r="AL1480">
        <v>88.189928115804705</v>
      </c>
      <c r="AM1480">
        <v>98.882240035784406</v>
      </c>
      <c r="AN1480">
        <v>1.0000000192343901</v>
      </c>
    </row>
    <row r="1481" spans="1:40" x14ac:dyDescent="0.3">
      <c r="A1481" t="str">
        <f>"20200111153901281"</f>
        <v>20200111153901281</v>
      </c>
      <c r="B1481" t="str">
        <f>"1578728341271912"</f>
        <v>1578728341271912</v>
      </c>
      <c r="C1481" t="s">
        <v>40</v>
      </c>
      <c r="D1481">
        <v>4.9880409999999999</v>
      </c>
      <c r="E1481">
        <v>0.52620009999999995</v>
      </c>
      <c r="F1481" t="s">
        <v>55</v>
      </c>
      <c r="G1481">
        <v>-443.41730000000001</v>
      </c>
      <c r="H1481" s="1">
        <v>4.2329420000000002E-7</v>
      </c>
      <c r="I1481">
        <v>281.37729999999999</v>
      </c>
      <c r="J1481">
        <v>-419.91469999999998</v>
      </c>
      <c r="K1481">
        <v>1.105723</v>
      </c>
      <c r="L1481">
        <v>284.07249999999999</v>
      </c>
      <c r="M1481">
        <v>-0.99922610000000001</v>
      </c>
      <c r="N1481">
        <v>0</v>
      </c>
      <c r="O1481">
        <v>-3.3482499999999998E-2</v>
      </c>
      <c r="P1481">
        <v>-0.98237099999999999</v>
      </c>
      <c r="Q1481">
        <v>1.1903220000000001E-2</v>
      </c>
      <c r="R1481">
        <v>-0.1865618</v>
      </c>
      <c r="S1481">
        <v>-2.9913940000000001</v>
      </c>
      <c r="T1481">
        <v>-0.13779129999999901</v>
      </c>
      <c r="U1481">
        <v>-0.33798220000000001</v>
      </c>
      <c r="V1481">
        <v>-0.1536313</v>
      </c>
      <c r="W1481">
        <v>3.1944859999999999E-2</v>
      </c>
      <c r="X1481">
        <v>0.98761180000000004</v>
      </c>
      <c r="Y1481">
        <v>-7.8882160000000007E-2</v>
      </c>
      <c r="Z1481">
        <v>-2.7406499999999999E-4</v>
      </c>
      <c r="AA1481">
        <v>0.99688390000000004</v>
      </c>
      <c r="AB1481">
        <v>52</v>
      </c>
      <c r="AC1481">
        <v>-23.502600000000001</v>
      </c>
      <c r="AD1481">
        <v>-1.1057225767058001</v>
      </c>
      <c r="AE1481">
        <v>-2.6951999999999998</v>
      </c>
      <c r="AF1481">
        <v>-1.90243843951168</v>
      </c>
      <c r="AG1481">
        <v>-1.1057225767058001</v>
      </c>
      <c r="AH1481">
        <v>23.528276238686399</v>
      </c>
      <c r="AI1481">
        <v>92.681922837395803</v>
      </c>
      <c r="AJ1481">
        <v>94.622738652799995</v>
      </c>
      <c r="AK1481">
        <v>23.630947446023001</v>
      </c>
      <c r="AL1481">
        <v>88.1693830132145</v>
      </c>
      <c r="AM1481">
        <v>98.841973036982097</v>
      </c>
      <c r="AN1481">
        <v>1.00000005895967</v>
      </c>
    </row>
    <row r="1482" spans="1:40" x14ac:dyDescent="0.3">
      <c r="A1482" t="str">
        <f>"20200111153901304"</f>
        <v>20200111153901304</v>
      </c>
      <c r="B1482" t="str">
        <f>"1578728341292406"</f>
        <v>1578728341292406</v>
      </c>
      <c r="C1482" t="s">
        <v>40</v>
      </c>
      <c r="D1482">
        <v>4.9648029999999999</v>
      </c>
      <c r="E1482">
        <v>0.5258003</v>
      </c>
      <c r="F1482" t="s">
        <v>55</v>
      </c>
      <c r="G1482">
        <v>-443.93040000000002</v>
      </c>
      <c r="H1482" s="1">
        <v>6.9873109999999897E-7</v>
      </c>
      <c r="I1482">
        <v>281.32330000000002</v>
      </c>
      <c r="J1482">
        <v>-420.42910000000001</v>
      </c>
      <c r="K1482">
        <v>1.105675</v>
      </c>
      <c r="L1482">
        <v>284.0548</v>
      </c>
      <c r="M1482">
        <v>-0.99920350000000002</v>
      </c>
      <c r="N1482">
        <v>0</v>
      </c>
      <c r="O1482">
        <v>-3.3978500000000002E-2</v>
      </c>
      <c r="P1482">
        <v>-0.98240110000000003</v>
      </c>
      <c r="Q1482">
        <v>1.19355E-2</v>
      </c>
      <c r="R1482">
        <v>-0.18640280000000001</v>
      </c>
      <c r="S1482">
        <v>-2.9905089999999999</v>
      </c>
      <c r="T1482">
        <v>-0.13768759999999999</v>
      </c>
      <c r="U1482">
        <v>-0.34234619999999999</v>
      </c>
      <c r="V1482">
        <v>-0.1529759</v>
      </c>
      <c r="W1482">
        <v>3.2291340000000002E-2</v>
      </c>
      <c r="X1482">
        <v>0.98770219999999997</v>
      </c>
      <c r="Y1482">
        <v>-7.9855709999999996E-2</v>
      </c>
      <c r="Z1482">
        <v>-2.7352140000000001E-4</v>
      </c>
      <c r="AA1482">
        <v>0.99680639999999998</v>
      </c>
      <c r="AB1482">
        <v>51</v>
      </c>
      <c r="AC1482">
        <v>-23.501300000000001</v>
      </c>
      <c r="AD1482">
        <v>-1.1056743012689001</v>
      </c>
      <c r="AE1482">
        <v>-2.7314999999999801</v>
      </c>
      <c r="AF1482">
        <v>-1.92699977694731</v>
      </c>
      <c r="AG1482">
        <v>-1.1056743012689001</v>
      </c>
      <c r="AH1482">
        <v>23.529169576618099</v>
      </c>
      <c r="AI1482">
        <v>92.681478942704004</v>
      </c>
      <c r="AJ1482">
        <v>94.681979644432403</v>
      </c>
      <c r="AK1482">
        <v>23.633824590321598</v>
      </c>
      <c r="AL1482">
        <v>88.149520809288106</v>
      </c>
      <c r="AM1482">
        <v>98.804051720866198</v>
      </c>
      <c r="AN1482">
        <v>0.99999999625232205</v>
      </c>
    </row>
    <row r="1483" spans="1:40" x14ac:dyDescent="0.3">
      <c r="A1483" t="str">
        <f>"20200111153901325"</f>
        <v>20200111153901325</v>
      </c>
      <c r="B1483" t="str">
        <f>"1578728341321685"</f>
        <v>1578728341321685</v>
      </c>
      <c r="C1483" t="s">
        <v>40</v>
      </c>
      <c r="D1483">
        <v>4.9781610000000001</v>
      </c>
      <c r="E1483">
        <v>0.52576719999999999</v>
      </c>
      <c r="F1483" t="s">
        <v>55</v>
      </c>
      <c r="G1483">
        <v>-444.34030000000001</v>
      </c>
      <c r="H1483" s="1">
        <v>9.1797969999999999E-7</v>
      </c>
      <c r="I1483">
        <v>281.29750000000001</v>
      </c>
      <c r="J1483">
        <v>-420.9273</v>
      </c>
      <c r="K1483">
        <v>1.105618</v>
      </c>
      <c r="L1483">
        <v>284.03750000000002</v>
      </c>
      <c r="M1483">
        <v>-0.99918399999999996</v>
      </c>
      <c r="N1483">
        <v>0</v>
      </c>
      <c r="O1483">
        <v>-3.4394019999999997E-2</v>
      </c>
      <c r="P1483">
        <v>-0.98241789999999996</v>
      </c>
      <c r="Q1483">
        <v>1.1959320000000001E-2</v>
      </c>
      <c r="R1483">
        <v>-0.18631200000000001</v>
      </c>
      <c r="S1483">
        <v>-2.98996</v>
      </c>
      <c r="T1483">
        <v>-0.138258299999999</v>
      </c>
      <c r="U1483">
        <v>-0.34478760000000003</v>
      </c>
      <c r="V1483">
        <v>-0.15246760000000001</v>
      </c>
      <c r="W1483">
        <v>3.2592080000000002E-2</v>
      </c>
      <c r="X1483">
        <v>0.98777090000000001</v>
      </c>
      <c r="Y1483">
        <v>-8.0264600000000005E-2</v>
      </c>
      <c r="Z1483">
        <v>-2.6498830000000001E-4</v>
      </c>
      <c r="AA1483">
        <v>0.99677349999999998</v>
      </c>
      <c r="AB1483">
        <v>51</v>
      </c>
      <c r="AC1483">
        <v>-23.413</v>
      </c>
      <c r="AD1483">
        <v>-1.1056170820203</v>
      </c>
      <c r="AE1483">
        <v>-2.74</v>
      </c>
      <c r="AF1483">
        <v>-1.9286875962946199</v>
      </c>
      <c r="AG1483">
        <v>-1.1056170820203</v>
      </c>
      <c r="AH1483">
        <v>23.4418343653746</v>
      </c>
      <c r="AI1483">
        <v>92.691232720529896</v>
      </c>
      <c r="AJ1483">
        <v>94.703442511382704</v>
      </c>
      <c r="AK1483">
        <v>23.547013046028098</v>
      </c>
      <c r="AL1483">
        <v>88.132280574697305</v>
      </c>
      <c r="AM1483">
        <v>98.774653340279997</v>
      </c>
      <c r="AN1483">
        <v>0.99999998180764804</v>
      </c>
    </row>
    <row r="1484" spans="1:40" x14ac:dyDescent="0.3">
      <c r="A1484" t="str">
        <f>"20200111153901349"</f>
        <v>20200111153901349</v>
      </c>
      <c r="B1484" t="str">
        <f>"1578728341342184"</f>
        <v>1578728341342184</v>
      </c>
      <c r="C1484" t="s">
        <v>40</v>
      </c>
      <c r="D1484">
        <v>4.9922449999999996</v>
      </c>
      <c r="E1484">
        <v>0.553899699999999</v>
      </c>
      <c r="F1484" t="s">
        <v>55</v>
      </c>
      <c r="G1484">
        <v>-445.19420000000002</v>
      </c>
      <c r="H1484" s="1">
        <v>1.3750599999999999E-6</v>
      </c>
      <c r="I1484">
        <v>281.2364</v>
      </c>
      <c r="J1484">
        <v>-421.45569999999998</v>
      </c>
      <c r="K1484">
        <v>1.1055459999999999</v>
      </c>
      <c r="L1484">
        <v>284.01900000000001</v>
      </c>
      <c r="M1484">
        <v>-0.99916669999999996</v>
      </c>
      <c r="N1484">
        <v>0</v>
      </c>
      <c r="O1484">
        <v>-3.4754239999999999E-2</v>
      </c>
      <c r="P1484">
        <v>-0.98252419999999996</v>
      </c>
      <c r="Q1484">
        <v>1.137092E-2</v>
      </c>
      <c r="R1484">
        <v>-0.18578810000000001</v>
      </c>
      <c r="S1484">
        <v>-2.9899290000000001</v>
      </c>
      <c r="T1484">
        <v>-0.13622310000000001</v>
      </c>
      <c r="U1484">
        <v>-0.34512330000000002</v>
      </c>
      <c r="V1484">
        <v>-0.15157609999999999</v>
      </c>
      <c r="W1484">
        <v>3.227228E-2</v>
      </c>
      <c r="X1484">
        <v>0.98791859999999998</v>
      </c>
      <c r="Y1484">
        <v>-8.0018710000000007E-2</v>
      </c>
      <c r="Z1484">
        <v>-2.3917679999999999E-4</v>
      </c>
      <c r="AA1484">
        <v>0.99679329999999999</v>
      </c>
      <c r="AB1484">
        <v>51</v>
      </c>
      <c r="AC1484">
        <v>-23.738499999999998</v>
      </c>
      <c r="AD1484">
        <v>-1.1055446249399901</v>
      </c>
      <c r="AE1484">
        <v>-2.7826</v>
      </c>
      <c r="AF1484">
        <v>-1.95154030272445</v>
      </c>
      <c r="AG1484">
        <v>-1.1055446249399901</v>
      </c>
      <c r="AH1484">
        <v>23.770025248297301</v>
      </c>
      <c r="AI1484">
        <v>92.653992661261896</v>
      </c>
      <c r="AJ1484">
        <v>94.693507941078593</v>
      </c>
      <c r="AK1484">
        <v>23.875611798979801</v>
      </c>
      <c r="AL1484">
        <v>88.150613419548307</v>
      </c>
      <c r="AM1484">
        <v>98.722854040177097</v>
      </c>
      <c r="AN1484">
        <v>0.99999998718678396</v>
      </c>
    </row>
    <row r="1485" spans="1:40" x14ac:dyDescent="0.3">
      <c r="A1485" t="str">
        <f>"20200111153901372"</f>
        <v>20200111153901372</v>
      </c>
      <c r="B1485" t="str">
        <f>"1578728341361701"</f>
        <v>1578728341361701</v>
      </c>
      <c r="C1485" t="s">
        <v>40</v>
      </c>
      <c r="D1485">
        <v>4.9145190000000003</v>
      </c>
      <c r="E1485">
        <v>0.55364930000000001</v>
      </c>
      <c r="F1485" t="s">
        <v>55</v>
      </c>
      <c r="G1485">
        <v>-451.30040000000002</v>
      </c>
      <c r="H1485" s="1">
        <v>-7.6530480000000005E-7</v>
      </c>
      <c r="I1485">
        <v>282.79840000000002</v>
      </c>
      <c r="J1485">
        <v>-421.96449999999999</v>
      </c>
      <c r="K1485">
        <v>1.105467</v>
      </c>
      <c r="L1485">
        <v>284.00099999999998</v>
      </c>
      <c r="M1485">
        <v>-0.99915319999999996</v>
      </c>
      <c r="N1485">
        <v>0</v>
      </c>
      <c r="O1485">
        <v>-3.5017810000000003E-2</v>
      </c>
      <c r="P1485">
        <v>-0.98254419999999998</v>
      </c>
      <c r="Q1485">
        <v>1.2071170000000001E-2</v>
      </c>
      <c r="R1485">
        <v>-0.18563779999999999</v>
      </c>
      <c r="S1485">
        <v>-3.0312190000000001</v>
      </c>
      <c r="T1485">
        <v>-0.11228630000000001</v>
      </c>
      <c r="U1485">
        <v>-0.1239624</v>
      </c>
      <c r="V1485">
        <v>-0.15115780000000001</v>
      </c>
      <c r="W1485">
        <v>3.3204480000000001E-2</v>
      </c>
      <c r="X1485">
        <v>0.98795180000000005</v>
      </c>
      <c r="Y1485">
        <v>-5.859225E-3</v>
      </c>
      <c r="Z1485">
        <v>1.187621E-3</v>
      </c>
      <c r="AA1485">
        <v>0.99998209999999998</v>
      </c>
      <c r="AB1485">
        <v>51</v>
      </c>
      <c r="AC1485">
        <v>-29.335899999999999</v>
      </c>
      <c r="AD1485">
        <v>-1.1054677653048</v>
      </c>
      <c r="AE1485">
        <v>-1.2025999999999599</v>
      </c>
      <c r="AF1485">
        <v>-0.17409654295094601</v>
      </c>
      <c r="AG1485">
        <v>-1.1054677653048</v>
      </c>
      <c r="AH1485">
        <v>29.318458954964498</v>
      </c>
      <c r="AI1485">
        <v>92.1593062451403</v>
      </c>
      <c r="AJ1485">
        <v>90.340225245569798</v>
      </c>
      <c r="AK1485">
        <v>29.339809203202599</v>
      </c>
      <c r="AL1485">
        <v>88.097173647775506</v>
      </c>
      <c r="AM1485">
        <v>98.698862716888002</v>
      </c>
      <c r="AN1485">
        <v>0.99999998855807504</v>
      </c>
    </row>
    <row r="1486" spans="1:40" x14ac:dyDescent="0.3">
      <c r="A1486" t="str">
        <f>"20200111153901416"</f>
        <v>20200111153901416</v>
      </c>
      <c r="B1486" t="str">
        <f>"1578728341412453"</f>
        <v>1578728341412453</v>
      </c>
      <c r="C1486" t="s">
        <v>40</v>
      </c>
      <c r="D1486">
        <v>5.0267910000000002</v>
      </c>
      <c r="E1486">
        <v>0.55099949999999998</v>
      </c>
      <c r="F1486" t="s">
        <v>55</v>
      </c>
      <c r="G1486">
        <v>-453.30650000000003</v>
      </c>
      <c r="H1486" s="1">
        <v>3.0649160000000002E-7</v>
      </c>
      <c r="I1486">
        <v>282.70080000000002</v>
      </c>
      <c r="J1486">
        <v>-422.9477</v>
      </c>
      <c r="K1486">
        <v>1.105315</v>
      </c>
      <c r="L1486">
        <v>283.96609999999998</v>
      </c>
      <c r="M1486">
        <v>-0.99913589999999997</v>
      </c>
      <c r="N1486">
        <v>0</v>
      </c>
      <c r="O1486">
        <v>-3.5316300000000002E-2</v>
      </c>
      <c r="P1486">
        <v>-0.98268339999999998</v>
      </c>
      <c r="Q1486">
        <v>1.300081E-2</v>
      </c>
      <c r="R1486">
        <v>-0.18483669999999999</v>
      </c>
      <c r="S1486">
        <v>-3.0308839999999999</v>
      </c>
      <c r="T1486">
        <v>-0.1069027</v>
      </c>
      <c r="U1486">
        <v>-0.12573239999999999</v>
      </c>
      <c r="V1486">
        <v>-0.1500426</v>
      </c>
      <c r="W1486">
        <v>3.4514549999999998E-2</v>
      </c>
      <c r="X1486">
        <v>0.98807690000000004</v>
      </c>
      <c r="Y1486">
        <v>-6.1458999999999897E-3</v>
      </c>
      <c r="Z1486">
        <v>1.1362950000000001E-3</v>
      </c>
      <c r="AA1486">
        <v>0.99998039999999999</v>
      </c>
      <c r="AB1486">
        <v>51</v>
      </c>
      <c r="AC1486">
        <v>-30.358799999999999</v>
      </c>
      <c r="AD1486">
        <v>-1.1053146935083999</v>
      </c>
      <c r="AE1486">
        <v>-1.2652999999999599</v>
      </c>
      <c r="AF1486">
        <v>-0.191838439580618</v>
      </c>
      <c r="AG1486">
        <v>-1.1053146935083999</v>
      </c>
      <c r="AH1486">
        <v>30.344395196815299</v>
      </c>
      <c r="AI1486">
        <v>92.086072754616495</v>
      </c>
      <c r="AJ1486">
        <v>90.362221307473803</v>
      </c>
      <c r="AK1486">
        <v>30.365125430649801</v>
      </c>
      <c r="AL1486">
        <v>88.022069113843202</v>
      </c>
      <c r="AM1486">
        <v>98.634579103348898</v>
      </c>
      <c r="AN1486">
        <v>0.99999999814503604</v>
      </c>
    </row>
    <row r="1487" spans="1:40" x14ac:dyDescent="0.3">
      <c r="A1487" t="str">
        <f>"20200111153901438"</f>
        <v>20200111153901438</v>
      </c>
      <c r="B1487" t="str">
        <f>"1578728341431973"</f>
        <v>1578728341431973</v>
      </c>
      <c r="C1487" t="s">
        <v>40</v>
      </c>
      <c r="D1487">
        <v>4.982856</v>
      </c>
      <c r="E1487">
        <v>0.55059809999999998</v>
      </c>
      <c r="F1487" t="s">
        <v>55</v>
      </c>
      <c r="G1487">
        <v>-454.30590000000001</v>
      </c>
      <c r="H1487" s="1">
        <v>8.4816849999999996E-7</v>
      </c>
      <c r="I1487">
        <v>282.47559999999999</v>
      </c>
      <c r="J1487">
        <v>-423.45479999999998</v>
      </c>
      <c r="K1487">
        <v>1.1052379999999999</v>
      </c>
      <c r="L1487">
        <v>283.94810000000001</v>
      </c>
      <c r="M1487">
        <v>-0.99913129999999994</v>
      </c>
      <c r="N1487">
        <v>0</v>
      </c>
      <c r="O1487">
        <v>-3.5365920000000002E-2</v>
      </c>
      <c r="P1487">
        <v>-0.98266109999999895</v>
      </c>
      <c r="Q1487">
        <v>1.371735E-2</v>
      </c>
      <c r="R1487">
        <v>-0.18490319999999999</v>
      </c>
      <c r="S1487">
        <v>-3.0271910000000002</v>
      </c>
      <c r="T1487">
        <v>-0.1067024</v>
      </c>
      <c r="U1487">
        <v>-0.1438904</v>
      </c>
      <c r="V1487">
        <v>-0.15005399999999999</v>
      </c>
      <c r="W1487">
        <v>3.5390440000000002E-2</v>
      </c>
      <c r="X1487">
        <v>0.98804420000000004</v>
      </c>
      <c r="Y1487">
        <v>-1.212909E-2</v>
      </c>
      <c r="Z1487">
        <v>1.0317589999999999E-3</v>
      </c>
      <c r="AA1487">
        <v>0.99992590000000003</v>
      </c>
      <c r="AB1487">
        <v>50</v>
      </c>
      <c r="AC1487">
        <v>-30.851099999999999</v>
      </c>
      <c r="AD1487">
        <v>-1.1052371518314901</v>
      </c>
      <c r="AE1487">
        <v>-1.4725000000000199</v>
      </c>
      <c r="AF1487">
        <v>-0.37974942248429699</v>
      </c>
      <c r="AG1487">
        <v>-1.1052371518314901</v>
      </c>
      <c r="AH1487">
        <v>30.844383672142499</v>
      </c>
      <c r="AI1487">
        <v>92.052028339010405</v>
      </c>
      <c r="AJ1487">
        <v>90.705377684007203</v>
      </c>
      <c r="AK1487">
        <v>30.8665152373894</v>
      </c>
      <c r="AL1487">
        <v>87.971853660369703</v>
      </c>
      <c r="AM1487">
        <v>98.635506736449599</v>
      </c>
      <c r="AN1487">
        <v>1.0000000136565099</v>
      </c>
    </row>
    <row r="1488" spans="1:40" x14ac:dyDescent="0.3">
      <c r="A1488" t="str">
        <f>"20200111153901464"</f>
        <v>20200111153901464</v>
      </c>
      <c r="B1488" t="str">
        <f>"1578728341452470"</f>
        <v>1578728341452470</v>
      </c>
      <c r="C1488" t="s">
        <v>40</v>
      </c>
      <c r="D1488">
        <v>4.9725989999999998</v>
      </c>
      <c r="E1488">
        <v>0.55049359999999903</v>
      </c>
      <c r="F1488" t="s">
        <v>55</v>
      </c>
      <c r="G1488">
        <v>-454.99369999999999</v>
      </c>
      <c r="H1488" s="1">
        <v>1.216863E-6</v>
      </c>
      <c r="I1488">
        <v>282.41430000000003</v>
      </c>
      <c r="J1488">
        <v>-424.01749999999998</v>
      </c>
      <c r="K1488">
        <v>1.1051660000000001</v>
      </c>
      <c r="L1488">
        <v>283.92809999999997</v>
      </c>
      <c r="M1488">
        <v>-0.99912920000000005</v>
      </c>
      <c r="N1488">
        <v>0</v>
      </c>
      <c r="O1488">
        <v>-3.5351489999999999E-2</v>
      </c>
      <c r="P1488">
        <v>-0.98262519999999998</v>
      </c>
      <c r="Q1488">
        <v>1.4323199999999999E-2</v>
      </c>
      <c r="R1488">
        <v>-0.18504809999999999</v>
      </c>
      <c r="S1488">
        <v>-3.0267029999999999</v>
      </c>
      <c r="T1488">
        <v>-0.1060667</v>
      </c>
      <c r="U1488">
        <v>-0.14718629999999999</v>
      </c>
      <c r="V1488">
        <v>-0.15020639999999999</v>
      </c>
      <c r="W1488">
        <v>3.614908E-2</v>
      </c>
      <c r="X1488">
        <v>0.98799360000000003</v>
      </c>
      <c r="Y1488">
        <v>-1.323657E-2</v>
      </c>
      <c r="Z1488">
        <v>1.0058580000000001E-3</v>
      </c>
      <c r="AA1488">
        <v>0.99991189999999996</v>
      </c>
      <c r="AB1488">
        <v>50</v>
      </c>
      <c r="AC1488">
        <v>-30.976199999999999</v>
      </c>
      <c r="AD1488">
        <v>-1.105164783137</v>
      </c>
      <c r="AE1488">
        <v>-1.5137999999999401</v>
      </c>
      <c r="AF1488">
        <v>-0.41699995941240497</v>
      </c>
      <c r="AG1488">
        <v>-1.105164783137</v>
      </c>
      <c r="AH1488">
        <v>30.971027343246501</v>
      </c>
      <c r="AI1488">
        <v>92.043480496664202</v>
      </c>
      <c r="AJ1488">
        <v>90.771394950935999</v>
      </c>
      <c r="AK1488">
        <v>30.993544696600299</v>
      </c>
      <c r="AL1488">
        <v>87.928359002173806</v>
      </c>
      <c r="AM1488">
        <v>98.644580859211402</v>
      </c>
      <c r="AN1488">
        <v>1.0000000361133801</v>
      </c>
    </row>
    <row r="1489" spans="1:40" x14ac:dyDescent="0.3">
      <c r="A1489" t="str">
        <f>"20200111153901482"</f>
        <v>20200111153901482</v>
      </c>
      <c r="B1489" t="str">
        <f>"1578728341471990"</f>
        <v>1578728341471990</v>
      </c>
      <c r="C1489" t="s">
        <v>40</v>
      </c>
      <c r="D1489">
        <v>5.0000559999999998</v>
      </c>
      <c r="E1489">
        <v>0.55033520000000002</v>
      </c>
      <c r="F1489" t="s">
        <v>55</v>
      </c>
      <c r="G1489">
        <v>-455.99849999999998</v>
      </c>
      <c r="H1489" s="1">
        <v>1.7539479999999999E-6</v>
      </c>
      <c r="I1489">
        <v>282.36</v>
      </c>
      <c r="J1489">
        <v>-424.4391</v>
      </c>
      <c r="K1489">
        <v>1.1051029999999999</v>
      </c>
      <c r="L1489">
        <v>283.91329999999999</v>
      </c>
      <c r="M1489">
        <v>-0.99913010000000002</v>
      </c>
      <c r="N1489">
        <v>0</v>
      </c>
      <c r="O1489">
        <v>-3.5279159999999997E-2</v>
      </c>
      <c r="P1489">
        <v>-0.98258939999999995</v>
      </c>
      <c r="Q1489">
        <v>1.5034459999999999E-2</v>
      </c>
      <c r="R1489">
        <v>-0.18518129999999999</v>
      </c>
      <c r="S1489">
        <v>-3.0266419999999998</v>
      </c>
      <c r="T1489">
        <v>-0.1045914</v>
      </c>
      <c r="U1489">
        <v>-0.14840699999999901</v>
      </c>
      <c r="V1489">
        <v>-0.15040590000000001</v>
      </c>
      <c r="W1489">
        <v>3.6960109999999997E-2</v>
      </c>
      <c r="X1489">
        <v>0.98793319999999996</v>
      </c>
      <c r="Y1489">
        <v>-1.37115E-2</v>
      </c>
      <c r="Z1489">
        <v>9.8119149999999992E-4</v>
      </c>
      <c r="AA1489">
        <v>0.9999055</v>
      </c>
      <c r="AB1489">
        <v>50</v>
      </c>
      <c r="AC1489">
        <v>-31.559399999999901</v>
      </c>
      <c r="AD1489">
        <v>-1.105101246052</v>
      </c>
      <c r="AE1489">
        <v>-1.5532999999999699</v>
      </c>
      <c r="AF1489">
        <v>-0.43813219834734801</v>
      </c>
      <c r="AG1489">
        <v>-1.105101246052</v>
      </c>
      <c r="AH1489">
        <v>31.555958012377801</v>
      </c>
      <c r="AI1489">
        <v>92.005506437441397</v>
      </c>
      <c r="AJ1489">
        <v>90.795460335487704</v>
      </c>
      <c r="AK1489">
        <v>31.578342177293099</v>
      </c>
      <c r="AL1489">
        <v>87.881859243957607</v>
      </c>
      <c r="AM1489">
        <v>98.656409749888198</v>
      </c>
      <c r="AN1489">
        <v>0.99999999607413104</v>
      </c>
    </row>
    <row r="1490" spans="1:40" x14ac:dyDescent="0.3">
      <c r="A1490" t="str">
        <f>"20200111153901505"</f>
        <v>20200111153901505</v>
      </c>
      <c r="B1490" t="str">
        <f>"1578728341502245"</f>
        <v>1578728341502245</v>
      </c>
      <c r="C1490" t="s">
        <v>40</v>
      </c>
      <c r="D1490">
        <v>5.027285</v>
      </c>
      <c r="E1490">
        <v>0.55009739999999996</v>
      </c>
      <c r="F1490" t="s">
        <v>55</v>
      </c>
      <c r="G1490">
        <v>-456.49430000000001</v>
      </c>
      <c r="H1490" s="1">
        <v>2.0192500000000002E-6</v>
      </c>
      <c r="I1490">
        <v>282.32589999999999</v>
      </c>
      <c r="J1490">
        <v>-424.92410000000001</v>
      </c>
      <c r="K1490">
        <v>1.1050219999999999</v>
      </c>
      <c r="L1490">
        <v>283.89620000000002</v>
      </c>
      <c r="M1490">
        <v>-0.99913439999999998</v>
      </c>
      <c r="N1490">
        <v>0</v>
      </c>
      <c r="O1490">
        <v>-3.5115319999999998E-2</v>
      </c>
      <c r="P1490">
        <v>-0.98250199999999999</v>
      </c>
      <c r="Q1490">
        <v>1.5670759999999999E-2</v>
      </c>
      <c r="R1490">
        <v>-0.1855919</v>
      </c>
      <c r="S1490">
        <v>-3.0265499999999999</v>
      </c>
      <c r="T1490">
        <v>-0.1043403</v>
      </c>
      <c r="U1490">
        <v>-0.149871799999999</v>
      </c>
      <c r="V1490">
        <v>-0.15097260000000001</v>
      </c>
      <c r="W1490">
        <v>3.7693940000000002E-2</v>
      </c>
      <c r="X1490">
        <v>0.987819</v>
      </c>
      <c r="Y1490">
        <v>-1.435912E-2</v>
      </c>
      <c r="Z1490">
        <v>9.6206169999999997E-4</v>
      </c>
      <c r="AA1490">
        <v>0.99989649999999997</v>
      </c>
      <c r="AB1490">
        <v>50</v>
      </c>
      <c r="AC1490">
        <v>-31.5702</v>
      </c>
      <c r="AD1490">
        <v>-1.1050199807500001</v>
      </c>
      <c r="AE1490">
        <v>-1.57030000000003</v>
      </c>
      <c r="AF1490">
        <v>-0.45989554911615099</v>
      </c>
      <c r="AG1490">
        <v>-1.1050199807500001</v>
      </c>
      <c r="AH1490">
        <v>31.5672963283047</v>
      </c>
      <c r="AI1490">
        <v>92.004619884812797</v>
      </c>
      <c r="AJ1490">
        <v>90.834667932731705</v>
      </c>
      <c r="AK1490">
        <v>31.5899789577795</v>
      </c>
      <c r="AL1490">
        <v>87.839784498409898</v>
      </c>
      <c r="AM1490">
        <v>98.689517734616501</v>
      </c>
      <c r="AN1490">
        <v>0.99999996791224099</v>
      </c>
    </row>
    <row r="1491" spans="1:40" x14ac:dyDescent="0.3">
      <c r="A1491" t="str">
        <f>"20200111153901527"</f>
        <v>20200111153901527</v>
      </c>
      <c r="B1491" t="str">
        <f>"1578728341521765"</f>
        <v>1578728341521765</v>
      </c>
      <c r="C1491" t="s">
        <v>40</v>
      </c>
      <c r="D1491">
        <v>5.0383389999999997</v>
      </c>
      <c r="E1491">
        <v>0.54997559999999901</v>
      </c>
      <c r="F1491" t="s">
        <v>55</v>
      </c>
      <c r="G1491">
        <v>-456.47969999999998</v>
      </c>
      <c r="H1491" s="1">
        <v>2.0125459999999998E-6</v>
      </c>
      <c r="I1491">
        <v>282.30160000000001</v>
      </c>
      <c r="J1491">
        <v>-425.42410000000001</v>
      </c>
      <c r="K1491">
        <v>1.1049209999999901</v>
      </c>
      <c r="L1491">
        <v>283.87880000000001</v>
      </c>
      <c r="M1491">
        <v>-0.99914270000000005</v>
      </c>
      <c r="N1491">
        <v>0</v>
      </c>
      <c r="O1491">
        <v>-3.485278E-2</v>
      </c>
      <c r="P1491">
        <v>-0.98244430000000005</v>
      </c>
      <c r="Q1491">
        <v>1.6044510000000001E-2</v>
      </c>
      <c r="R1491">
        <v>-0.1858659</v>
      </c>
      <c r="S1491">
        <v>-3.0262449999999999</v>
      </c>
      <c r="T1491">
        <v>-0.1059737</v>
      </c>
      <c r="U1491">
        <v>-0.15292359999999999</v>
      </c>
      <c r="V1491">
        <v>-0.15149760000000001</v>
      </c>
      <c r="W1491">
        <v>3.815089E-2</v>
      </c>
      <c r="X1491">
        <v>0.98772110000000002</v>
      </c>
      <c r="Y1491">
        <v>-1.5632070000000001E-2</v>
      </c>
      <c r="Z1491">
        <v>9.4573669999999999E-4</v>
      </c>
      <c r="AA1491">
        <v>0.99987740000000003</v>
      </c>
      <c r="AB1491">
        <v>49</v>
      </c>
      <c r="AC1491">
        <v>-31.055599999999899</v>
      </c>
      <c r="AD1491">
        <v>-1.10491898745399</v>
      </c>
      <c r="AE1491">
        <v>-1.5771999999999999</v>
      </c>
      <c r="AF1491">
        <v>-0.49297465161521598</v>
      </c>
      <c r="AG1491">
        <v>-1.10491898745399</v>
      </c>
      <c r="AH1491">
        <v>31.052499927800898</v>
      </c>
      <c r="AI1491">
        <v>92.0375986232022</v>
      </c>
      <c r="AJ1491">
        <v>90.909524014326706</v>
      </c>
      <c r="AK1491">
        <v>31.076061876338901</v>
      </c>
      <c r="AL1491">
        <v>87.813584398113406</v>
      </c>
      <c r="AM1491">
        <v>98.720122472242707</v>
      </c>
      <c r="AN1491">
        <v>0.99999999229938097</v>
      </c>
    </row>
    <row r="1492" spans="1:40" x14ac:dyDescent="0.3">
      <c r="A1492" t="str">
        <f>"20200111153901550"</f>
        <v>20200111153901550</v>
      </c>
      <c r="B1492" t="str">
        <f>"1578728341542262"</f>
        <v>1578728341542262</v>
      </c>
      <c r="C1492" t="s">
        <v>40</v>
      </c>
      <c r="D1492">
        <v>5.0283579999999999</v>
      </c>
      <c r="E1492">
        <v>0.54980589999999996</v>
      </c>
      <c r="F1492" t="s">
        <v>55</v>
      </c>
      <c r="G1492">
        <v>-456.91019999999997</v>
      </c>
      <c r="H1492" s="1">
        <v>2.242931E-6</v>
      </c>
      <c r="I1492">
        <v>282.27280000000002</v>
      </c>
      <c r="J1492">
        <v>-425.92770000000002</v>
      </c>
      <c r="K1492">
        <v>1.1048020000000001</v>
      </c>
      <c r="L1492">
        <v>283.86149999999998</v>
      </c>
      <c r="M1492">
        <v>-0.99915500000000002</v>
      </c>
      <c r="N1492">
        <v>0</v>
      </c>
      <c r="O1492">
        <v>-3.4488829999999998E-2</v>
      </c>
      <c r="P1492">
        <v>-0.98237850000000004</v>
      </c>
      <c r="Q1492">
        <v>1.6503960000000002E-2</v>
      </c>
      <c r="R1492">
        <v>-0.18617239999999999</v>
      </c>
      <c r="S1492">
        <v>-3.026154</v>
      </c>
      <c r="T1492">
        <v>-0.1061945</v>
      </c>
      <c r="U1492">
        <v>-0.15435789999999999</v>
      </c>
      <c r="V1492">
        <v>-0.15215479999999901</v>
      </c>
      <c r="W1492">
        <v>3.8665020000000001E-2</v>
      </c>
      <c r="X1492">
        <v>0.98760009999999998</v>
      </c>
      <c r="Y1492">
        <v>-1.6469810000000001E-2</v>
      </c>
      <c r="Z1492">
        <v>9.2028420000000001E-4</v>
      </c>
      <c r="AA1492">
        <v>0.99986390000000003</v>
      </c>
      <c r="AB1492">
        <v>49</v>
      </c>
      <c r="AC1492">
        <v>-30.982499999999899</v>
      </c>
      <c r="AD1492">
        <v>-1.104799757069</v>
      </c>
      <c r="AE1492">
        <v>-1.58869999999996</v>
      </c>
      <c r="AF1492">
        <v>-0.51827978173281197</v>
      </c>
      <c r="AG1492">
        <v>-1.104799757069</v>
      </c>
      <c r="AH1492">
        <v>30.979576030897199</v>
      </c>
      <c r="AI1492">
        <v>92.042142327822006</v>
      </c>
      <c r="AJ1492">
        <v>90.958453212236506</v>
      </c>
      <c r="AK1492">
        <v>31.0036018470357</v>
      </c>
      <c r="AL1492">
        <v>87.784105211140798</v>
      </c>
      <c r="AM1492">
        <v>98.758421703254797</v>
      </c>
      <c r="AN1492">
        <v>1.00000001222732</v>
      </c>
    </row>
    <row r="1493" spans="1:40" x14ac:dyDescent="0.3">
      <c r="A1493" t="str">
        <f>"20200111153901571"</f>
        <v>20200111153901571</v>
      </c>
      <c r="B1493" t="str">
        <f>"1578728341561781"</f>
        <v>1578728341561781</v>
      </c>
      <c r="C1493" t="s">
        <v>40</v>
      </c>
      <c r="D1493">
        <v>5.0258190000000003</v>
      </c>
      <c r="E1493">
        <v>0.54961450000000001</v>
      </c>
      <c r="F1493" t="s">
        <v>55</v>
      </c>
      <c r="G1493">
        <v>-457.17959999999999</v>
      </c>
      <c r="H1493" s="1">
        <v>2.3874830000000002E-6</v>
      </c>
      <c r="I1493">
        <v>282.24560000000002</v>
      </c>
      <c r="J1493">
        <v>-426.40050000000002</v>
      </c>
      <c r="K1493">
        <v>1.1046879999999999</v>
      </c>
      <c r="L1493">
        <v>283.84550000000002</v>
      </c>
      <c r="M1493">
        <v>-0.99917049999999996</v>
      </c>
      <c r="N1493">
        <v>0</v>
      </c>
      <c r="O1493">
        <v>-3.405068E-2</v>
      </c>
      <c r="P1493">
        <v>-0.9823558</v>
      </c>
      <c r="Q1493">
        <v>1.666457E-2</v>
      </c>
      <c r="R1493">
        <v>-0.1862791</v>
      </c>
      <c r="S1493">
        <v>-3.0260310000000001</v>
      </c>
      <c r="T1493">
        <v>-0.1069744</v>
      </c>
      <c r="U1493">
        <v>-0.15646360000000001</v>
      </c>
      <c r="V1493">
        <v>-0.15268399999999999</v>
      </c>
      <c r="W1493">
        <v>3.8848939999999998E-2</v>
      </c>
      <c r="X1493">
        <v>0.98751120000000003</v>
      </c>
      <c r="Y1493">
        <v>-1.760345E-2</v>
      </c>
      <c r="Z1493">
        <v>8.9157240000000001E-4</v>
      </c>
      <c r="AA1493">
        <v>0.99984470000000003</v>
      </c>
      <c r="AB1493">
        <v>49</v>
      </c>
      <c r="AC1493">
        <v>-30.7790999999999</v>
      </c>
      <c r="AD1493">
        <v>-1.1046856125169999</v>
      </c>
      <c r="AE1493">
        <v>-1.5998999999999901</v>
      </c>
      <c r="AF1493">
        <v>-0.54995445406782595</v>
      </c>
      <c r="AG1493">
        <v>-1.1046856125169999</v>
      </c>
      <c r="AH1493">
        <v>30.7761963448785</v>
      </c>
      <c r="AI1493">
        <v>92.055373288153405</v>
      </c>
      <c r="AJ1493">
        <v>91.023736511162497</v>
      </c>
      <c r="AK1493">
        <v>30.800925987095901</v>
      </c>
      <c r="AL1493">
        <v>87.773559436586595</v>
      </c>
      <c r="AM1493">
        <v>98.789187883344894</v>
      </c>
      <c r="AN1493">
        <v>1.0000000070602799</v>
      </c>
    </row>
    <row r="1494" spans="1:40" x14ac:dyDescent="0.3">
      <c r="A1494" t="str">
        <f>"20200111153901593"</f>
        <v>20200111153901593</v>
      </c>
      <c r="B1494" t="str">
        <f>"1578728341582277"</f>
        <v>1578728341582277</v>
      </c>
      <c r="C1494" t="s">
        <v>40</v>
      </c>
      <c r="D1494">
        <v>5.0465540000000004</v>
      </c>
      <c r="E1494">
        <v>0.54949989999999904</v>
      </c>
      <c r="F1494" t="s">
        <v>55</v>
      </c>
      <c r="G1494">
        <v>-457.22609999999997</v>
      </c>
      <c r="H1494" s="1">
        <v>2.4126719999999999E-6</v>
      </c>
      <c r="I1494">
        <v>282.23469999999998</v>
      </c>
      <c r="J1494">
        <v>-426.88440000000003</v>
      </c>
      <c r="K1494">
        <v>1.1045670000000001</v>
      </c>
      <c r="L1494">
        <v>283.8295</v>
      </c>
      <c r="M1494">
        <v>-0.99918980000000002</v>
      </c>
      <c r="N1494">
        <v>0</v>
      </c>
      <c r="O1494">
        <v>-3.350392E-2</v>
      </c>
      <c r="P1494">
        <v>-0.98242289999999999</v>
      </c>
      <c r="Q1494">
        <v>1.677667E-2</v>
      </c>
      <c r="R1494">
        <v>-0.1859132</v>
      </c>
      <c r="S1494">
        <v>-3.025757</v>
      </c>
      <c r="T1494">
        <v>-0.10843319999999999</v>
      </c>
      <c r="U1494">
        <v>-0.15811159999999999</v>
      </c>
      <c r="V1494">
        <v>-0.15284529999999999</v>
      </c>
      <c r="W1494">
        <v>3.8962820000000002E-2</v>
      </c>
      <c r="X1494">
        <v>0.98748179999999997</v>
      </c>
      <c r="Y1494">
        <v>-1.8697579999999998E-2</v>
      </c>
      <c r="Z1494">
        <v>8.6464089999999897E-4</v>
      </c>
      <c r="AA1494">
        <v>0.99982479999999996</v>
      </c>
      <c r="AB1494">
        <v>49</v>
      </c>
      <c r="AC1494">
        <v>-30.3416999999999</v>
      </c>
      <c r="AD1494">
        <v>-1.1045645873279999</v>
      </c>
      <c r="AE1494">
        <v>-1.59480000000002</v>
      </c>
      <c r="AF1494">
        <v>-0.57632381684567602</v>
      </c>
      <c r="AG1494">
        <v>-1.1045645873279999</v>
      </c>
      <c r="AH1494">
        <v>30.338007511623299</v>
      </c>
      <c r="AI1494">
        <v>92.084762685160698</v>
      </c>
      <c r="AJ1494">
        <v>91.088303212502197</v>
      </c>
      <c r="AK1494">
        <v>30.363578706153099</v>
      </c>
      <c r="AL1494">
        <v>87.767029736871805</v>
      </c>
      <c r="AM1494">
        <v>98.798585693780197</v>
      </c>
      <c r="AN1494">
        <v>1.00000004620284</v>
      </c>
    </row>
    <row r="1495" spans="1:40" x14ac:dyDescent="0.3">
      <c r="A1495" t="str">
        <f>"20200111153901617"</f>
        <v>20200111153901617</v>
      </c>
      <c r="B1495" t="str">
        <f>"1578728341612533"</f>
        <v>1578728341612533</v>
      </c>
      <c r="C1495" t="s">
        <v>40</v>
      </c>
      <c r="D1495">
        <v>5.0538879999999997</v>
      </c>
      <c r="E1495">
        <v>0.54931719999999995</v>
      </c>
      <c r="F1495" t="s">
        <v>55</v>
      </c>
      <c r="G1495">
        <v>-457.1653</v>
      </c>
      <c r="H1495" s="1">
        <v>2.3796250000000001E-6</v>
      </c>
      <c r="I1495">
        <v>282.25080000000003</v>
      </c>
      <c r="J1495">
        <v>-427.38130000000001</v>
      </c>
      <c r="K1495">
        <v>1.1044499999999999</v>
      </c>
      <c r="L1495">
        <v>283.8134</v>
      </c>
      <c r="M1495">
        <v>-0.99921329999999997</v>
      </c>
      <c r="N1495">
        <v>0</v>
      </c>
      <c r="O1495">
        <v>-3.2837640000000001E-2</v>
      </c>
      <c r="P1495">
        <v>-0.98250559999999998</v>
      </c>
      <c r="Q1495">
        <v>1.709463E-2</v>
      </c>
      <c r="R1495">
        <v>-0.18544869999999999</v>
      </c>
      <c r="S1495">
        <v>-3.025757</v>
      </c>
      <c r="T1495">
        <v>-0.1103715</v>
      </c>
      <c r="U1495">
        <v>-0.15774540000000001</v>
      </c>
      <c r="V1495">
        <v>-0.15302569999999999</v>
      </c>
      <c r="W1495">
        <v>3.927348E-2</v>
      </c>
      <c r="X1495">
        <v>0.98744149999999997</v>
      </c>
      <c r="Y1495">
        <v>-1.9243179999999999E-2</v>
      </c>
      <c r="Z1495">
        <v>8.4588209999999998E-4</v>
      </c>
      <c r="AA1495">
        <v>0.99981450000000005</v>
      </c>
      <c r="AB1495">
        <v>49</v>
      </c>
      <c r="AC1495">
        <v>-29.783999999999899</v>
      </c>
      <c r="AD1495">
        <v>-1.104447620375</v>
      </c>
      <c r="AE1495">
        <v>-1.56259999999997</v>
      </c>
      <c r="AF1495">
        <v>-0.58267968225649103</v>
      </c>
      <c r="AG1495">
        <v>-1.104447620375</v>
      </c>
      <c r="AH1495">
        <v>29.778419350707399</v>
      </c>
      <c r="AI1495">
        <v>92.123655413607693</v>
      </c>
      <c r="AJ1495">
        <v>91.120973763596197</v>
      </c>
      <c r="AK1495">
        <v>29.804589901303</v>
      </c>
      <c r="AL1495">
        <v>87.749216477776201</v>
      </c>
      <c r="AM1495">
        <v>98.809161568558196</v>
      </c>
      <c r="AN1495">
        <v>0.99999999350702495</v>
      </c>
    </row>
    <row r="1496" spans="1:40" x14ac:dyDescent="0.3">
      <c r="A1496" t="str">
        <f>"20200111153901638"</f>
        <v>20200111153901638</v>
      </c>
      <c r="B1496" t="str">
        <f>"1578728341632056"</f>
        <v>1578728341632056</v>
      </c>
      <c r="C1496" t="s">
        <v>40</v>
      </c>
      <c r="D1496">
        <v>5.0886630000000004</v>
      </c>
      <c r="E1496">
        <v>0.52398670000000003</v>
      </c>
      <c r="F1496" t="s">
        <v>55</v>
      </c>
      <c r="G1496">
        <v>-456.95</v>
      </c>
      <c r="H1496" s="1">
        <v>2.2640770000000001E-6</v>
      </c>
      <c r="I1496">
        <v>282.27350000000001</v>
      </c>
      <c r="J1496">
        <v>-427.86270000000002</v>
      </c>
      <c r="K1496">
        <v>1.104349</v>
      </c>
      <c r="L1496">
        <v>283.79820000000001</v>
      </c>
      <c r="M1496">
        <v>-0.99923779999999995</v>
      </c>
      <c r="N1496">
        <v>0</v>
      </c>
      <c r="O1496">
        <v>-3.2104470000000003E-2</v>
      </c>
      <c r="P1496">
        <v>-0.98264799999999997</v>
      </c>
      <c r="Q1496">
        <v>1.714067E-2</v>
      </c>
      <c r="R1496">
        <v>-0.18468680000000001</v>
      </c>
      <c r="S1496">
        <v>-3.025604</v>
      </c>
      <c r="T1496">
        <v>-0.1130118</v>
      </c>
      <c r="U1496">
        <v>-0.15756229999999999</v>
      </c>
      <c r="V1496">
        <v>-0.152974</v>
      </c>
      <c r="W1496">
        <v>3.9321120000000001E-2</v>
      </c>
      <c r="X1496">
        <v>0.98744759999999998</v>
      </c>
      <c r="Y1496">
        <v>-1.991853E-2</v>
      </c>
      <c r="Z1496">
        <v>8.2620709999999995E-4</v>
      </c>
      <c r="AA1496">
        <v>0.9998013</v>
      </c>
      <c r="AB1496">
        <v>49</v>
      </c>
      <c r="AC1496">
        <v>-29.0872999999999</v>
      </c>
      <c r="AD1496">
        <v>-1.1043467359229999</v>
      </c>
      <c r="AE1496">
        <v>-1.52469999999999</v>
      </c>
      <c r="AF1496">
        <v>-0.58900427306266601</v>
      </c>
      <c r="AG1496">
        <v>-1.1043467359229999</v>
      </c>
      <c r="AH1496">
        <v>29.079458237024301</v>
      </c>
      <c r="AI1496">
        <v>92.174423501971305</v>
      </c>
      <c r="AJ1496">
        <v>91.160367042973206</v>
      </c>
      <c r="AK1496">
        <v>29.106380728384401</v>
      </c>
      <c r="AL1496">
        <v>87.746484763948501</v>
      </c>
      <c r="AM1496">
        <v>98.806178487518807</v>
      </c>
      <c r="AN1496">
        <v>0.999999978949906</v>
      </c>
    </row>
    <row r="1497" spans="1:40" x14ac:dyDescent="0.3">
      <c r="A1497" t="str">
        <f>"20200111153901661"</f>
        <v>20200111153901661</v>
      </c>
      <c r="B1497" t="str">
        <f>"1578728341651573"</f>
        <v>1578728341651573</v>
      </c>
      <c r="C1497" t="s">
        <v>40</v>
      </c>
      <c r="D1497">
        <v>5.0578859999999999</v>
      </c>
      <c r="E1497">
        <v>0.51733989999999996</v>
      </c>
      <c r="F1497" t="s">
        <v>55</v>
      </c>
      <c r="G1497">
        <v>-448.13830000000002</v>
      </c>
      <c r="H1497" s="1">
        <v>2.9337660000000001E-6</v>
      </c>
      <c r="I1497">
        <v>281.41879999999998</v>
      </c>
      <c r="J1497">
        <v>-428.34249999999997</v>
      </c>
      <c r="K1497">
        <v>1.104258</v>
      </c>
      <c r="L1497">
        <v>283.78339999999997</v>
      </c>
      <c r="M1497">
        <v>-0.99926389999999998</v>
      </c>
      <c r="N1497">
        <v>0</v>
      </c>
      <c r="O1497">
        <v>-3.1306729999999998E-2</v>
      </c>
      <c r="P1497">
        <v>-0.98286759999999995</v>
      </c>
      <c r="Q1497">
        <v>1.678342E-2</v>
      </c>
      <c r="R1497">
        <v>-0.18354809999999999</v>
      </c>
      <c r="S1497">
        <v>-2.989868</v>
      </c>
      <c r="T1497">
        <v>-0.16284879999999999</v>
      </c>
      <c r="U1497">
        <v>-0.35086060000000002</v>
      </c>
      <c r="V1497">
        <v>-0.152609299999999</v>
      </c>
      <c r="W1497">
        <v>3.8971400000000003E-2</v>
      </c>
      <c r="X1497">
        <v>0.98751789999999995</v>
      </c>
      <c r="Y1497">
        <v>-8.5313029999999998E-2</v>
      </c>
      <c r="Z1497">
        <v>-6.1618939999999998E-4</v>
      </c>
      <c r="AA1497">
        <v>0.99635399999999996</v>
      </c>
      <c r="AB1497">
        <v>48</v>
      </c>
      <c r="AC1497">
        <v>-19.7958</v>
      </c>
      <c r="AD1497">
        <v>-1.104255066234</v>
      </c>
      <c r="AE1497">
        <v>-2.36459999999999</v>
      </c>
      <c r="AF1497">
        <v>-1.73821357300624</v>
      </c>
      <c r="AG1497">
        <v>-1.104255066234</v>
      </c>
      <c r="AH1497">
        <v>19.799395518728801</v>
      </c>
      <c r="AI1497">
        <v>93.179996509766298</v>
      </c>
      <c r="AJ1497">
        <v>95.017204469421699</v>
      </c>
      <c r="AK1497">
        <v>19.9062007571446</v>
      </c>
      <c r="AL1497">
        <v>87.766537630123096</v>
      </c>
      <c r="AM1497">
        <v>98.784896230396797</v>
      </c>
      <c r="AN1497">
        <v>0.99999998564242898</v>
      </c>
    </row>
    <row r="1498" spans="1:40" x14ac:dyDescent="0.3">
      <c r="A1498" t="str">
        <f>"20200111153901682"</f>
        <v>20200111153901682</v>
      </c>
      <c r="B1498" t="str">
        <f>"1578728341672069"</f>
        <v>1578728341672069</v>
      </c>
      <c r="C1498" t="s">
        <v>40</v>
      </c>
      <c r="D1498">
        <v>5.0400479999999996</v>
      </c>
      <c r="E1498">
        <v>0.51632469999999997</v>
      </c>
      <c r="F1498" t="s">
        <v>55</v>
      </c>
      <c r="G1498">
        <v>-449.17559999999997</v>
      </c>
      <c r="H1498" s="1">
        <v>3.5047040000000002E-6</v>
      </c>
      <c r="I1498">
        <v>280.98599999999999</v>
      </c>
      <c r="J1498">
        <v>-428.81020000000001</v>
      </c>
      <c r="K1498">
        <v>1.1041840000000001</v>
      </c>
      <c r="L1498">
        <v>283.76940000000002</v>
      </c>
      <c r="M1498">
        <v>-0.99929009999999996</v>
      </c>
      <c r="N1498">
        <v>0</v>
      </c>
      <c r="O1498">
        <v>-3.047631E-2</v>
      </c>
      <c r="P1498">
        <v>-0.9832457</v>
      </c>
      <c r="Q1498">
        <v>1.6747020000000001E-2</v>
      </c>
      <c r="R1498">
        <v>-0.18151510000000001</v>
      </c>
      <c r="S1498">
        <v>-2.9802550000000001</v>
      </c>
      <c r="T1498">
        <v>-0.15796789999999999</v>
      </c>
      <c r="U1498">
        <v>-0.400177</v>
      </c>
      <c r="V1498">
        <v>-0.15137900000000001</v>
      </c>
      <c r="W1498">
        <v>3.8943279999999997E-2</v>
      </c>
      <c r="X1498">
        <v>0.98770840000000004</v>
      </c>
      <c r="Y1498">
        <v>-0.1027077</v>
      </c>
      <c r="Z1498">
        <v>-1.101515E-3</v>
      </c>
      <c r="AA1498">
        <v>0.99471100000000001</v>
      </c>
      <c r="AB1498">
        <v>48</v>
      </c>
      <c r="AC1498">
        <v>-20.365399999999902</v>
      </c>
      <c r="AD1498">
        <v>-1.1041804952959999</v>
      </c>
      <c r="AE1498">
        <v>-2.7834000000000199</v>
      </c>
      <c r="AF1498">
        <v>-2.1550729594572702</v>
      </c>
      <c r="AG1498">
        <v>-1.1041804952959999</v>
      </c>
      <c r="AH1498">
        <v>20.381966996767598</v>
      </c>
      <c r="AI1498">
        <v>93.083775753390398</v>
      </c>
      <c r="AJ1498">
        <v>96.035703121672597</v>
      </c>
      <c r="AK1498">
        <v>20.525304691626399</v>
      </c>
      <c r="AL1498">
        <v>87.768150115124897</v>
      </c>
      <c r="AM1498">
        <v>98.713511044880093</v>
      </c>
      <c r="AN1498">
        <v>1.0000000320643501</v>
      </c>
    </row>
    <row r="1499" spans="1:40" x14ac:dyDescent="0.3">
      <c r="A1499" t="str">
        <f>"20200111153901706"</f>
        <v>20200111153901706</v>
      </c>
      <c r="B1499" t="str">
        <f>"1578728341702325"</f>
        <v>1578728341702325</v>
      </c>
      <c r="C1499" t="s">
        <v>40</v>
      </c>
      <c r="D1499">
        <v>5.0227659999999998</v>
      </c>
      <c r="E1499">
        <v>0.51680379999999904</v>
      </c>
      <c r="F1499" t="s">
        <v>55</v>
      </c>
      <c r="G1499">
        <v>-449.7704</v>
      </c>
      <c r="H1499" s="1">
        <v>3.8232059999999998E-6</v>
      </c>
      <c r="I1499">
        <v>280.94130000000001</v>
      </c>
      <c r="J1499">
        <v>-429.30119999999999</v>
      </c>
      <c r="K1499">
        <v>1.10412</v>
      </c>
      <c r="L1499">
        <v>283.7552</v>
      </c>
      <c r="M1499">
        <v>-0.99931829999999999</v>
      </c>
      <c r="N1499">
        <v>0</v>
      </c>
      <c r="O1499">
        <v>-2.9558790000000001E-2</v>
      </c>
      <c r="P1499">
        <v>-0.98362240000000001</v>
      </c>
      <c r="Q1499">
        <v>1.7280859999999999E-2</v>
      </c>
      <c r="R1499">
        <v>-0.17941289999999999</v>
      </c>
      <c r="S1499">
        <v>-2.979584</v>
      </c>
      <c r="T1499">
        <v>-0.1569632</v>
      </c>
      <c r="U1499">
        <v>-0.40203860000000002</v>
      </c>
      <c r="V1499">
        <v>-0.150165299999999</v>
      </c>
      <c r="W1499">
        <v>3.9482650000000001E-2</v>
      </c>
      <c r="X1499">
        <v>0.98787219999999998</v>
      </c>
      <c r="Y1499">
        <v>-0.1042587</v>
      </c>
      <c r="Z1499">
        <v>-1.1833939999999999E-3</v>
      </c>
      <c r="AA1499">
        <v>0.99454949999999998</v>
      </c>
      <c r="AB1499">
        <v>48</v>
      </c>
      <c r="AC1499">
        <v>-20.469200000000001</v>
      </c>
      <c r="AD1499">
        <v>-1.104116176794</v>
      </c>
      <c r="AE1499">
        <v>-2.8138999999999799</v>
      </c>
      <c r="AF1499">
        <v>-2.2011912916955998</v>
      </c>
      <c r="AG1499">
        <v>-1.104116176794</v>
      </c>
      <c r="AH1499">
        <v>20.484950515090901</v>
      </c>
      <c r="AI1499">
        <v>93.067569059497401</v>
      </c>
      <c r="AJ1499">
        <v>96.133131755084406</v>
      </c>
      <c r="AK1499">
        <v>20.632438373595502</v>
      </c>
      <c r="AL1499">
        <v>87.737222609470905</v>
      </c>
      <c r="AM1499">
        <v>98.643297228640705</v>
      </c>
      <c r="AN1499">
        <v>0.99999999025397601</v>
      </c>
    </row>
    <row r="1500" spans="1:40" x14ac:dyDescent="0.3">
      <c r="A1500" t="str">
        <f>"20200111153901728"</f>
        <v>20200111153901728</v>
      </c>
      <c r="B1500" t="str">
        <f>"1578728341721845"</f>
        <v>1578728341721845</v>
      </c>
      <c r="C1500" t="s">
        <v>40</v>
      </c>
      <c r="D1500">
        <v>4.9140920000000001</v>
      </c>
      <c r="E1500">
        <v>0.51666120000000004</v>
      </c>
      <c r="F1500" t="s">
        <v>55</v>
      </c>
      <c r="G1500">
        <v>-450.4556</v>
      </c>
      <c r="H1500" s="1">
        <v>-1.135226E-6</v>
      </c>
      <c r="I1500">
        <v>280.97590000000002</v>
      </c>
      <c r="J1500">
        <v>-429.78660000000002</v>
      </c>
      <c r="K1500">
        <v>1.1040639999999999</v>
      </c>
      <c r="L1500">
        <v>283.74160000000001</v>
      </c>
      <c r="M1500">
        <v>-0.99934630000000002</v>
      </c>
      <c r="N1500">
        <v>0</v>
      </c>
      <c r="O1500">
        <v>-2.8617130000000001E-2</v>
      </c>
      <c r="P1500">
        <v>-0.9839483</v>
      </c>
      <c r="Q1500">
        <v>1.8192719999999999E-2</v>
      </c>
      <c r="R1500">
        <v>-0.1775246</v>
      </c>
      <c r="S1500">
        <v>-2.9812319999999999</v>
      </c>
      <c r="T1500">
        <v>-0.15560070000000001</v>
      </c>
      <c r="U1500">
        <v>-0.39169310000000002</v>
      </c>
      <c r="V1500">
        <v>-0.149190299999999</v>
      </c>
      <c r="W1500">
        <v>4.0396479999999999E-2</v>
      </c>
      <c r="X1500">
        <v>0.98798299999999994</v>
      </c>
      <c r="Y1500">
        <v>-0.1017354</v>
      </c>
      <c r="Z1500">
        <v>-1.1560730000000001E-3</v>
      </c>
      <c r="AA1500">
        <v>0.9948108</v>
      </c>
      <c r="AB1500">
        <v>48</v>
      </c>
      <c r="AC1500">
        <v>-20.668999999999901</v>
      </c>
      <c r="AD1500">
        <v>-1.104065135226</v>
      </c>
      <c r="AE1500">
        <v>-2.7656999999999798</v>
      </c>
      <c r="AF1500">
        <v>-2.1668609049150001</v>
      </c>
      <c r="AG1500">
        <v>-1.104065135226</v>
      </c>
      <c r="AH1500">
        <v>20.681722950325501</v>
      </c>
      <c r="AI1500">
        <v>93.039151655124002</v>
      </c>
      <c r="AJ1500">
        <v>95.981159130833703</v>
      </c>
      <c r="AK1500">
        <v>20.8242145157529</v>
      </c>
      <c r="AL1500">
        <v>87.684822251241499</v>
      </c>
      <c r="AM1500">
        <v>98.58706832323</v>
      </c>
      <c r="AN1500">
        <v>1.0000000147497401</v>
      </c>
    </row>
    <row r="1501" spans="1:40" x14ac:dyDescent="0.3">
      <c r="A1501" t="str">
        <f>"20200111153901751"</f>
        <v>20200111153901751</v>
      </c>
      <c r="B1501" t="str">
        <f>"1578728341742341"</f>
        <v>1578728341742341</v>
      </c>
      <c r="C1501" t="s">
        <v>40</v>
      </c>
      <c r="D1501">
        <v>4.9679960000000003</v>
      </c>
      <c r="E1501">
        <v>0.51672299999999904</v>
      </c>
      <c r="F1501" t="s">
        <v>55</v>
      </c>
      <c r="G1501">
        <v>-451.56490000000002</v>
      </c>
      <c r="H1501" s="1">
        <v>-5.4222719999999996E-7</v>
      </c>
      <c r="I1501">
        <v>280.91460000000001</v>
      </c>
      <c r="J1501">
        <v>-430.25420000000003</v>
      </c>
      <c r="K1501">
        <v>1.104025</v>
      </c>
      <c r="L1501">
        <v>283.72910000000002</v>
      </c>
      <c r="M1501">
        <v>-0.99937290000000001</v>
      </c>
      <c r="N1501">
        <v>0</v>
      </c>
      <c r="O1501">
        <v>-2.7684879999999999E-2</v>
      </c>
      <c r="P1501">
        <v>-0.9841569</v>
      </c>
      <c r="Q1501">
        <v>1.8559869999999999E-2</v>
      </c>
      <c r="R1501">
        <v>-0.1763257</v>
      </c>
      <c r="S1501">
        <v>-2.9819339999999999</v>
      </c>
      <c r="T1501">
        <v>-0.15117130000000001</v>
      </c>
      <c r="U1501">
        <v>-0.38708500000000001</v>
      </c>
      <c r="V1501">
        <v>-0.1489016</v>
      </c>
      <c r="W1501">
        <v>4.0763359999999998E-2</v>
      </c>
      <c r="X1501">
        <v>0.98801150000000004</v>
      </c>
      <c r="Y1501">
        <v>-0.1011267</v>
      </c>
      <c r="Z1501">
        <v>-1.1546810000000001E-3</v>
      </c>
      <c r="AA1501">
        <v>0.99487289999999995</v>
      </c>
      <c r="AB1501">
        <v>48</v>
      </c>
      <c r="AC1501">
        <v>-21.310700000000001</v>
      </c>
      <c r="AD1501">
        <v>-1.1040255422272001</v>
      </c>
      <c r="AE1501">
        <v>-2.8144999999999998</v>
      </c>
      <c r="AF1501">
        <v>-2.2174433647097702</v>
      </c>
      <c r="AG1501">
        <v>-1.1040255422272001</v>
      </c>
      <c r="AH1501">
        <v>21.3242152663606</v>
      </c>
      <c r="AI1501">
        <v>92.947879796356105</v>
      </c>
      <c r="AJ1501">
        <v>95.936685049542803</v>
      </c>
      <c r="AK1501">
        <v>21.467605460313202</v>
      </c>
      <c r="AL1501">
        <v>87.663784284894007</v>
      </c>
      <c r="AM1501">
        <v>98.570454833147707</v>
      </c>
      <c r="AN1501">
        <v>1.0000000310666399</v>
      </c>
    </row>
    <row r="1502" spans="1:40" x14ac:dyDescent="0.3">
      <c r="A1502" t="str">
        <f>"20200111153901772"</f>
        <v>20200111153901772</v>
      </c>
      <c r="B1502" t="str">
        <f>"1578728341761862"</f>
        <v>1578728341761862</v>
      </c>
      <c r="C1502" t="s">
        <v>40</v>
      </c>
      <c r="D1502">
        <v>4.947648</v>
      </c>
      <c r="E1502">
        <v>0.51675899999999997</v>
      </c>
      <c r="F1502" t="s">
        <v>55</v>
      </c>
      <c r="G1502">
        <v>-452.23869999999999</v>
      </c>
      <c r="H1502" s="1">
        <v>-1.832406E-7</v>
      </c>
      <c r="I1502">
        <v>280.90550000000002</v>
      </c>
      <c r="J1502">
        <v>-430.71969999999999</v>
      </c>
      <c r="K1502">
        <v>1.103988</v>
      </c>
      <c r="L1502">
        <v>283.71690000000001</v>
      </c>
      <c r="M1502">
        <v>-0.99939909999999998</v>
      </c>
      <c r="N1502">
        <v>0</v>
      </c>
      <c r="O1502">
        <v>-2.6739550000000001E-2</v>
      </c>
      <c r="P1502">
        <v>-0.98439310000000002</v>
      </c>
      <c r="Q1502">
        <v>1.8747380000000001E-2</v>
      </c>
      <c r="R1502">
        <v>-0.17498259999999999</v>
      </c>
      <c r="S1502">
        <v>-2.9824830000000002</v>
      </c>
      <c r="T1502">
        <v>-0.14977509999999999</v>
      </c>
      <c r="U1502">
        <v>-0.38305660000000002</v>
      </c>
      <c r="V1502">
        <v>-0.14848259999999999</v>
      </c>
      <c r="W1502">
        <v>4.0948209999999999E-2</v>
      </c>
      <c r="X1502">
        <v>0.98806689999999997</v>
      </c>
      <c r="Y1502">
        <v>-0.1007238</v>
      </c>
      <c r="Z1502">
        <v>-1.181051E-3</v>
      </c>
      <c r="AA1502">
        <v>0.99491379999999996</v>
      </c>
      <c r="AB1502">
        <v>48</v>
      </c>
      <c r="AC1502">
        <v>-21.518999999999998</v>
      </c>
      <c r="AD1502">
        <v>-1.1039881832406</v>
      </c>
      <c r="AE1502">
        <v>-2.8113999999999901</v>
      </c>
      <c r="AF1502">
        <v>-2.2290774181786701</v>
      </c>
      <c r="AG1502">
        <v>-1.1039881832406</v>
      </c>
      <c r="AH1502">
        <v>21.530777842359299</v>
      </c>
      <c r="AI1502">
        <v>92.919685703845701</v>
      </c>
      <c r="AJ1502">
        <v>95.910763381596993</v>
      </c>
      <c r="AK1502">
        <v>21.6739929533531</v>
      </c>
      <c r="AL1502">
        <v>87.653184280778405</v>
      </c>
      <c r="AM1502">
        <v>98.546222619210894</v>
      </c>
      <c r="AN1502">
        <v>1.00000001864028</v>
      </c>
    </row>
    <row r="1503" spans="1:40" x14ac:dyDescent="0.3">
      <c r="A1503" t="str">
        <f>"20200111153901795"</f>
        <v>20200111153901795</v>
      </c>
      <c r="B1503" t="str">
        <f>"1578728341792117"</f>
        <v>1578728341792117</v>
      </c>
      <c r="C1503" t="s">
        <v>40</v>
      </c>
      <c r="D1503">
        <v>4.8992820000000004</v>
      </c>
      <c r="E1503">
        <v>0.51659569999999999</v>
      </c>
      <c r="F1503" t="s">
        <v>55</v>
      </c>
      <c r="G1503">
        <v>-453.03339999999997</v>
      </c>
      <c r="H1503" s="1">
        <v>2.4066090000000002E-7</v>
      </c>
      <c r="I1503">
        <v>280.88220000000001</v>
      </c>
      <c r="J1503">
        <v>-431.18040000000002</v>
      </c>
      <c r="K1503">
        <v>1.1039600000000001</v>
      </c>
      <c r="L1503">
        <v>283.7054</v>
      </c>
      <c r="M1503">
        <v>-0.99942430000000004</v>
      </c>
      <c r="N1503">
        <v>0</v>
      </c>
      <c r="O1503">
        <v>-2.579002E-2</v>
      </c>
      <c r="P1503">
        <v>-0.98456710000000003</v>
      </c>
      <c r="Q1503">
        <v>1.7991409999999999E-2</v>
      </c>
      <c r="R1503">
        <v>-0.17408129999999999</v>
      </c>
      <c r="S1503">
        <v>-2.9830019999999999</v>
      </c>
      <c r="T1503">
        <v>-0.1475862</v>
      </c>
      <c r="U1503">
        <v>-0.37896730000000001</v>
      </c>
      <c r="V1503">
        <v>-0.14851539999999999</v>
      </c>
      <c r="W1503">
        <v>4.0194479999999998E-2</v>
      </c>
      <c r="X1503">
        <v>0.98809290000000005</v>
      </c>
      <c r="Y1503">
        <v>-0.1003072</v>
      </c>
      <c r="Z1503">
        <v>-1.20017E-3</v>
      </c>
      <c r="AA1503">
        <v>0.99495579999999995</v>
      </c>
      <c r="AB1503">
        <v>47</v>
      </c>
      <c r="AC1503">
        <v>-21.852999999999899</v>
      </c>
      <c r="AD1503">
        <v>-1.1039597593391</v>
      </c>
      <c r="AE1503">
        <v>-2.8231999999999799</v>
      </c>
      <c r="AF1503">
        <v>-2.25287919006694</v>
      </c>
      <c r="AG1503">
        <v>-1.1039597593391</v>
      </c>
      <c r="AH1503">
        <v>21.863675243549899</v>
      </c>
      <c r="AI1503">
        <v>92.875374763194003</v>
      </c>
      <c r="AJ1503">
        <v>95.883114871026393</v>
      </c>
      <c r="AK1503">
        <v>22.0071462700346</v>
      </c>
      <c r="AL1503">
        <v>87.696405371491807</v>
      </c>
      <c r="AM1503">
        <v>98.547860998833698</v>
      </c>
      <c r="AN1503">
        <v>0.99999999964501995</v>
      </c>
    </row>
    <row r="1504" spans="1:40" x14ac:dyDescent="0.3">
      <c r="A1504" t="str">
        <f>"20200111153901819"</f>
        <v>20200111153901819</v>
      </c>
      <c r="B1504" t="str">
        <f>"1578728341811640"</f>
        <v>1578728341811640</v>
      </c>
      <c r="C1504" t="s">
        <v>40</v>
      </c>
      <c r="D1504">
        <v>4.8297650000000001</v>
      </c>
      <c r="E1504">
        <v>0.51617409999999997</v>
      </c>
      <c r="F1504" t="s">
        <v>55</v>
      </c>
      <c r="G1504">
        <v>-453.53590000000003</v>
      </c>
      <c r="H1504" s="1">
        <v>5.0833049999999996E-7</v>
      </c>
      <c r="I1504">
        <v>280.8759</v>
      </c>
      <c r="J1504">
        <v>-431.67959999999999</v>
      </c>
      <c r="K1504">
        <v>1.1039429999999999</v>
      </c>
      <c r="L1504">
        <v>283.69349999999997</v>
      </c>
      <c r="M1504">
        <v>-0.99945039999999996</v>
      </c>
      <c r="N1504">
        <v>0</v>
      </c>
      <c r="O1504">
        <v>-2.4750850000000001E-2</v>
      </c>
      <c r="P1504">
        <v>-0.98462799999999995</v>
      </c>
      <c r="Q1504">
        <v>1.7226479999999999E-2</v>
      </c>
      <c r="R1504">
        <v>-0.17381369999999999</v>
      </c>
      <c r="S1504">
        <v>-2.9830019999999999</v>
      </c>
      <c r="T1504">
        <v>-0.14730689999999999</v>
      </c>
      <c r="U1504">
        <v>-0.3775635</v>
      </c>
      <c r="V1504">
        <v>-0.14927319999999999</v>
      </c>
      <c r="W1504">
        <v>3.9447860000000001E-2</v>
      </c>
      <c r="X1504">
        <v>0.98800880000000002</v>
      </c>
      <c r="Y1504">
        <v>-0.1008792</v>
      </c>
      <c r="Z1504">
        <v>-1.263035E-3</v>
      </c>
      <c r="AA1504">
        <v>0.9948979</v>
      </c>
      <c r="AB1504">
        <v>47</v>
      </c>
      <c r="AC1504">
        <v>-21.856300000000001</v>
      </c>
      <c r="AD1504">
        <v>-1.1039424916695</v>
      </c>
      <c r="AE1504">
        <v>-2.8175999999999699</v>
      </c>
      <c r="AF1504">
        <v>-2.2699464720950502</v>
      </c>
      <c r="AG1504">
        <v>-1.1039424916695</v>
      </c>
      <c r="AH1504">
        <v>21.8644878419104</v>
      </c>
      <c r="AI1504">
        <v>92.874995019364306</v>
      </c>
      <c r="AJ1504">
        <v>95.927149103693097</v>
      </c>
      <c r="AK1504">
        <v>22.009706372419899</v>
      </c>
      <c r="AL1504">
        <v>87.739217518010307</v>
      </c>
      <c r="AM1504">
        <v>98.591547667032501</v>
      </c>
      <c r="AN1504">
        <v>1.0000000053871201</v>
      </c>
    </row>
    <row r="1505" spans="1:40" x14ac:dyDescent="0.3">
      <c r="A1505" t="str">
        <f>"20200111153901839"</f>
        <v>20200111153901839</v>
      </c>
      <c r="B1505" t="str">
        <f>"1578728341832136"</f>
        <v>1578728341832136</v>
      </c>
      <c r="C1505" t="s">
        <v>40</v>
      </c>
      <c r="D1505">
        <v>4.8329129999999996</v>
      </c>
      <c r="E1505">
        <v>0.51588459999999903</v>
      </c>
      <c r="F1505" t="s">
        <v>55</v>
      </c>
      <c r="G1505">
        <v>-453.89569999999998</v>
      </c>
      <c r="H1505" s="1">
        <v>7.0041259999999997E-7</v>
      </c>
      <c r="I1505">
        <v>280.86250000000001</v>
      </c>
      <c r="J1505">
        <v>-432.13119999999998</v>
      </c>
      <c r="K1505">
        <v>1.1039319999999999</v>
      </c>
      <c r="L1505">
        <v>283.68310000000002</v>
      </c>
      <c r="M1505">
        <v>-0.99947299999999994</v>
      </c>
      <c r="N1505">
        <v>0</v>
      </c>
      <c r="O1505">
        <v>-2.3805059999999999E-2</v>
      </c>
      <c r="P1505">
        <v>-0.98470880000000005</v>
      </c>
      <c r="Q1505">
        <v>1.6450940000000001E-2</v>
      </c>
      <c r="R1505">
        <v>-0.17343029999999901</v>
      </c>
      <c r="S1505">
        <v>-2.9823</v>
      </c>
      <c r="T1505">
        <v>-0.14819350000000001</v>
      </c>
      <c r="U1505">
        <v>-0.38003540000000002</v>
      </c>
      <c r="V1505">
        <v>-0.14982409999999999</v>
      </c>
      <c r="W1505">
        <v>3.8697410000000002E-2</v>
      </c>
      <c r="X1505">
        <v>0.98795509999999997</v>
      </c>
      <c r="Y1505">
        <v>-0.1026567</v>
      </c>
      <c r="Z1505">
        <v>-1.361564E-3</v>
      </c>
      <c r="AA1505">
        <v>0.99471589999999999</v>
      </c>
      <c r="AB1505">
        <v>47</v>
      </c>
      <c r="AC1505">
        <v>-21.764500000000002</v>
      </c>
      <c r="AD1505">
        <v>-1.1039312995874</v>
      </c>
      <c r="AE1505">
        <v>-2.82060000000001</v>
      </c>
      <c r="AF1505">
        <v>-2.2957601529475</v>
      </c>
      <c r="AG1505">
        <v>-1.1039312995874</v>
      </c>
      <c r="AH1505">
        <v>21.770406990950399</v>
      </c>
      <c r="AI1505">
        <v>92.886881544899794</v>
      </c>
      <c r="AJ1505">
        <v>96.019777813867194</v>
      </c>
      <c r="AK1505">
        <v>21.9189370076583</v>
      </c>
      <c r="AL1505">
        <v>87.782248017200004</v>
      </c>
      <c r="AM1505">
        <v>98.623241090957293</v>
      </c>
      <c r="AN1505">
        <v>1.00000001504876</v>
      </c>
    </row>
    <row r="1506" spans="1:40" x14ac:dyDescent="0.3">
      <c r="A1506" t="str">
        <f>"20200111153901862"</f>
        <v>20200111153901862</v>
      </c>
      <c r="B1506" t="str">
        <f>"1578728341851654"</f>
        <v>1578728341851654</v>
      </c>
      <c r="C1506" t="s">
        <v>40</v>
      </c>
      <c r="D1506">
        <v>4.790889</v>
      </c>
      <c r="E1506">
        <v>0.5156229</v>
      </c>
      <c r="F1506" t="s">
        <v>55</v>
      </c>
      <c r="G1506">
        <v>-454.17439999999999</v>
      </c>
      <c r="H1506" s="1">
        <v>8.486239E-7</v>
      </c>
      <c r="I1506">
        <v>280.86450000000002</v>
      </c>
      <c r="J1506">
        <v>-432.59269999999998</v>
      </c>
      <c r="K1506">
        <v>1.103928</v>
      </c>
      <c r="L1506">
        <v>283.67290000000003</v>
      </c>
      <c r="M1506">
        <v>-0.99949500000000002</v>
      </c>
      <c r="N1506">
        <v>0</v>
      </c>
      <c r="O1506">
        <v>-2.2835080000000001E-2</v>
      </c>
      <c r="P1506">
        <v>-0.98486600000000002</v>
      </c>
      <c r="Q1506">
        <v>1.643178E-2</v>
      </c>
      <c r="R1506">
        <v>-0.17253669999999999</v>
      </c>
      <c r="S1506">
        <v>-2.981903</v>
      </c>
      <c r="T1506">
        <v>-0.14933479999999999</v>
      </c>
      <c r="U1506">
        <v>-0.38128659999999998</v>
      </c>
      <c r="V1506">
        <v>-0.1498843</v>
      </c>
      <c r="W1506">
        <v>3.8705990000000003E-2</v>
      </c>
      <c r="X1506">
        <v>0.98794559999999998</v>
      </c>
      <c r="Y1506">
        <v>-0.104044899999999</v>
      </c>
      <c r="Z1506">
        <v>-1.4550959999999999E-3</v>
      </c>
      <c r="AA1506">
        <v>0.9945716</v>
      </c>
      <c r="AB1506">
        <v>47</v>
      </c>
      <c r="AC1506">
        <v>-21.581700000000001</v>
      </c>
      <c r="AD1506">
        <v>-1.1039271513761</v>
      </c>
      <c r="AE1506">
        <v>-2.8083999999999998</v>
      </c>
      <c r="AF1506">
        <v>-2.3087869295836501</v>
      </c>
      <c r="AG1506">
        <v>-1.1039271513761</v>
      </c>
      <c r="AH1506">
        <v>21.584680961112699</v>
      </c>
      <c r="AI1506">
        <v>92.911207125356597</v>
      </c>
      <c r="AJ1506">
        <v>96.105380095784</v>
      </c>
      <c r="AK1506">
        <v>21.735859873370099</v>
      </c>
      <c r="AL1506">
        <v>87.781755979279396</v>
      </c>
      <c r="AM1506">
        <v>98.626735536350694</v>
      </c>
      <c r="AN1506">
        <v>0.99999998280386404</v>
      </c>
    </row>
    <row r="1507" spans="1:40" x14ac:dyDescent="0.3">
      <c r="A1507" t="str">
        <f>"20200111153901883"</f>
        <v>20200111153901883</v>
      </c>
      <c r="B1507" t="str">
        <f>"1578728341872149"</f>
        <v>1578728341872149</v>
      </c>
      <c r="C1507" t="s">
        <v>40</v>
      </c>
      <c r="D1507">
        <v>4.8297420000000004</v>
      </c>
      <c r="E1507">
        <v>0.51540459999999999</v>
      </c>
      <c r="F1507" t="s">
        <v>55</v>
      </c>
      <c r="G1507">
        <v>-454.9033</v>
      </c>
      <c r="H1507" s="1">
        <v>1.238289E-6</v>
      </c>
      <c r="I1507">
        <v>280.82350000000002</v>
      </c>
      <c r="J1507">
        <v>-433.04950000000002</v>
      </c>
      <c r="K1507">
        <v>1.1039219999999901</v>
      </c>
      <c r="L1507">
        <v>283.66340000000002</v>
      </c>
      <c r="M1507">
        <v>-0.99951630000000002</v>
      </c>
      <c r="N1507">
        <v>0</v>
      </c>
      <c r="O1507">
        <v>-2.1870529999999999E-2</v>
      </c>
      <c r="P1507">
        <v>-0.98500049999999995</v>
      </c>
      <c r="Q1507">
        <v>1.5805099999999999E-2</v>
      </c>
      <c r="R1507">
        <v>-0.17182610000000001</v>
      </c>
      <c r="S1507">
        <v>-2.9818419999999999</v>
      </c>
      <c r="T1507">
        <v>-0.14754100000000001</v>
      </c>
      <c r="U1507">
        <v>-0.38082890000000003</v>
      </c>
      <c r="V1507">
        <v>-0.1501257</v>
      </c>
      <c r="W1507">
        <v>3.8105149999999997E-2</v>
      </c>
      <c r="X1507">
        <v>0.98793229999999999</v>
      </c>
      <c r="Y1507">
        <v>-0.104857199999999</v>
      </c>
      <c r="Z1507">
        <v>-1.505157E-3</v>
      </c>
      <c r="AA1507">
        <v>0.99448619999999999</v>
      </c>
      <c r="AB1507">
        <v>47</v>
      </c>
      <c r="AC1507">
        <v>-21.8537999999999</v>
      </c>
      <c r="AD1507">
        <v>-1.1039207617109901</v>
      </c>
      <c r="AE1507">
        <v>-2.8399000000000001</v>
      </c>
      <c r="AF1507">
        <v>-2.35523938565915</v>
      </c>
      <c r="AG1507">
        <v>-1.1039207617109901</v>
      </c>
      <c r="AH1507">
        <v>21.855853104589499</v>
      </c>
      <c r="AI1507">
        <v>92.874888090566401</v>
      </c>
      <c r="AJ1507">
        <v>96.150596102422</v>
      </c>
      <c r="AK1507">
        <v>22.010091061631002</v>
      </c>
      <c r="AL1507">
        <v>87.816206984640601</v>
      </c>
      <c r="AM1507">
        <v>98.640534582943801</v>
      </c>
      <c r="AN1507">
        <v>0.99999997882015101</v>
      </c>
    </row>
    <row r="1508" spans="1:40" x14ac:dyDescent="0.3">
      <c r="A1508" t="str">
        <f>"20200111153901906"</f>
        <v>20200111153901906</v>
      </c>
      <c r="B1508" t="str">
        <f>"1578728341902406"</f>
        <v>1578728341902406</v>
      </c>
      <c r="C1508" t="s">
        <v>40</v>
      </c>
      <c r="D1508">
        <v>4.7718210000000001</v>
      </c>
      <c r="E1508">
        <v>0.51520679999999996</v>
      </c>
      <c r="F1508" t="s">
        <v>55</v>
      </c>
      <c r="G1508">
        <v>-455.34660000000002</v>
      </c>
      <c r="H1508" s="1">
        <v>1.4743539999999901E-6</v>
      </c>
      <c r="I1508">
        <v>280.81920000000002</v>
      </c>
      <c r="J1508">
        <v>-433.50979999999998</v>
      </c>
      <c r="K1508">
        <v>1.1039190000000001</v>
      </c>
      <c r="L1508">
        <v>283.6542</v>
      </c>
      <c r="M1508">
        <v>-0.9995368</v>
      </c>
      <c r="N1508">
        <v>0</v>
      </c>
      <c r="O1508">
        <v>-2.0890990000000002E-2</v>
      </c>
      <c r="P1508">
        <v>-0.98500160000000003</v>
      </c>
      <c r="Q1508">
        <v>1.479927E-2</v>
      </c>
      <c r="R1508">
        <v>-0.17191039999999999</v>
      </c>
      <c r="S1508">
        <v>-2.9816590000000001</v>
      </c>
      <c r="T1508">
        <v>-0.147620899999999</v>
      </c>
      <c r="U1508">
        <v>-0.38034059999999997</v>
      </c>
      <c r="V1508">
        <v>-0.151179799999999</v>
      </c>
      <c r="W1508">
        <v>3.7123080000000003E-2</v>
      </c>
      <c r="X1508">
        <v>0.98780889999999999</v>
      </c>
      <c r="Y1508">
        <v>-0.1056768</v>
      </c>
      <c r="Z1508">
        <v>-1.5745170000000001E-3</v>
      </c>
      <c r="AA1508">
        <v>0.99439920000000004</v>
      </c>
      <c r="AB1508">
        <v>47</v>
      </c>
      <c r="AC1508">
        <v>-21.8368</v>
      </c>
      <c r="AD1508">
        <v>-1.1039175256460001</v>
      </c>
      <c r="AE1508">
        <v>-2.8349999999999702</v>
      </c>
      <c r="AF1508">
        <v>-2.3721151368404501</v>
      </c>
      <c r="AG1508">
        <v>-1.1039175256460001</v>
      </c>
      <c r="AH1508">
        <v>21.836392072046401</v>
      </c>
      <c r="AI1508">
        <v>92.877170611619903</v>
      </c>
      <c r="AJ1508">
        <v>96.199802470356204</v>
      </c>
      <c r="AK1508">
        <v>21.992580177186699</v>
      </c>
      <c r="AL1508">
        <v>87.872515216661299</v>
      </c>
      <c r="AM1508">
        <v>98.701348735482597</v>
      </c>
      <c r="AN1508">
        <v>0.99999993895796602</v>
      </c>
    </row>
    <row r="1509" spans="1:40" x14ac:dyDescent="0.3">
      <c r="A1509" t="str">
        <f>"20200111153901929"</f>
        <v>20200111153901929</v>
      </c>
      <c r="B1509" t="str">
        <f>"1578728341921924"</f>
        <v>1578728341921924</v>
      </c>
      <c r="C1509" t="s">
        <v>40</v>
      </c>
      <c r="D1509">
        <v>4.745476</v>
      </c>
      <c r="E1509">
        <v>0.51500519999999905</v>
      </c>
      <c r="F1509" t="s">
        <v>55</v>
      </c>
      <c r="G1509">
        <v>-455.65600000000001</v>
      </c>
      <c r="H1509" s="1">
        <v>1.6392159999999999E-6</v>
      </c>
      <c r="I1509">
        <v>280.81470000000002</v>
      </c>
      <c r="J1509">
        <v>-433.99059999999997</v>
      </c>
      <c r="K1509">
        <v>1.1039110000000001</v>
      </c>
      <c r="L1509">
        <v>283.64510000000001</v>
      </c>
      <c r="M1509">
        <v>-0.99955749999999999</v>
      </c>
      <c r="N1509">
        <v>0</v>
      </c>
      <c r="O1509">
        <v>-1.9853280000000001E-2</v>
      </c>
      <c r="P1509">
        <v>-0.98497950000000001</v>
      </c>
      <c r="Q1509">
        <v>1.44869E-2</v>
      </c>
      <c r="R1509">
        <v>-0.17206299999999999</v>
      </c>
      <c r="S1509">
        <v>-2.9811709999999998</v>
      </c>
      <c r="T1509">
        <v>-0.14860179999999901</v>
      </c>
      <c r="U1509">
        <v>-0.38223269999999998</v>
      </c>
      <c r="V1509">
        <v>-0.15235889999999999</v>
      </c>
      <c r="W1509">
        <v>3.683384E-2</v>
      </c>
      <c r="X1509">
        <v>0.98763860000000003</v>
      </c>
      <c r="Y1509">
        <v>-0.10734580000000001</v>
      </c>
      <c r="Z1509">
        <v>-1.678017E-3</v>
      </c>
      <c r="AA1509">
        <v>0.99422029999999995</v>
      </c>
      <c r="AB1509">
        <v>46</v>
      </c>
      <c r="AC1509">
        <v>-21.665400000000002</v>
      </c>
      <c r="AD1509">
        <v>-1.103909360784</v>
      </c>
      <c r="AE1509">
        <v>-2.8303999999999898</v>
      </c>
      <c r="AF1509">
        <v>-2.3934973976028702</v>
      </c>
      <c r="AG1509">
        <v>-1.103909360784</v>
      </c>
      <c r="AH1509">
        <v>21.662039609697501</v>
      </c>
      <c r="AI1509">
        <v>92.899684045286605</v>
      </c>
      <c r="AJ1509">
        <v>96.3051895310238</v>
      </c>
      <c r="AK1509">
        <v>21.821810321814802</v>
      </c>
      <c r="AL1509">
        <v>87.889098888765403</v>
      </c>
      <c r="AM1509">
        <v>98.769651141909094</v>
      </c>
      <c r="AN1509">
        <v>0.999999985194157</v>
      </c>
    </row>
    <row r="1510" spans="1:40" x14ac:dyDescent="0.3">
      <c r="A1510" t="str">
        <f>"20200111153901951"</f>
        <v>20200111153901951</v>
      </c>
      <c r="B1510" t="str">
        <f>"1578728341942421"</f>
        <v>1578728341942421</v>
      </c>
      <c r="C1510" t="s">
        <v>40</v>
      </c>
      <c r="D1510">
        <v>4.7622920000000004</v>
      </c>
      <c r="E1510">
        <v>0.51484510000000006</v>
      </c>
      <c r="F1510" t="s">
        <v>55</v>
      </c>
      <c r="G1510">
        <v>-456.29450000000003</v>
      </c>
      <c r="H1510" s="1">
        <v>1.980856E-6</v>
      </c>
      <c r="I1510">
        <v>280.77179999999998</v>
      </c>
      <c r="J1510">
        <v>-434.4298</v>
      </c>
      <c r="K1510">
        <v>1.1039129999999999</v>
      </c>
      <c r="L1510">
        <v>283.63720000000001</v>
      </c>
      <c r="M1510">
        <v>-0.99957600000000002</v>
      </c>
      <c r="N1510">
        <v>0</v>
      </c>
      <c r="O1510">
        <v>-1.8884890000000001E-2</v>
      </c>
      <c r="P1510">
        <v>-0.98487760000000002</v>
      </c>
      <c r="Q1510">
        <v>1.459243E-2</v>
      </c>
      <c r="R1510">
        <v>-0.17263689999999901</v>
      </c>
      <c r="S1510">
        <v>-2.9808349999999999</v>
      </c>
      <c r="T1510">
        <v>-0.14753379999999999</v>
      </c>
      <c r="U1510">
        <v>-0.38400269999999997</v>
      </c>
      <c r="V1510">
        <v>-0.15389050000000001</v>
      </c>
      <c r="W1510">
        <v>3.6959159999999998E-2</v>
      </c>
      <c r="X1510">
        <v>0.98739639999999995</v>
      </c>
      <c r="Y1510">
        <v>-0.1089022</v>
      </c>
      <c r="Z1510">
        <v>-1.752109E-3</v>
      </c>
      <c r="AA1510">
        <v>0.99405089999999996</v>
      </c>
      <c r="AB1510">
        <v>46</v>
      </c>
      <c r="AC1510">
        <v>-21.864699999999999</v>
      </c>
      <c r="AD1510">
        <v>-1.103911019144</v>
      </c>
      <c r="AE1510">
        <v>-2.8654000000000202</v>
      </c>
      <c r="AF1510">
        <v>-2.4457457439903498</v>
      </c>
      <c r="AG1510">
        <v>-1.103911019144</v>
      </c>
      <c r="AH1510">
        <v>21.860142796664402</v>
      </c>
      <c r="AI1510">
        <v>92.873017263021296</v>
      </c>
      <c r="AJ1510">
        <v>96.3837902498707</v>
      </c>
      <c r="AK1510">
        <v>22.024217009305801</v>
      </c>
      <c r="AL1510">
        <v>87.881913631727102</v>
      </c>
      <c r="AM1510">
        <v>98.858555954798106</v>
      </c>
      <c r="AN1510">
        <v>0.99999995811555598</v>
      </c>
    </row>
    <row r="1511" spans="1:40" x14ac:dyDescent="0.3">
      <c r="A1511" t="str">
        <f>"20200111153901973"</f>
        <v>20200111153901973</v>
      </c>
      <c r="B1511" t="str">
        <f>"1578728341961941"</f>
        <v>1578728341961941</v>
      </c>
      <c r="C1511" t="s">
        <v>40</v>
      </c>
      <c r="D1511">
        <v>4.7919140000000002</v>
      </c>
      <c r="E1511">
        <v>0.514833599999999</v>
      </c>
      <c r="F1511" t="s">
        <v>55</v>
      </c>
      <c r="G1511">
        <v>-457.02269999999999</v>
      </c>
      <c r="H1511" s="1">
        <v>2.3713239999999999E-6</v>
      </c>
      <c r="I1511">
        <v>280.70519999999999</v>
      </c>
      <c r="J1511">
        <v>-434.88729999999998</v>
      </c>
      <c r="K1511">
        <v>1.1039099999999999</v>
      </c>
      <c r="L1511">
        <v>283.62950000000001</v>
      </c>
      <c r="M1511">
        <v>-0.99959489999999995</v>
      </c>
      <c r="N1511">
        <v>0</v>
      </c>
      <c r="O1511">
        <v>-1.7847370000000001E-2</v>
      </c>
      <c r="P1511">
        <v>-0.98486490000000004</v>
      </c>
      <c r="Q1511">
        <v>1.528273E-2</v>
      </c>
      <c r="R1511">
        <v>-0.17265039999999901</v>
      </c>
      <c r="S1511">
        <v>-2.9804080000000002</v>
      </c>
      <c r="T1511">
        <v>-0.14562539999999999</v>
      </c>
      <c r="U1511">
        <v>-0.38677980000000001</v>
      </c>
      <c r="V1511">
        <v>-0.15492539999999999</v>
      </c>
      <c r="W1511">
        <v>3.7668680000000003E-2</v>
      </c>
      <c r="X1511">
        <v>0.98720779999999997</v>
      </c>
      <c r="Y1511">
        <v>-0.11086210000000001</v>
      </c>
      <c r="Z1511">
        <v>-1.8276989999999999E-3</v>
      </c>
      <c r="AA1511">
        <v>0.99383410000000005</v>
      </c>
      <c r="AB1511">
        <v>46</v>
      </c>
      <c r="AC1511">
        <v>-22.135400000000001</v>
      </c>
      <c r="AD1511">
        <v>-1.1039076286759999</v>
      </c>
      <c r="AE1511">
        <v>-2.9243000000000099</v>
      </c>
      <c r="AF1511">
        <v>-2.52251211351689</v>
      </c>
      <c r="AG1511">
        <v>-1.1039076286759999</v>
      </c>
      <c r="AH1511">
        <v>22.129981463055</v>
      </c>
      <c r="AI1511">
        <v>92.837369566668698</v>
      </c>
      <c r="AJ1511">
        <v>96.502860557865802</v>
      </c>
      <c r="AK1511">
        <v>22.300622389759599</v>
      </c>
      <c r="AL1511">
        <v>87.841232941081699</v>
      </c>
      <c r="AM1511">
        <v>98.9188509299468</v>
      </c>
      <c r="AN1511">
        <v>1.00000002469947</v>
      </c>
    </row>
    <row r="1512" spans="1:40" x14ac:dyDescent="0.3">
      <c r="A1512" t="str">
        <f>"20200111153901996"</f>
        <v>20200111153901996</v>
      </c>
      <c r="B1512" t="str">
        <f>"1578728341992197"</f>
        <v>1578728341992197</v>
      </c>
      <c r="C1512" t="s">
        <v>40</v>
      </c>
      <c r="D1512">
        <v>4.8167439999999999</v>
      </c>
      <c r="E1512">
        <v>0.51475090000000001</v>
      </c>
      <c r="F1512" t="s">
        <v>55</v>
      </c>
      <c r="G1512">
        <v>-457.96210000000002</v>
      </c>
      <c r="H1512" s="1">
        <v>2.8743679999999999E-6</v>
      </c>
      <c r="I1512">
        <v>280.63310000000001</v>
      </c>
      <c r="J1512">
        <v>-435.3417</v>
      </c>
      <c r="K1512">
        <v>1.1038939999999999</v>
      </c>
      <c r="L1512">
        <v>283.6223</v>
      </c>
      <c r="M1512">
        <v>-0.99961299999999997</v>
      </c>
      <c r="N1512">
        <v>0</v>
      </c>
      <c r="O1512">
        <v>-1.6779639999999998E-2</v>
      </c>
      <c r="P1512">
        <v>-0.98479289999999997</v>
      </c>
      <c r="Q1512">
        <v>1.528682E-2</v>
      </c>
      <c r="R1512">
        <v>-0.1730592</v>
      </c>
      <c r="S1512">
        <v>-2.980499</v>
      </c>
      <c r="T1512">
        <v>-0.1425881</v>
      </c>
      <c r="U1512">
        <v>-0.38702389999999998</v>
      </c>
      <c r="V1512">
        <v>-0.15638859999999999</v>
      </c>
      <c r="W1512">
        <v>3.7692509999999999E-2</v>
      </c>
      <c r="X1512">
        <v>0.98697610000000002</v>
      </c>
      <c r="Y1512">
        <v>-0.1120017</v>
      </c>
      <c r="Z1512">
        <v>-1.8675059999999999E-3</v>
      </c>
      <c r="AA1512">
        <v>0.99370630000000004</v>
      </c>
      <c r="AB1512">
        <v>46</v>
      </c>
      <c r="AC1512">
        <v>-22.6204</v>
      </c>
      <c r="AD1512">
        <v>-1.1038911256319901</v>
      </c>
      <c r="AE1512">
        <v>-2.9891999999999799</v>
      </c>
      <c r="AF1512">
        <v>-2.6030305765791399</v>
      </c>
      <c r="AG1512">
        <v>-1.1038911256319901</v>
      </c>
      <c r="AH1512">
        <v>22.614451650973599</v>
      </c>
      <c r="AI1512">
        <v>92.776288640774894</v>
      </c>
      <c r="AJ1512">
        <v>96.566119158281495</v>
      </c>
      <c r="AK1512">
        <v>22.790519240993099</v>
      </c>
      <c r="AL1512">
        <v>87.839866495766998</v>
      </c>
      <c r="AM1512">
        <v>99.003791011421598</v>
      </c>
      <c r="AN1512">
        <v>0.99999997074563396</v>
      </c>
    </row>
    <row r="1513" spans="1:40" x14ac:dyDescent="0.3">
      <c r="A1513" t="str">
        <f>"20200111153902019"</f>
        <v>20200111153902019</v>
      </c>
      <c r="B1513" t="str">
        <f>"1578728342011717"</f>
        <v>1578728342011717</v>
      </c>
      <c r="C1513" t="s">
        <v>40</v>
      </c>
      <c r="D1513">
        <v>4.849056</v>
      </c>
      <c r="E1513">
        <v>0.51469089999999995</v>
      </c>
      <c r="F1513" t="s">
        <v>55</v>
      </c>
      <c r="G1513">
        <v>-458.57510000000002</v>
      </c>
      <c r="H1513" s="1">
        <v>3.2024550000000001E-6</v>
      </c>
      <c r="I1513">
        <v>280.59030000000001</v>
      </c>
      <c r="J1513">
        <v>-435.80549999999999</v>
      </c>
      <c r="K1513">
        <v>1.103866</v>
      </c>
      <c r="L1513">
        <v>283.61559999999997</v>
      </c>
      <c r="M1513">
        <v>-0.99963120000000005</v>
      </c>
      <c r="N1513">
        <v>0</v>
      </c>
      <c r="O1513">
        <v>-1.564248E-2</v>
      </c>
      <c r="P1513">
        <v>-0.98479249999999996</v>
      </c>
      <c r="Q1513">
        <v>1.5176220000000001E-2</v>
      </c>
      <c r="R1513">
        <v>-0.1730719</v>
      </c>
      <c r="S1513">
        <v>-2.9801329999999999</v>
      </c>
      <c r="T1513">
        <v>-0.14159539999999901</v>
      </c>
      <c r="U1513">
        <v>-0.38891599999999998</v>
      </c>
      <c r="V1513">
        <v>-0.15752189999999999</v>
      </c>
      <c r="W1513">
        <v>3.7601969999999998E-2</v>
      </c>
      <c r="X1513">
        <v>0.98679939999999999</v>
      </c>
      <c r="Y1513">
        <v>-0.1137662</v>
      </c>
      <c r="Z1513">
        <v>-1.950139E-3</v>
      </c>
      <c r="AA1513">
        <v>0.99350570000000005</v>
      </c>
      <c r="AB1513">
        <v>46</v>
      </c>
      <c r="AC1513">
        <v>-22.769600000000001</v>
      </c>
      <c r="AD1513">
        <v>-1.1038627975449999</v>
      </c>
      <c r="AE1513">
        <v>-3.0252999999999499</v>
      </c>
      <c r="AF1513">
        <v>-2.6625197551444599</v>
      </c>
      <c r="AG1513">
        <v>-1.1038627975449999</v>
      </c>
      <c r="AH1513">
        <v>22.761579541583298</v>
      </c>
      <c r="AI1513">
        <v>92.757710734625803</v>
      </c>
      <c r="AJ1513">
        <v>96.671813637059003</v>
      </c>
      <c r="AK1513">
        <v>22.943343865926899</v>
      </c>
      <c r="AL1513">
        <v>87.845057920760993</v>
      </c>
      <c r="AM1513">
        <v>99.069555158574701</v>
      </c>
      <c r="AN1513">
        <v>1.00000005648392</v>
      </c>
    </row>
    <row r="1514" spans="1:40" x14ac:dyDescent="0.3">
      <c r="A1514" t="str">
        <f>"20200111153902040"</f>
        <v>20200111153902040</v>
      </c>
      <c r="B1514" t="str">
        <f>"1578728342031743"</f>
        <v>1578728342031743</v>
      </c>
      <c r="C1514" t="s">
        <v>40</v>
      </c>
      <c r="D1514">
        <v>4.799277</v>
      </c>
      <c r="E1514">
        <v>0.53006370000000003</v>
      </c>
      <c r="F1514" t="s">
        <v>55</v>
      </c>
      <c r="G1514">
        <v>-459.03739999999999</v>
      </c>
      <c r="H1514" s="1">
        <v>3.4489250000000002E-6</v>
      </c>
      <c r="I1514">
        <v>280.57990000000001</v>
      </c>
      <c r="J1514">
        <v>-436.26089999999999</v>
      </c>
      <c r="K1514">
        <v>1.1038410000000001</v>
      </c>
      <c r="L1514">
        <v>283.6096</v>
      </c>
      <c r="M1514">
        <v>-0.99964850000000005</v>
      </c>
      <c r="N1514">
        <v>0</v>
      </c>
      <c r="O1514">
        <v>-1.448618E-2</v>
      </c>
      <c r="P1514">
        <v>-0.98495160000000004</v>
      </c>
      <c r="Q1514">
        <v>1.4686360000000001E-2</v>
      </c>
      <c r="R1514">
        <v>-0.17220559999999999</v>
      </c>
      <c r="S1514">
        <v>-2.9800719999999998</v>
      </c>
      <c r="T1514">
        <v>-0.1415978</v>
      </c>
      <c r="U1514">
        <v>-0.38940429999999998</v>
      </c>
      <c r="V1514">
        <v>-0.1577943</v>
      </c>
      <c r="W1514">
        <v>3.7130709999999997E-2</v>
      </c>
      <c r="X1514">
        <v>0.98677369999999998</v>
      </c>
      <c r="Y1514">
        <v>-0.1150752</v>
      </c>
      <c r="Z1514">
        <v>-2.0358030000000001E-3</v>
      </c>
      <c r="AA1514">
        <v>0.99335469999999904</v>
      </c>
      <c r="AB1514">
        <v>45</v>
      </c>
      <c r="AC1514">
        <v>-22.776499999999999</v>
      </c>
      <c r="AD1514">
        <v>-1.103837551075</v>
      </c>
      <c r="AE1514">
        <v>-3.0296999999999898</v>
      </c>
      <c r="AF1514">
        <v>-2.69314056141687</v>
      </c>
      <c r="AG1514">
        <v>-1.103837551075</v>
      </c>
      <c r="AH1514">
        <v>22.7654677959335</v>
      </c>
      <c r="AI1514">
        <v>92.756754261893704</v>
      </c>
      <c r="AJ1514">
        <v>96.746698612641794</v>
      </c>
      <c r="AK1514">
        <v>22.950773132737702</v>
      </c>
      <c r="AL1514">
        <v>87.8720779481676</v>
      </c>
      <c r="AM1514">
        <v>99.085210311571103</v>
      </c>
      <c r="AN1514">
        <v>1.0000000328746399</v>
      </c>
    </row>
    <row r="1515" spans="1:40" x14ac:dyDescent="0.3">
      <c r="A1515" t="str">
        <f>"20200111153902062"</f>
        <v>20200111153902062</v>
      </c>
      <c r="B1515" t="str">
        <f>"1578728342052240"</f>
        <v>1578728342052240</v>
      </c>
      <c r="C1515" t="s">
        <v>40</v>
      </c>
      <c r="D1515">
        <v>4.7316520000000004</v>
      </c>
      <c r="E1515">
        <v>0.52868850000000001</v>
      </c>
      <c r="F1515" t="s">
        <v>55</v>
      </c>
      <c r="G1515">
        <v>-464.02820000000003</v>
      </c>
      <c r="H1515" s="1">
        <v>7.5896869999999896E-7</v>
      </c>
      <c r="I1515">
        <v>281.13510000000002</v>
      </c>
      <c r="J1515">
        <v>-436.70460000000003</v>
      </c>
      <c r="K1515">
        <v>1.1038049999999999</v>
      </c>
      <c r="L1515">
        <v>283.60430000000002</v>
      </c>
      <c r="M1515">
        <v>-0.99966480000000002</v>
      </c>
      <c r="N1515">
        <v>0</v>
      </c>
      <c r="O1515">
        <v>-1.3317310000000001E-2</v>
      </c>
      <c r="P1515">
        <v>-0.98521689999999995</v>
      </c>
      <c r="Q1515">
        <v>1.4341380000000001E-2</v>
      </c>
      <c r="R1515">
        <v>-0.17071159999999999</v>
      </c>
      <c r="S1515">
        <v>-3.0008849999999998</v>
      </c>
      <c r="T1515">
        <v>-0.119294899999999</v>
      </c>
      <c r="U1515">
        <v>-0.26742549999999998</v>
      </c>
      <c r="V1515">
        <v>-0.15744939999999999</v>
      </c>
      <c r="W1515">
        <v>3.6800480000000003E-2</v>
      </c>
      <c r="X1515">
        <v>0.98684110000000003</v>
      </c>
      <c r="Y1515">
        <v>-7.5439240000000005E-2</v>
      </c>
      <c r="Z1515">
        <v>-9.677323E-4</v>
      </c>
      <c r="AA1515">
        <v>0.99714990000000003</v>
      </c>
      <c r="AB1515">
        <v>45</v>
      </c>
      <c r="AC1515">
        <v>-27.323599999999999</v>
      </c>
      <c r="AD1515">
        <v>-1.10380424103129</v>
      </c>
      <c r="AE1515">
        <v>-2.4691999999999998</v>
      </c>
      <c r="AF1515">
        <v>-2.1016124006807999</v>
      </c>
      <c r="AG1515">
        <v>-1.10380424103129</v>
      </c>
      <c r="AH1515">
        <v>27.309859525322899</v>
      </c>
      <c r="AI1515">
        <v>92.307693609615598</v>
      </c>
      <c r="AJ1515">
        <v>94.400486443092703</v>
      </c>
      <c r="AK1515">
        <v>27.412836149842001</v>
      </c>
      <c r="AL1515">
        <v>87.891011546546096</v>
      </c>
      <c r="AM1515">
        <v>99.065073489516607</v>
      </c>
      <c r="AN1515">
        <v>0.99999997276889896</v>
      </c>
    </row>
    <row r="1516" spans="1:40" x14ac:dyDescent="0.3">
      <c r="A1516" t="str">
        <f>"20200111153902085"</f>
        <v>20200111153902085</v>
      </c>
      <c r="B1516" t="str">
        <f>"1578728342082496"</f>
        <v>1578728342082496</v>
      </c>
      <c r="C1516" t="s">
        <v>40</v>
      </c>
      <c r="D1516">
        <v>4.7988249999999999</v>
      </c>
      <c r="E1516">
        <v>0.52785609999999905</v>
      </c>
      <c r="F1516" t="s">
        <v>55</v>
      </c>
      <c r="G1516">
        <v>-464.47320000000002</v>
      </c>
      <c r="H1516" s="1">
        <v>9.9863730000000005E-7</v>
      </c>
      <c r="I1516">
        <v>281.06990000000002</v>
      </c>
      <c r="J1516">
        <v>-437.15249999999997</v>
      </c>
      <c r="K1516">
        <v>1.1037680000000001</v>
      </c>
      <c r="L1516">
        <v>283.59949999999998</v>
      </c>
      <c r="M1516">
        <v>-0.99968060000000003</v>
      </c>
      <c r="N1516">
        <v>0</v>
      </c>
      <c r="O1516">
        <v>-1.2090679999999999E-2</v>
      </c>
      <c r="P1516">
        <v>-0.98543380000000003</v>
      </c>
      <c r="Q1516">
        <v>1.425644E-2</v>
      </c>
      <c r="R1516">
        <v>-0.16946120000000001</v>
      </c>
      <c r="S1516">
        <v>-2.9993289999999999</v>
      </c>
      <c r="T1516">
        <v>-0.11922339999999999</v>
      </c>
      <c r="U1516">
        <v>-0.27374270000000001</v>
      </c>
      <c r="V1516">
        <v>-0.1574052</v>
      </c>
      <c r="W1516">
        <v>3.6715190000000002E-2</v>
      </c>
      <c r="X1516">
        <v>0.98685129999999999</v>
      </c>
      <c r="Y1516">
        <v>-7.8787750000000004E-2</v>
      </c>
      <c r="Z1516">
        <v>-1.0825839999999999E-3</v>
      </c>
      <c r="AA1516">
        <v>0.99689079999999997</v>
      </c>
      <c r="AB1516">
        <v>45</v>
      </c>
      <c r="AC1516">
        <v>-27.320699999999999</v>
      </c>
      <c r="AD1516">
        <v>-1.1037670013626999</v>
      </c>
      <c r="AE1516">
        <v>-2.5295999999999501</v>
      </c>
      <c r="AF1516">
        <v>-2.1954548471263502</v>
      </c>
      <c r="AG1516">
        <v>-1.1037670013626999</v>
      </c>
      <c r="AH1516">
        <v>27.3051057778558</v>
      </c>
      <c r="AI1516">
        <v>92.307395231541193</v>
      </c>
      <c r="AJ1516">
        <v>94.596952340925597</v>
      </c>
      <c r="AK1516">
        <v>27.415454129358501</v>
      </c>
      <c r="AL1516">
        <v>87.895901550453104</v>
      </c>
      <c r="AM1516">
        <v>99.062478818550801</v>
      </c>
      <c r="AN1516">
        <v>0.99999994523773095</v>
      </c>
    </row>
    <row r="1517" spans="1:40" x14ac:dyDescent="0.3">
      <c r="A1517" t="str">
        <f>"20200111153902107"</f>
        <v>20200111153902107</v>
      </c>
      <c r="B1517" t="str">
        <f>"1578728342102018"</f>
        <v>1578728342102018</v>
      </c>
      <c r="C1517" t="s">
        <v>40</v>
      </c>
      <c r="D1517">
        <v>4.7768269999999999</v>
      </c>
      <c r="E1517">
        <v>0.52759889999999998</v>
      </c>
      <c r="F1517" t="s">
        <v>55</v>
      </c>
      <c r="G1517">
        <v>-465.36009999999999</v>
      </c>
      <c r="H1517" s="1">
        <v>1.4737799999999899E-6</v>
      </c>
      <c r="I1517">
        <v>280.9973</v>
      </c>
      <c r="J1517">
        <v>-437.60050000000001</v>
      </c>
      <c r="K1517">
        <v>1.1037330000000001</v>
      </c>
      <c r="L1517">
        <v>283.59519999999998</v>
      </c>
      <c r="M1517">
        <v>-0.99969600000000003</v>
      </c>
      <c r="N1517">
        <v>0</v>
      </c>
      <c r="O1517">
        <v>-1.081799E-2</v>
      </c>
      <c r="P1517">
        <v>-0.98568440000000002</v>
      </c>
      <c r="Q1517">
        <v>1.4051030000000001E-2</v>
      </c>
      <c r="R1517">
        <v>-0.16801429999999901</v>
      </c>
      <c r="S1517">
        <v>-2.9984440000000001</v>
      </c>
      <c r="T1517">
        <v>-0.1173295</v>
      </c>
      <c r="U1517">
        <v>-0.2766113</v>
      </c>
      <c r="V1517">
        <v>-0.15720970000000001</v>
      </c>
      <c r="W1517">
        <v>3.6493600000000001E-2</v>
      </c>
      <c r="X1517">
        <v>0.98689070000000001</v>
      </c>
      <c r="Y1517">
        <v>-8.1028050000000004E-2</v>
      </c>
      <c r="Z1517">
        <v>-1.159062E-3</v>
      </c>
      <c r="AA1517">
        <v>0.99671109999999896</v>
      </c>
      <c r="AB1517">
        <v>45</v>
      </c>
      <c r="AC1517">
        <v>-27.759599999999899</v>
      </c>
      <c r="AD1517">
        <v>-1.10373152622</v>
      </c>
      <c r="AE1517">
        <v>-2.5978999999999801</v>
      </c>
      <c r="AF1517">
        <v>-2.2937763827254298</v>
      </c>
      <c r="AG1517">
        <v>-1.10373152622</v>
      </c>
      <c r="AH1517">
        <v>27.742608662860899</v>
      </c>
      <c r="AI1517">
        <v>92.270554712408298</v>
      </c>
      <c r="AJ1517">
        <v>94.726500497086704</v>
      </c>
      <c r="AK1517">
        <v>27.8591451555242</v>
      </c>
      <c r="AL1517">
        <v>87.908606274742198</v>
      </c>
      <c r="AM1517">
        <v>99.051054132572901</v>
      </c>
      <c r="AN1517">
        <v>0.999999963180769</v>
      </c>
    </row>
    <row r="1518" spans="1:40" x14ac:dyDescent="0.3">
      <c r="A1518" t="str">
        <f>"20200111153902130"</f>
        <v>20200111153902130</v>
      </c>
      <c r="B1518" t="str">
        <f>"1578728342122044"</f>
        <v>1578728342122044</v>
      </c>
      <c r="C1518" t="s">
        <v>40</v>
      </c>
      <c r="D1518">
        <v>4.7911049999999999</v>
      </c>
      <c r="E1518">
        <v>0.52730630000000001</v>
      </c>
      <c r="F1518" t="s">
        <v>55</v>
      </c>
      <c r="G1518">
        <v>-465.3365</v>
      </c>
      <c r="H1518" s="1">
        <v>1.458551E-6</v>
      </c>
      <c r="I1518">
        <v>281.05860000000001</v>
      </c>
      <c r="J1518">
        <v>-438.06299999999999</v>
      </c>
      <c r="K1518">
        <v>1.1036969999999999</v>
      </c>
      <c r="L1518">
        <v>283.5915</v>
      </c>
      <c r="M1518">
        <v>-0.99971069999999995</v>
      </c>
      <c r="N1518">
        <v>0</v>
      </c>
      <c r="O1518">
        <v>-9.4612399999999992E-3</v>
      </c>
      <c r="P1518">
        <v>-0.98587639999999999</v>
      </c>
      <c r="Q1518">
        <v>1.3523250000000001E-2</v>
      </c>
      <c r="R1518">
        <v>-0.16692979999999999</v>
      </c>
      <c r="S1518">
        <v>-2.9985050000000002</v>
      </c>
      <c r="T1518">
        <v>-0.119323</v>
      </c>
      <c r="U1518">
        <v>-0.274231</v>
      </c>
      <c r="V1518">
        <v>-0.157462299999999</v>
      </c>
      <c r="W1518">
        <v>3.5934170000000001E-2</v>
      </c>
      <c r="X1518">
        <v>0.98687100000000005</v>
      </c>
      <c r="Y1518">
        <v>-8.1590899999999994E-2</v>
      </c>
      <c r="Z1518">
        <v>-1.2437850000000001E-3</v>
      </c>
      <c r="AA1518">
        <v>0.99666509999999997</v>
      </c>
      <c r="AB1518">
        <v>45</v>
      </c>
      <c r="AC1518">
        <v>-27.273499999999899</v>
      </c>
      <c r="AD1518">
        <v>-1.103695541449</v>
      </c>
      <c r="AE1518">
        <v>-2.5328999999999802</v>
      </c>
      <c r="AF1518">
        <v>-2.2709950757907298</v>
      </c>
      <c r="AG1518">
        <v>-1.103695541449</v>
      </c>
      <c r="AH1518">
        <v>27.252001742184699</v>
      </c>
      <c r="AI1518">
        <v>92.311187191507898</v>
      </c>
      <c r="AJ1518">
        <v>94.763631106123995</v>
      </c>
      <c r="AK1518">
        <v>27.368725973974701</v>
      </c>
      <c r="AL1518">
        <v>87.940680380166199</v>
      </c>
      <c r="AM1518">
        <v>99.065533754494993</v>
      </c>
      <c r="AN1518">
        <v>1.0000000055679299</v>
      </c>
    </row>
    <row r="1519" spans="1:40" x14ac:dyDescent="0.3">
      <c r="A1519" t="str">
        <f>"20200111153902158"</f>
        <v>20200111153902158</v>
      </c>
      <c r="B1519" t="str">
        <f>"1578728342152300"</f>
        <v>1578728342152300</v>
      </c>
      <c r="C1519" t="s">
        <v>40</v>
      </c>
      <c r="D1519">
        <v>4.7803879999999896</v>
      </c>
      <c r="E1519">
        <v>0.52685170000000003</v>
      </c>
      <c r="F1519" t="s">
        <v>55</v>
      </c>
      <c r="G1519">
        <v>-465.38499999999999</v>
      </c>
      <c r="H1519" s="1">
        <v>1.482407E-6</v>
      </c>
      <c r="I1519">
        <v>281.1035</v>
      </c>
      <c r="J1519">
        <v>-438.59050000000002</v>
      </c>
      <c r="K1519">
        <v>1.103656</v>
      </c>
      <c r="L1519">
        <v>283.58800000000002</v>
      </c>
      <c r="M1519">
        <v>-0.99972609999999995</v>
      </c>
      <c r="N1519">
        <v>0</v>
      </c>
      <c r="O1519">
        <v>-7.865693E-3</v>
      </c>
      <c r="P1519">
        <v>-0.98609389999999997</v>
      </c>
      <c r="Q1519">
        <v>1.344395E-2</v>
      </c>
      <c r="R1519">
        <v>-0.16564429999999999</v>
      </c>
      <c r="S1519">
        <v>-2.998383</v>
      </c>
      <c r="T1519">
        <v>-0.1211221</v>
      </c>
      <c r="U1519">
        <v>-0.27304079999999997</v>
      </c>
      <c r="V1519">
        <v>-0.15774830000000001</v>
      </c>
      <c r="W1519">
        <v>3.5793119999999998E-2</v>
      </c>
      <c r="X1519">
        <v>0.9868304</v>
      </c>
      <c r="Y1519">
        <v>-8.2788879999999995E-2</v>
      </c>
      <c r="Z1519">
        <v>-1.3510309999999999E-3</v>
      </c>
      <c r="AA1519">
        <v>0.99656619999999996</v>
      </c>
      <c r="AB1519">
        <v>45</v>
      </c>
      <c r="AC1519">
        <v>-26.7944999999999</v>
      </c>
      <c r="AD1519">
        <v>-1.1036545175929999</v>
      </c>
      <c r="AE1519">
        <v>-2.4844999999999602</v>
      </c>
      <c r="AF1519">
        <v>-2.2697965059232201</v>
      </c>
      <c r="AG1519">
        <v>-1.1036545175929999</v>
      </c>
      <c r="AH1519">
        <v>26.768190463896602</v>
      </c>
      <c r="AI1519">
        <v>92.352539279591298</v>
      </c>
      <c r="AJ1519">
        <v>94.846775399662604</v>
      </c>
      <c r="AK1519">
        <v>26.8869122471129</v>
      </c>
      <c r="AL1519">
        <v>87.948767050345197</v>
      </c>
      <c r="AM1519">
        <v>99.082092797228398</v>
      </c>
      <c r="AN1519">
        <v>0.99999995597819102</v>
      </c>
    </row>
    <row r="1520" spans="1:40" x14ac:dyDescent="0.3">
      <c r="A1520" t="str">
        <f>"20200111153902176"</f>
        <v>20200111153902176</v>
      </c>
      <c r="B1520" t="str">
        <f>"1578728342171820"</f>
        <v>1578728342171820</v>
      </c>
      <c r="C1520" t="s">
        <v>40</v>
      </c>
      <c r="D1520">
        <v>4.8162770000000004</v>
      </c>
      <c r="E1520">
        <v>0.52635480000000001</v>
      </c>
      <c r="F1520" t="s">
        <v>55</v>
      </c>
      <c r="G1520">
        <v>-465.6447</v>
      </c>
      <c r="H1520" s="1">
        <v>1.619473E-6</v>
      </c>
      <c r="I1520">
        <v>281.12869999999998</v>
      </c>
      <c r="J1520">
        <v>-438.9579</v>
      </c>
      <c r="K1520">
        <v>1.1036300000000001</v>
      </c>
      <c r="L1520">
        <v>283.58609999999999</v>
      </c>
      <c r="M1520">
        <v>-0.99973610000000002</v>
      </c>
      <c r="N1520">
        <v>0</v>
      </c>
      <c r="O1520">
        <v>-6.7313690000000001E-3</v>
      </c>
      <c r="P1520">
        <v>-0.98612489999999997</v>
      </c>
      <c r="Q1520">
        <v>1.42728E-2</v>
      </c>
      <c r="R1520">
        <v>-0.1653917</v>
      </c>
      <c r="S1520">
        <v>-2.9981990000000001</v>
      </c>
      <c r="T1520">
        <v>-0.1223094</v>
      </c>
      <c r="U1520">
        <v>-0.27255249999999998</v>
      </c>
      <c r="V1520">
        <v>-0.15861059999999999</v>
      </c>
      <c r="W1520">
        <v>3.656032E-2</v>
      </c>
      <c r="X1520">
        <v>0.98666410000000004</v>
      </c>
      <c r="Y1520">
        <v>-8.3761169999999996E-2</v>
      </c>
      <c r="Z1520">
        <v>-1.430302E-3</v>
      </c>
      <c r="AA1520">
        <v>0.99648479999999995</v>
      </c>
      <c r="AB1520">
        <v>44</v>
      </c>
      <c r="AC1520">
        <v>-26.686800000000002</v>
      </c>
      <c r="AD1520">
        <v>-1.103628380527</v>
      </c>
      <c r="AE1520">
        <v>-2.4573999999999998</v>
      </c>
      <c r="AF1520">
        <v>-2.2738062347358698</v>
      </c>
      <c r="AG1520">
        <v>-1.103628380527</v>
      </c>
      <c r="AH1520">
        <v>26.657533749579901</v>
      </c>
      <c r="AI1520">
        <v>92.362137771270397</v>
      </c>
      <c r="AJ1520">
        <v>94.875354243617807</v>
      </c>
      <c r="AK1520">
        <v>26.777085278375999</v>
      </c>
      <c r="AL1520">
        <v>87.904781051499896</v>
      </c>
      <c r="AM1520">
        <v>99.132417237738494</v>
      </c>
      <c r="AN1520">
        <v>1.0000000128298301</v>
      </c>
    </row>
    <row r="1521" spans="1:40" x14ac:dyDescent="0.3">
      <c r="A1521" t="str">
        <f>"20200111153902197"</f>
        <v>20200111153902197</v>
      </c>
      <c r="B1521" t="str">
        <f>"1578728342192316"</f>
        <v>1578728342192316</v>
      </c>
      <c r="C1521" t="s">
        <v>40</v>
      </c>
      <c r="D1521">
        <v>4.8516139999999996</v>
      </c>
      <c r="E1521">
        <v>0.52591469999999996</v>
      </c>
      <c r="F1521" t="s">
        <v>55</v>
      </c>
      <c r="G1521">
        <v>-466.21370000000002</v>
      </c>
      <c r="H1521" s="1">
        <v>1.9243899999999999E-6</v>
      </c>
      <c r="I1521">
        <v>281.08030000000002</v>
      </c>
      <c r="J1521">
        <v>-439.36619999999999</v>
      </c>
      <c r="K1521">
        <v>1.1036090000000001</v>
      </c>
      <c r="L1521">
        <v>283.58460000000002</v>
      </c>
      <c r="M1521">
        <v>-0.99974589999999997</v>
      </c>
      <c r="N1521">
        <v>0</v>
      </c>
      <c r="O1521">
        <v>-5.4527710000000004E-3</v>
      </c>
      <c r="P1521">
        <v>-0.98610339999999996</v>
      </c>
      <c r="Q1521">
        <v>1.442396E-2</v>
      </c>
      <c r="R1521">
        <v>-0.1655064</v>
      </c>
      <c r="S1521">
        <v>-2.9977420000000001</v>
      </c>
      <c r="T1521">
        <v>-0.1213833</v>
      </c>
      <c r="U1521">
        <v>-0.27560420000000002</v>
      </c>
      <c r="V1521">
        <v>-0.15998579999999901</v>
      </c>
      <c r="W1521">
        <v>3.6623700000000002E-2</v>
      </c>
      <c r="X1521">
        <v>0.98643970000000003</v>
      </c>
      <c r="Y1521">
        <v>-8.6053180000000007E-2</v>
      </c>
      <c r="Z1521">
        <v>-1.5175659999999999E-3</v>
      </c>
      <c r="AA1521">
        <v>0.99628939999999999</v>
      </c>
      <c r="AB1521">
        <v>44</v>
      </c>
      <c r="AC1521">
        <v>-26.8475</v>
      </c>
      <c r="AD1521">
        <v>-1.10360707561</v>
      </c>
      <c r="AE1521">
        <v>-2.5043000000000002</v>
      </c>
      <c r="AF1521">
        <v>-2.3538912850348699</v>
      </c>
      <c r="AG1521">
        <v>-1.10360707561</v>
      </c>
      <c r="AH1521">
        <v>26.815838241102099</v>
      </c>
      <c r="AI1521">
        <v>92.3476633298434</v>
      </c>
      <c r="AJ1521">
        <v>95.016558781815903</v>
      </c>
      <c r="AK1521">
        <v>26.941565161141899</v>
      </c>
      <c r="AL1521">
        <v>87.901147219477593</v>
      </c>
      <c r="AM1521">
        <v>99.212305892489397</v>
      </c>
      <c r="AN1521">
        <v>1.0000000166697001</v>
      </c>
    </row>
    <row r="1522" spans="1:40" x14ac:dyDescent="0.3">
      <c r="A1522" t="str">
        <f>"20200111153902220"</f>
        <v>20200111153902220</v>
      </c>
      <c r="B1522" t="str">
        <f>"1578728342211835"</f>
        <v>1578728342211835</v>
      </c>
      <c r="C1522" t="s">
        <v>40</v>
      </c>
      <c r="D1522">
        <v>4.8114509999999999</v>
      </c>
      <c r="E1522">
        <v>0.52546999999999999</v>
      </c>
      <c r="F1522" t="s">
        <v>55</v>
      </c>
      <c r="G1522">
        <v>-466.58499999999998</v>
      </c>
      <c r="H1522" s="1">
        <v>2.12342E-6</v>
      </c>
      <c r="I1522">
        <v>281.04759999999999</v>
      </c>
      <c r="J1522">
        <v>-439.8091</v>
      </c>
      <c r="K1522">
        <v>1.103586</v>
      </c>
      <c r="L1522">
        <v>283.58339999999998</v>
      </c>
      <c r="M1522">
        <v>-0.99975510000000001</v>
      </c>
      <c r="N1522">
        <v>0</v>
      </c>
      <c r="O1522">
        <v>-4.050512E-3</v>
      </c>
      <c r="P1522">
        <v>-0.98614880000000005</v>
      </c>
      <c r="Q1522">
        <v>1.4644020000000001E-2</v>
      </c>
      <c r="R1522">
        <v>-0.16521620000000001</v>
      </c>
      <c r="S1522">
        <v>-2.9971920000000001</v>
      </c>
      <c r="T1522">
        <v>-0.1215233</v>
      </c>
      <c r="U1522">
        <v>-0.27935789999999999</v>
      </c>
      <c r="V1522">
        <v>-0.1610781</v>
      </c>
      <c r="W1522">
        <v>3.6737100000000002E-2</v>
      </c>
      <c r="X1522">
        <v>0.98625770000000001</v>
      </c>
      <c r="Y1522">
        <v>-8.8700589999999996E-2</v>
      </c>
      <c r="Z1522">
        <v>-1.6297529999999901E-3</v>
      </c>
      <c r="AA1522">
        <v>0.99605699999999997</v>
      </c>
      <c r="AB1522">
        <v>44</v>
      </c>
      <c r="AC1522">
        <v>-26.775899999999901</v>
      </c>
      <c r="AD1522">
        <v>-1.1035838765799999</v>
      </c>
      <c r="AE1522">
        <v>-2.5357999999999898</v>
      </c>
      <c r="AF1522">
        <v>-2.4232176229063702</v>
      </c>
      <c r="AG1522">
        <v>-1.1035838765799999</v>
      </c>
      <c r="AH1522">
        <v>26.7409323269639</v>
      </c>
      <c r="AI1522">
        <v>92.353592119727196</v>
      </c>
      <c r="AJ1522">
        <v>95.177903513828099</v>
      </c>
      <c r="AK1522">
        <v>26.873171430552699</v>
      </c>
      <c r="AL1522">
        <v>87.894645488397501</v>
      </c>
      <c r="AM1522">
        <v>99.275795150451799</v>
      </c>
      <c r="AN1522">
        <v>1.00000000981265</v>
      </c>
    </row>
    <row r="1523" spans="1:40" x14ac:dyDescent="0.3">
      <c r="A1523" t="str">
        <f>"20200111153902242"</f>
        <v>20200111153902242</v>
      </c>
      <c r="B1523" t="str">
        <f>"1578728342231863"</f>
        <v>1578728342231863</v>
      </c>
      <c r="C1523" t="s">
        <v>40</v>
      </c>
      <c r="D1523">
        <v>4.8703810000000001</v>
      </c>
      <c r="E1523">
        <v>0.52520529999999999</v>
      </c>
      <c r="F1523" t="s">
        <v>55</v>
      </c>
      <c r="G1523">
        <v>-466.75909999999999</v>
      </c>
      <c r="H1523" s="1">
        <v>2.215961E-6</v>
      </c>
      <c r="I1523">
        <v>281.04950000000002</v>
      </c>
      <c r="J1523">
        <v>-440.25420000000003</v>
      </c>
      <c r="K1523">
        <v>1.1035619999999999</v>
      </c>
      <c r="L1523">
        <v>283.5829</v>
      </c>
      <c r="M1523">
        <v>-0.9997627</v>
      </c>
      <c r="N1523">
        <v>0</v>
      </c>
      <c r="O1523">
        <v>-2.630491E-3</v>
      </c>
      <c r="P1523">
        <v>-0.98638499999999996</v>
      </c>
      <c r="Q1523">
        <v>1.481071E-2</v>
      </c>
      <c r="R1523">
        <v>-0.16378529999999999</v>
      </c>
      <c r="S1523">
        <v>-2.9967350000000001</v>
      </c>
      <c r="T1523">
        <v>-0.12271459999999999</v>
      </c>
      <c r="U1523">
        <v>-0.28176879999999999</v>
      </c>
      <c r="V1523">
        <v>-0.16104679999999999</v>
      </c>
      <c r="W1523">
        <v>3.678381E-2</v>
      </c>
      <c r="X1523">
        <v>0.9862611</v>
      </c>
      <c r="Y1523">
        <v>-9.0919189999999997E-2</v>
      </c>
      <c r="Z1523">
        <v>-1.7492180000000001E-3</v>
      </c>
      <c r="AA1523">
        <v>0.99585679999999999</v>
      </c>
      <c r="AB1523">
        <v>44</v>
      </c>
      <c r="AC1523">
        <v>-26.5048999999999</v>
      </c>
      <c r="AD1523">
        <v>-1.1035597840389999</v>
      </c>
      <c r="AE1523">
        <v>-2.5333999999999701</v>
      </c>
      <c r="AF1523">
        <v>-2.4594290491750699</v>
      </c>
      <c r="AG1523">
        <v>-1.1035597840389999</v>
      </c>
      <c r="AH1523">
        <v>26.466008801264898</v>
      </c>
      <c r="AI1523">
        <v>92.377461795610998</v>
      </c>
      <c r="AJ1523">
        <v>95.309125638364904</v>
      </c>
      <c r="AK1523">
        <v>26.6029370054042</v>
      </c>
      <c r="AL1523">
        <v>87.891967453842298</v>
      </c>
      <c r="AM1523">
        <v>99.273992622766201</v>
      </c>
      <c r="AN1523">
        <v>1.0000000389207799</v>
      </c>
    </row>
    <row r="1524" spans="1:40" x14ac:dyDescent="0.3">
      <c r="A1524" t="str">
        <f>"20200111153902264"</f>
        <v>20200111153902264</v>
      </c>
      <c r="B1524" t="str">
        <f>"1578728342252359"</f>
        <v>1578728342252359</v>
      </c>
      <c r="C1524" t="s">
        <v>40</v>
      </c>
      <c r="D1524">
        <v>4.8524580000000004</v>
      </c>
      <c r="E1524">
        <v>0.52492740000000004</v>
      </c>
      <c r="F1524" t="s">
        <v>55</v>
      </c>
      <c r="G1524">
        <v>-467.12430000000001</v>
      </c>
      <c r="H1524" s="1">
        <v>2.4091049999999999E-6</v>
      </c>
      <c r="I1524">
        <v>281.07679999999999</v>
      </c>
      <c r="J1524">
        <v>-440.6721</v>
      </c>
      <c r="K1524">
        <v>1.103542</v>
      </c>
      <c r="L1524">
        <v>283.58300000000003</v>
      </c>
      <c r="M1524">
        <v>-0.99976830000000005</v>
      </c>
      <c r="N1524">
        <v>0</v>
      </c>
      <c r="O1524">
        <v>-1.2890899999999999E-3</v>
      </c>
      <c r="P1524">
        <v>-0.98650870000000002</v>
      </c>
      <c r="Q1524">
        <v>1.419523E-2</v>
      </c>
      <c r="R1524">
        <v>-0.16309270000000001</v>
      </c>
      <c r="S1524">
        <v>-2.9967959999999998</v>
      </c>
      <c r="T1524">
        <v>-0.1230789</v>
      </c>
      <c r="U1524">
        <v>-0.2795105</v>
      </c>
      <c r="V1524">
        <v>-0.161680399999999</v>
      </c>
      <c r="W1524">
        <v>3.6034709999999998E-2</v>
      </c>
      <c r="X1524">
        <v>0.98618499999999998</v>
      </c>
      <c r="Y1524">
        <v>-9.1507439999999995E-2</v>
      </c>
      <c r="Z1524">
        <v>-1.821441E-3</v>
      </c>
      <c r="AA1524">
        <v>0.99580270000000004</v>
      </c>
      <c r="AB1524">
        <v>44</v>
      </c>
      <c r="AC1524">
        <v>-26.452200000000001</v>
      </c>
      <c r="AD1524">
        <v>-1.1035395908949901</v>
      </c>
      <c r="AE1524">
        <v>-2.50619999999997</v>
      </c>
      <c r="AF1524">
        <v>-2.4678339379855601</v>
      </c>
      <c r="AG1524">
        <v>-1.1035395908949901</v>
      </c>
      <c r="AH1524">
        <v>26.409854355293302</v>
      </c>
      <c r="AI1524">
        <v>92.382354150895694</v>
      </c>
      <c r="AJ1524">
        <v>95.338426527743295</v>
      </c>
      <c r="AK1524">
        <v>26.547851345107901</v>
      </c>
      <c r="AL1524">
        <v>87.934916021007794</v>
      </c>
      <c r="AM1524">
        <v>99.3105471342908</v>
      </c>
      <c r="AN1524">
        <v>0.99999995314696999</v>
      </c>
    </row>
    <row r="1525" spans="1:40" x14ac:dyDescent="0.3">
      <c r="A1525" t="str">
        <f>"20200111153902286"</f>
        <v>20200111153902286</v>
      </c>
      <c r="B1525" t="str">
        <f>"1578728342282616"</f>
        <v>1578728342282616</v>
      </c>
      <c r="C1525" t="s">
        <v>40</v>
      </c>
      <c r="D1525">
        <v>4.8476819999999998</v>
      </c>
      <c r="E1525">
        <v>0.52438669999999998</v>
      </c>
      <c r="F1525" t="s">
        <v>55</v>
      </c>
      <c r="G1525">
        <v>-466.91500000000002</v>
      </c>
      <c r="H1525" s="1">
        <v>2.295168E-6</v>
      </c>
      <c r="I1525">
        <v>281.13549999999998</v>
      </c>
      <c r="J1525">
        <v>-441.11149999999998</v>
      </c>
      <c r="K1525">
        <v>1.103504</v>
      </c>
      <c r="L1525">
        <v>283.5838</v>
      </c>
      <c r="M1525">
        <v>-0.99977309999999997</v>
      </c>
      <c r="N1525">
        <v>0</v>
      </c>
      <c r="O1525">
        <v>1.266858E-4</v>
      </c>
      <c r="P1525">
        <v>-0.98677329999999996</v>
      </c>
      <c r="Q1525">
        <v>1.3936540000000001E-2</v>
      </c>
      <c r="R1525">
        <v>-0.16150699999999901</v>
      </c>
      <c r="S1525">
        <v>-2.9966740000000001</v>
      </c>
      <c r="T1525">
        <v>-0.1260134</v>
      </c>
      <c r="U1525">
        <v>-0.27948000000000001</v>
      </c>
      <c r="V1525">
        <v>-0.161493</v>
      </c>
      <c r="W1525">
        <v>3.5592499999999999E-2</v>
      </c>
      <c r="X1525">
        <v>0.98623179999999999</v>
      </c>
      <c r="Y1525">
        <v>-9.2905100000000004E-2</v>
      </c>
      <c r="Z1525">
        <v>-1.9536100000000002E-3</v>
      </c>
      <c r="AA1525">
        <v>0.99567309999999998</v>
      </c>
      <c r="AB1525">
        <v>44</v>
      </c>
      <c r="AC1525">
        <v>-25.8035</v>
      </c>
      <c r="AD1525">
        <v>-1.1035017048319999</v>
      </c>
      <c r="AE1525">
        <v>-2.4483000000000099</v>
      </c>
      <c r="AF1525">
        <v>-2.4471340404264601</v>
      </c>
      <c r="AG1525">
        <v>-1.1035017048319999</v>
      </c>
      <c r="AH1525">
        <v>25.756503911601602</v>
      </c>
      <c r="AI1525">
        <v>92.442272951556006</v>
      </c>
      <c r="AJ1525">
        <v>95.427399299182298</v>
      </c>
      <c r="AK1525">
        <v>25.896016581179602</v>
      </c>
      <c r="AL1525">
        <v>87.960269126967006</v>
      </c>
      <c r="AM1525">
        <v>99.299510546406097</v>
      </c>
      <c r="AN1525">
        <v>0.99999998921824496</v>
      </c>
    </row>
    <row r="1526" spans="1:40" x14ac:dyDescent="0.3">
      <c r="A1526" t="str">
        <f>"20200111153902308"</f>
        <v>20200111153902308</v>
      </c>
      <c r="B1526" t="str">
        <f>"1578728342302135"</f>
        <v>1578728342302135</v>
      </c>
      <c r="C1526" t="s">
        <v>40</v>
      </c>
      <c r="D1526">
        <v>4.8657909999999998</v>
      </c>
      <c r="E1526">
        <v>0.52404340000000005</v>
      </c>
      <c r="F1526" t="s">
        <v>55</v>
      </c>
      <c r="G1526">
        <v>-466.52659999999997</v>
      </c>
      <c r="H1526" s="1">
        <v>2.0847799999999998E-6</v>
      </c>
      <c r="I1526">
        <v>281.2208</v>
      </c>
      <c r="J1526">
        <v>-441.55239999999998</v>
      </c>
      <c r="K1526">
        <v>1.103467</v>
      </c>
      <c r="L1526">
        <v>283.58510000000001</v>
      </c>
      <c r="M1526">
        <v>-0.99977709999999997</v>
      </c>
      <c r="N1526">
        <v>0</v>
      </c>
      <c r="O1526">
        <v>1.5511730000000001E-3</v>
      </c>
      <c r="P1526">
        <v>-0.9870892</v>
      </c>
      <c r="Q1526">
        <v>1.4100299999999901E-2</v>
      </c>
      <c r="R1526">
        <v>-0.15955030000000001</v>
      </c>
      <c r="S1526">
        <v>-2.9964599999999999</v>
      </c>
      <c r="T1526">
        <v>-0.13010330000000001</v>
      </c>
      <c r="U1526">
        <v>-0.27859499999999998</v>
      </c>
      <c r="V1526">
        <v>-0.16094229999999901</v>
      </c>
      <c r="W1526">
        <v>3.5515289999999998E-2</v>
      </c>
      <c r="X1526">
        <v>0.9863246</v>
      </c>
      <c r="Y1526">
        <v>-9.4030890000000006E-2</v>
      </c>
      <c r="Z1526">
        <v>-2.103209E-3</v>
      </c>
      <c r="AA1526">
        <v>0.99556710000000004</v>
      </c>
      <c r="AB1526">
        <v>44</v>
      </c>
      <c r="AC1526">
        <v>-24.9742</v>
      </c>
      <c r="AD1526">
        <v>-1.10346491522</v>
      </c>
      <c r="AE1526">
        <v>-2.3643000000000098</v>
      </c>
      <c r="AF1526">
        <v>-2.3984043724226498</v>
      </c>
      <c r="AG1526">
        <v>-1.10346491522</v>
      </c>
      <c r="AH1526">
        <v>24.922279526137402</v>
      </c>
      <c r="AI1526">
        <v>92.523542635379201</v>
      </c>
      <c r="AJ1526">
        <v>95.496951748863907</v>
      </c>
      <c r="AK1526">
        <v>25.0617237063157</v>
      </c>
      <c r="AL1526">
        <v>87.964695730670996</v>
      </c>
      <c r="AM1526">
        <v>99.267493044503496</v>
      </c>
      <c r="AN1526">
        <v>0.99999998815911695</v>
      </c>
    </row>
    <row r="1527" spans="1:40" x14ac:dyDescent="0.3">
      <c r="A1527" t="str">
        <f>"20200111153902330"</f>
        <v>20200111153902330</v>
      </c>
      <c r="B1527" t="str">
        <f>"1578728342322162"</f>
        <v>1578728342322162</v>
      </c>
      <c r="C1527" t="s">
        <v>40</v>
      </c>
      <c r="D1527">
        <v>4.9301240000000002</v>
      </c>
      <c r="E1527">
        <v>0.52366190000000001</v>
      </c>
      <c r="F1527" t="s">
        <v>55</v>
      </c>
      <c r="G1527">
        <v>-466.67790000000002</v>
      </c>
      <c r="H1527" s="1">
        <v>2.16276E-6</v>
      </c>
      <c r="I1527">
        <v>281.2792</v>
      </c>
      <c r="J1527">
        <v>-441.98320000000001</v>
      </c>
      <c r="K1527">
        <v>1.103424</v>
      </c>
      <c r="L1527">
        <v>283.58710000000002</v>
      </c>
      <c r="M1527">
        <v>-0.99978040000000001</v>
      </c>
      <c r="N1527">
        <v>0</v>
      </c>
      <c r="O1527">
        <v>2.946359E-3</v>
      </c>
      <c r="P1527">
        <v>-0.98742589999999997</v>
      </c>
      <c r="Q1527">
        <v>1.392934E-2</v>
      </c>
      <c r="R1527">
        <v>-0.15746879999999999</v>
      </c>
      <c r="S1527">
        <v>-2.9966740000000001</v>
      </c>
      <c r="T1527">
        <v>-0.13160810000000001</v>
      </c>
      <c r="U1527">
        <v>-0.2750244</v>
      </c>
      <c r="V1527">
        <v>-0.16024040000000001</v>
      </c>
      <c r="W1527">
        <v>3.5046859999999999E-2</v>
      </c>
      <c r="X1527">
        <v>0.98645559999999999</v>
      </c>
      <c r="Y1527">
        <v>-9.4233830000000005E-2</v>
      </c>
      <c r="Z1527">
        <v>-2.1930539999999998E-3</v>
      </c>
      <c r="AA1527">
        <v>0.99554770000000004</v>
      </c>
      <c r="AB1527">
        <v>43</v>
      </c>
      <c r="AC1527">
        <v>-24.694700000000001</v>
      </c>
      <c r="AD1527">
        <v>-1.10342183724</v>
      </c>
      <c r="AE1527">
        <v>-2.3079000000000098</v>
      </c>
      <c r="AF1527">
        <v>-2.3759624908488002</v>
      </c>
      <c r="AG1527">
        <v>-1.10342183724</v>
      </c>
      <c r="AH1527">
        <v>24.639024810773499</v>
      </c>
      <c r="AI1527">
        <v>92.552368505536094</v>
      </c>
      <c r="AJ1527">
        <v>95.5080507869841</v>
      </c>
      <c r="AK1527">
        <v>24.777899046019499</v>
      </c>
      <c r="AL1527">
        <v>87.991551455237499</v>
      </c>
      <c r="AM1527">
        <v>99.226568163994401</v>
      </c>
      <c r="AN1527">
        <v>0.999999959479689</v>
      </c>
    </row>
    <row r="1528" spans="1:40" x14ac:dyDescent="0.3">
      <c r="A1528" t="str">
        <f>"20200111153902353"</f>
        <v>20200111153902353</v>
      </c>
      <c r="B1528" t="str">
        <f>"1578728342342659"</f>
        <v>1578728342342659</v>
      </c>
      <c r="C1528" t="s">
        <v>40</v>
      </c>
      <c r="D1528">
        <v>4.9298320000000002</v>
      </c>
      <c r="E1528">
        <v>0.52346029999999999</v>
      </c>
      <c r="F1528" t="s">
        <v>55</v>
      </c>
      <c r="G1528">
        <v>-466.8569</v>
      </c>
      <c r="H1528" s="1">
        <v>2.2556059999999998E-6</v>
      </c>
      <c r="I1528">
        <v>281.33330000000001</v>
      </c>
      <c r="J1528">
        <v>-442.40890000000002</v>
      </c>
      <c r="K1528">
        <v>1.1033729999999999</v>
      </c>
      <c r="L1528">
        <v>283.58960000000002</v>
      </c>
      <c r="M1528">
        <v>-0.99978230000000001</v>
      </c>
      <c r="N1528">
        <v>0</v>
      </c>
      <c r="O1528">
        <v>4.3289569999999996E-3</v>
      </c>
      <c r="P1528">
        <v>-0.98774609999999996</v>
      </c>
      <c r="Q1528">
        <v>1.3028649999999999E-2</v>
      </c>
      <c r="R1528">
        <v>-0.15552469999999999</v>
      </c>
      <c r="S1528">
        <v>-2.9967959999999998</v>
      </c>
      <c r="T1528">
        <v>-0.13294069999999999</v>
      </c>
      <c r="U1528">
        <v>-0.27154539999999999</v>
      </c>
      <c r="V1528">
        <v>-0.15966720000000001</v>
      </c>
      <c r="W1528">
        <v>3.3806860000000001E-2</v>
      </c>
      <c r="X1528">
        <v>0.98659189999999997</v>
      </c>
      <c r="Y1528">
        <v>-9.4457189999999996E-2</v>
      </c>
      <c r="Z1528">
        <v>-2.2813999999999998E-3</v>
      </c>
      <c r="AA1528">
        <v>0.99552629999999998</v>
      </c>
      <c r="AB1528">
        <v>43</v>
      </c>
      <c r="AC1528">
        <v>-24.447999999999901</v>
      </c>
      <c r="AD1528">
        <v>-1.103370744394</v>
      </c>
      <c r="AE1528">
        <v>-2.2563</v>
      </c>
      <c r="AF1528">
        <v>-2.3573742081517999</v>
      </c>
      <c r="AG1528">
        <v>-1.103370744394</v>
      </c>
      <c r="AH1528">
        <v>24.388745006549101</v>
      </c>
      <c r="AI1528">
        <v>92.578350753520894</v>
      </c>
      <c r="AJ1528">
        <v>95.520960492322203</v>
      </c>
      <c r="AK1528">
        <v>24.527240430821301</v>
      </c>
      <c r="AL1528">
        <v>88.062640540633893</v>
      </c>
      <c r="AM1528">
        <v>99.192879721309893</v>
      </c>
      <c r="AN1528">
        <v>1.0000000478422499</v>
      </c>
    </row>
    <row r="1529" spans="1:40" x14ac:dyDescent="0.3">
      <c r="A1529" t="str">
        <f>"20200111153902375"</f>
        <v>20200111153902375</v>
      </c>
      <c r="B1529" t="str">
        <f>"1578728342371939"</f>
        <v>1578728342371939</v>
      </c>
      <c r="C1529" t="s">
        <v>40</v>
      </c>
      <c r="D1529">
        <v>4.9538310000000001</v>
      </c>
      <c r="E1529">
        <v>0.51635279999999995</v>
      </c>
      <c r="F1529" t="s">
        <v>55</v>
      </c>
      <c r="G1529">
        <v>-466.78280000000001</v>
      </c>
      <c r="H1529" s="1">
        <v>2.2124720000000001E-6</v>
      </c>
      <c r="I1529">
        <v>281.4178</v>
      </c>
      <c r="J1529">
        <v>-442.83390000000003</v>
      </c>
      <c r="K1529">
        <v>1.1033219999999999</v>
      </c>
      <c r="L1529">
        <v>283.59269999999998</v>
      </c>
      <c r="M1529">
        <v>-0.99978279999999997</v>
      </c>
      <c r="N1529">
        <v>0</v>
      </c>
      <c r="O1529">
        <v>5.7130749999999998E-3</v>
      </c>
      <c r="P1529">
        <v>-0.98801240000000001</v>
      </c>
      <c r="Q1529">
        <v>1.2758500000000001E-2</v>
      </c>
      <c r="R1529">
        <v>-0.15384900000000001</v>
      </c>
      <c r="S1529">
        <v>-2.996918</v>
      </c>
      <c r="T1529">
        <v>-0.13566629999999999</v>
      </c>
      <c r="U1529">
        <v>-0.26702880000000001</v>
      </c>
      <c r="V1529">
        <v>-0.1593619</v>
      </c>
      <c r="W1529">
        <v>3.3177320000000003E-2</v>
      </c>
      <c r="X1529">
        <v>0.98666259999999995</v>
      </c>
      <c r="Y1529">
        <v>-9.4338110000000003E-2</v>
      </c>
      <c r="Z1529">
        <v>-2.3880189999999999E-3</v>
      </c>
      <c r="AA1529">
        <v>0.99553729999999996</v>
      </c>
      <c r="AB1529">
        <v>43</v>
      </c>
      <c r="AC1529">
        <v>-23.948899999999899</v>
      </c>
      <c r="AD1529">
        <v>-1.1033197875280001</v>
      </c>
      <c r="AE1529">
        <v>-2.1748999999999801</v>
      </c>
      <c r="AF1529">
        <v>-2.3068577678465898</v>
      </c>
      <c r="AG1529">
        <v>-1.1033197875280001</v>
      </c>
      <c r="AH1529">
        <v>23.885800078598901</v>
      </c>
      <c r="AI1529">
        <v>92.632464147937299</v>
      </c>
      <c r="AJ1529">
        <v>95.516438750703699</v>
      </c>
      <c r="AK1529">
        <v>24.0222886651006</v>
      </c>
      <c r="AL1529">
        <v>88.098730715002702</v>
      </c>
      <c r="AM1529">
        <v>99.174954970499996</v>
      </c>
      <c r="AN1529">
        <v>1.0000000179863699</v>
      </c>
    </row>
    <row r="1530" spans="1:40" x14ac:dyDescent="0.3">
      <c r="A1530" t="str">
        <f>"20200111153902399"</f>
        <v>20200111153902399</v>
      </c>
      <c r="B1530" t="str">
        <f>"1578728342392434"</f>
        <v>1578728342392434</v>
      </c>
      <c r="C1530" t="s">
        <v>40</v>
      </c>
      <c r="D1530">
        <v>4.8885860000000001</v>
      </c>
      <c r="E1530">
        <v>0.51562929999999996</v>
      </c>
      <c r="F1530" t="s">
        <v>55</v>
      </c>
      <c r="G1530">
        <v>-463.13420000000002</v>
      </c>
      <c r="H1530" s="1">
        <v>2.6964610000000002E-7</v>
      </c>
      <c r="I1530">
        <v>281.44650000000001</v>
      </c>
      <c r="J1530">
        <v>-443.28519999999997</v>
      </c>
      <c r="K1530">
        <v>1.1032740000000001</v>
      </c>
      <c r="L1530">
        <v>283.59660000000002</v>
      </c>
      <c r="M1530">
        <v>-0.99978100000000003</v>
      </c>
      <c r="N1530">
        <v>0</v>
      </c>
      <c r="O1530">
        <v>7.1885930000000001E-3</v>
      </c>
      <c r="P1530">
        <v>-0.98830180000000001</v>
      </c>
      <c r="Q1530">
        <v>1.1883680000000001E-2</v>
      </c>
      <c r="R1530">
        <v>-0.15204909999999999</v>
      </c>
      <c r="S1530">
        <v>-2.9893489999999998</v>
      </c>
      <c r="T1530">
        <v>-0.16247120000000001</v>
      </c>
      <c r="U1530">
        <v>-0.31603999999999999</v>
      </c>
      <c r="V1530">
        <v>-0.15902639999999901</v>
      </c>
      <c r="W1530">
        <v>3.1914360000000003E-2</v>
      </c>
      <c r="X1530">
        <v>0.98675840000000004</v>
      </c>
      <c r="Y1530">
        <v>-0.1121094</v>
      </c>
      <c r="Z1530">
        <v>-3.425324E-3</v>
      </c>
      <c r="AA1530">
        <v>0.99368999999999996</v>
      </c>
      <c r="AB1530">
        <v>43</v>
      </c>
      <c r="AC1530">
        <v>-19.849</v>
      </c>
      <c r="AD1530">
        <v>-1.1032737303539</v>
      </c>
      <c r="AE1530">
        <v>-2.1501000000000001</v>
      </c>
      <c r="AF1530">
        <v>-2.2857783448419902</v>
      </c>
      <c r="AG1530">
        <v>-1.1032737303539</v>
      </c>
      <c r="AH1530">
        <v>19.772648487601</v>
      </c>
      <c r="AI1530">
        <v>93.172591357180593</v>
      </c>
      <c r="AJ1530">
        <v>96.594294930802306</v>
      </c>
      <c r="AK1530">
        <v>19.9348845940996</v>
      </c>
      <c r="AL1530">
        <v>88.171131374936394</v>
      </c>
      <c r="AM1530">
        <v>99.155092844595003</v>
      </c>
      <c r="AN1530">
        <v>1.0000000311208599</v>
      </c>
    </row>
    <row r="1531" spans="1:40" x14ac:dyDescent="0.3">
      <c r="A1531" t="str">
        <f>"20200111153902420"</f>
        <v>20200111153902420</v>
      </c>
      <c r="B1531" t="str">
        <f>"1578728342411955"</f>
        <v>1578728342411955</v>
      </c>
      <c r="C1531" t="s">
        <v>40</v>
      </c>
      <c r="D1531">
        <v>4.9703679999999997</v>
      </c>
      <c r="E1531">
        <v>0.51589750000000001</v>
      </c>
      <c r="F1531" t="s">
        <v>55</v>
      </c>
      <c r="G1531">
        <v>-463.51100000000002</v>
      </c>
      <c r="H1531" s="1">
        <v>4.6980150000000003E-7</v>
      </c>
      <c r="I1531">
        <v>281.45440000000002</v>
      </c>
      <c r="J1531">
        <v>-443.70580000000001</v>
      </c>
      <c r="K1531">
        <v>1.103229</v>
      </c>
      <c r="L1531">
        <v>283.60090000000002</v>
      </c>
      <c r="M1531">
        <v>-0.99977729999999998</v>
      </c>
      <c r="N1531">
        <v>0</v>
      </c>
      <c r="O1531">
        <v>8.5662120000000001E-3</v>
      </c>
      <c r="P1531">
        <v>-0.98852709999999999</v>
      </c>
      <c r="Q1531">
        <v>1.109504E-2</v>
      </c>
      <c r="R1531">
        <v>-0.15063550000000001</v>
      </c>
      <c r="S1531">
        <v>-2.9887700000000001</v>
      </c>
      <c r="T1531">
        <v>-0.16303129999999999</v>
      </c>
      <c r="U1531">
        <v>-0.31655879999999997</v>
      </c>
      <c r="V1531">
        <v>-0.15897999999999901</v>
      </c>
      <c r="W1531">
        <v>3.075717E-2</v>
      </c>
      <c r="X1531">
        <v>0.98680259999999997</v>
      </c>
      <c r="Y1531">
        <v>-0.1136635</v>
      </c>
      <c r="Z1531">
        <v>-3.554892E-3</v>
      </c>
      <c r="AA1531">
        <v>0.99351290000000003</v>
      </c>
      <c r="AB1531">
        <v>43</v>
      </c>
      <c r="AC1531">
        <v>-19.8051999999999</v>
      </c>
      <c r="AD1531">
        <v>-1.1032285301985001</v>
      </c>
      <c r="AE1531">
        <v>-2.1465000000000001</v>
      </c>
      <c r="AF1531">
        <v>-2.3090267440012799</v>
      </c>
      <c r="AG1531">
        <v>-1.1032285301985001</v>
      </c>
      <c r="AH1531">
        <v>19.725585697606601</v>
      </c>
      <c r="AI1531">
        <v>93.179485512971596</v>
      </c>
      <c r="AJ1531">
        <v>96.676513573277404</v>
      </c>
      <c r="AK1531">
        <v>19.8908885876921</v>
      </c>
      <c r="AL1531">
        <v>88.237466014285701</v>
      </c>
      <c r="AM1531">
        <v>99.152063818210294</v>
      </c>
      <c r="AN1531">
        <v>1.00000000763658</v>
      </c>
    </row>
    <row r="1532" spans="1:40" x14ac:dyDescent="0.3">
      <c r="A1532" t="str">
        <f>"20200111153902441"</f>
        <v>20200111153902441</v>
      </c>
      <c r="B1532" t="str">
        <f>"1578728342431981"</f>
        <v>1578728342431981</v>
      </c>
      <c r="C1532" t="s">
        <v>40</v>
      </c>
      <c r="D1532">
        <v>4.9500270000000004</v>
      </c>
      <c r="E1532">
        <v>0.51530209999999999</v>
      </c>
      <c r="F1532" t="s">
        <v>55</v>
      </c>
      <c r="G1532">
        <v>-463.59690000000001</v>
      </c>
      <c r="H1532" s="1">
        <v>5.1183340000000005E-7</v>
      </c>
      <c r="I1532">
        <v>281.53820000000002</v>
      </c>
      <c r="J1532">
        <v>-444.12079999999997</v>
      </c>
      <c r="K1532">
        <v>1.1031839999999999</v>
      </c>
      <c r="L1532">
        <v>283.60559999999998</v>
      </c>
      <c r="M1532">
        <v>-0.99977169999999904</v>
      </c>
      <c r="N1532">
        <v>0</v>
      </c>
      <c r="O1532">
        <v>9.9241850000000003E-3</v>
      </c>
      <c r="P1532">
        <v>-0.98867620000000001</v>
      </c>
      <c r="Q1532">
        <v>1.047679E-2</v>
      </c>
      <c r="R1532">
        <v>-0.1496991</v>
      </c>
      <c r="S1532">
        <v>-2.9894099999999999</v>
      </c>
      <c r="T1532">
        <v>-0.16580349999999999</v>
      </c>
      <c r="U1532">
        <v>-0.30999759999999998</v>
      </c>
      <c r="V1532">
        <v>-0.15938929999999901</v>
      </c>
      <c r="W1532">
        <v>2.9782960000000001E-2</v>
      </c>
      <c r="X1532">
        <v>0.98676649999999999</v>
      </c>
      <c r="Y1532">
        <v>-0.1128267</v>
      </c>
      <c r="Z1532">
        <v>-3.6668460000000001E-3</v>
      </c>
      <c r="AA1532">
        <v>0.99360789999999999</v>
      </c>
      <c r="AB1532">
        <v>43</v>
      </c>
      <c r="AC1532">
        <v>-19.476099999999999</v>
      </c>
      <c r="AD1532">
        <v>-1.1031834881665901</v>
      </c>
      <c r="AE1532">
        <v>-2.0673999999999602</v>
      </c>
      <c r="AF1532">
        <v>-2.25346766949251</v>
      </c>
      <c r="AG1532">
        <v>-1.1031834881665901</v>
      </c>
      <c r="AH1532">
        <v>19.393091671193101</v>
      </c>
      <c r="AI1532">
        <v>93.234069794102496</v>
      </c>
      <c r="AJ1532">
        <v>96.628016713363905</v>
      </c>
      <c r="AK1532">
        <v>19.5547215503906</v>
      </c>
      <c r="AL1532">
        <v>88.293309799072802</v>
      </c>
      <c r="AM1532">
        <v>99.175555847168994</v>
      </c>
      <c r="AN1532">
        <v>1.00000004959154</v>
      </c>
    </row>
    <row r="1533" spans="1:40" x14ac:dyDescent="0.3">
      <c r="A1533" t="str">
        <f>"20200111153902465"</f>
        <v>20200111153902465</v>
      </c>
      <c r="B1533" t="str">
        <f>"1578728342462237"</f>
        <v>1578728342462237</v>
      </c>
      <c r="C1533" t="s">
        <v>40</v>
      </c>
      <c r="D1533">
        <v>4.9388310000000004</v>
      </c>
      <c r="E1533">
        <v>0.51456270000000004</v>
      </c>
      <c r="F1533" t="s">
        <v>55</v>
      </c>
      <c r="G1533">
        <v>-463.6103</v>
      </c>
      <c r="H1533" s="1">
        <v>5.1741069999999997E-7</v>
      </c>
      <c r="I1533">
        <v>281.57350000000002</v>
      </c>
      <c r="J1533">
        <v>-444.55180000000001</v>
      </c>
      <c r="K1533">
        <v>1.1031439999999999</v>
      </c>
      <c r="L1533">
        <v>283.61110000000002</v>
      </c>
      <c r="M1533">
        <v>-0.99976350000000003</v>
      </c>
      <c r="N1533">
        <v>0</v>
      </c>
      <c r="O1533">
        <v>1.1334840000000001E-2</v>
      </c>
      <c r="P1533">
        <v>-0.98886229999999997</v>
      </c>
      <c r="Q1533">
        <v>9.1478749999999998E-3</v>
      </c>
      <c r="R1533">
        <v>-0.1485525</v>
      </c>
      <c r="S1533">
        <v>-2.988953</v>
      </c>
      <c r="T1533">
        <v>-0.1691869</v>
      </c>
      <c r="U1533">
        <v>-0.31164550000000002</v>
      </c>
      <c r="V1533">
        <v>-0.15964420000000001</v>
      </c>
      <c r="W1533">
        <v>2.8094709999999998E-2</v>
      </c>
      <c r="X1533">
        <v>0.9867747</v>
      </c>
      <c r="Y1533">
        <v>-0.1147729</v>
      </c>
      <c r="Z1533">
        <v>-3.876507E-3</v>
      </c>
      <c r="AA1533">
        <v>0.99338419999999905</v>
      </c>
      <c r="AB1533">
        <v>43</v>
      </c>
      <c r="AC1533">
        <v>-19.058499999999899</v>
      </c>
      <c r="AD1533">
        <v>-1.1031434825893001</v>
      </c>
      <c r="AE1533">
        <v>-2.0375999999999901</v>
      </c>
      <c r="AF1533">
        <v>-2.2460912346917601</v>
      </c>
      <c r="AG1533">
        <v>-1.1031434825893001</v>
      </c>
      <c r="AH1533">
        <v>18.971333610184502</v>
      </c>
      <c r="AI1533">
        <v>93.304852761729293</v>
      </c>
      <c r="AJ1533">
        <v>96.752042972835895</v>
      </c>
      <c r="AK1533">
        <v>19.135656516739999</v>
      </c>
      <c r="AL1533">
        <v>88.390079767509604</v>
      </c>
      <c r="AM1533">
        <v>99.189904411754796</v>
      </c>
      <c r="AN1533">
        <v>0.99999994594185504</v>
      </c>
    </row>
    <row r="1534" spans="1:40" x14ac:dyDescent="0.3">
      <c r="A1534" t="str">
        <f>"20200111153902489"</f>
        <v>20200111153902489</v>
      </c>
      <c r="B1534" t="str">
        <f>"1578728342481757"</f>
        <v>1578728342481757</v>
      </c>
      <c r="C1534" t="s">
        <v>40</v>
      </c>
      <c r="D1534">
        <v>4.904096</v>
      </c>
      <c r="E1534">
        <v>0.51412040000000003</v>
      </c>
      <c r="F1534" t="s">
        <v>55</v>
      </c>
      <c r="G1534">
        <v>-463.70339999999999</v>
      </c>
      <c r="H1534" s="1">
        <v>5.6590399999999996E-7</v>
      </c>
      <c r="I1534">
        <v>281.5985</v>
      </c>
      <c r="J1534">
        <v>-445.01850000000002</v>
      </c>
      <c r="K1534">
        <v>1.103111</v>
      </c>
      <c r="L1534">
        <v>283.61770000000001</v>
      </c>
      <c r="M1534">
        <v>-0.99975170000000002</v>
      </c>
      <c r="N1534">
        <v>0</v>
      </c>
      <c r="O1534">
        <v>1.28599E-2</v>
      </c>
      <c r="P1534">
        <v>-0.98901530000000004</v>
      </c>
      <c r="Q1534">
        <v>9.0816879999999992E-3</v>
      </c>
      <c r="R1534">
        <v>-0.14753379999999999</v>
      </c>
      <c r="S1534">
        <v>-2.9881899999999999</v>
      </c>
      <c r="T1534">
        <v>-0.17212089999999999</v>
      </c>
      <c r="U1534">
        <v>-0.31402590000000002</v>
      </c>
      <c r="V1534">
        <v>-0.1601349</v>
      </c>
      <c r="W1534">
        <v>2.7665720000000001E-2</v>
      </c>
      <c r="X1534">
        <v>0.98670729999999995</v>
      </c>
      <c r="Y1534">
        <v>-0.1170833</v>
      </c>
      <c r="Z1534">
        <v>-4.098328E-3</v>
      </c>
      <c r="AA1534">
        <v>0.99311360000000004</v>
      </c>
      <c r="AB1534">
        <v>43</v>
      </c>
      <c r="AC1534">
        <v>-18.684899999999899</v>
      </c>
      <c r="AD1534">
        <v>-1.1031104340959901</v>
      </c>
      <c r="AE1534">
        <v>-2.0192000000000099</v>
      </c>
      <c r="AF1534">
        <v>-2.2516015051413598</v>
      </c>
      <c r="AG1534">
        <v>-1.1031104340959901</v>
      </c>
      <c r="AH1534">
        <v>18.593325722341099</v>
      </c>
      <c r="AI1534">
        <v>93.370713730418302</v>
      </c>
      <c r="AJ1534">
        <v>96.904743402525099</v>
      </c>
      <c r="AK1534">
        <v>18.7616183572963</v>
      </c>
      <c r="AL1534">
        <v>88.414668629812098</v>
      </c>
      <c r="AM1534">
        <v>99.218286191744198</v>
      </c>
      <c r="AN1534">
        <v>0.99999993706720702</v>
      </c>
    </row>
    <row r="1535" spans="1:40" x14ac:dyDescent="0.3">
      <c r="A1535" t="str">
        <f>"20200111153902511"</f>
        <v>20200111153902511</v>
      </c>
      <c r="B1535" t="str">
        <f>"1578728342502253"</f>
        <v>1578728342502253</v>
      </c>
      <c r="C1535" t="s">
        <v>40</v>
      </c>
      <c r="D1535">
        <v>4.9742139999999999</v>
      </c>
      <c r="E1535">
        <v>0.51374220000000004</v>
      </c>
      <c r="F1535" t="s">
        <v>55</v>
      </c>
      <c r="G1535">
        <v>-464.11059999999998</v>
      </c>
      <c r="H1535" s="1">
        <v>7.8207290000000005E-7</v>
      </c>
      <c r="I1535">
        <v>281.61009999999999</v>
      </c>
      <c r="J1535">
        <v>-445.44639999999998</v>
      </c>
      <c r="K1535">
        <v>1.1030960000000001</v>
      </c>
      <c r="L1535">
        <v>283.62439999999998</v>
      </c>
      <c r="M1535">
        <v>-0.99973820000000002</v>
      </c>
      <c r="N1535">
        <v>0</v>
      </c>
      <c r="O1535">
        <v>1.4252030000000001E-2</v>
      </c>
      <c r="P1535">
        <v>-0.98908359999999995</v>
      </c>
      <c r="Q1535">
        <v>8.9528190000000007E-3</v>
      </c>
      <c r="R1535">
        <v>-0.147084299999999</v>
      </c>
      <c r="S1535">
        <v>-2.9880369999999998</v>
      </c>
      <c r="T1535">
        <v>-0.17264379999999999</v>
      </c>
      <c r="U1535">
        <v>-0.31420900000000002</v>
      </c>
      <c r="V1535">
        <v>-0.16106219999999999</v>
      </c>
      <c r="W1535">
        <v>2.725342E-2</v>
      </c>
      <c r="X1535">
        <v>0.98656790000000005</v>
      </c>
      <c r="Y1535">
        <v>-0.11852550000000001</v>
      </c>
      <c r="Z1535">
        <v>-4.2326459999999996E-3</v>
      </c>
      <c r="AA1535">
        <v>0.99294199999999999</v>
      </c>
      <c r="AB1535">
        <v>43</v>
      </c>
      <c r="AC1535">
        <v>-18.664199999999902</v>
      </c>
      <c r="AD1535">
        <v>-1.1030952179271001</v>
      </c>
      <c r="AE1535">
        <v>-2.0142999999999902</v>
      </c>
      <c r="AF1535">
        <v>-2.2722948154568199</v>
      </c>
      <c r="AG1535">
        <v>-1.1030952179271001</v>
      </c>
      <c r="AH1535">
        <v>18.5694736326654</v>
      </c>
      <c r="AI1535">
        <v>93.374473996827206</v>
      </c>
      <c r="AJ1535">
        <v>96.976441930625199</v>
      </c>
      <c r="AK1535">
        <v>18.740477416075102</v>
      </c>
      <c r="AL1535">
        <v>88.438300692865894</v>
      </c>
      <c r="AM1535">
        <v>99.272029862159599</v>
      </c>
      <c r="AN1535">
        <v>1.0000000012404699</v>
      </c>
    </row>
    <row r="1536" spans="1:40" x14ac:dyDescent="0.3">
      <c r="A1536" t="str">
        <f>"20200111153902532"</f>
        <v>20200111153902532</v>
      </c>
      <c r="B1536" t="str">
        <f>"1578728342522280"</f>
        <v>1578728342522280</v>
      </c>
      <c r="C1536" t="s">
        <v>40</v>
      </c>
      <c r="D1536">
        <v>4.9480279999999999</v>
      </c>
      <c r="E1536">
        <v>0.51334299999999999</v>
      </c>
      <c r="F1536" t="s">
        <v>55</v>
      </c>
      <c r="G1536">
        <v>-464.51080000000002</v>
      </c>
      <c r="H1536" s="1">
        <v>9.9514180000000002E-7</v>
      </c>
      <c r="I1536">
        <v>281.60840000000002</v>
      </c>
      <c r="J1536">
        <v>-445.83440000000002</v>
      </c>
      <c r="K1536">
        <v>1.1031</v>
      </c>
      <c r="L1536">
        <v>283.63099999999997</v>
      </c>
      <c r="M1536">
        <v>-0.99972329999999998</v>
      </c>
      <c r="N1536">
        <v>0</v>
      </c>
      <c r="O1536">
        <v>1.550727E-2</v>
      </c>
      <c r="P1536">
        <v>-0.98910160000000003</v>
      </c>
      <c r="Q1536">
        <v>9.3464519999999999E-3</v>
      </c>
      <c r="R1536">
        <v>-0.14693729999999999</v>
      </c>
      <c r="S1536">
        <v>-2.9877009999999999</v>
      </c>
      <c r="T1536">
        <v>-0.1728729</v>
      </c>
      <c r="U1536">
        <v>-0.31594850000000002</v>
      </c>
      <c r="V1536">
        <v>-0.16215450000000001</v>
      </c>
      <c r="W1536">
        <v>2.7436459999999999E-2</v>
      </c>
      <c r="X1536">
        <v>0.98638389999999998</v>
      </c>
      <c r="Y1536">
        <v>-0.120349499999999</v>
      </c>
      <c r="Z1536">
        <v>-4.3635790000000002E-3</v>
      </c>
      <c r="AA1536">
        <v>0.99272199999999999</v>
      </c>
      <c r="AB1536">
        <v>43</v>
      </c>
      <c r="AC1536">
        <v>-18.676400000000001</v>
      </c>
      <c r="AD1536">
        <v>-1.1030990048581999</v>
      </c>
      <c r="AE1536">
        <v>-2.02259999999995</v>
      </c>
      <c r="AF1536">
        <v>-2.3040773387781202</v>
      </c>
      <c r="AG1536">
        <v>-1.1030990048581999</v>
      </c>
      <c r="AH1536">
        <v>18.578722509463802</v>
      </c>
      <c r="AI1536">
        <v>93.372135929701003</v>
      </c>
      <c r="AJ1536">
        <v>97.069554117988403</v>
      </c>
      <c r="AK1536">
        <v>18.753520466335001</v>
      </c>
      <c r="AL1536">
        <v>88.427809379238994</v>
      </c>
      <c r="AM1536">
        <v>99.335518876896103</v>
      </c>
      <c r="AN1536">
        <v>1.00000001969339</v>
      </c>
    </row>
    <row r="1537" spans="1:40" x14ac:dyDescent="0.3">
      <c r="A1537" t="str">
        <f>"20200111153902554"</f>
        <v>20200111153902554</v>
      </c>
      <c r="B1537" t="str">
        <f>"1578728342542776"</f>
        <v>1578728342542776</v>
      </c>
      <c r="C1537" t="s">
        <v>40</v>
      </c>
      <c r="D1537">
        <v>4.9857079999999998</v>
      </c>
      <c r="E1537">
        <v>0.51308229999999999</v>
      </c>
      <c r="F1537" t="s">
        <v>55</v>
      </c>
      <c r="G1537">
        <v>-465.01600000000002</v>
      </c>
      <c r="H1537" s="1">
        <v>1.264979E-6</v>
      </c>
      <c r="I1537">
        <v>281.58519999999999</v>
      </c>
      <c r="J1537">
        <v>-446.26100000000002</v>
      </c>
      <c r="K1537">
        <v>1.103118</v>
      </c>
      <c r="L1537">
        <v>283.6388</v>
      </c>
      <c r="M1537">
        <v>-0.99970440000000005</v>
      </c>
      <c r="N1537">
        <v>0</v>
      </c>
      <c r="O1537">
        <v>1.687868E-2</v>
      </c>
      <c r="P1537">
        <v>-0.98917160000000004</v>
      </c>
      <c r="Q1537">
        <v>1.011506E-2</v>
      </c>
      <c r="R1537">
        <v>-0.14641609999999999</v>
      </c>
      <c r="S1537">
        <v>-2.9873349999999999</v>
      </c>
      <c r="T1537">
        <v>-0.1717957</v>
      </c>
      <c r="U1537">
        <v>-0.31860349999999998</v>
      </c>
      <c r="V1537">
        <v>-0.1629862</v>
      </c>
      <c r="W1537">
        <v>2.8017029999999998E-2</v>
      </c>
      <c r="X1537">
        <v>0.98623050000000001</v>
      </c>
      <c r="Y1537">
        <v>-0.12259299999999999</v>
      </c>
      <c r="Z1537">
        <v>-4.4796480000000001E-3</v>
      </c>
      <c r="AA1537">
        <v>0.99244690000000002</v>
      </c>
      <c r="AB1537">
        <v>43</v>
      </c>
      <c r="AC1537">
        <v>-18.7549999999999</v>
      </c>
      <c r="AD1537">
        <v>-1.103116735021</v>
      </c>
      <c r="AE1537">
        <v>-2.0536000000000101</v>
      </c>
      <c r="AF1537">
        <v>-2.3618415835638</v>
      </c>
      <c r="AG1537">
        <v>-1.103116735021</v>
      </c>
      <c r="AH1537">
        <v>18.653892143165201</v>
      </c>
      <c r="AI1537">
        <v>93.357558791760496</v>
      </c>
      <c r="AJ1537">
        <v>97.216043876322402</v>
      </c>
      <c r="AK1537">
        <v>18.835149436247502</v>
      </c>
      <c r="AL1537">
        <v>88.394532387161405</v>
      </c>
      <c r="AM1537">
        <v>99.3839854012692</v>
      </c>
      <c r="AN1537">
        <v>1.00000002724535</v>
      </c>
    </row>
    <row r="1538" spans="1:40" x14ac:dyDescent="0.3">
      <c r="A1538" t="str">
        <f>"20200111153902576"</f>
        <v>20200111153902576</v>
      </c>
      <c r="B1538" t="str">
        <f>"1578728342572056"</f>
        <v>1578728342572056</v>
      </c>
      <c r="C1538" t="s">
        <v>40</v>
      </c>
      <c r="D1538">
        <v>4.9765569999999997</v>
      </c>
      <c r="E1538">
        <v>0.51261899999999905</v>
      </c>
      <c r="F1538" t="s">
        <v>55</v>
      </c>
      <c r="G1538">
        <v>-465.90550000000002</v>
      </c>
      <c r="H1538" s="1">
        <v>1.740344E-6</v>
      </c>
      <c r="I1538">
        <v>281.53899999999999</v>
      </c>
      <c r="J1538">
        <v>-446.68509999999998</v>
      </c>
      <c r="K1538">
        <v>1.1031439999999999</v>
      </c>
      <c r="L1538">
        <v>283.64710000000002</v>
      </c>
      <c r="M1538">
        <v>-0.99968310000000005</v>
      </c>
      <c r="N1538">
        <v>0</v>
      </c>
      <c r="O1538">
        <v>1.8223980000000001E-2</v>
      </c>
      <c r="P1538">
        <v>-0.98924719999999999</v>
      </c>
      <c r="Q1538">
        <v>1.1498909999999999E-2</v>
      </c>
      <c r="R1538">
        <v>-0.14580129999999999</v>
      </c>
      <c r="S1538">
        <v>-2.9872740000000002</v>
      </c>
      <c r="T1538">
        <v>-0.16774729999999999</v>
      </c>
      <c r="U1538">
        <v>-0.31930540000000002</v>
      </c>
      <c r="V1538">
        <v>-0.16369610000000001</v>
      </c>
      <c r="W1538">
        <v>2.9262E-2</v>
      </c>
      <c r="X1538">
        <v>0.98607670000000003</v>
      </c>
      <c r="Y1538">
        <v>-0.1241671</v>
      </c>
      <c r="Z1538">
        <v>-4.4936289999999999E-3</v>
      </c>
      <c r="AA1538">
        <v>0.9922512</v>
      </c>
      <c r="AB1538">
        <v>43</v>
      </c>
      <c r="AC1538">
        <v>-19.220400000000001</v>
      </c>
      <c r="AD1538">
        <v>-1.1031422596559901</v>
      </c>
      <c r="AE1538">
        <v>-2.1081000000000301</v>
      </c>
      <c r="AF1538">
        <v>-2.4500998535643901</v>
      </c>
      <c r="AG1538">
        <v>-1.1031422596559901</v>
      </c>
      <c r="AH1538">
        <v>19.116559797980699</v>
      </c>
      <c r="AI1538">
        <v>93.275916300699905</v>
      </c>
      <c r="AJ1538">
        <v>97.3035740946912</v>
      </c>
      <c r="AK1538">
        <v>19.304475404611399</v>
      </c>
      <c r="AL1538">
        <v>88.323171486713704</v>
      </c>
      <c r="AM1538">
        <v>99.425569988509295</v>
      </c>
      <c r="AN1538">
        <v>0.99999996804104896</v>
      </c>
    </row>
    <row r="1539" spans="1:40" x14ac:dyDescent="0.3">
      <c r="A1539" t="str">
        <f>"20200111153902599"</f>
        <v>20200111153902599</v>
      </c>
      <c r="B1539" t="str">
        <f>"1578728342592552"</f>
        <v>1578728342592552</v>
      </c>
      <c r="C1539" t="s">
        <v>40</v>
      </c>
      <c r="D1539">
        <v>4.938631</v>
      </c>
      <c r="E1539">
        <v>0.51235839999999999</v>
      </c>
      <c r="F1539" t="s">
        <v>55</v>
      </c>
      <c r="G1539">
        <v>-467.05549999999999</v>
      </c>
      <c r="H1539" s="1">
        <v>2.3559729999999999E-6</v>
      </c>
      <c r="I1539">
        <v>281.45499999999998</v>
      </c>
      <c r="J1539">
        <v>-447.12040000000002</v>
      </c>
      <c r="K1539">
        <v>1.1031740000000001</v>
      </c>
      <c r="L1539">
        <v>283.65629999999999</v>
      </c>
      <c r="M1539">
        <v>-0.99965919999999997</v>
      </c>
      <c r="N1539">
        <v>0</v>
      </c>
      <c r="O1539">
        <v>1.9585809999999999E-2</v>
      </c>
      <c r="P1539">
        <v>-0.98947260000000004</v>
      </c>
      <c r="Q1539">
        <v>1.2210469999999999E-2</v>
      </c>
      <c r="R1539">
        <v>-0.14420569999999999</v>
      </c>
      <c r="S1539">
        <v>-2.9870909999999999</v>
      </c>
      <c r="T1539">
        <v>-0.1617632</v>
      </c>
      <c r="U1539">
        <v>-0.3214417</v>
      </c>
      <c r="V1539">
        <v>-0.16344729999999999</v>
      </c>
      <c r="W1539">
        <v>2.986256E-2</v>
      </c>
      <c r="X1539">
        <v>0.98609999999999998</v>
      </c>
      <c r="Y1539">
        <v>-0.12623699999999999</v>
      </c>
      <c r="Z1539">
        <v>-4.463028E-3</v>
      </c>
      <c r="AA1539">
        <v>0.99199009999999999</v>
      </c>
      <c r="AB1539">
        <v>42</v>
      </c>
      <c r="AC1539">
        <v>-19.935099999999899</v>
      </c>
      <c r="AD1539">
        <v>-1.1031716440270001</v>
      </c>
      <c r="AE1539">
        <v>-2.2012999999999998</v>
      </c>
      <c r="AF1539">
        <v>-2.5835644953557502</v>
      </c>
      <c r="AG1539">
        <v>-1.1031716440270001</v>
      </c>
      <c r="AH1539">
        <v>19.828165678107698</v>
      </c>
      <c r="AI1539">
        <v>93.157820678272401</v>
      </c>
      <c r="AJ1539">
        <v>97.423685290426107</v>
      </c>
      <c r="AK1539">
        <v>20.026181546573799</v>
      </c>
      <c r="AL1539">
        <v>88.288746942875804</v>
      </c>
      <c r="AM1539">
        <v>99.411282256590894</v>
      </c>
      <c r="AN1539">
        <v>1.0000000011835199</v>
      </c>
    </row>
    <row r="1540" spans="1:40" x14ac:dyDescent="0.3">
      <c r="A1540" t="str">
        <f>"20200111153902643"</f>
        <v>20200111153902643</v>
      </c>
      <c r="B1540" t="str">
        <f>"1578728342632099"</f>
        <v>1578728342632099</v>
      </c>
      <c r="C1540" t="s">
        <v>40</v>
      </c>
      <c r="D1540">
        <v>4.9914740000000002</v>
      </c>
      <c r="E1540">
        <v>0.51174439999999999</v>
      </c>
      <c r="F1540" t="s">
        <v>55</v>
      </c>
      <c r="G1540">
        <v>-468.03829999999999</v>
      </c>
      <c r="H1540" s="1">
        <v>2.8803499999999999E-6</v>
      </c>
      <c r="I1540">
        <v>281.42349999999999</v>
      </c>
      <c r="J1540">
        <v>-447.95370000000003</v>
      </c>
      <c r="K1540">
        <v>1.103224</v>
      </c>
      <c r="L1540">
        <v>283.6755</v>
      </c>
      <c r="M1540">
        <v>-0.99960850000000001</v>
      </c>
      <c r="N1540">
        <v>0</v>
      </c>
      <c r="O1540">
        <v>2.2135829999999999E-2</v>
      </c>
      <c r="P1540">
        <v>-0.98987519999999996</v>
      </c>
      <c r="Q1540">
        <v>1.2406189999999999E-2</v>
      </c>
      <c r="R1540">
        <v>-0.14139860000000001</v>
      </c>
      <c r="S1540">
        <v>-2.9873959999999999</v>
      </c>
      <c r="T1540">
        <v>-0.15754969999999999</v>
      </c>
      <c r="U1540">
        <v>-0.3188782</v>
      </c>
      <c r="V1540">
        <v>-0.1631678</v>
      </c>
      <c r="W1540">
        <v>2.9906410000000001E-2</v>
      </c>
      <c r="X1540">
        <v>0.98614500000000005</v>
      </c>
      <c r="Y1540">
        <v>-0.127919899999999</v>
      </c>
      <c r="Z1540">
        <v>-4.5249959999999999E-3</v>
      </c>
      <c r="AA1540">
        <v>0.99177420000000005</v>
      </c>
      <c r="AB1540">
        <v>42</v>
      </c>
      <c r="AC1540">
        <v>-20.084599999999899</v>
      </c>
      <c r="AD1540">
        <v>-1.1032211196499999</v>
      </c>
      <c r="AE1540">
        <v>-2.2519999999999998</v>
      </c>
      <c r="AF1540">
        <v>-2.6880927271354902</v>
      </c>
      <c r="AG1540">
        <v>-1.1032211196499999</v>
      </c>
      <c r="AH1540">
        <v>19.970314510909098</v>
      </c>
      <c r="AI1540">
        <v>93.133774875560505</v>
      </c>
      <c r="AJ1540">
        <v>97.666187569131793</v>
      </c>
      <c r="AK1540">
        <v>20.180594664507499</v>
      </c>
      <c r="AL1540">
        <v>88.286233471415997</v>
      </c>
      <c r="AM1540">
        <v>99.395054773371101</v>
      </c>
      <c r="AN1540">
        <v>1.0000000426704601</v>
      </c>
    </row>
    <row r="1541" spans="1:40" x14ac:dyDescent="0.3">
      <c r="A1541" t="str">
        <f>"20200111153902666"</f>
        <v>20200111153902666</v>
      </c>
      <c r="B1541" t="str">
        <f>"1578728342662356"</f>
        <v>1578728342662356</v>
      </c>
      <c r="C1541" t="s">
        <v>40</v>
      </c>
      <c r="D1541">
        <v>4.9739519999999997</v>
      </c>
      <c r="E1541">
        <v>0.51122900000000004</v>
      </c>
      <c r="F1541" t="s">
        <v>55</v>
      </c>
      <c r="G1541">
        <v>-469.00389999999999</v>
      </c>
      <c r="H1541" s="1">
        <v>3.3929280000000001E-6</v>
      </c>
      <c r="I1541">
        <v>281.45319999999998</v>
      </c>
      <c r="J1541">
        <v>-448.38400000000001</v>
      </c>
      <c r="K1541">
        <v>1.103248</v>
      </c>
      <c r="L1541">
        <v>283.68619999999999</v>
      </c>
      <c r="M1541">
        <v>-0.99957980000000002</v>
      </c>
      <c r="N1541">
        <v>0</v>
      </c>
      <c r="O1541">
        <v>2.342174E-2</v>
      </c>
      <c r="P1541">
        <v>-0.99009789999999998</v>
      </c>
      <c r="Q1541">
        <v>1.1829620000000001E-2</v>
      </c>
      <c r="R1541">
        <v>-0.13988020000000001</v>
      </c>
      <c r="S1541">
        <v>-2.9876100000000001</v>
      </c>
      <c r="T1541">
        <v>-0.1565772</v>
      </c>
      <c r="U1541">
        <v>-0.31539919999999999</v>
      </c>
      <c r="V1541">
        <v>-0.16292809999999999</v>
      </c>
      <c r="W1541">
        <v>2.92825E-2</v>
      </c>
      <c r="X1541">
        <v>0.9862033</v>
      </c>
      <c r="Y1541">
        <v>-0.12804679999999999</v>
      </c>
      <c r="Z1541">
        <v>-4.567565E-3</v>
      </c>
      <c r="AA1541">
        <v>0.99175760000000002</v>
      </c>
      <c r="AB1541">
        <v>42</v>
      </c>
      <c r="AC1541">
        <v>-20.619899999999902</v>
      </c>
      <c r="AD1541">
        <v>-1.1032446070719999</v>
      </c>
      <c r="AE1541">
        <v>-2.2330000000000001</v>
      </c>
      <c r="AF1541">
        <v>-2.7077500968747601</v>
      </c>
      <c r="AG1541">
        <v>-1.1032446070719999</v>
      </c>
      <c r="AH1541">
        <v>20.503917917266701</v>
      </c>
      <c r="AI1541">
        <v>93.053456866339303</v>
      </c>
      <c r="AJ1541">
        <v>97.522956578665003</v>
      </c>
      <c r="AK1541">
        <v>20.71134252549</v>
      </c>
      <c r="AL1541">
        <v>88.321996456095306</v>
      </c>
      <c r="AM1541">
        <v>99.3809538691456</v>
      </c>
      <c r="AN1541">
        <v>0.99999998975337501</v>
      </c>
    </row>
    <row r="1542" spans="1:40" x14ac:dyDescent="0.3">
      <c r="A1542" t="str">
        <f>"20200111153902688"</f>
        <v>20200111153902688</v>
      </c>
      <c r="B1542" t="str">
        <f>"1578728342681876"</f>
        <v>1578728342681876</v>
      </c>
      <c r="C1542" t="s">
        <v>40</v>
      </c>
      <c r="D1542">
        <v>5.0207920000000001</v>
      </c>
      <c r="E1542">
        <v>0.51072859999999998</v>
      </c>
      <c r="F1542" t="s">
        <v>55</v>
      </c>
      <c r="G1542">
        <v>-469.0521</v>
      </c>
      <c r="H1542" s="1">
        <v>3.4161179999999999E-6</v>
      </c>
      <c r="I1542">
        <v>281.50880000000001</v>
      </c>
      <c r="J1542">
        <v>-448.7971</v>
      </c>
      <c r="K1542">
        <v>1.1032709999999999</v>
      </c>
      <c r="L1542">
        <v>283.697</v>
      </c>
      <c r="M1542">
        <v>-0.99955099999999997</v>
      </c>
      <c r="N1542">
        <v>0</v>
      </c>
      <c r="O1542">
        <v>2.463767E-2</v>
      </c>
      <c r="P1542">
        <v>-0.99022779999999999</v>
      </c>
      <c r="Q1542">
        <v>1.200815E-2</v>
      </c>
      <c r="R1542">
        <v>-0.13894239999999999</v>
      </c>
      <c r="S1542">
        <v>-2.9874269999999998</v>
      </c>
      <c r="T1542">
        <v>-0.15946640000000001</v>
      </c>
      <c r="U1542">
        <v>-0.3147278</v>
      </c>
      <c r="V1542">
        <v>-0.16319500000000001</v>
      </c>
      <c r="W1542">
        <v>2.9429790000000001E-2</v>
      </c>
      <c r="X1542">
        <v>0.9861548</v>
      </c>
      <c r="Y1542">
        <v>-0.12902830000000001</v>
      </c>
      <c r="Z1542">
        <v>-4.7428879999999998E-3</v>
      </c>
      <c r="AA1542">
        <v>0.99162950000000005</v>
      </c>
      <c r="AB1542">
        <v>42</v>
      </c>
      <c r="AC1542">
        <v>-20.2549999999999</v>
      </c>
      <c r="AD1542">
        <v>-1.1032675838820001</v>
      </c>
      <c r="AE1542">
        <v>-2.1881999999999899</v>
      </c>
      <c r="AF1542">
        <v>-2.6787882423395</v>
      </c>
      <c r="AG1542">
        <v>-1.1032675838820001</v>
      </c>
      <c r="AH1542">
        <v>20.135878579060599</v>
      </c>
      <c r="AI1542">
        <v>93.108829152601501</v>
      </c>
      <c r="AJ1542">
        <v>97.577880576416803</v>
      </c>
      <c r="AK1542">
        <v>20.343222752543699</v>
      </c>
      <c r="AL1542">
        <v>88.313553747776695</v>
      </c>
      <c r="AM1542">
        <v>99.396501281041793</v>
      </c>
      <c r="AN1542">
        <v>1.0000000050637401</v>
      </c>
    </row>
    <row r="1543" spans="1:40" x14ac:dyDescent="0.3">
      <c r="A1543" t="str">
        <f>"20200111153902712"</f>
        <v>20200111153902712</v>
      </c>
      <c r="B1543" t="str">
        <f>"1578728342702372"</f>
        <v>1578728342702372</v>
      </c>
      <c r="C1543" t="s">
        <v>40</v>
      </c>
      <c r="D1543">
        <v>4.9884510000000004</v>
      </c>
      <c r="E1543">
        <v>0.51058559999999997</v>
      </c>
      <c r="F1543" t="s">
        <v>55</v>
      </c>
      <c r="G1543">
        <v>-469.1216</v>
      </c>
      <c r="H1543" s="1">
        <v>3.4512999999999999E-6</v>
      </c>
      <c r="I1543">
        <v>281.54989999999998</v>
      </c>
      <c r="J1543">
        <v>-449.23649999999998</v>
      </c>
      <c r="K1543">
        <v>1.1033040000000001</v>
      </c>
      <c r="L1543">
        <v>283.709</v>
      </c>
      <c r="M1543">
        <v>-0.99951909999999999</v>
      </c>
      <c r="N1543">
        <v>0</v>
      </c>
      <c r="O1543">
        <v>2.5911380000000001E-2</v>
      </c>
      <c r="P1543">
        <v>-0.99036500000000005</v>
      </c>
      <c r="Q1543">
        <v>1.2012810000000001E-2</v>
      </c>
      <c r="R1543">
        <v>-0.13796169999999999</v>
      </c>
      <c r="S1543">
        <v>-2.9873050000000001</v>
      </c>
      <c r="T1543">
        <v>-0.16215869999999999</v>
      </c>
      <c r="U1543">
        <v>-0.31558229999999998</v>
      </c>
      <c r="V1543">
        <v>-0.16347629999999999</v>
      </c>
      <c r="W1543">
        <v>2.9408340000000002E-2</v>
      </c>
      <c r="X1543">
        <v>0.98610880000000001</v>
      </c>
      <c r="Y1543">
        <v>-0.13056499999999999</v>
      </c>
      <c r="Z1543">
        <v>-4.9334720000000004E-3</v>
      </c>
      <c r="AA1543">
        <v>0.99142750000000002</v>
      </c>
      <c r="AB1543">
        <v>42</v>
      </c>
      <c r="AC1543">
        <v>-19.885100000000001</v>
      </c>
      <c r="AD1543">
        <v>-1.1033005487</v>
      </c>
      <c r="AE1543">
        <v>-2.15910000000002</v>
      </c>
      <c r="AF1543">
        <v>-2.6655897419730299</v>
      </c>
      <c r="AG1543">
        <v>-1.1033005487</v>
      </c>
      <c r="AH1543">
        <v>19.762339638448701</v>
      </c>
      <c r="AI1543">
        <v>93.166798628549003</v>
      </c>
      <c r="AJ1543">
        <v>97.681824424626498</v>
      </c>
      <c r="AK1543">
        <v>19.971797834914</v>
      </c>
      <c r="AL1543">
        <v>88.3147831955595</v>
      </c>
      <c r="AM1543">
        <v>99.412839695652096</v>
      </c>
      <c r="AN1543">
        <v>0.99999995828034105</v>
      </c>
    </row>
    <row r="1544" spans="1:40" x14ac:dyDescent="0.3">
      <c r="A1544" t="str">
        <f>"20200111153902734"</f>
        <v>20200111153902734</v>
      </c>
      <c r="B1544" t="str">
        <f>"1578728342722401"</f>
        <v>1578728342722401</v>
      </c>
      <c r="C1544" t="s">
        <v>40</v>
      </c>
      <c r="D1544">
        <v>4.9857189999999996</v>
      </c>
      <c r="E1544">
        <v>0.50198100000000001</v>
      </c>
      <c r="F1544" t="s">
        <v>55</v>
      </c>
      <c r="G1544">
        <v>-469.5027</v>
      </c>
      <c r="H1544" s="1">
        <v>3.652724E-6</v>
      </c>
      <c r="I1544">
        <v>281.58210000000003</v>
      </c>
      <c r="J1544">
        <v>-449.65949999999998</v>
      </c>
      <c r="K1544">
        <v>1.103329</v>
      </c>
      <c r="L1544">
        <v>283.721</v>
      </c>
      <c r="M1544">
        <v>-0.99948720000000002</v>
      </c>
      <c r="N1544">
        <v>0</v>
      </c>
      <c r="O1544">
        <v>2.7120209999999999E-2</v>
      </c>
      <c r="P1544">
        <v>-0.99048230000000004</v>
      </c>
      <c r="Q1544">
        <v>1.2153600000000001E-2</v>
      </c>
      <c r="R1544">
        <v>-0.13710359999999999</v>
      </c>
      <c r="S1544">
        <v>-2.987549</v>
      </c>
      <c r="T1544">
        <v>-0.16264319999999999</v>
      </c>
      <c r="U1544">
        <v>-0.31353760000000003</v>
      </c>
      <c r="V1544">
        <v>-0.16381609999999999</v>
      </c>
      <c r="W1544">
        <v>2.953035E-2</v>
      </c>
      <c r="X1544">
        <v>0.98604879999999995</v>
      </c>
      <c r="Y1544">
        <v>-0.13108059999999999</v>
      </c>
      <c r="Z1544">
        <v>-5.027564E-3</v>
      </c>
      <c r="AA1544">
        <v>0.99135899999999999</v>
      </c>
      <c r="AB1544">
        <v>42</v>
      </c>
      <c r="AC1544">
        <v>-19.8432</v>
      </c>
      <c r="AD1544">
        <v>-1.1033253472759901</v>
      </c>
      <c r="AE1544">
        <v>-2.1388999999999698</v>
      </c>
      <c r="AF1544">
        <v>-2.6681885560722098</v>
      </c>
      <c r="AG1544">
        <v>-1.1033253472759901</v>
      </c>
      <c r="AH1544">
        <v>19.7176243784996</v>
      </c>
      <c r="AI1544">
        <v>93.173852823142298</v>
      </c>
      <c r="AJ1544">
        <v>97.706452417117305</v>
      </c>
      <c r="AK1544">
        <v>19.927901749163102</v>
      </c>
      <c r="AL1544">
        <v>88.307789563728093</v>
      </c>
      <c r="AM1544">
        <v>99.432617519677095</v>
      </c>
      <c r="AN1544">
        <v>0.99999999608588597</v>
      </c>
    </row>
    <row r="1545" spans="1:40" x14ac:dyDescent="0.3">
      <c r="A1545" t="str">
        <f>"20200111153902757"</f>
        <v>20200111153902757</v>
      </c>
      <c r="B1545" t="str">
        <f>"1578728342752656"</f>
        <v>1578728342752656</v>
      </c>
      <c r="C1545" t="s">
        <v>40</v>
      </c>
      <c r="D1545">
        <v>5.0138720000000001</v>
      </c>
      <c r="E1545">
        <v>0.5024575</v>
      </c>
      <c r="F1545" t="s">
        <v>55</v>
      </c>
      <c r="G1545">
        <v>-466.4923</v>
      </c>
      <c r="H1545" s="1">
        <v>2.0502229999999999E-6</v>
      </c>
      <c r="I1545">
        <v>281.59300000000002</v>
      </c>
      <c r="J1545">
        <v>-450.08</v>
      </c>
      <c r="K1545">
        <v>1.103359</v>
      </c>
      <c r="L1545">
        <v>283.73349999999999</v>
      </c>
      <c r="M1545">
        <v>-0.99945430000000002</v>
      </c>
      <c r="N1545">
        <v>0</v>
      </c>
      <c r="O1545">
        <v>2.8308659999999999E-2</v>
      </c>
      <c r="P1545">
        <v>-0.99058740000000001</v>
      </c>
      <c r="Q1545">
        <v>1.178355E-2</v>
      </c>
      <c r="R1545">
        <v>-0.13637560000000001</v>
      </c>
      <c r="S1545">
        <v>-2.979095</v>
      </c>
      <c r="T1545">
        <v>-0.19526879999999999</v>
      </c>
      <c r="U1545">
        <v>-0.37661739999999999</v>
      </c>
      <c r="V1545">
        <v>-0.164267</v>
      </c>
      <c r="W1545">
        <v>2.9145709999999998E-2</v>
      </c>
      <c r="X1545">
        <v>0.98598520000000001</v>
      </c>
      <c r="Y1545">
        <v>-0.1530772</v>
      </c>
      <c r="Z1545">
        <v>-6.8387669999999999E-3</v>
      </c>
      <c r="AA1545">
        <v>0.98819060000000003</v>
      </c>
      <c r="AB1545">
        <v>42</v>
      </c>
      <c r="AC1545">
        <v>-16.412299999999998</v>
      </c>
      <c r="AD1545">
        <v>-1.1033569497769999</v>
      </c>
      <c r="AE1545">
        <v>-2.1404999999999701</v>
      </c>
      <c r="AF1545">
        <v>-2.5927972066213498</v>
      </c>
      <c r="AG1545">
        <v>-1.1033569497769999</v>
      </c>
      <c r="AH1545">
        <v>16.272801711535799</v>
      </c>
      <c r="AI1545">
        <v>93.830757134671401</v>
      </c>
      <c r="AJ1545">
        <v>99.053020608822493</v>
      </c>
      <c r="AK1545">
        <v>16.5149650152898</v>
      </c>
      <c r="AL1545">
        <v>88.329837254765394</v>
      </c>
      <c r="AM1545">
        <v>99.458711171974002</v>
      </c>
      <c r="AN1545">
        <v>0.99999996715972095</v>
      </c>
    </row>
    <row r="1546" spans="1:40" x14ac:dyDescent="0.3">
      <c r="A1546" t="str">
        <f>"20200111153902778"</f>
        <v>20200111153902778</v>
      </c>
      <c r="B1546" t="str">
        <f>"1578728342772175"</f>
        <v>1578728342772175</v>
      </c>
      <c r="C1546" t="s">
        <v>40</v>
      </c>
      <c r="D1546">
        <v>5.0137919999999996</v>
      </c>
      <c r="E1546">
        <v>0.50247379999999997</v>
      </c>
      <c r="F1546" t="s">
        <v>55</v>
      </c>
      <c r="G1546">
        <v>-466.1431</v>
      </c>
      <c r="H1546" s="1">
        <v>1.8580090000000001E-6</v>
      </c>
      <c r="I1546">
        <v>281.74009999999998</v>
      </c>
      <c r="J1546">
        <v>-450.47750000000002</v>
      </c>
      <c r="K1546">
        <v>1.103378</v>
      </c>
      <c r="L1546">
        <v>283.74590000000001</v>
      </c>
      <c r="M1546">
        <v>-0.99942209999999998</v>
      </c>
      <c r="N1546">
        <v>0</v>
      </c>
      <c r="O1546">
        <v>2.942355E-2</v>
      </c>
      <c r="P1546">
        <v>-0.99068630000000002</v>
      </c>
      <c r="Q1546">
        <v>1.2214610000000001E-2</v>
      </c>
      <c r="R1546">
        <v>-0.13561609999999999</v>
      </c>
      <c r="S1546">
        <v>-2.9799799999999999</v>
      </c>
      <c r="T1546">
        <v>-0.2046914</v>
      </c>
      <c r="U1546">
        <v>-0.36981199999999997</v>
      </c>
      <c r="V1546">
        <v>-0.16461099999999901</v>
      </c>
      <c r="W1546">
        <v>2.956657E-2</v>
      </c>
      <c r="X1546">
        <v>0.98591530000000005</v>
      </c>
      <c r="Y1546">
        <v>-0.1518835</v>
      </c>
      <c r="Z1546">
        <v>-7.202366E-3</v>
      </c>
      <c r="AA1546">
        <v>0.98837209999999998</v>
      </c>
      <c r="AB1546">
        <v>42</v>
      </c>
      <c r="AC1546">
        <v>-15.6655999999999</v>
      </c>
      <c r="AD1546">
        <v>-1.103376141991</v>
      </c>
      <c r="AE1546">
        <v>-2.0058000000000198</v>
      </c>
      <c r="AF1546">
        <v>-2.4539583733949799</v>
      </c>
      <c r="AG1546">
        <v>-1.103376141991</v>
      </c>
      <c r="AH1546">
        <v>15.524019402389399</v>
      </c>
      <c r="AI1546">
        <v>94.015787815480806</v>
      </c>
      <c r="AJ1546">
        <v>98.982699845848103</v>
      </c>
      <c r="AK1546">
        <v>15.7554602920649</v>
      </c>
      <c r="AL1546">
        <v>88.305713361646198</v>
      </c>
      <c r="AM1546">
        <v>99.478819909087704</v>
      </c>
      <c r="AN1546">
        <v>0.99999997107832705</v>
      </c>
    </row>
    <row r="1547" spans="1:40" x14ac:dyDescent="0.3">
      <c r="A1547" t="str">
        <f>"20200111153902800"</f>
        <v>20200111153902800</v>
      </c>
      <c r="B1547" t="str">
        <f>"1578728342791696"</f>
        <v>1578728342791696</v>
      </c>
      <c r="C1547" t="s">
        <v>40</v>
      </c>
      <c r="D1547">
        <v>4.989611</v>
      </c>
      <c r="E1547">
        <v>0.50226660000000001</v>
      </c>
      <c r="F1547" t="s">
        <v>55</v>
      </c>
      <c r="G1547">
        <v>-466.52140000000003</v>
      </c>
      <c r="H1547" s="1">
        <v>2.0580219999999998E-6</v>
      </c>
      <c r="I1547">
        <v>281.7697</v>
      </c>
      <c r="J1547">
        <v>-450.88850000000002</v>
      </c>
      <c r="K1547">
        <v>1.1033959999999901</v>
      </c>
      <c r="L1547">
        <v>283.75909999999999</v>
      </c>
      <c r="M1547">
        <v>-0.99938769999999999</v>
      </c>
      <c r="N1547">
        <v>0</v>
      </c>
      <c r="O1547">
        <v>3.0571299999999999E-2</v>
      </c>
      <c r="P1547">
        <v>-0.99080190000000001</v>
      </c>
      <c r="Q1547">
        <v>1.2778869999999999E-2</v>
      </c>
      <c r="R1547">
        <v>-0.1347169</v>
      </c>
      <c r="S1547">
        <v>-2.980499</v>
      </c>
      <c r="T1547">
        <v>-0.20497560000000001</v>
      </c>
      <c r="U1547">
        <v>-0.36712650000000002</v>
      </c>
      <c r="V1547">
        <v>-0.16484799999999999</v>
      </c>
      <c r="W1547">
        <v>3.012184E-2</v>
      </c>
      <c r="X1547">
        <v>0.98585889999999998</v>
      </c>
      <c r="Y1547">
        <v>-0.152116</v>
      </c>
      <c r="Z1547">
        <v>-7.298049E-3</v>
      </c>
      <c r="AA1547">
        <v>0.98833570000000004</v>
      </c>
      <c r="AB1547">
        <v>42</v>
      </c>
      <c r="AC1547">
        <v>-15.632899999999999</v>
      </c>
      <c r="AD1547">
        <v>-1.1033939419779999</v>
      </c>
      <c r="AE1547">
        <v>-1.9893999999999801</v>
      </c>
      <c r="AF1547">
        <v>-2.45442468467777</v>
      </c>
      <c r="AG1547">
        <v>-1.1033939419779999</v>
      </c>
      <c r="AH1547">
        <v>15.4888316887166</v>
      </c>
      <c r="AI1547">
        <v>94.024704613815402</v>
      </c>
      <c r="AJ1547">
        <v>99.004455703026494</v>
      </c>
      <c r="AK1547">
        <v>15.720864664684999</v>
      </c>
      <c r="AL1547">
        <v>88.273884569672504</v>
      </c>
      <c r="AM1547">
        <v>99.492752099740798</v>
      </c>
      <c r="AN1547">
        <v>0.99999997952909703</v>
      </c>
    </row>
    <row r="1548" spans="1:40" x14ac:dyDescent="0.3">
      <c r="A1548" t="str">
        <f>"20200111153902821"</f>
        <v>20200111153902821</v>
      </c>
      <c r="B1548" t="str">
        <f>"1578728342812192"</f>
        <v>1578728342812192</v>
      </c>
      <c r="C1548" t="s">
        <v>40</v>
      </c>
      <c r="D1548">
        <v>5.0034739999999998</v>
      </c>
      <c r="E1548">
        <v>0.50198140000000002</v>
      </c>
      <c r="F1548" t="s">
        <v>55</v>
      </c>
      <c r="G1548">
        <v>-466.97379999999998</v>
      </c>
      <c r="H1548" s="1">
        <v>2.2980899999999998E-6</v>
      </c>
      <c r="I1548">
        <v>281.78480000000002</v>
      </c>
      <c r="J1548">
        <v>-451.29379999999998</v>
      </c>
      <c r="K1548">
        <v>1.1034109999999999</v>
      </c>
      <c r="L1548">
        <v>283.77260000000001</v>
      </c>
      <c r="M1548">
        <v>-0.99935260000000004</v>
      </c>
      <c r="N1548">
        <v>0</v>
      </c>
      <c r="O1548">
        <v>3.1698869999999997E-2</v>
      </c>
      <c r="P1548">
        <v>-0.99091980000000002</v>
      </c>
      <c r="Q1548">
        <v>1.344298E-2</v>
      </c>
      <c r="R1548">
        <v>-0.13378090000000001</v>
      </c>
      <c r="S1548">
        <v>-2.9807130000000002</v>
      </c>
      <c r="T1548">
        <v>-0.2044665</v>
      </c>
      <c r="U1548">
        <v>-0.36584470000000002</v>
      </c>
      <c r="V1548">
        <v>-0.16502709999999901</v>
      </c>
      <c r="W1548">
        <v>3.0778139999999999E-2</v>
      </c>
      <c r="X1548">
        <v>0.98580869999999998</v>
      </c>
      <c r="Y1548">
        <v>-0.15280170000000001</v>
      </c>
      <c r="Z1548">
        <v>-7.3800589999999996E-3</v>
      </c>
      <c r="AA1548">
        <v>0.98822929999999998</v>
      </c>
      <c r="AB1548">
        <v>42</v>
      </c>
      <c r="AC1548">
        <v>-15.68</v>
      </c>
      <c r="AD1548">
        <v>-1.1034087019100001</v>
      </c>
      <c r="AE1548">
        <v>-1.98779999999999</v>
      </c>
      <c r="AF1548">
        <v>-2.4718639706033598</v>
      </c>
      <c r="AG1548">
        <v>-1.1034087019100001</v>
      </c>
      <c r="AH1548">
        <v>15.533393128978901</v>
      </c>
      <c r="AI1548">
        <v>94.012836098009501</v>
      </c>
      <c r="AJ1548">
        <v>99.041793595695196</v>
      </c>
      <c r="AK1548">
        <v>15.7674958174095</v>
      </c>
      <c r="AL1548">
        <v>88.236263966247506</v>
      </c>
      <c r="AM1548">
        <v>99.503352636339997</v>
      </c>
      <c r="AN1548">
        <v>1.00000001531597</v>
      </c>
    </row>
    <row r="1549" spans="1:40" x14ac:dyDescent="0.3">
      <c r="A1549" t="str">
        <f>"20200111153902844"</f>
        <v>20200111153902844</v>
      </c>
      <c r="B1549" t="str">
        <f>"1578728342832689"</f>
        <v>1578728342832689</v>
      </c>
      <c r="C1549" t="s">
        <v>40</v>
      </c>
      <c r="D1549">
        <v>4.9372389999999999</v>
      </c>
      <c r="E1549">
        <v>0.50179449999999903</v>
      </c>
      <c r="F1549" t="s">
        <v>55</v>
      </c>
      <c r="G1549">
        <v>-467.35860000000002</v>
      </c>
      <c r="H1549" s="1">
        <v>2.5019740000000001E-6</v>
      </c>
      <c r="I1549">
        <v>281.80439999999999</v>
      </c>
      <c r="J1549">
        <v>-451.71289999999999</v>
      </c>
      <c r="K1549">
        <v>1.103426</v>
      </c>
      <c r="L1549">
        <v>283.78699999999998</v>
      </c>
      <c r="M1549">
        <v>-0.99931510000000001</v>
      </c>
      <c r="N1549">
        <v>0</v>
      </c>
      <c r="O1549">
        <v>3.2857419999999998E-2</v>
      </c>
      <c r="P1549">
        <v>-0.9909751</v>
      </c>
      <c r="Q1549">
        <v>1.374477E-2</v>
      </c>
      <c r="R1549">
        <v>-0.13333919999999999</v>
      </c>
      <c r="S1549">
        <v>-2.9809570000000001</v>
      </c>
      <c r="T1549">
        <v>-0.20474719999999999</v>
      </c>
      <c r="U1549">
        <v>-0.36520390000000003</v>
      </c>
      <c r="V1549">
        <v>-0.16573160000000001</v>
      </c>
      <c r="W1549">
        <v>3.107269E-2</v>
      </c>
      <c r="X1549">
        <v>0.98568120000000004</v>
      </c>
      <c r="Y1549">
        <v>-0.1537222</v>
      </c>
      <c r="Z1549">
        <v>-7.5003689999999998E-3</v>
      </c>
      <c r="AA1549">
        <v>0.98808560000000001</v>
      </c>
      <c r="AB1549">
        <v>42</v>
      </c>
      <c r="AC1549">
        <v>-15.6457</v>
      </c>
      <c r="AD1549">
        <v>-1.103423498026</v>
      </c>
      <c r="AE1549">
        <v>-1.9826000000000401</v>
      </c>
      <c r="AF1549">
        <v>-2.48352350123933</v>
      </c>
      <c r="AG1549">
        <v>-1.103423498026</v>
      </c>
      <c r="AH1549">
        <v>15.496238899487</v>
      </c>
      <c r="AI1549">
        <v>94.021771681068998</v>
      </c>
      <c r="AJ1549">
        <v>99.1051483744248</v>
      </c>
      <c r="AK1549">
        <v>15.732731880610499</v>
      </c>
      <c r="AL1549">
        <v>88.2193793052557</v>
      </c>
      <c r="AM1549">
        <v>99.544389493499907</v>
      </c>
      <c r="AN1549">
        <v>0.999999951667916</v>
      </c>
    </row>
    <row r="1550" spans="1:40" x14ac:dyDescent="0.3">
      <c r="A1550" t="str">
        <f>"20200111153902866"</f>
        <v>20200111153902866</v>
      </c>
      <c r="B1550" t="str">
        <f>"1578728342861968"</f>
        <v>1578728342861968</v>
      </c>
      <c r="C1550" t="s">
        <v>40</v>
      </c>
      <c r="D1550">
        <v>4.9672970000000003</v>
      </c>
      <c r="E1550">
        <v>0.50125600000000003</v>
      </c>
      <c r="F1550" t="s">
        <v>55</v>
      </c>
      <c r="G1550">
        <v>-467.77390000000003</v>
      </c>
      <c r="H1550" s="1">
        <v>2.7223639999999998E-6</v>
      </c>
      <c r="I1550">
        <v>281.81920000000002</v>
      </c>
      <c r="J1550">
        <v>-452.13209999999998</v>
      </c>
      <c r="K1550">
        <v>1.1034489999999999</v>
      </c>
      <c r="L1550">
        <v>283.80180000000001</v>
      </c>
      <c r="M1550">
        <v>-0.99927690000000002</v>
      </c>
      <c r="N1550">
        <v>0</v>
      </c>
      <c r="O1550">
        <v>3.3999250000000002E-2</v>
      </c>
      <c r="P1550">
        <v>-0.99101660000000003</v>
      </c>
      <c r="Q1550">
        <v>1.369272E-2</v>
      </c>
      <c r="R1550">
        <v>-0.13303570000000001</v>
      </c>
      <c r="S1550">
        <v>-2.980988</v>
      </c>
      <c r="T1550">
        <v>-0.20480010000000001</v>
      </c>
      <c r="U1550">
        <v>-0.36523440000000001</v>
      </c>
      <c r="V1550">
        <v>-0.16655809999999999</v>
      </c>
      <c r="W1550">
        <v>3.1011199999999999E-2</v>
      </c>
      <c r="X1550">
        <v>0.98554379999999997</v>
      </c>
      <c r="Y1550">
        <v>-0.1548543</v>
      </c>
      <c r="Z1550">
        <v>-7.6190390000000002E-3</v>
      </c>
      <c r="AA1550">
        <v>0.98790789999999995</v>
      </c>
      <c r="AB1550">
        <v>41</v>
      </c>
      <c r="AC1550">
        <v>-15.6418</v>
      </c>
      <c r="AD1550">
        <v>-1.1034462776359999</v>
      </c>
      <c r="AE1550">
        <v>-1.9825999999999899</v>
      </c>
      <c r="AF1550">
        <v>-2.5010899580499402</v>
      </c>
      <c r="AG1550">
        <v>-1.1034462776359999</v>
      </c>
      <c r="AH1550">
        <v>15.489472113844901</v>
      </c>
      <c r="AI1550">
        <v>94.022848513536402</v>
      </c>
      <c r="AJ1550">
        <v>99.172398146317406</v>
      </c>
      <c r="AK1550">
        <v>15.7288521841699</v>
      </c>
      <c r="AL1550">
        <v>88.222904098099207</v>
      </c>
      <c r="AM1550">
        <v>99.592417391872601</v>
      </c>
      <c r="AN1550">
        <v>0.999999938459743</v>
      </c>
    </row>
    <row r="1551" spans="1:40" x14ac:dyDescent="0.3">
      <c r="A1551" t="str">
        <f>"20200111153902892"</f>
        <v>20200111153902892</v>
      </c>
      <c r="B1551" t="str">
        <f>"1578728342882464"</f>
        <v>1578728342882464</v>
      </c>
      <c r="C1551" t="s">
        <v>40</v>
      </c>
      <c r="D1551">
        <v>4.9631420000000004</v>
      </c>
      <c r="E1551">
        <v>0.50082470000000001</v>
      </c>
      <c r="F1551" t="s">
        <v>55</v>
      </c>
      <c r="G1551">
        <v>-468.10570000000001</v>
      </c>
      <c r="H1551" s="1">
        <v>2.8986399999999999E-6</v>
      </c>
      <c r="I1551">
        <v>281.82650000000001</v>
      </c>
      <c r="J1551">
        <v>-452.5849</v>
      </c>
      <c r="K1551">
        <v>1.1034729999999999</v>
      </c>
      <c r="L1551">
        <v>283.8184</v>
      </c>
      <c r="M1551">
        <v>-0.99923589999999995</v>
      </c>
      <c r="N1551">
        <v>0</v>
      </c>
      <c r="O1551">
        <v>3.5194419999999997E-2</v>
      </c>
      <c r="P1551">
        <v>-0.99109639999999999</v>
      </c>
      <c r="Q1551">
        <v>1.3450129999999999E-2</v>
      </c>
      <c r="R1551">
        <v>-0.13246579999999999</v>
      </c>
      <c r="S1551">
        <v>-2.9805600000000001</v>
      </c>
      <c r="T1551">
        <v>-0.20589460000000001</v>
      </c>
      <c r="U1551">
        <v>-0.36859130000000001</v>
      </c>
      <c r="V1551">
        <v>-0.16717370000000001</v>
      </c>
      <c r="W1551">
        <v>3.0745729999999999E-2</v>
      </c>
      <c r="X1551">
        <v>0.98544790000000004</v>
      </c>
      <c r="Y1551">
        <v>-0.15713569999999999</v>
      </c>
      <c r="Z1551">
        <v>-7.8208559999999993E-3</v>
      </c>
      <c r="AA1551">
        <v>0.98754609999999998</v>
      </c>
      <c r="AB1551">
        <v>41</v>
      </c>
      <c r="AC1551">
        <v>-15.520799999999999</v>
      </c>
      <c r="AD1551">
        <v>-1.1034701013599999</v>
      </c>
      <c r="AE1551">
        <v>-1.99189999999998</v>
      </c>
      <c r="AF1551">
        <v>-2.5244366885758902</v>
      </c>
      <c r="AG1551">
        <v>-1.1034701013599999</v>
      </c>
      <c r="AH1551">
        <v>15.364663050125399</v>
      </c>
      <c r="AI1551">
        <v>94.053689889676903</v>
      </c>
      <c r="AJ1551">
        <v>99.330418519122503</v>
      </c>
      <c r="AK1551">
        <v>15.609718046880699</v>
      </c>
      <c r="AL1551">
        <v>88.238121694928694</v>
      </c>
      <c r="AM1551">
        <v>99.628128022152296</v>
      </c>
      <c r="AN1551">
        <v>0.99999995474966497</v>
      </c>
    </row>
    <row r="1552" spans="1:40" x14ac:dyDescent="0.3">
      <c r="A1552" t="str">
        <f>"20200111153902911"</f>
        <v>20200111153902911</v>
      </c>
      <c r="B1552" t="str">
        <f>"1578728342901984"</f>
        <v>1578728342901984</v>
      </c>
      <c r="C1552" t="s">
        <v>40</v>
      </c>
      <c r="D1552">
        <v>4.9923109999999999</v>
      </c>
      <c r="E1552">
        <v>0.49514989999999998</v>
      </c>
      <c r="F1552" t="s">
        <v>55</v>
      </c>
      <c r="G1552">
        <v>-468.33420000000001</v>
      </c>
      <c r="H1552" s="1">
        <v>3.0186230000000002E-6</v>
      </c>
      <c r="I1552">
        <v>281.86219999999997</v>
      </c>
      <c r="J1552">
        <v>-452.94720000000001</v>
      </c>
      <c r="K1552">
        <v>1.1035060000000001</v>
      </c>
      <c r="L1552">
        <v>283.83199999999999</v>
      </c>
      <c r="M1552">
        <v>-0.99920399999999998</v>
      </c>
      <c r="N1552">
        <v>0</v>
      </c>
      <c r="O1552">
        <v>3.6093500000000001E-2</v>
      </c>
      <c r="P1552">
        <v>-0.99115350000000002</v>
      </c>
      <c r="Q1552">
        <v>1.2120489999999999E-2</v>
      </c>
      <c r="R1552">
        <v>-0.13216620000000001</v>
      </c>
      <c r="S1552">
        <v>-2.9803470000000001</v>
      </c>
      <c r="T1552">
        <v>-0.20881710000000001</v>
      </c>
      <c r="U1552">
        <v>-0.37017820000000001</v>
      </c>
      <c r="V1552">
        <v>-0.16777069999999999</v>
      </c>
      <c r="W1552">
        <v>2.9375450000000001E-2</v>
      </c>
      <c r="X1552">
        <v>0.98538829999999999</v>
      </c>
      <c r="Y1552">
        <v>-0.15853200000000001</v>
      </c>
      <c r="Z1552">
        <v>-8.0433060000000001E-3</v>
      </c>
      <c r="AA1552">
        <v>0.98732109999999995</v>
      </c>
      <c r="AB1552">
        <v>41</v>
      </c>
      <c r="AC1552">
        <v>-15.387</v>
      </c>
      <c r="AD1552">
        <v>-1.1035029813770001</v>
      </c>
      <c r="AE1552">
        <v>-1.96980000000002</v>
      </c>
      <c r="AF1552">
        <v>-2.5112591737346599</v>
      </c>
      <c r="AG1552">
        <v>-1.1035029813770001</v>
      </c>
      <c r="AH1552">
        <v>15.2288011018647</v>
      </c>
      <c r="AI1552">
        <v>94.089461445856998</v>
      </c>
      <c r="AJ1552">
        <v>99.363916695773895</v>
      </c>
      <c r="AK1552">
        <v>15.4738658540046</v>
      </c>
      <c r="AL1552">
        <v>88.316668560988603</v>
      </c>
      <c r="AM1552">
        <v>99.662437731877304</v>
      </c>
      <c r="AN1552">
        <v>1.0000000133090401</v>
      </c>
    </row>
    <row r="1553" spans="1:40" x14ac:dyDescent="0.3">
      <c r="A1553" t="str">
        <f>"20200111153902933"</f>
        <v>20200111153902933</v>
      </c>
      <c r="B1553" t="str">
        <f>"1578728342921878"</f>
        <v>1578728342921878</v>
      </c>
      <c r="C1553" t="s">
        <v>40</v>
      </c>
      <c r="D1553">
        <v>4.9611559999999999</v>
      </c>
      <c r="E1553">
        <v>0.49482029999999999</v>
      </c>
      <c r="F1553" t="s">
        <v>55</v>
      </c>
      <c r="G1553">
        <v>-467.05309999999997</v>
      </c>
      <c r="H1553" s="1">
        <v>2.336353E-6</v>
      </c>
      <c r="I1553">
        <v>281.87459999999999</v>
      </c>
      <c r="J1553">
        <v>-453.35379999999998</v>
      </c>
      <c r="K1553">
        <v>1.103561</v>
      </c>
      <c r="L1553">
        <v>283.8476</v>
      </c>
      <c r="M1553">
        <v>-0.99917120000000004</v>
      </c>
      <c r="N1553">
        <v>0</v>
      </c>
      <c r="O1553">
        <v>3.7009100000000003E-2</v>
      </c>
      <c r="P1553">
        <v>-0.99121190000000003</v>
      </c>
      <c r="Q1553">
        <v>1.065985E-2</v>
      </c>
      <c r="R1553">
        <v>-0.131853</v>
      </c>
      <c r="S1553">
        <v>-2.9746090000000001</v>
      </c>
      <c r="T1553">
        <v>-0.23270399999999999</v>
      </c>
      <c r="U1553">
        <v>-0.4127808</v>
      </c>
      <c r="V1553">
        <v>-0.16837289999999999</v>
      </c>
      <c r="W1553">
        <v>2.784733E-2</v>
      </c>
      <c r="X1553">
        <v>0.98532989999999998</v>
      </c>
      <c r="Y1553">
        <v>-0.173388299999999</v>
      </c>
      <c r="Z1553">
        <v>-9.6184489999999994E-3</v>
      </c>
      <c r="AA1553">
        <v>0.98480650000000003</v>
      </c>
      <c r="AB1553">
        <v>41</v>
      </c>
      <c r="AC1553">
        <v>-13.6992999999999</v>
      </c>
      <c r="AD1553">
        <v>-1.1035586636470001</v>
      </c>
      <c r="AE1553">
        <v>-1.9730000000000101</v>
      </c>
      <c r="AF1553">
        <v>-2.4630609527001401</v>
      </c>
      <c r="AG1553">
        <v>-1.1035586636470001</v>
      </c>
      <c r="AH1553">
        <v>13.530862067611301</v>
      </c>
      <c r="AI1553">
        <v>94.587587709356498</v>
      </c>
      <c r="AJ1553">
        <v>100.31675024066099</v>
      </c>
      <c r="AK1553">
        <v>13.797417848044899</v>
      </c>
      <c r="AL1553">
        <v>88.404259167852601</v>
      </c>
      <c r="AM1553">
        <v>99.697026806620499</v>
      </c>
      <c r="AN1553">
        <v>0.99999995953827303</v>
      </c>
    </row>
    <row r="1554" spans="1:40" x14ac:dyDescent="0.3">
      <c r="A1554" t="str">
        <f>"20200111153902957"</f>
        <v>20200111153902957</v>
      </c>
      <c r="B1554" t="str">
        <f>"1578728342952135"</f>
        <v>1578728342952135</v>
      </c>
      <c r="C1554" t="s">
        <v>40</v>
      </c>
      <c r="D1554">
        <v>4.9870289999999997</v>
      </c>
      <c r="E1554">
        <v>0.49424079999999898</v>
      </c>
      <c r="F1554" t="s">
        <v>55</v>
      </c>
      <c r="G1554">
        <v>-467.26729999999998</v>
      </c>
      <c r="H1554" s="1">
        <v>2.448925E-6</v>
      </c>
      <c r="I1554">
        <v>281.9074</v>
      </c>
      <c r="J1554">
        <v>-453.77390000000003</v>
      </c>
      <c r="K1554">
        <v>1.1036629999999901</v>
      </c>
      <c r="L1554">
        <v>283.86399999999998</v>
      </c>
      <c r="M1554">
        <v>-0.99914219999999998</v>
      </c>
      <c r="N1554">
        <v>0</v>
      </c>
      <c r="O1554">
        <v>3.7803099999999999E-2</v>
      </c>
      <c r="P1554">
        <v>-0.99146299999999998</v>
      </c>
      <c r="Q1554">
        <v>1.0182200000000001E-2</v>
      </c>
      <c r="R1554">
        <v>-0.12998999999999999</v>
      </c>
      <c r="S1554">
        <v>-2.9739689999999999</v>
      </c>
      <c r="T1554">
        <v>-0.23588239999999999</v>
      </c>
      <c r="U1554">
        <v>-0.4147034</v>
      </c>
      <c r="V1554">
        <v>-0.1673132</v>
      </c>
      <c r="W1554">
        <v>2.728011E-2</v>
      </c>
      <c r="X1554">
        <v>0.98552629999999997</v>
      </c>
      <c r="Y1554">
        <v>-0.17479979999999901</v>
      </c>
      <c r="Z1554">
        <v>-9.8693259999999994E-3</v>
      </c>
      <c r="AA1554">
        <v>0.9845545</v>
      </c>
      <c r="AB1554">
        <v>41</v>
      </c>
      <c r="AC1554">
        <v>-13.4933999999999</v>
      </c>
      <c r="AD1554">
        <v>-1.1036605510749999</v>
      </c>
      <c r="AE1554">
        <v>-1.9566000000000301</v>
      </c>
      <c r="AF1554">
        <v>-2.4493177165148099</v>
      </c>
      <c r="AG1554">
        <v>-1.1036605510749999</v>
      </c>
      <c r="AH1554">
        <v>13.322483718234301</v>
      </c>
      <c r="AI1554">
        <v>94.657966743736793</v>
      </c>
      <c r="AJ1554">
        <v>100.41740837124399</v>
      </c>
      <c r="AK1554">
        <v>13.5906510628097</v>
      </c>
      <c r="AL1554">
        <v>88.436770897227603</v>
      </c>
      <c r="AM1554">
        <v>99.635259554249799</v>
      </c>
      <c r="AN1554">
        <v>0.99999999964377095</v>
      </c>
    </row>
    <row r="1555" spans="1:40" x14ac:dyDescent="0.3">
      <c r="A1555" t="str">
        <f>"20200111153902979"</f>
        <v>20200111153902979</v>
      </c>
      <c r="B1555" t="str">
        <f>"1578728342972630"</f>
        <v>1578728342972630</v>
      </c>
      <c r="C1555" t="s">
        <v>40</v>
      </c>
      <c r="D1555">
        <v>4.9514760000000004</v>
      </c>
      <c r="E1555">
        <v>0.4939094</v>
      </c>
      <c r="F1555" t="s">
        <v>55</v>
      </c>
      <c r="G1555">
        <v>-467.25409999999999</v>
      </c>
      <c r="H1555" s="1">
        <v>2.4382709999999999E-6</v>
      </c>
      <c r="I1555">
        <v>281.98970000000003</v>
      </c>
      <c r="J1555">
        <v>-454.18959999999998</v>
      </c>
      <c r="K1555">
        <v>1.1038049999999999</v>
      </c>
      <c r="L1555">
        <v>283.88029999999998</v>
      </c>
      <c r="M1555">
        <v>-0.99912049999999997</v>
      </c>
      <c r="N1555">
        <v>0</v>
      </c>
      <c r="O1555">
        <v>3.8391880000000003E-2</v>
      </c>
      <c r="P1555">
        <v>-0.99169059999999998</v>
      </c>
      <c r="Q1555">
        <v>1.015133E-2</v>
      </c>
      <c r="R1555">
        <v>-0.12824440000000001</v>
      </c>
      <c r="S1555">
        <v>-2.9741209999999998</v>
      </c>
      <c r="T1555">
        <v>-0.24349950000000001</v>
      </c>
      <c r="U1555">
        <v>-0.41351320000000003</v>
      </c>
      <c r="V1555">
        <v>-0.16616889999999901</v>
      </c>
      <c r="W1555">
        <v>2.7145220000000001E-2</v>
      </c>
      <c r="X1555">
        <v>0.98572360000000003</v>
      </c>
      <c r="Y1555">
        <v>-0.17494109999999999</v>
      </c>
      <c r="Z1555">
        <v>-1.024044E-2</v>
      </c>
      <c r="AA1555">
        <v>0.9845256</v>
      </c>
      <c r="AB1555">
        <v>41</v>
      </c>
      <c r="AC1555">
        <v>-13.064500000000001</v>
      </c>
      <c r="AD1555">
        <v>-1.1038025617289999</v>
      </c>
      <c r="AE1555">
        <v>-1.8905999999999401</v>
      </c>
      <c r="AF1555">
        <v>-2.3742472663196001</v>
      </c>
      <c r="AG1555">
        <v>-1.1038025617289999</v>
      </c>
      <c r="AH1555">
        <v>12.892130878444799</v>
      </c>
      <c r="AI1555">
        <v>94.813084473313907</v>
      </c>
      <c r="AJ1555">
        <v>100.43481485100099</v>
      </c>
      <c r="AK1555">
        <v>13.155320929717201</v>
      </c>
      <c r="AL1555">
        <v>88.444502374630105</v>
      </c>
      <c r="AM1555">
        <v>99.568704254108894</v>
      </c>
      <c r="AN1555">
        <v>0.99999999094650904</v>
      </c>
    </row>
    <row r="1556" spans="1:40" x14ac:dyDescent="0.3">
      <c r="A1556" t="str">
        <f>"20200111153903000"</f>
        <v>20200111153903000</v>
      </c>
      <c r="B1556" t="str">
        <f>"1578728342992150"</f>
        <v>1578728342992150</v>
      </c>
      <c r="C1556" t="s">
        <v>40</v>
      </c>
      <c r="D1556">
        <v>5.0016809999999996</v>
      </c>
      <c r="E1556">
        <v>0.49337029999999898</v>
      </c>
      <c r="F1556" t="s">
        <v>55</v>
      </c>
      <c r="G1556">
        <v>-467.65190000000001</v>
      </c>
      <c r="H1556" s="1">
        <v>2.648696E-6</v>
      </c>
      <c r="I1556">
        <v>282.01870000000002</v>
      </c>
      <c r="J1556">
        <v>-454.58940000000001</v>
      </c>
      <c r="K1556">
        <v>1.103947</v>
      </c>
      <c r="L1556">
        <v>283.89609999999999</v>
      </c>
      <c r="M1556">
        <v>-0.99910589999999999</v>
      </c>
      <c r="N1556">
        <v>0</v>
      </c>
      <c r="O1556">
        <v>3.8793689999999999E-2</v>
      </c>
      <c r="P1556">
        <v>-0.99172170000000004</v>
      </c>
      <c r="Q1556">
        <v>9.0967940000000001E-3</v>
      </c>
      <c r="R1556">
        <v>-0.128085</v>
      </c>
      <c r="S1556">
        <v>-2.9744259999999998</v>
      </c>
      <c r="T1556">
        <v>-0.2438797</v>
      </c>
      <c r="U1556">
        <v>-0.41131590000000001</v>
      </c>
      <c r="V1556">
        <v>-0.16641989999999901</v>
      </c>
      <c r="W1556">
        <v>2.5975939999999999E-2</v>
      </c>
      <c r="X1556">
        <v>0.98571279999999994</v>
      </c>
      <c r="Y1556">
        <v>-0.17460729999999999</v>
      </c>
      <c r="Z1556">
        <v>-1.0274999999999999E-2</v>
      </c>
      <c r="AA1556">
        <v>0.98458460000000003</v>
      </c>
      <c r="AB1556">
        <v>41</v>
      </c>
      <c r="AC1556">
        <v>-13.0625</v>
      </c>
      <c r="AD1556">
        <v>-1.1039443513039999</v>
      </c>
      <c r="AE1556">
        <v>-1.87739999999996</v>
      </c>
      <c r="AF1556">
        <v>-2.36624201838878</v>
      </c>
      <c r="AG1556">
        <v>-1.1039443513039999</v>
      </c>
      <c r="AH1556">
        <v>12.8896236314059</v>
      </c>
      <c r="AI1556">
        <v>94.815130598187906</v>
      </c>
      <c r="AJ1556">
        <v>100.402379714004</v>
      </c>
      <c r="AK1556">
        <v>13.1514330694287</v>
      </c>
      <c r="AL1556">
        <v>88.511520887528505</v>
      </c>
      <c r="AM1556">
        <v>99.582993091840393</v>
      </c>
      <c r="AN1556">
        <v>1.00000002832936</v>
      </c>
    </row>
    <row r="1557" spans="1:40" x14ac:dyDescent="0.3">
      <c r="A1557" t="str">
        <f>"20200111153903024"</f>
        <v>20200111153903024</v>
      </c>
      <c r="B1557" t="str">
        <f>"1578728343012647"</f>
        <v>1578728343012647</v>
      </c>
      <c r="C1557" t="s">
        <v>40</v>
      </c>
      <c r="D1557">
        <v>4.9713269999999996</v>
      </c>
      <c r="E1557">
        <v>0.49279030000000001</v>
      </c>
      <c r="F1557" t="s">
        <v>55</v>
      </c>
      <c r="G1557">
        <v>-467.8349</v>
      </c>
      <c r="H1557" s="1">
        <v>2.7447939999999998E-6</v>
      </c>
      <c r="I1557">
        <v>282.04829999999998</v>
      </c>
      <c r="J1557">
        <v>-455.00850000000003</v>
      </c>
      <c r="K1557">
        <v>1.104106</v>
      </c>
      <c r="L1557">
        <v>283.91269999999997</v>
      </c>
      <c r="M1557">
        <v>-0.99909789999999998</v>
      </c>
      <c r="N1557">
        <v>0</v>
      </c>
      <c r="O1557">
        <v>3.9024080000000003E-2</v>
      </c>
      <c r="P1557">
        <v>-0.99164339999999995</v>
      </c>
      <c r="Q1557">
        <v>8.4402490000000004E-3</v>
      </c>
      <c r="R1557">
        <v>-0.12873409999999999</v>
      </c>
      <c r="S1557">
        <v>-2.9737550000000001</v>
      </c>
      <c r="T1557">
        <v>-0.24784790000000001</v>
      </c>
      <c r="U1557">
        <v>-0.414856</v>
      </c>
      <c r="V1557">
        <v>-0.16730449999999999</v>
      </c>
      <c r="W1557">
        <v>2.5191330000000001E-2</v>
      </c>
      <c r="X1557">
        <v>0.9855834</v>
      </c>
      <c r="Y1557">
        <v>-0.17598549999999999</v>
      </c>
      <c r="Z1557">
        <v>-1.0519270000000001E-2</v>
      </c>
      <c r="AA1557">
        <v>0.98433660000000001</v>
      </c>
      <c r="AB1557">
        <v>41</v>
      </c>
      <c r="AC1557">
        <v>-12.8263999999999</v>
      </c>
      <c r="AD1557">
        <v>-1.1041032552059999</v>
      </c>
      <c r="AE1557">
        <v>-1.8643999999999801</v>
      </c>
      <c r="AF1557">
        <v>-2.3465602083058399</v>
      </c>
      <c r="AG1557">
        <v>-1.1041032552059999</v>
      </c>
      <c r="AH1557">
        <v>12.652050235802699</v>
      </c>
      <c r="AI1557">
        <v>94.904164528550396</v>
      </c>
      <c r="AJ1557">
        <v>100.507185750829</v>
      </c>
      <c r="AK1557">
        <v>12.9150982953532</v>
      </c>
      <c r="AL1557">
        <v>88.556490434115105</v>
      </c>
      <c r="AM1557">
        <v>99.634220199176497</v>
      </c>
      <c r="AN1557">
        <v>1.0000000185914799</v>
      </c>
    </row>
    <row r="1558" spans="1:40" x14ac:dyDescent="0.3">
      <c r="A1558" t="str">
        <f>"20200111153903045"</f>
        <v>20200111153903045</v>
      </c>
      <c r="B1558" t="str">
        <f>"1578728343041927"</f>
        <v>1578728343041927</v>
      </c>
      <c r="C1558" t="s">
        <v>40</v>
      </c>
      <c r="D1558">
        <v>4.9908210000000004</v>
      </c>
      <c r="E1558">
        <v>0.49221130000000002</v>
      </c>
      <c r="F1558" t="s">
        <v>55</v>
      </c>
      <c r="G1558">
        <v>-468.13650000000001</v>
      </c>
      <c r="H1558" s="1">
        <v>2.9051419999999998E-6</v>
      </c>
      <c r="I1558">
        <v>282.0521</v>
      </c>
      <c r="J1558">
        <v>-455.39729999999997</v>
      </c>
      <c r="K1558">
        <v>1.104282</v>
      </c>
      <c r="L1558">
        <v>283.92790000000002</v>
      </c>
      <c r="M1558">
        <v>-0.99909879999999995</v>
      </c>
      <c r="N1558">
        <v>0</v>
      </c>
      <c r="O1558">
        <v>3.9021769999999997E-2</v>
      </c>
      <c r="P1558">
        <v>-0.99160470000000001</v>
      </c>
      <c r="Q1558">
        <v>8.5198730000000007E-3</v>
      </c>
      <c r="R1558">
        <v>-0.1290251</v>
      </c>
      <c r="S1558">
        <v>-2.9727779999999999</v>
      </c>
      <c r="T1558">
        <v>-0.25001960000000001</v>
      </c>
      <c r="U1558">
        <v>-0.42132570000000003</v>
      </c>
      <c r="V1558">
        <v>-0.1676021</v>
      </c>
      <c r="W1558">
        <v>2.5146990000000001E-2</v>
      </c>
      <c r="X1558">
        <v>0.98553400000000002</v>
      </c>
      <c r="Y1558">
        <v>-0.17810719999999999</v>
      </c>
      <c r="Z1558">
        <v>-1.070144E-2</v>
      </c>
      <c r="AA1558">
        <v>0.98395290000000002</v>
      </c>
      <c r="AB1558">
        <v>41</v>
      </c>
      <c r="AC1558">
        <v>-12.7392</v>
      </c>
      <c r="AD1558">
        <v>-1.1042790948579999</v>
      </c>
      <c r="AE1558">
        <v>-1.8758000000000199</v>
      </c>
      <c r="AF1558">
        <v>-2.35423199656094</v>
      </c>
      <c r="AG1558">
        <v>-1.1042790948579999</v>
      </c>
      <c r="AH1558">
        <v>12.5638852730241</v>
      </c>
      <c r="AI1558">
        <v>94.937498869478404</v>
      </c>
      <c r="AJ1558">
        <v>100.61306237495801</v>
      </c>
      <c r="AK1558">
        <v>12.830161876090401</v>
      </c>
      <c r="AL1558">
        <v>88.559031779401494</v>
      </c>
      <c r="AM1558">
        <v>99.651510095066797</v>
      </c>
      <c r="AN1558">
        <v>1.00000005009323</v>
      </c>
    </row>
    <row r="1559" spans="1:40" x14ac:dyDescent="0.3">
      <c r="A1559" t="str">
        <f>"20200111153903068"</f>
        <v>20200111153903068</v>
      </c>
      <c r="B1559" t="str">
        <f>"1578728343062422"</f>
        <v>1578728343062422</v>
      </c>
      <c r="C1559" t="s">
        <v>40</v>
      </c>
      <c r="D1559">
        <v>4.9414530000000001</v>
      </c>
      <c r="E1559">
        <v>0.49204710000000002</v>
      </c>
      <c r="F1559" t="s">
        <v>55</v>
      </c>
      <c r="G1559">
        <v>-468.43169999999998</v>
      </c>
      <c r="H1559" s="1">
        <v>3.0621260000000002E-6</v>
      </c>
      <c r="I1559">
        <v>282.05459999999999</v>
      </c>
      <c r="J1559">
        <v>-455.8075</v>
      </c>
      <c r="K1559">
        <v>1.104495</v>
      </c>
      <c r="L1559">
        <v>283.94380000000001</v>
      </c>
      <c r="M1559">
        <v>-0.99911019999999995</v>
      </c>
      <c r="N1559">
        <v>0</v>
      </c>
      <c r="O1559">
        <v>3.8750329999999999E-2</v>
      </c>
      <c r="P1559">
        <v>-0.99150510000000003</v>
      </c>
      <c r="Q1559">
        <v>8.5280310000000002E-3</v>
      </c>
      <c r="R1559">
        <v>-0.1297864</v>
      </c>
      <c r="S1559">
        <v>-2.9719850000000001</v>
      </c>
      <c r="T1559">
        <v>-0.25178679999999998</v>
      </c>
      <c r="U1559">
        <v>-0.427124</v>
      </c>
      <c r="V1559">
        <v>-0.168105</v>
      </c>
      <c r="W1559">
        <v>2.5013049999999998E-2</v>
      </c>
      <c r="X1559">
        <v>0.98545170000000004</v>
      </c>
      <c r="Y1559">
        <v>-0.17974189999999901</v>
      </c>
      <c r="Z1559">
        <v>-1.082412E-2</v>
      </c>
      <c r="AA1559">
        <v>0.98365429999999998</v>
      </c>
      <c r="AB1559">
        <v>41</v>
      </c>
      <c r="AC1559">
        <v>-12.624199999999901</v>
      </c>
      <c r="AD1559">
        <v>-1.1044919378739999</v>
      </c>
      <c r="AE1559">
        <v>-1.88920000000001</v>
      </c>
      <c r="AF1559">
        <v>-2.3593761322226201</v>
      </c>
      <c r="AG1559">
        <v>-1.1044919378739999</v>
      </c>
      <c r="AH1559">
        <v>12.448299897557799</v>
      </c>
      <c r="AI1559">
        <v>94.982127732456604</v>
      </c>
      <c r="AJ1559">
        <v>100.732195599482</v>
      </c>
      <c r="AK1559">
        <v>12.717968725927401</v>
      </c>
      <c r="AL1559">
        <v>88.5667083162746</v>
      </c>
      <c r="AM1559">
        <v>99.680716007378805</v>
      </c>
      <c r="AN1559">
        <v>0.99999999836409603</v>
      </c>
    </row>
    <row r="1560" spans="1:40" x14ac:dyDescent="0.3">
      <c r="A1560" t="str">
        <f>"20200111153903091"</f>
        <v>20200111153903091</v>
      </c>
      <c r="B1560" t="str">
        <f>"1578728343081943"</f>
        <v>1578728343081943</v>
      </c>
      <c r="C1560" t="s">
        <v>40</v>
      </c>
      <c r="D1560">
        <v>5.0184949999999997</v>
      </c>
      <c r="E1560">
        <v>0.4860643</v>
      </c>
      <c r="F1560" t="s">
        <v>55</v>
      </c>
      <c r="G1560">
        <v>-468.8073</v>
      </c>
      <c r="H1560" s="1">
        <v>3.2617480000000001E-6</v>
      </c>
      <c r="I1560">
        <v>282.06040000000002</v>
      </c>
      <c r="J1560">
        <v>-456.2321</v>
      </c>
      <c r="K1560">
        <v>1.1047640000000001</v>
      </c>
      <c r="L1560">
        <v>283.95979999999997</v>
      </c>
      <c r="M1560">
        <v>-0.99913399999999997</v>
      </c>
      <c r="N1560">
        <v>0</v>
      </c>
      <c r="O1560">
        <v>3.8151789999999998E-2</v>
      </c>
      <c r="P1560">
        <v>-0.99122650000000001</v>
      </c>
      <c r="Q1560">
        <v>8.3184469999999996E-3</v>
      </c>
      <c r="R1560">
        <v>-0.13191249999999999</v>
      </c>
      <c r="S1560">
        <v>-2.9715579999999999</v>
      </c>
      <c r="T1560">
        <v>-0.25247029999999998</v>
      </c>
      <c r="U1560">
        <v>-0.43051149999999999</v>
      </c>
      <c r="V1560">
        <v>-0.16964489999999999</v>
      </c>
      <c r="W1560">
        <v>2.463837E-2</v>
      </c>
      <c r="X1560">
        <v>0.9851972</v>
      </c>
      <c r="Y1560">
        <v>-0.18026700000000001</v>
      </c>
      <c r="Z1560">
        <v>-1.0825680000000001E-2</v>
      </c>
      <c r="AA1560">
        <v>0.98355809999999999</v>
      </c>
      <c r="AB1560">
        <v>41</v>
      </c>
      <c r="AC1560">
        <v>-12.575199999999899</v>
      </c>
      <c r="AD1560">
        <v>-1.1047607382519999</v>
      </c>
      <c r="AE1560">
        <v>-1.89939999999995</v>
      </c>
      <c r="AF1560">
        <v>-2.3600407207800602</v>
      </c>
      <c r="AG1560">
        <v>-1.1047607382519999</v>
      </c>
      <c r="AH1560">
        <v>12.3999977578714</v>
      </c>
      <c r="AI1560">
        <v>95.001925079259095</v>
      </c>
      <c r="AJ1560">
        <v>100.77598805197201</v>
      </c>
      <c r="AK1560">
        <v>12.6708418381629</v>
      </c>
      <c r="AL1560">
        <v>88.588182494644897</v>
      </c>
      <c r="AM1560">
        <v>99.770168626785903</v>
      </c>
      <c r="AN1560">
        <v>0.99999998213005303</v>
      </c>
    </row>
    <row r="1561" spans="1:40" x14ac:dyDescent="0.3">
      <c r="A1561" t="str">
        <f>"20200111153903112"</f>
        <v>20200111153903112</v>
      </c>
      <c r="B1561" t="str">
        <f>"1578728343102440"</f>
        <v>1578728343102440</v>
      </c>
      <c r="C1561" t="s">
        <v>40</v>
      </c>
      <c r="D1561">
        <v>4.9623030000000004</v>
      </c>
      <c r="E1561">
        <v>0.48618359999999999</v>
      </c>
      <c r="F1561" t="s">
        <v>55</v>
      </c>
      <c r="G1561">
        <v>-468.36810000000003</v>
      </c>
      <c r="H1561" s="1">
        <v>3.0314450000000001E-6</v>
      </c>
      <c r="I1561">
        <v>281.98250000000002</v>
      </c>
      <c r="J1561">
        <v>-456.61709999999999</v>
      </c>
      <c r="K1561">
        <v>1.1050500000000001</v>
      </c>
      <c r="L1561">
        <v>283.97379999999998</v>
      </c>
      <c r="M1561">
        <v>-0.99916719999999903</v>
      </c>
      <c r="N1561">
        <v>0</v>
      </c>
      <c r="O1561">
        <v>3.7292770000000003E-2</v>
      </c>
      <c r="P1561">
        <v>-0.99084689999999997</v>
      </c>
      <c r="Q1561">
        <v>7.3923469999999996E-3</v>
      </c>
      <c r="R1561">
        <v>-0.13478699999999999</v>
      </c>
      <c r="S1561">
        <v>-2.964569</v>
      </c>
      <c r="T1561">
        <v>-0.269868</v>
      </c>
      <c r="U1561">
        <v>-0.48300169999999998</v>
      </c>
      <c r="V1561">
        <v>-0.17167189999999999</v>
      </c>
      <c r="W1561">
        <v>2.35391E-2</v>
      </c>
      <c r="X1561">
        <v>0.98487290000000005</v>
      </c>
      <c r="Y1561">
        <v>-0.19656170000000001</v>
      </c>
      <c r="Z1561">
        <v>-1.2238199999999999E-2</v>
      </c>
      <c r="AA1561">
        <v>0.98041500000000004</v>
      </c>
      <c r="AB1561">
        <v>41</v>
      </c>
      <c r="AC1561">
        <v>-11.750999999999999</v>
      </c>
      <c r="AD1561">
        <v>-1.105046968555</v>
      </c>
      <c r="AE1561">
        <v>-1.9912999999999601</v>
      </c>
      <c r="AF1561">
        <v>-2.4075059901307201</v>
      </c>
      <c r="AG1561">
        <v>-1.105046968555</v>
      </c>
      <c r="AH1561">
        <v>11.5690997398109</v>
      </c>
      <c r="AI1561">
        <v>95.342407839886405</v>
      </c>
      <c r="AJ1561">
        <v>101.755363096244</v>
      </c>
      <c r="AK1561">
        <v>11.8684995970392</v>
      </c>
      <c r="AL1561">
        <v>88.651184308968894</v>
      </c>
      <c r="AM1561">
        <v>99.887808556954496</v>
      </c>
      <c r="AN1561">
        <v>0.99999997981641398</v>
      </c>
    </row>
    <row r="1562" spans="1:40" x14ac:dyDescent="0.3">
      <c r="A1562" t="str">
        <f>"20200111153903138"</f>
        <v>20200111153903138</v>
      </c>
      <c r="B1562" t="str">
        <f>"1578728343131718"</f>
        <v>1578728343131718</v>
      </c>
      <c r="C1562" t="s">
        <v>40</v>
      </c>
      <c r="D1562">
        <v>4.9370459999999996</v>
      </c>
      <c r="E1562">
        <v>0.48610340000000002</v>
      </c>
      <c r="F1562" t="s">
        <v>55</v>
      </c>
      <c r="G1562">
        <v>-468.74259999999998</v>
      </c>
      <c r="H1562" s="1">
        <v>3.2313880000000002E-6</v>
      </c>
      <c r="I1562">
        <v>281.96769999999998</v>
      </c>
      <c r="J1562">
        <v>-457.07979999999998</v>
      </c>
      <c r="K1562">
        <v>1.105426</v>
      </c>
      <c r="L1562">
        <v>283.98989999999998</v>
      </c>
      <c r="M1562">
        <v>-0.9992221</v>
      </c>
      <c r="N1562">
        <v>0</v>
      </c>
      <c r="O1562">
        <v>3.5818660000000002E-2</v>
      </c>
      <c r="P1562">
        <v>-0.99042209999999997</v>
      </c>
      <c r="Q1562">
        <v>6.7762359999999997E-3</v>
      </c>
      <c r="R1562">
        <v>-0.13790669999999999</v>
      </c>
      <c r="S1562">
        <v>-2.9630429999999999</v>
      </c>
      <c r="T1562">
        <v>-0.2700341</v>
      </c>
      <c r="U1562">
        <v>-0.49023440000000001</v>
      </c>
      <c r="V1562">
        <v>-0.17334169999999999</v>
      </c>
      <c r="W1562">
        <v>2.269581E-2</v>
      </c>
      <c r="X1562">
        <v>0.98460020000000004</v>
      </c>
      <c r="Y1562">
        <v>-0.19752629999999999</v>
      </c>
      <c r="Z1562">
        <v>-1.215979E-2</v>
      </c>
      <c r="AA1562">
        <v>0.98022220000000004</v>
      </c>
      <c r="AB1562">
        <v>41</v>
      </c>
      <c r="AC1562">
        <v>-11.662800000000001</v>
      </c>
      <c r="AD1562">
        <v>-1.105422768612</v>
      </c>
      <c r="AE1562">
        <v>-2.02219999999999</v>
      </c>
      <c r="AF1562">
        <v>-2.4176196811123498</v>
      </c>
      <c r="AG1562">
        <v>-1.105422768612</v>
      </c>
      <c r="AH1562">
        <v>11.482726011095099</v>
      </c>
      <c r="AI1562">
        <v>95.381553337869306</v>
      </c>
      <c r="AJ1562">
        <v>101.889631207373</v>
      </c>
      <c r="AK1562">
        <v>11.78642613627</v>
      </c>
      <c r="AL1562">
        <v>88.699514210494101</v>
      </c>
      <c r="AM1562">
        <v>99.984767982238296</v>
      </c>
      <c r="AN1562">
        <v>0.99999999929524297</v>
      </c>
    </row>
    <row r="1563" spans="1:40" x14ac:dyDescent="0.3">
      <c r="A1563" t="str">
        <f>"20200111153903158"</f>
        <v>20200111153903158</v>
      </c>
      <c r="B1563" t="str">
        <f>"1578728343152214"</f>
        <v>1578728343152214</v>
      </c>
      <c r="C1563" t="s">
        <v>40</v>
      </c>
      <c r="D1563">
        <v>4.9104099999999997</v>
      </c>
      <c r="E1563">
        <v>0.48572100000000001</v>
      </c>
      <c r="F1563" t="s">
        <v>55</v>
      </c>
      <c r="G1563">
        <v>-469.2611</v>
      </c>
      <c r="H1563" s="1">
        <v>3.5088749999999999E-6</v>
      </c>
      <c r="I1563">
        <v>281.93180000000001</v>
      </c>
      <c r="J1563">
        <v>-457.44159999999999</v>
      </c>
      <c r="K1563">
        <v>1.105734</v>
      </c>
      <c r="L1563">
        <v>284.0016</v>
      </c>
      <c r="M1563">
        <v>-0.99927529999999998</v>
      </c>
      <c r="N1563">
        <v>0</v>
      </c>
      <c r="O1563">
        <v>3.4326269999999999E-2</v>
      </c>
      <c r="P1563">
        <v>-0.98992760000000002</v>
      </c>
      <c r="Q1563">
        <v>5.86069E-3</v>
      </c>
      <c r="R1563">
        <v>-0.1414551</v>
      </c>
      <c r="S1563">
        <v>-2.9611510000000001</v>
      </c>
      <c r="T1563">
        <v>-0.26871620000000002</v>
      </c>
      <c r="U1563">
        <v>-0.50030520000000001</v>
      </c>
      <c r="V1563">
        <v>-0.17541470000000001</v>
      </c>
      <c r="W1563">
        <v>2.1591719999999998E-2</v>
      </c>
      <c r="X1563">
        <v>0.98425779999999996</v>
      </c>
      <c r="Y1563">
        <v>-0.19941300000000001</v>
      </c>
      <c r="Z1563">
        <v>-1.2055450000000001E-2</v>
      </c>
      <c r="AA1563">
        <v>0.97984139999999997</v>
      </c>
      <c r="AB1563">
        <v>40</v>
      </c>
      <c r="AC1563">
        <v>-11.8195</v>
      </c>
      <c r="AD1563">
        <v>-1.1057304911249899</v>
      </c>
      <c r="AE1563">
        <v>-2.0697999999999799</v>
      </c>
      <c r="AF1563">
        <v>-2.4535201762022401</v>
      </c>
      <c r="AG1563">
        <v>-1.1057304911249899</v>
      </c>
      <c r="AH1563">
        <v>11.6426117457752</v>
      </c>
      <c r="AI1563">
        <v>95.309339128979701</v>
      </c>
      <c r="AJ1563">
        <v>101.900174640025</v>
      </c>
      <c r="AK1563">
        <v>11.949594530229801</v>
      </c>
      <c r="AL1563">
        <v>88.762789387652603</v>
      </c>
      <c r="AM1563">
        <v>100.105172834763</v>
      </c>
      <c r="AN1563">
        <v>0.99999996810474301</v>
      </c>
    </row>
    <row r="1564" spans="1:40" x14ac:dyDescent="0.3">
      <c r="A1564" t="str">
        <f>"20200111153903180"</f>
        <v>20200111153903180</v>
      </c>
      <c r="B1564" t="str">
        <f>"1578728343172710"</f>
        <v>1578728343172710</v>
      </c>
      <c r="C1564" t="s">
        <v>40</v>
      </c>
      <c r="D1564">
        <v>4.9360600000000003</v>
      </c>
      <c r="E1564">
        <v>0.48520970000000002</v>
      </c>
      <c r="F1564" t="s">
        <v>55</v>
      </c>
      <c r="G1564">
        <v>-469.5376</v>
      </c>
      <c r="H1564" s="1">
        <v>3.6573239999999999E-6</v>
      </c>
      <c r="I1564">
        <v>281.90120000000002</v>
      </c>
      <c r="J1564">
        <v>-457.83819999999997</v>
      </c>
      <c r="K1564">
        <v>1.1060650000000001</v>
      </c>
      <c r="L1564">
        <v>284.01350000000002</v>
      </c>
      <c r="M1564">
        <v>-0.99934129999999999</v>
      </c>
      <c r="N1564">
        <v>0</v>
      </c>
      <c r="O1564">
        <v>3.236957E-2</v>
      </c>
      <c r="P1564">
        <v>-0.98930660000000004</v>
      </c>
      <c r="Q1564">
        <v>6.1532069999999999E-3</v>
      </c>
      <c r="R1564">
        <v>-0.1457224</v>
      </c>
      <c r="S1564">
        <v>-2.9586790000000001</v>
      </c>
      <c r="T1564">
        <v>-0.27046199999999998</v>
      </c>
      <c r="U1564">
        <v>-0.51376339999999998</v>
      </c>
      <c r="V1564">
        <v>-0.1777502</v>
      </c>
      <c r="W1564">
        <v>2.1682770000000001E-2</v>
      </c>
      <c r="X1564">
        <v>0.98383670000000001</v>
      </c>
      <c r="Y1564">
        <v>-0.20194319999999999</v>
      </c>
      <c r="Z1564">
        <v>-1.207604E-2</v>
      </c>
      <c r="AA1564">
        <v>0.97932280000000005</v>
      </c>
      <c r="AB1564">
        <v>40</v>
      </c>
      <c r="AC1564">
        <v>-11.699400000000001</v>
      </c>
      <c r="AD1564">
        <v>-1.10606134267599</v>
      </c>
      <c r="AE1564">
        <v>-2.1122999999999998</v>
      </c>
      <c r="AF1564">
        <v>-2.46858111749015</v>
      </c>
      <c r="AG1564">
        <v>-1.10606134267599</v>
      </c>
      <c r="AH1564">
        <v>11.525126467885499</v>
      </c>
      <c r="AI1564">
        <v>95.360998356326206</v>
      </c>
      <c r="AJ1564">
        <v>102.089581585739</v>
      </c>
      <c r="AK1564">
        <v>11.8383193286947</v>
      </c>
      <c r="AL1564">
        <v>88.757571380296099</v>
      </c>
      <c r="AM1564">
        <v>100.241176681377</v>
      </c>
      <c r="AN1564">
        <v>0.99999996419089998</v>
      </c>
    </row>
    <row r="1565" spans="1:40" x14ac:dyDescent="0.3">
      <c r="A1565" t="str">
        <f>"20200111153903201"</f>
        <v>20200111153903201</v>
      </c>
      <c r="B1565" t="str">
        <f>"1578728343192231"</f>
        <v>1578728343192231</v>
      </c>
      <c r="C1565" t="s">
        <v>40</v>
      </c>
      <c r="D1565">
        <v>4.9297550000000001</v>
      </c>
      <c r="E1565">
        <v>0.4848227</v>
      </c>
      <c r="F1565" t="s">
        <v>55</v>
      </c>
      <c r="G1565">
        <v>-469.92579999999998</v>
      </c>
      <c r="H1565" s="1">
        <v>3.8664040000000001E-6</v>
      </c>
      <c r="I1565">
        <v>281.84440000000001</v>
      </c>
      <c r="J1565">
        <v>-458.22739999999999</v>
      </c>
      <c r="K1565">
        <v>1.1063810000000001</v>
      </c>
      <c r="L1565">
        <v>284.02429999999998</v>
      </c>
      <c r="M1565">
        <v>-0.99941239999999998</v>
      </c>
      <c r="N1565">
        <v>0</v>
      </c>
      <c r="O1565">
        <v>3.0115119999999999E-2</v>
      </c>
      <c r="P1565">
        <v>-0.98880170000000001</v>
      </c>
      <c r="Q1565">
        <v>7.3421299999999997E-3</v>
      </c>
      <c r="R1565">
        <v>-0.14905450000000001</v>
      </c>
      <c r="S1565">
        <v>-2.9559630000000001</v>
      </c>
      <c r="T1565">
        <v>-0.2704819</v>
      </c>
      <c r="U1565">
        <v>-0.5304565</v>
      </c>
      <c r="V1565">
        <v>-0.17886779999999999</v>
      </c>
      <c r="W1565">
        <v>2.268293E-2</v>
      </c>
      <c r="X1565">
        <v>0.98361160000000003</v>
      </c>
      <c r="Y1565">
        <v>-0.20524300000000001</v>
      </c>
      <c r="Z1565">
        <v>-1.2027019999999999E-2</v>
      </c>
      <c r="AA1565">
        <v>0.97863719999999998</v>
      </c>
      <c r="AB1565">
        <v>40</v>
      </c>
      <c r="AC1565">
        <v>-11.6983999999999</v>
      </c>
      <c r="AD1565">
        <v>-1.106377133596</v>
      </c>
      <c r="AE1565">
        <v>-2.1798999999999702</v>
      </c>
      <c r="AF1565">
        <v>-2.50956354754975</v>
      </c>
      <c r="AG1565">
        <v>-1.106377133596</v>
      </c>
      <c r="AH1565">
        <v>11.5277863591956</v>
      </c>
      <c r="AI1565">
        <v>95.357436074227806</v>
      </c>
      <c r="AJ1565">
        <v>102.28149279250199</v>
      </c>
      <c r="AK1565">
        <v>11.849550113999699</v>
      </c>
      <c r="AL1565">
        <v>88.700252361229801</v>
      </c>
      <c r="AM1565">
        <v>100.306500119342</v>
      </c>
      <c r="AN1565">
        <v>0.99999999242239201</v>
      </c>
    </row>
    <row r="1566" spans="1:40" x14ac:dyDescent="0.3">
      <c r="A1566" t="str">
        <f>"20200111153903225"</f>
        <v>20200111153903225</v>
      </c>
      <c r="B1566" t="str">
        <f>"1578728343222486"</f>
        <v>1578728343222486</v>
      </c>
      <c r="C1566" t="s">
        <v>40</v>
      </c>
      <c r="D1566">
        <v>4.917567</v>
      </c>
      <c r="E1566">
        <v>0.48480469999999998</v>
      </c>
      <c r="F1566" t="s">
        <v>53</v>
      </c>
      <c r="G1566">
        <v>-470.48649999999998</v>
      </c>
      <c r="H1566" s="1">
        <v>6.1492489999999901E-6</v>
      </c>
      <c r="I1566">
        <v>281.76659999999998</v>
      </c>
      <c r="J1566">
        <v>-458.64960000000002</v>
      </c>
      <c r="K1566">
        <v>1.106738</v>
      </c>
      <c r="L1566">
        <v>284.03449999999998</v>
      </c>
      <c r="M1566">
        <v>-0.99949480000000002</v>
      </c>
      <c r="N1566">
        <v>0</v>
      </c>
      <c r="O1566">
        <v>2.726986E-2</v>
      </c>
      <c r="P1566">
        <v>-0.98824199999999995</v>
      </c>
      <c r="Q1566">
        <v>8.3150569999999903E-3</v>
      </c>
      <c r="R1566">
        <v>-0.15267240000000001</v>
      </c>
      <c r="S1566">
        <v>-2.9539789999999999</v>
      </c>
      <c r="T1566">
        <v>-0.26659519999999998</v>
      </c>
      <c r="U1566">
        <v>-0.54400630000000005</v>
      </c>
      <c r="V1566">
        <v>-0.1796924</v>
      </c>
      <c r="W1566">
        <v>2.3452339999999999E-2</v>
      </c>
      <c r="X1566">
        <v>0.98344330000000002</v>
      </c>
      <c r="Y1566">
        <v>-0.20694799999999999</v>
      </c>
      <c r="Z1566">
        <v>-1.167966E-2</v>
      </c>
      <c r="AA1566">
        <v>0.97828219999999999</v>
      </c>
      <c r="AB1566">
        <v>40</v>
      </c>
      <c r="AC1566">
        <v>-11.836899999999901</v>
      </c>
      <c r="AD1566">
        <v>-1.106731850751</v>
      </c>
      <c r="AE1566">
        <v>-2.2678999999999898</v>
      </c>
      <c r="AF1566">
        <v>-2.5682335744250202</v>
      </c>
      <c r="AG1566">
        <v>-1.106731850751</v>
      </c>
      <c r="AH1566">
        <v>11.672218224360099</v>
      </c>
      <c r="AI1566">
        <v>95.290645173826107</v>
      </c>
      <c r="AJ1566">
        <v>102.409036493267</v>
      </c>
      <c r="AK1566">
        <v>12.0025562843652</v>
      </c>
      <c r="AL1566">
        <v>88.656156754678705</v>
      </c>
      <c r="AM1566">
        <v>100.354722402566</v>
      </c>
      <c r="AN1566">
        <v>1.0000000475920601</v>
      </c>
    </row>
    <row r="1567" spans="1:40" x14ac:dyDescent="0.3">
      <c r="A1567" t="str">
        <f>"20200111153903249"</f>
        <v>20200111153903249</v>
      </c>
      <c r="B1567" t="str">
        <f>"1578728343242006"</f>
        <v>1578728343242006</v>
      </c>
      <c r="C1567" t="s">
        <v>40</v>
      </c>
      <c r="D1567">
        <v>4.8940510000000002</v>
      </c>
      <c r="E1567">
        <v>0.48498859999999999</v>
      </c>
      <c r="F1567" t="s">
        <v>53</v>
      </c>
      <c r="G1567">
        <v>-470.91649999999998</v>
      </c>
      <c r="H1567" s="1">
        <v>5.9552649999999996E-6</v>
      </c>
      <c r="I1567">
        <v>281.72910000000002</v>
      </c>
      <c r="J1567">
        <v>-459.08659999999998</v>
      </c>
      <c r="K1567">
        <v>1.1071359999999999</v>
      </c>
      <c r="L1567">
        <v>284.04360000000003</v>
      </c>
      <c r="M1567">
        <v>-0.99958199999999997</v>
      </c>
      <c r="N1567">
        <v>0</v>
      </c>
      <c r="O1567">
        <v>2.3876830000000002E-2</v>
      </c>
      <c r="P1567">
        <v>-0.9876549</v>
      </c>
      <c r="Q1567">
        <v>8.8401139999999996E-3</v>
      </c>
      <c r="R1567">
        <v>-0.15639600000000001</v>
      </c>
      <c r="S1567">
        <v>-2.9521790000000001</v>
      </c>
      <c r="T1567">
        <v>-0.26634829999999998</v>
      </c>
      <c r="U1567">
        <v>-0.55484009999999995</v>
      </c>
      <c r="V1567">
        <v>-0.18008629999999901</v>
      </c>
      <c r="W1567">
        <v>2.3765540000000002E-2</v>
      </c>
      <c r="X1567">
        <v>0.98336369999999895</v>
      </c>
      <c r="Y1567">
        <v>-0.2072175</v>
      </c>
      <c r="Z1567">
        <v>-1.138085E-2</v>
      </c>
      <c r="AA1567">
        <v>0.97822869999999995</v>
      </c>
      <c r="AB1567">
        <v>40</v>
      </c>
      <c r="AC1567">
        <v>-11.8299</v>
      </c>
      <c r="AD1567">
        <v>-1.1071300447349901</v>
      </c>
      <c r="AE1567">
        <v>-2.3144999999999998</v>
      </c>
      <c r="AF1567">
        <v>-2.5746192976438</v>
      </c>
      <c r="AG1567">
        <v>-1.1071300447349901</v>
      </c>
      <c r="AH1567">
        <v>11.6727880331738</v>
      </c>
      <c r="AI1567">
        <v>95.291688089148494</v>
      </c>
      <c r="AJ1567">
        <v>102.43834307798301</v>
      </c>
      <c r="AK1567">
        <v>12.0045150643898</v>
      </c>
      <c r="AL1567">
        <v>88.638206678440397</v>
      </c>
      <c r="AM1567">
        <v>100.37774991089999</v>
      </c>
      <c r="AN1567">
        <v>1.0000000214084299</v>
      </c>
    </row>
    <row r="1568" spans="1:40" x14ac:dyDescent="0.3">
      <c r="A1568" t="str">
        <f>"20200111153903269"</f>
        <v>20200111153903269</v>
      </c>
      <c r="B1568" t="str">
        <f>"1578728343262502"</f>
        <v>1578728343262502</v>
      </c>
      <c r="C1568" t="s">
        <v>40</v>
      </c>
      <c r="D1568">
        <v>4.8974679999999999</v>
      </c>
      <c r="E1568">
        <v>0.48509859999999999</v>
      </c>
      <c r="F1568" t="s">
        <v>53</v>
      </c>
      <c r="G1568">
        <v>-471.46690000000001</v>
      </c>
      <c r="H1568" s="1">
        <v>5.7063069999999999E-6</v>
      </c>
      <c r="I1568">
        <v>281.67340000000002</v>
      </c>
      <c r="J1568">
        <v>-459.43259999999998</v>
      </c>
      <c r="K1568">
        <v>1.1074820000000001</v>
      </c>
      <c r="L1568">
        <v>284.04930000000002</v>
      </c>
      <c r="M1568">
        <v>-0.9996505</v>
      </c>
      <c r="N1568">
        <v>0</v>
      </c>
      <c r="O1568">
        <v>2.0830270000000001E-2</v>
      </c>
      <c r="P1568">
        <v>-0.98717259999999996</v>
      </c>
      <c r="Q1568">
        <v>9.5356030000000001E-3</v>
      </c>
      <c r="R1568">
        <v>-0.1593714</v>
      </c>
      <c r="S1568">
        <v>-2.9503780000000002</v>
      </c>
      <c r="T1568">
        <v>-0.26384289999999999</v>
      </c>
      <c r="U1568">
        <v>-0.56484990000000002</v>
      </c>
      <c r="V1568">
        <v>-0.1800766</v>
      </c>
      <c r="W1568">
        <v>2.4290860000000001E-2</v>
      </c>
      <c r="X1568">
        <v>0.98335260000000002</v>
      </c>
      <c r="Y1568">
        <v>-0.20757539999999999</v>
      </c>
      <c r="Z1568">
        <v>-1.102354E-2</v>
      </c>
      <c r="AA1568">
        <v>0.9781569</v>
      </c>
      <c r="AB1568">
        <v>40</v>
      </c>
      <c r="AC1568">
        <v>-12.0343</v>
      </c>
      <c r="AD1568">
        <v>-1.1074762936929901</v>
      </c>
      <c r="AE1568">
        <v>-2.3759000000000001</v>
      </c>
      <c r="AF1568">
        <v>-2.6048625616876002</v>
      </c>
      <c r="AG1568">
        <v>-1.1074762936929901</v>
      </c>
      <c r="AH1568">
        <v>11.8853115471781</v>
      </c>
      <c r="AI1568">
        <v>95.200723725119303</v>
      </c>
      <c r="AJ1568">
        <v>102.36186119236601</v>
      </c>
      <c r="AK1568">
        <v>12.2177102306389</v>
      </c>
      <c r="AL1568">
        <v>88.608099312204899</v>
      </c>
      <c r="AM1568">
        <v>100.377317670048</v>
      </c>
      <c r="AN1568">
        <v>0.99999998183692895</v>
      </c>
    </row>
    <row r="1569" spans="1:40" x14ac:dyDescent="0.3">
      <c r="A1569" t="str">
        <f>"20200111153903291"</f>
        <v>20200111153903291</v>
      </c>
      <c r="B1569" t="str">
        <f>"1578728343282023"</f>
        <v>1578728343282023</v>
      </c>
      <c r="C1569" t="s">
        <v>40</v>
      </c>
      <c r="D1569">
        <v>4.8888939999999996</v>
      </c>
      <c r="E1569">
        <v>0.48505409999999999</v>
      </c>
      <c r="F1569" t="s">
        <v>53</v>
      </c>
      <c r="G1569">
        <v>-471.94549999999998</v>
      </c>
      <c r="H1569" s="1">
        <v>5.489112E-6</v>
      </c>
      <c r="I1569">
        <v>281.61649999999997</v>
      </c>
      <c r="J1569">
        <v>-459.84199999999998</v>
      </c>
      <c r="K1569">
        <v>1.1079190000000001</v>
      </c>
      <c r="L1569">
        <v>284.05459999999999</v>
      </c>
      <c r="M1569">
        <v>-0.99972640000000002</v>
      </c>
      <c r="N1569">
        <v>0</v>
      </c>
      <c r="O1569">
        <v>1.6813270000000002E-2</v>
      </c>
      <c r="P1569">
        <v>-0.9865429</v>
      </c>
      <c r="Q1569">
        <v>1.0669029999999999E-2</v>
      </c>
      <c r="R1569">
        <v>-0.163155299999999</v>
      </c>
      <c r="S1569">
        <v>-2.948944</v>
      </c>
      <c r="T1569">
        <v>-0.26100269999999998</v>
      </c>
      <c r="U1569">
        <v>-0.57336430000000005</v>
      </c>
      <c r="V1569">
        <v>-0.1799299</v>
      </c>
      <c r="W1569">
        <v>2.5218979999999998E-2</v>
      </c>
      <c r="X1569">
        <v>0.98335609999999996</v>
      </c>
      <c r="Y1569">
        <v>-0.20649390000000001</v>
      </c>
      <c r="Z1569">
        <v>-1.0508379999999999E-2</v>
      </c>
      <c r="AA1569">
        <v>0.97839149999999997</v>
      </c>
      <c r="AB1569">
        <v>40</v>
      </c>
      <c r="AC1569">
        <v>-12.103499999999899</v>
      </c>
      <c r="AD1569">
        <v>-1.1079135108880001</v>
      </c>
      <c r="AE1569">
        <v>-2.4381000000000199</v>
      </c>
      <c r="AF1569">
        <v>-2.6201833153006402</v>
      </c>
      <c r="AG1569">
        <v>-1.1079135108880001</v>
      </c>
      <c r="AH1569">
        <v>11.964450468257301</v>
      </c>
      <c r="AI1569">
        <v>95.168720703241206</v>
      </c>
      <c r="AJ1569">
        <v>102.352613186254</v>
      </c>
      <c r="AK1569">
        <v>12.2980042267342</v>
      </c>
      <c r="AL1569">
        <v>88.554905664856093</v>
      </c>
      <c r="AM1569">
        <v>100.369011101382</v>
      </c>
      <c r="AN1569">
        <v>0.99999999263673001</v>
      </c>
    </row>
    <row r="1570" spans="1:40" x14ac:dyDescent="0.3">
      <c r="A1570" t="str">
        <f>"20200111153903313"</f>
        <v>20200111153903313</v>
      </c>
      <c r="B1570" t="str">
        <f>"1578728343302518"</f>
        <v>1578728343302518</v>
      </c>
      <c r="C1570" t="s">
        <v>40</v>
      </c>
      <c r="D1570">
        <v>4.9512729999999996</v>
      </c>
      <c r="E1570">
        <v>0.48505769999999998</v>
      </c>
      <c r="F1570" t="s">
        <v>53</v>
      </c>
      <c r="G1570">
        <v>-472.5505</v>
      </c>
      <c r="H1570" s="1">
        <v>5.2130750000000001E-6</v>
      </c>
      <c r="I1570">
        <v>281.52800000000002</v>
      </c>
      <c r="J1570">
        <v>-460.21499999999997</v>
      </c>
      <c r="K1570">
        <v>1.1083289999999999</v>
      </c>
      <c r="L1570">
        <v>284.05739999999997</v>
      </c>
      <c r="M1570">
        <v>-0.99978719999999999</v>
      </c>
      <c r="N1570">
        <v>0</v>
      </c>
      <c r="O1570">
        <v>1.2720800000000001E-2</v>
      </c>
      <c r="P1570">
        <v>-0.98588399999999998</v>
      </c>
      <c r="Q1570">
        <v>1.14076E-2</v>
      </c>
      <c r="R1570">
        <v>-0.167041</v>
      </c>
      <c r="S1570">
        <v>-2.9468079999999999</v>
      </c>
      <c r="T1570">
        <v>-0.25689879999999998</v>
      </c>
      <c r="U1570">
        <v>-0.58584590000000003</v>
      </c>
      <c r="V1570">
        <v>-0.1798111</v>
      </c>
      <c r="W1570">
        <v>2.576049E-2</v>
      </c>
      <c r="X1570">
        <v>0.98336380000000001</v>
      </c>
      <c r="Y1570">
        <v>-0.20665240000000001</v>
      </c>
      <c r="Z1570">
        <v>-1.000083E-2</v>
      </c>
      <c r="AA1570">
        <v>0.97836330000000005</v>
      </c>
      <c r="AB1570">
        <v>40</v>
      </c>
      <c r="AC1570">
        <v>-12.3355</v>
      </c>
      <c r="AD1570">
        <v>-1.108323786925</v>
      </c>
      <c r="AE1570">
        <v>-2.5293999999999501</v>
      </c>
      <c r="AF1570">
        <v>-2.66548393140621</v>
      </c>
      <c r="AG1570">
        <v>-1.108323786925</v>
      </c>
      <c r="AH1570">
        <v>12.207748093341101</v>
      </c>
      <c r="AI1570">
        <v>95.068805027544002</v>
      </c>
      <c r="AJ1570">
        <v>102.316864916828</v>
      </c>
      <c r="AK1570">
        <v>12.5444130877344</v>
      </c>
      <c r="AL1570">
        <v>88.523869351640997</v>
      </c>
      <c r="AM1570">
        <v>100.36223386850899</v>
      </c>
      <c r="AN1570">
        <v>0.99999999883934498</v>
      </c>
    </row>
    <row r="1571" spans="1:40" x14ac:dyDescent="0.3">
      <c r="A1571" t="str">
        <f>"20200111153903337"</f>
        <v>20200111153903337</v>
      </c>
      <c r="B1571" t="str">
        <f>"1578728343332567"</f>
        <v>1578728343332567</v>
      </c>
      <c r="C1571" t="s">
        <v>40</v>
      </c>
      <c r="D1571">
        <v>4.936337</v>
      </c>
      <c r="E1571">
        <v>0.48495379999999899</v>
      </c>
      <c r="F1571" t="s">
        <v>53</v>
      </c>
      <c r="G1571">
        <v>-473.08909999999997</v>
      </c>
      <c r="H1571" s="1">
        <v>4.9667950000000001E-6</v>
      </c>
      <c r="I1571">
        <v>281.44310000000002</v>
      </c>
      <c r="J1571">
        <v>-460.6345</v>
      </c>
      <c r="K1571">
        <v>1.108808</v>
      </c>
      <c r="L1571">
        <v>284.05829999999997</v>
      </c>
      <c r="M1571">
        <v>-0.99983949999999999</v>
      </c>
      <c r="N1571">
        <v>0</v>
      </c>
      <c r="O1571">
        <v>7.6020330000000002E-3</v>
      </c>
      <c r="P1571">
        <v>-0.98496719999999904</v>
      </c>
      <c r="Q1571">
        <v>1.0934869999999999E-2</v>
      </c>
      <c r="R1571">
        <v>-0.17239570000000001</v>
      </c>
      <c r="S1571">
        <v>-2.9445800000000002</v>
      </c>
      <c r="T1571">
        <v>-0.25349709999999998</v>
      </c>
      <c r="U1571">
        <v>-0.59796139999999998</v>
      </c>
      <c r="V1571">
        <v>-0.18014540000000001</v>
      </c>
      <c r="W1571">
        <v>2.505309E-2</v>
      </c>
      <c r="X1571">
        <v>0.98332090000000005</v>
      </c>
      <c r="Y1571">
        <v>-0.20569709999999999</v>
      </c>
      <c r="Z1571">
        <v>-9.3959089999999992E-3</v>
      </c>
      <c r="AA1571">
        <v>0.97857059999999996</v>
      </c>
      <c r="AB1571">
        <v>40</v>
      </c>
      <c r="AC1571">
        <v>-12.4545999999999</v>
      </c>
      <c r="AD1571">
        <v>-1.1088030332050001</v>
      </c>
      <c r="AE1571">
        <v>-2.61519999999995</v>
      </c>
      <c r="AF1571">
        <v>-2.68940134902192</v>
      </c>
      <c r="AG1571">
        <v>-1.1088030332050001</v>
      </c>
      <c r="AH1571">
        <v>12.3406759304424</v>
      </c>
      <c r="AI1571">
        <v>95.017073474195598</v>
      </c>
      <c r="AJ1571">
        <v>102.29423303464399</v>
      </c>
      <c r="AK1571">
        <v>12.6789039827095</v>
      </c>
      <c r="AL1571">
        <v>88.564413487110301</v>
      </c>
      <c r="AM1571">
        <v>100.381523626163</v>
      </c>
      <c r="AN1571">
        <v>1.00000000741825</v>
      </c>
    </row>
    <row r="1572" spans="1:40" x14ac:dyDescent="0.3">
      <c r="A1572" t="str">
        <f>"20200111153903358"</f>
        <v>20200111153903358</v>
      </c>
      <c r="B1572" t="str">
        <f>"1578728343352084"</f>
        <v>1578728343352084</v>
      </c>
      <c r="C1572" t="s">
        <v>40</v>
      </c>
      <c r="D1572">
        <v>4.8939089999999998</v>
      </c>
      <c r="E1572">
        <v>0.48488829999999999</v>
      </c>
      <c r="F1572" t="s">
        <v>53</v>
      </c>
      <c r="G1572">
        <v>-473.41370000000001</v>
      </c>
      <c r="H1572" s="1">
        <v>4.8179479999999997E-6</v>
      </c>
      <c r="I1572">
        <v>281.38659999999999</v>
      </c>
      <c r="J1572">
        <v>-461.02069999999998</v>
      </c>
      <c r="K1572">
        <v>1.109254</v>
      </c>
      <c r="L1572">
        <v>284.05689999999998</v>
      </c>
      <c r="M1572">
        <v>-0.99986569999999997</v>
      </c>
      <c r="N1572">
        <v>0</v>
      </c>
      <c r="O1572">
        <v>2.407101E-3</v>
      </c>
      <c r="P1572">
        <v>-0.984093</v>
      </c>
      <c r="Q1572">
        <v>1.1081479999999999E-2</v>
      </c>
      <c r="R1572">
        <v>-0.17730850000000001</v>
      </c>
      <c r="S1572">
        <v>-2.940979</v>
      </c>
      <c r="T1572">
        <v>-0.25517899999999999</v>
      </c>
      <c r="U1572">
        <v>-0.61486819999999998</v>
      </c>
      <c r="V1572">
        <v>-0.1799722</v>
      </c>
      <c r="W1572">
        <v>2.499208E-2</v>
      </c>
      <c r="X1572">
        <v>0.98335419999999996</v>
      </c>
      <c r="Y1572">
        <v>-0.20624909999999999</v>
      </c>
      <c r="Z1572">
        <v>-9.0422950000000005E-3</v>
      </c>
      <c r="AA1572">
        <v>0.97845769999999999</v>
      </c>
      <c r="AB1572">
        <v>40</v>
      </c>
      <c r="AC1572">
        <v>-12.393000000000001</v>
      </c>
      <c r="AD1572">
        <v>-1.1092491820520001</v>
      </c>
      <c r="AE1572">
        <v>-2.6702999999999899</v>
      </c>
      <c r="AF1572">
        <v>-2.6796125254471699</v>
      </c>
      <c r="AG1572">
        <v>-1.1092491820520001</v>
      </c>
      <c r="AH1572">
        <v>12.2924259126788</v>
      </c>
      <c r="AI1572">
        <v>95.038619850543299</v>
      </c>
      <c r="AJ1572">
        <v>102.29746480929199</v>
      </c>
      <c r="AK1572">
        <v>12.629904665242501</v>
      </c>
      <c r="AL1572">
        <v>88.567910243768395</v>
      </c>
      <c r="AM1572">
        <v>100.371415477436</v>
      </c>
      <c r="AN1572">
        <v>1.0000000397466</v>
      </c>
    </row>
    <row r="1573" spans="1:40" x14ac:dyDescent="0.3">
      <c r="A1573" t="str">
        <f>"20200111153903380"</f>
        <v>20200111153903380</v>
      </c>
      <c r="B1573" t="str">
        <f>"1578728343372580"</f>
        <v>1578728343372580</v>
      </c>
      <c r="C1573" t="s">
        <v>40</v>
      </c>
      <c r="D1573">
        <v>4.9174040000000003</v>
      </c>
      <c r="E1573">
        <v>0.48477769999999998</v>
      </c>
      <c r="F1573" t="s">
        <v>53</v>
      </c>
      <c r="G1573">
        <v>-473.798</v>
      </c>
      <c r="H1573" s="1">
        <v>4.641088E-6</v>
      </c>
      <c r="I1573">
        <v>281.31299999999999</v>
      </c>
      <c r="J1573">
        <v>-461.40460000000002</v>
      </c>
      <c r="K1573">
        <v>1.1096790000000001</v>
      </c>
      <c r="L1573">
        <v>284.053</v>
      </c>
      <c r="M1573">
        <v>-0.99986390000000003</v>
      </c>
      <c r="N1573">
        <v>0</v>
      </c>
      <c r="O1573">
        <v>-3.151764E-3</v>
      </c>
      <c r="P1573">
        <v>-0.98327299999999995</v>
      </c>
      <c r="Q1573">
        <v>1.238102E-2</v>
      </c>
      <c r="R1573">
        <v>-0.1817172</v>
      </c>
      <c r="S1573">
        <v>-2.9377140000000002</v>
      </c>
      <c r="T1573">
        <v>-0.25503589999999998</v>
      </c>
      <c r="U1573">
        <v>-0.63085939999999996</v>
      </c>
      <c r="V1573">
        <v>-0.17895269999999999</v>
      </c>
      <c r="W1573">
        <v>2.6113230000000001E-2</v>
      </c>
      <c r="X1573">
        <v>0.98351109999999997</v>
      </c>
      <c r="Y1573">
        <v>-0.20614569999999999</v>
      </c>
      <c r="Z1573">
        <v>-8.5612469999999993E-3</v>
      </c>
      <c r="AA1573">
        <v>0.97848389999999996</v>
      </c>
      <c r="AB1573">
        <v>40</v>
      </c>
      <c r="AC1573">
        <v>-12.3933999999999</v>
      </c>
      <c r="AD1573">
        <v>-1.1096743589119999</v>
      </c>
      <c r="AE1573">
        <v>-2.74</v>
      </c>
      <c r="AF1573">
        <v>-2.6804326543167099</v>
      </c>
      <c r="AG1573">
        <v>-1.1096743589119999</v>
      </c>
      <c r="AH1573">
        <v>12.3079015499981</v>
      </c>
      <c r="AI1573">
        <v>95.034452090140206</v>
      </c>
      <c r="AJ1573">
        <v>102.286116993598</v>
      </c>
      <c r="AK1573">
        <v>12.6451784076619</v>
      </c>
      <c r="AL1573">
        <v>88.503652078529598</v>
      </c>
      <c r="AM1573">
        <v>100.31231825266001</v>
      </c>
      <c r="AN1573">
        <v>1.00000002672076</v>
      </c>
    </row>
    <row r="1574" spans="1:40" x14ac:dyDescent="0.3">
      <c r="A1574" t="str">
        <f>"20200111153903403"</f>
        <v>20200111153903403</v>
      </c>
      <c r="B1574" t="str">
        <f>"1578728343392101"</f>
        <v>1578728343392101</v>
      </c>
      <c r="C1574" t="s">
        <v>40</v>
      </c>
      <c r="D1574">
        <v>4.9399089999999903</v>
      </c>
      <c r="E1574">
        <v>0.47673660000000001</v>
      </c>
      <c r="F1574" t="s">
        <v>53</v>
      </c>
      <c r="G1574">
        <v>-474.36059999999998</v>
      </c>
      <c r="H1574" s="1">
        <v>4.3818210000000001E-6</v>
      </c>
      <c r="I1574">
        <v>281.20139999999998</v>
      </c>
      <c r="J1574">
        <v>-461.82150000000001</v>
      </c>
      <c r="K1574">
        <v>1.1101099999999999</v>
      </c>
      <c r="L1574">
        <v>284.04610000000002</v>
      </c>
      <c r="M1574">
        <v>-0.99982230000000005</v>
      </c>
      <c r="N1574">
        <v>0</v>
      </c>
      <c r="O1574">
        <v>-9.6426900000000006E-3</v>
      </c>
      <c r="P1574">
        <v>-0.98215980000000003</v>
      </c>
      <c r="Q1574">
        <v>1.331072E-2</v>
      </c>
      <c r="R1574">
        <v>-0.1875764</v>
      </c>
      <c r="S1574">
        <v>-2.9348139999999998</v>
      </c>
      <c r="T1574">
        <v>-0.25136599999999998</v>
      </c>
      <c r="U1574">
        <v>-0.64596560000000003</v>
      </c>
      <c r="V1574">
        <v>-0.17847180000000001</v>
      </c>
      <c r="W1574">
        <v>2.6850639999999999E-2</v>
      </c>
      <c r="X1574">
        <v>0.98357859999999997</v>
      </c>
      <c r="Y1574">
        <v>-0.20484920000000001</v>
      </c>
      <c r="Z1574">
        <v>-7.8390230000000005E-3</v>
      </c>
      <c r="AA1574">
        <v>0.97876209999999997</v>
      </c>
      <c r="AB1574">
        <v>40</v>
      </c>
      <c r="AC1574">
        <v>-12.5390999999999</v>
      </c>
      <c r="AD1574">
        <v>-1.1101056181790001</v>
      </c>
      <c r="AE1574">
        <v>-2.84470000000004</v>
      </c>
      <c r="AF1574">
        <v>-2.7034889068051902</v>
      </c>
      <c r="AG1574">
        <v>-1.1101056181790001</v>
      </c>
      <c r="AH1574">
        <v>12.472975283055201</v>
      </c>
      <c r="AI1574">
        <v>94.971141110456998</v>
      </c>
      <c r="AJ1574">
        <v>102.229558172043</v>
      </c>
      <c r="AK1574">
        <v>12.810788389651799</v>
      </c>
      <c r="AL1574">
        <v>88.461386736061101</v>
      </c>
      <c r="AM1574">
        <v>100.28450743891599</v>
      </c>
      <c r="AN1574">
        <v>1.0000000013207999</v>
      </c>
    </row>
    <row r="1575" spans="1:40" x14ac:dyDescent="0.3">
      <c r="A1575" t="str">
        <f>"20200111153903424"</f>
        <v>20200111153903424</v>
      </c>
      <c r="B1575" t="str">
        <f>"1578728343422667"</f>
        <v>1578728343422667</v>
      </c>
      <c r="C1575" t="s">
        <v>40</v>
      </c>
      <c r="D1575">
        <v>4.8917299999999999</v>
      </c>
      <c r="E1575">
        <v>0.47741280000000003</v>
      </c>
      <c r="F1575" t="s">
        <v>53</v>
      </c>
      <c r="G1575">
        <v>-473.04020000000003</v>
      </c>
      <c r="H1575" s="1">
        <v>4.9727139999999998E-6</v>
      </c>
      <c r="I1575">
        <v>281.26229999999998</v>
      </c>
      <c r="J1575">
        <v>-462.18729999999999</v>
      </c>
      <c r="K1575">
        <v>1.110479</v>
      </c>
      <c r="L1575">
        <v>284.03750000000002</v>
      </c>
      <c r="M1575">
        <v>-0.99974540000000001</v>
      </c>
      <c r="N1575">
        <v>0</v>
      </c>
      <c r="O1575">
        <v>-1.5721829999999999E-2</v>
      </c>
      <c r="P1575">
        <v>-0.98076160000000001</v>
      </c>
      <c r="Q1575">
        <v>1.344972E-2</v>
      </c>
      <c r="R1575">
        <v>-0.194746</v>
      </c>
      <c r="S1575">
        <v>-2.9200740000000001</v>
      </c>
      <c r="T1575">
        <v>-0.28894710000000001</v>
      </c>
      <c r="U1575">
        <v>-0.72457890000000003</v>
      </c>
      <c r="V1575">
        <v>-0.1797031</v>
      </c>
      <c r="W1575">
        <v>2.6797729999999999E-2</v>
      </c>
      <c r="X1575">
        <v>0.9833558</v>
      </c>
      <c r="Y1575">
        <v>-0.22458259999999999</v>
      </c>
      <c r="Z1575">
        <v>-9.3916639999999992E-3</v>
      </c>
      <c r="AA1575">
        <v>0.97440979999999999</v>
      </c>
      <c r="AB1575">
        <v>40</v>
      </c>
      <c r="AC1575">
        <v>-10.8529</v>
      </c>
      <c r="AD1575">
        <v>-1.1104740272859901</v>
      </c>
      <c r="AE1575">
        <v>-2.7752000000000399</v>
      </c>
      <c r="AF1575">
        <v>-2.5788648044495601</v>
      </c>
      <c r="AG1575">
        <v>-1.1104740272859901</v>
      </c>
      <c r="AH1575">
        <v>10.7891708841693</v>
      </c>
      <c r="AI1575">
        <v>95.716548407731494</v>
      </c>
      <c r="AJ1575">
        <v>103.442816480692</v>
      </c>
      <c r="AK1575">
        <v>11.1485382276203</v>
      </c>
      <c r="AL1575">
        <v>88.464419307999194</v>
      </c>
      <c r="AM1575">
        <v>100.35622713755799</v>
      </c>
      <c r="AN1575">
        <v>0.999999975938201</v>
      </c>
    </row>
    <row r="1576" spans="1:40" x14ac:dyDescent="0.3">
      <c r="A1576" t="str">
        <f>"20200111153903448"</f>
        <v>20200111153903448</v>
      </c>
      <c r="B1576" t="str">
        <f>"1578728343442186"</f>
        <v>1578728343442186</v>
      </c>
      <c r="C1576" t="s">
        <v>40</v>
      </c>
      <c r="D1576">
        <v>4.9182399999999999</v>
      </c>
      <c r="E1576">
        <v>0.4781339</v>
      </c>
      <c r="F1576" t="s">
        <v>53</v>
      </c>
      <c r="G1576">
        <v>-473.52769999999998</v>
      </c>
      <c r="H1576" s="1">
        <v>4.7472589999999998E-6</v>
      </c>
      <c r="I1576">
        <v>281.15660000000003</v>
      </c>
      <c r="J1576">
        <v>-462.58580000000001</v>
      </c>
      <c r="K1576">
        <v>1.110892</v>
      </c>
      <c r="L1576">
        <v>284.02539999999999</v>
      </c>
      <c r="M1576">
        <v>-0.99961009999999995</v>
      </c>
      <c r="N1576">
        <v>0</v>
      </c>
      <c r="O1576">
        <v>-2.2757670000000001E-2</v>
      </c>
      <c r="P1576">
        <v>-0.97919350000000005</v>
      </c>
      <c r="Q1576">
        <v>1.302588E-2</v>
      </c>
      <c r="R1576">
        <v>-0.20251089999999999</v>
      </c>
      <c r="S1576">
        <v>-2.9157099999999998</v>
      </c>
      <c r="T1576">
        <v>-0.28551100000000001</v>
      </c>
      <c r="U1576">
        <v>-0.74072269999999996</v>
      </c>
      <c r="V1576">
        <v>-0.18059449999999999</v>
      </c>
      <c r="W1576">
        <v>2.6176629999999999E-2</v>
      </c>
      <c r="X1576">
        <v>0.98320929999999995</v>
      </c>
      <c r="Y1576">
        <v>-0.22320090000000001</v>
      </c>
      <c r="Z1576">
        <v>-8.545525E-3</v>
      </c>
      <c r="AA1576">
        <v>0.97473500000000002</v>
      </c>
      <c r="AB1576">
        <v>40</v>
      </c>
      <c r="AC1576">
        <v>-10.941899999999899</v>
      </c>
      <c r="AD1576">
        <v>-1.1108872527410001</v>
      </c>
      <c r="AE1576">
        <v>-2.8687999999999598</v>
      </c>
      <c r="AF1576">
        <v>-2.5939941615186601</v>
      </c>
      <c r="AG1576">
        <v>-1.1108872527410001</v>
      </c>
      <c r="AH1576">
        <v>10.899242856588099</v>
      </c>
      <c r="AI1576">
        <v>95.662587744869597</v>
      </c>
      <c r="AJ1576">
        <v>103.387206093467</v>
      </c>
      <c r="AK1576">
        <v>11.2586131936923</v>
      </c>
      <c r="AL1576">
        <v>88.5000183317145</v>
      </c>
      <c r="AM1576">
        <v>100.407995245389</v>
      </c>
      <c r="AN1576">
        <v>1.00000005849744</v>
      </c>
    </row>
    <row r="1577" spans="1:40" x14ac:dyDescent="0.3">
      <c r="A1577" t="str">
        <f>"20200111153903471"</f>
        <v>20200111153903471</v>
      </c>
      <c r="B1577" t="str">
        <f>"1578728343462683"</f>
        <v>1578728343462683</v>
      </c>
      <c r="C1577" t="s">
        <v>40</v>
      </c>
      <c r="D1577">
        <v>4.8885379999999996</v>
      </c>
      <c r="E1577">
        <v>0.47853309999999999</v>
      </c>
      <c r="F1577" t="s">
        <v>53</v>
      </c>
      <c r="G1577">
        <v>-474.15879999999999</v>
      </c>
      <c r="H1577" s="1">
        <v>4.4544360000000002E-6</v>
      </c>
      <c r="I1577">
        <v>281.00799999999998</v>
      </c>
      <c r="J1577">
        <v>-462.99579999999997</v>
      </c>
      <c r="K1577">
        <v>1.111313</v>
      </c>
      <c r="L1577">
        <v>284.00970000000001</v>
      </c>
      <c r="M1577">
        <v>-0.99940600000000002</v>
      </c>
      <c r="N1577">
        <v>0</v>
      </c>
      <c r="O1577">
        <v>-3.0423080000000002E-2</v>
      </c>
      <c r="P1577">
        <v>-0.97773589999999999</v>
      </c>
      <c r="Q1577">
        <v>1.3480829999999999E-2</v>
      </c>
      <c r="R1577">
        <v>-0.2094067</v>
      </c>
      <c r="S1577">
        <v>-2.9105219999999998</v>
      </c>
      <c r="T1577">
        <v>-0.27938099999999999</v>
      </c>
      <c r="U1577">
        <v>-0.75885009999999997</v>
      </c>
      <c r="V1577">
        <v>-0.18001739999999999</v>
      </c>
      <c r="W1577">
        <v>2.6461200000000001E-2</v>
      </c>
      <c r="X1577">
        <v>0.98330740000000005</v>
      </c>
      <c r="Y1577">
        <v>-0.22190989999999999</v>
      </c>
      <c r="Z1577">
        <v>-7.5893109999999996E-3</v>
      </c>
      <c r="AA1577">
        <v>0.97503759999999995</v>
      </c>
      <c r="AB1577">
        <v>40</v>
      </c>
      <c r="AC1577">
        <v>-11.163</v>
      </c>
      <c r="AD1577">
        <v>-1.1113085455639999</v>
      </c>
      <c r="AE1577">
        <v>-3.00170000000002</v>
      </c>
      <c r="AF1577">
        <v>-2.6362869802500901</v>
      </c>
      <c r="AG1577">
        <v>-1.1113085455639999</v>
      </c>
      <c r="AH1577">
        <v>11.146146235644199</v>
      </c>
      <c r="AI1577">
        <v>95.541856382546698</v>
      </c>
      <c r="AJ1577">
        <v>103.307057275752</v>
      </c>
      <c r="AK1577">
        <v>11.507458087346899</v>
      </c>
      <c r="AL1577">
        <v>88.483707859897805</v>
      </c>
      <c r="AM1577">
        <v>100.37444673092401</v>
      </c>
      <c r="AN1577">
        <v>0.99999995115147799</v>
      </c>
    </row>
    <row r="1578" spans="1:40" x14ac:dyDescent="0.3">
      <c r="A1578" t="str">
        <f>"20200111153903492"</f>
        <v>20200111153903492</v>
      </c>
      <c r="B1578" t="str">
        <f>"1578728343482203"</f>
        <v>1578728343482203</v>
      </c>
      <c r="C1578" t="s">
        <v>40</v>
      </c>
      <c r="D1578">
        <v>4.8962500000000002</v>
      </c>
      <c r="E1578">
        <v>0.4780257</v>
      </c>
      <c r="F1578" t="s">
        <v>53</v>
      </c>
      <c r="G1578">
        <v>-474.67320000000001</v>
      </c>
      <c r="H1578" s="1">
        <v>4.215848E-6</v>
      </c>
      <c r="I1578">
        <v>280.88850000000002</v>
      </c>
      <c r="J1578">
        <v>-463.36900000000003</v>
      </c>
      <c r="K1578">
        <v>1.111693</v>
      </c>
      <c r="L1578">
        <v>283.99239999999998</v>
      </c>
      <c r="M1578">
        <v>-0.99915480000000001</v>
      </c>
      <c r="N1578">
        <v>0</v>
      </c>
      <c r="O1578">
        <v>-3.777581E-2</v>
      </c>
      <c r="P1578">
        <v>-0.97624390000000005</v>
      </c>
      <c r="Q1578">
        <v>1.454919E-2</v>
      </c>
      <c r="R1578">
        <v>-0.21618519999999999</v>
      </c>
      <c r="S1578">
        <v>-2.9057919999999999</v>
      </c>
      <c r="T1578">
        <v>-0.27653610000000001</v>
      </c>
      <c r="U1578">
        <v>-0.77667240000000004</v>
      </c>
      <c r="V1578">
        <v>-0.17964910000000001</v>
      </c>
      <c r="W1578">
        <v>2.7379730000000001E-2</v>
      </c>
      <c r="X1578">
        <v>0.98334969999999999</v>
      </c>
      <c r="Y1578">
        <v>-0.22076589999999999</v>
      </c>
      <c r="Z1578">
        <v>-6.7806139999999999E-3</v>
      </c>
      <c r="AA1578">
        <v>0.97530320000000004</v>
      </c>
      <c r="AB1578">
        <v>40</v>
      </c>
      <c r="AC1578">
        <v>-11.3041999999999</v>
      </c>
      <c r="AD1578">
        <v>-1.111688784152</v>
      </c>
      <c r="AE1578">
        <v>-3.1038999999999501</v>
      </c>
      <c r="AF1578">
        <v>-2.6507634495130201</v>
      </c>
      <c r="AG1578">
        <v>-1.111688784152</v>
      </c>
      <c r="AH1578">
        <v>11.311667864643599</v>
      </c>
      <c r="AI1578">
        <v>95.465757149535605</v>
      </c>
      <c r="AJ1578">
        <v>103.188648317119</v>
      </c>
      <c r="AK1578">
        <v>11.671170836642499</v>
      </c>
      <c r="AL1578">
        <v>88.431061023125196</v>
      </c>
      <c r="AM1578">
        <v>100.35324528086301</v>
      </c>
      <c r="AN1578">
        <v>1.0000000406178799</v>
      </c>
    </row>
    <row r="1579" spans="1:40" x14ac:dyDescent="0.3">
      <c r="A1579" t="str">
        <f>"20200111153903516"</f>
        <v>20200111153903516</v>
      </c>
      <c r="B1579" t="str">
        <f>"1578728343512459"</f>
        <v>1578728343512459</v>
      </c>
      <c r="C1579" t="s">
        <v>40</v>
      </c>
      <c r="D1579">
        <v>4.927791</v>
      </c>
      <c r="E1579">
        <v>0.47724539999999999</v>
      </c>
      <c r="F1579" t="s">
        <v>53</v>
      </c>
      <c r="G1579">
        <v>-474.9742</v>
      </c>
      <c r="H1579" s="1">
        <v>4.073376E-6</v>
      </c>
      <c r="I1579">
        <v>280.78590000000003</v>
      </c>
      <c r="J1579">
        <v>-463.77030000000002</v>
      </c>
      <c r="K1579">
        <v>1.112085</v>
      </c>
      <c r="L1579">
        <v>283.97039999999998</v>
      </c>
      <c r="M1579">
        <v>-0.99880729999999995</v>
      </c>
      <c r="N1579">
        <v>0</v>
      </c>
      <c r="O1579">
        <v>-4.605542E-2</v>
      </c>
      <c r="P1579">
        <v>-0.97435579999999999</v>
      </c>
      <c r="Q1579">
        <v>1.4849569999999999E-2</v>
      </c>
      <c r="R1579">
        <v>-0.22452279999999999</v>
      </c>
      <c r="S1579">
        <v>-2.899689</v>
      </c>
      <c r="T1579">
        <v>-0.2777675</v>
      </c>
      <c r="U1579">
        <v>-0.80117799999999995</v>
      </c>
      <c r="V1579">
        <v>-0.17993770000000001</v>
      </c>
      <c r="W1579">
        <v>2.7514150000000001E-2</v>
      </c>
      <c r="X1579">
        <v>0.98329310000000003</v>
      </c>
      <c r="Y1579">
        <v>-0.22089729999999999</v>
      </c>
      <c r="Z1579">
        <v>-6.0491420000000004E-3</v>
      </c>
      <c r="AA1579">
        <v>0.97527830000000004</v>
      </c>
      <c r="AB1579">
        <v>39</v>
      </c>
      <c r="AC1579">
        <v>-11.2038999999999</v>
      </c>
      <c r="AD1579">
        <v>-1.1120809266239999</v>
      </c>
      <c r="AE1579">
        <v>-3.1844999999999501</v>
      </c>
      <c r="AF1579">
        <v>-2.6409772599233801</v>
      </c>
      <c r="AG1579">
        <v>-1.1120809266239999</v>
      </c>
      <c r="AH1579">
        <v>11.236263670949601</v>
      </c>
      <c r="AI1579">
        <v>95.503287590183902</v>
      </c>
      <c r="AJ1579">
        <v>103.22675131412799</v>
      </c>
      <c r="AK1579">
        <v>11.5959090268032</v>
      </c>
      <c r="AL1579">
        <v>88.423356298810504</v>
      </c>
      <c r="AM1579">
        <v>100.37010081033699</v>
      </c>
      <c r="AN1579">
        <v>0.99999996241956002</v>
      </c>
    </row>
    <row r="1580" spans="1:40" x14ac:dyDescent="0.3">
      <c r="A1580" t="str">
        <f>"20200111153903559"</f>
        <v>20200111153903559</v>
      </c>
      <c r="B1580" t="str">
        <f>"1578728343552474"</f>
        <v>1578728343552474</v>
      </c>
      <c r="C1580" t="s">
        <v>40</v>
      </c>
      <c r="D1580">
        <v>4.8831699999999998</v>
      </c>
      <c r="E1580">
        <v>0.47667910000000002</v>
      </c>
      <c r="F1580" t="s">
        <v>53</v>
      </c>
      <c r="G1580">
        <v>-475.18360000000001</v>
      </c>
      <c r="H1580" s="1">
        <v>3.9717870000000001E-6</v>
      </c>
      <c r="I1580">
        <v>280.68599999999998</v>
      </c>
      <c r="J1580">
        <v>-464.529</v>
      </c>
      <c r="K1580">
        <v>1.1127469999999999</v>
      </c>
      <c r="L1580">
        <v>283.91840000000002</v>
      </c>
      <c r="M1580">
        <v>-0.99789839999999996</v>
      </c>
      <c r="N1580">
        <v>0</v>
      </c>
      <c r="O1580">
        <v>-6.2729800000000002E-2</v>
      </c>
      <c r="P1580">
        <v>-0.97007690000000002</v>
      </c>
      <c r="Q1580">
        <v>1.5640040000000001E-2</v>
      </c>
      <c r="R1580">
        <v>-0.24229410000000001</v>
      </c>
      <c r="S1580">
        <v>-2.8915709999999999</v>
      </c>
      <c r="T1580">
        <v>-0.28174650000000001</v>
      </c>
      <c r="U1580">
        <v>-0.83209230000000001</v>
      </c>
      <c r="V1580">
        <v>-0.1815513</v>
      </c>
      <c r="W1580">
        <v>2.7992710000000001E-2</v>
      </c>
      <c r="X1580">
        <v>0.98298300000000005</v>
      </c>
      <c r="Y1580">
        <v>-0.21504280000000001</v>
      </c>
      <c r="Z1580">
        <v>-4.28335E-3</v>
      </c>
      <c r="AA1580">
        <v>0.9765952</v>
      </c>
      <c r="AB1580">
        <v>39</v>
      </c>
      <c r="AC1580">
        <v>-10.6546</v>
      </c>
      <c r="AD1580">
        <v>-1.112743028213</v>
      </c>
      <c r="AE1580">
        <v>-3.2324000000000401</v>
      </c>
      <c r="AF1580">
        <v>-2.5322907422663801</v>
      </c>
      <c r="AG1580">
        <v>-1.112743028213</v>
      </c>
      <c r="AH1580">
        <v>10.7292419878861</v>
      </c>
      <c r="AI1580">
        <v>95.763799404699</v>
      </c>
      <c r="AJ1580">
        <v>103.27979554220001</v>
      </c>
      <c r="AK1580">
        <v>11.0800418358788</v>
      </c>
      <c r="AL1580">
        <v>88.395926359311005</v>
      </c>
      <c r="AM1580">
        <v>100.464278304601</v>
      </c>
      <c r="AN1580">
        <v>1.0000000223169101</v>
      </c>
    </row>
    <row r="1581" spans="1:40" x14ac:dyDescent="0.3">
      <c r="A1581" t="str">
        <f>"20200111153903580"</f>
        <v>20200111153903580</v>
      </c>
      <c r="B1581" t="str">
        <f>"1578728343571995"</f>
        <v>1578728343571995</v>
      </c>
      <c r="C1581" t="s">
        <v>40</v>
      </c>
      <c r="D1581">
        <v>4.8817640000000004</v>
      </c>
      <c r="E1581">
        <v>0.47661740000000002</v>
      </c>
      <c r="F1581" t="s">
        <v>53</v>
      </c>
      <c r="G1581">
        <v>-475.87040000000002</v>
      </c>
      <c r="H1581" s="1">
        <v>3.643233E-6</v>
      </c>
      <c r="I1581">
        <v>280.41120000000001</v>
      </c>
      <c r="J1581">
        <v>-464.90600000000001</v>
      </c>
      <c r="K1581">
        <v>1.1130340000000001</v>
      </c>
      <c r="L1581">
        <v>283.88749999999999</v>
      </c>
      <c r="M1581">
        <v>-0.99731479999999995</v>
      </c>
      <c r="N1581">
        <v>0</v>
      </c>
      <c r="O1581">
        <v>-7.1409029999999998E-2</v>
      </c>
      <c r="P1581">
        <v>-0.96763120000000002</v>
      </c>
      <c r="Q1581">
        <v>1.6164939999999999E-2</v>
      </c>
      <c r="R1581">
        <v>-0.25185049999999998</v>
      </c>
      <c r="S1581">
        <v>-2.875</v>
      </c>
      <c r="T1581">
        <v>-0.2820781</v>
      </c>
      <c r="U1581">
        <v>-0.88906859999999999</v>
      </c>
      <c r="V1581">
        <v>-0.18272669999999999</v>
      </c>
      <c r="W1581">
        <v>2.836164E-2</v>
      </c>
      <c r="X1581">
        <v>0.98275460000000003</v>
      </c>
      <c r="Y1581">
        <v>-0.22577920000000001</v>
      </c>
      <c r="Z1581">
        <v>-3.9897889999999997E-3</v>
      </c>
      <c r="AA1581">
        <v>0.97417030000000004</v>
      </c>
      <c r="AB1581">
        <v>39</v>
      </c>
      <c r="AC1581">
        <v>-10.964399999999999</v>
      </c>
      <c r="AD1581">
        <v>-1.1130303567669999</v>
      </c>
      <c r="AE1581">
        <v>-3.4762999999999802</v>
      </c>
      <c r="AF1581">
        <v>-2.6594602916965999</v>
      </c>
      <c r="AG1581">
        <v>-1.1130303567669999</v>
      </c>
      <c r="AH1581">
        <v>11.080915914793099</v>
      </c>
      <c r="AI1581">
        <v>95.578501393023402</v>
      </c>
      <c r="AJ1581">
        <v>103.495931151457</v>
      </c>
      <c r="AK1581">
        <v>11.449814982300399</v>
      </c>
      <c r="AL1581">
        <v>88.374779822201603</v>
      </c>
      <c r="AM1581">
        <v>100.532908096016</v>
      </c>
      <c r="AN1581">
        <v>1.0000000166687599</v>
      </c>
    </row>
    <row r="1582" spans="1:40" x14ac:dyDescent="0.3">
      <c r="A1582" t="str">
        <f>"20200111153903603"</f>
        <v>20200111153903603</v>
      </c>
      <c r="B1582" t="str">
        <f>"1578728343592491"</f>
        <v>1578728343592491</v>
      </c>
      <c r="C1582" t="s">
        <v>40</v>
      </c>
      <c r="D1582">
        <v>4.8969149999999999</v>
      </c>
      <c r="E1582">
        <v>0.47653259999999997</v>
      </c>
      <c r="F1582" t="s">
        <v>53</v>
      </c>
      <c r="G1582">
        <v>-476.22059999999999</v>
      </c>
      <c r="H1582" s="1">
        <v>3.4751060000000001E-6</v>
      </c>
      <c r="I1582">
        <v>280.26499999999999</v>
      </c>
      <c r="J1582">
        <v>-465.29770000000002</v>
      </c>
      <c r="K1582">
        <v>1.1132899999999999</v>
      </c>
      <c r="L1582">
        <v>283.85180000000003</v>
      </c>
      <c r="M1582">
        <v>-0.99660890000000002</v>
      </c>
      <c r="N1582">
        <v>0</v>
      </c>
      <c r="O1582">
        <v>-8.0665249999999994E-2</v>
      </c>
      <c r="P1582">
        <v>-0.96498949999999994</v>
      </c>
      <c r="Q1582">
        <v>1.6597049999999999E-2</v>
      </c>
      <c r="R1582">
        <v>-0.26176300000000002</v>
      </c>
      <c r="S1582">
        <v>-2.866241</v>
      </c>
      <c r="T1582">
        <v>-0.28195429999999999</v>
      </c>
      <c r="U1582">
        <v>-0.91766360000000002</v>
      </c>
      <c r="V1582">
        <v>-0.1837115</v>
      </c>
      <c r="W1582">
        <v>2.8647619999999999E-2</v>
      </c>
      <c r="X1582">
        <v>0.98256270000000001</v>
      </c>
      <c r="Y1582">
        <v>-0.2264535</v>
      </c>
      <c r="Z1582">
        <v>-3.1474039999999999E-3</v>
      </c>
      <c r="AA1582">
        <v>0.97401689999999996</v>
      </c>
      <c r="AB1582">
        <v>39</v>
      </c>
      <c r="AC1582">
        <v>-10.922899999999901</v>
      </c>
      <c r="AD1582">
        <v>-1.11328652489399</v>
      </c>
      <c r="AE1582">
        <v>-3.58680000000003</v>
      </c>
      <c r="AF1582">
        <v>-2.6688676815801</v>
      </c>
      <c r="AG1582">
        <v>-1.11328652489399</v>
      </c>
      <c r="AH1582">
        <v>11.072833655017</v>
      </c>
      <c r="AI1582">
        <v>95.582531613409301</v>
      </c>
      <c r="AJ1582">
        <v>103.551435603459</v>
      </c>
      <c r="AK1582">
        <v>11.4442084365835</v>
      </c>
      <c r="AL1582">
        <v>88.358387737176201</v>
      </c>
      <c r="AM1582">
        <v>100.590415734914</v>
      </c>
      <c r="AN1582">
        <v>1.0000000303976</v>
      </c>
    </row>
    <row r="1583" spans="1:40" x14ac:dyDescent="0.3">
      <c r="A1583" t="str">
        <f>"20200111153903627"</f>
        <v>20200111153903627</v>
      </c>
      <c r="B1583" t="str">
        <f>"1578728343622747"</f>
        <v>1578728343622747</v>
      </c>
      <c r="C1583" t="s">
        <v>40</v>
      </c>
      <c r="D1583">
        <v>4.8968850000000002</v>
      </c>
      <c r="E1583">
        <v>0.47632790000000003</v>
      </c>
      <c r="F1583" t="s">
        <v>53</v>
      </c>
      <c r="G1583">
        <v>-476.56119999999999</v>
      </c>
      <c r="H1583" s="1">
        <v>3.3110740000000001E-6</v>
      </c>
      <c r="I1583">
        <v>280.11579999999998</v>
      </c>
      <c r="J1583">
        <v>-465.68970000000002</v>
      </c>
      <c r="K1583">
        <v>1.1135269999999999</v>
      </c>
      <c r="L1583">
        <v>283.81229999999999</v>
      </c>
      <c r="M1583">
        <v>-0.99579470000000003</v>
      </c>
      <c r="N1583">
        <v>0</v>
      </c>
      <c r="O1583">
        <v>-9.0163339999999995E-2</v>
      </c>
      <c r="P1583">
        <v>-0.96219120000000002</v>
      </c>
      <c r="Q1583">
        <v>1.6473109999999999E-2</v>
      </c>
      <c r="R1583">
        <v>-0.27187709999999998</v>
      </c>
      <c r="S1583">
        <v>-2.8566889999999998</v>
      </c>
      <c r="T1583">
        <v>-0.28235789999999999</v>
      </c>
      <c r="U1583">
        <v>-0.9475403</v>
      </c>
      <c r="V1583">
        <v>-0.18467140000000001</v>
      </c>
      <c r="W1583">
        <v>2.8384989999999999E-2</v>
      </c>
      <c r="X1583">
        <v>0.98239030000000005</v>
      </c>
      <c r="Y1583">
        <v>-0.227354</v>
      </c>
      <c r="Z1583">
        <v>-2.2973490000000002E-3</v>
      </c>
      <c r="AA1583">
        <v>0.97380949999999999</v>
      </c>
      <c r="AB1583">
        <v>39</v>
      </c>
      <c r="AC1583">
        <v>-10.8714999999999</v>
      </c>
      <c r="AD1583">
        <v>-1.1135236889259901</v>
      </c>
      <c r="AE1583">
        <v>-3.6965000000000101</v>
      </c>
      <c r="AF1583">
        <v>-2.6759360660271998</v>
      </c>
      <c r="AG1583">
        <v>-1.1135236889259901</v>
      </c>
      <c r="AH1583">
        <v>11.0565667245565</v>
      </c>
      <c r="AI1583">
        <v>95.590616156169901</v>
      </c>
      <c r="AJ1583">
        <v>103.605243316084</v>
      </c>
      <c r="AK1583">
        <v>11.430145955753799</v>
      </c>
      <c r="AL1583">
        <v>88.373441347069999</v>
      </c>
      <c r="AM1583">
        <v>100.646315063421</v>
      </c>
      <c r="AN1583">
        <v>0.99999996758467402</v>
      </c>
    </row>
    <row r="1584" spans="1:40" x14ac:dyDescent="0.3">
      <c r="A1584" t="str">
        <f>"20200111153903649"</f>
        <v>20200111153903649</v>
      </c>
      <c r="B1584" t="str">
        <f>"1578728343642268"</f>
        <v>1578728343642268</v>
      </c>
      <c r="C1584" t="s">
        <v>40</v>
      </c>
      <c r="D1584">
        <v>4.8700140000000003</v>
      </c>
      <c r="E1584">
        <v>0.47621340000000001</v>
      </c>
      <c r="F1584" t="s">
        <v>53</v>
      </c>
      <c r="G1584">
        <v>-476.80309999999997</v>
      </c>
      <c r="H1584" s="1">
        <v>3.192702E-6</v>
      </c>
      <c r="I1584">
        <v>279.98919999999998</v>
      </c>
      <c r="J1584">
        <v>-466.07990000000001</v>
      </c>
      <c r="K1584">
        <v>1.1137490000000001</v>
      </c>
      <c r="L1584">
        <v>283.76909999999998</v>
      </c>
      <c r="M1584">
        <v>-0.99487150000000002</v>
      </c>
      <c r="N1584">
        <v>0</v>
      </c>
      <c r="O1584">
        <v>-9.9835569999999998E-2</v>
      </c>
      <c r="P1584">
        <v>-0.95919180000000004</v>
      </c>
      <c r="Q1584">
        <v>1.620332E-2</v>
      </c>
      <c r="R1584">
        <v>-0.28229130000000002</v>
      </c>
      <c r="S1584">
        <v>-2.84613</v>
      </c>
      <c r="T1584">
        <v>-0.28517229999999999</v>
      </c>
      <c r="U1584">
        <v>-0.97909550000000001</v>
      </c>
      <c r="V1584">
        <v>-0.18578459999999999</v>
      </c>
      <c r="W1584">
        <v>2.7980789999999998E-2</v>
      </c>
      <c r="X1584">
        <v>0.98219199999999995</v>
      </c>
      <c r="Y1584">
        <v>-0.2286821</v>
      </c>
      <c r="Z1584">
        <v>-1.4604959999999999E-3</v>
      </c>
      <c r="AA1584">
        <v>0.97350009999999998</v>
      </c>
      <c r="AB1584">
        <v>39</v>
      </c>
      <c r="AC1584">
        <v>-10.723199999999901</v>
      </c>
      <c r="AD1584">
        <v>-1.11374580729799</v>
      </c>
      <c r="AE1584">
        <v>-3.7798999999999898</v>
      </c>
      <c r="AF1584">
        <v>-2.6647435229480099</v>
      </c>
      <c r="AG1584">
        <v>-1.11374580729799</v>
      </c>
      <c r="AH1584">
        <v>10.9420382129833</v>
      </c>
      <c r="AI1584">
        <v>95.647931854330807</v>
      </c>
      <c r="AJ1584">
        <v>103.686961389158</v>
      </c>
      <c r="AK1584">
        <v>11.316779047978001</v>
      </c>
      <c r="AL1584">
        <v>88.396609530415404</v>
      </c>
      <c r="AM1584">
        <v>100.71112323525</v>
      </c>
      <c r="AN1584">
        <v>0.99999998353509101</v>
      </c>
    </row>
    <row r="1585" spans="1:40" x14ac:dyDescent="0.3">
      <c r="A1585" t="str">
        <f>"20200111153903670"</f>
        <v>20200111153903670</v>
      </c>
      <c r="B1585" t="str">
        <f>"1578728343661790"</f>
        <v>1578728343661790</v>
      </c>
      <c r="C1585" t="s">
        <v>40</v>
      </c>
      <c r="D1585">
        <v>4.8793249999999997</v>
      </c>
      <c r="E1585">
        <v>0.47621520000000001</v>
      </c>
      <c r="F1585" t="s">
        <v>53</v>
      </c>
      <c r="G1585">
        <v>-477.11419999999998</v>
      </c>
      <c r="H1585" s="1">
        <v>3.0414039999999999E-6</v>
      </c>
      <c r="I1585">
        <v>279.83659999999998</v>
      </c>
      <c r="J1585">
        <v>-466.4486</v>
      </c>
      <c r="K1585">
        <v>1.11395</v>
      </c>
      <c r="L1585">
        <v>283.72469999999998</v>
      </c>
      <c r="M1585">
        <v>-0.99389190000000005</v>
      </c>
      <c r="N1585">
        <v>0</v>
      </c>
      <c r="O1585">
        <v>-0.10915560000000001</v>
      </c>
      <c r="P1585">
        <v>-0.95610229999999996</v>
      </c>
      <c r="Q1585">
        <v>1.491396E-2</v>
      </c>
      <c r="R1585">
        <v>-0.29265370000000002</v>
      </c>
      <c r="S1585">
        <v>-2.8351139999999999</v>
      </c>
      <c r="T1585">
        <v>-0.28616269999999999</v>
      </c>
      <c r="U1585">
        <v>-1.0104059999999999</v>
      </c>
      <c r="V1585">
        <v>-0.18718870000000001</v>
      </c>
      <c r="W1585">
        <v>2.6563679999999999E-2</v>
      </c>
      <c r="X1585">
        <v>0.98196479999999997</v>
      </c>
      <c r="Y1585">
        <v>-0.2303239</v>
      </c>
      <c r="Z1585">
        <v>-6.5110899999999998E-4</v>
      </c>
      <c r="AA1585">
        <v>0.97311380000000003</v>
      </c>
      <c r="AB1585">
        <v>39</v>
      </c>
      <c r="AC1585">
        <v>-10.6655999999999</v>
      </c>
      <c r="AD1585">
        <v>-1.113946958596</v>
      </c>
      <c r="AE1585">
        <v>-3.8881000000000001</v>
      </c>
      <c r="AF1585">
        <v>-2.67474314898997</v>
      </c>
      <c r="AG1585">
        <v>-1.113946958596</v>
      </c>
      <c r="AH1585">
        <v>10.9211596433474</v>
      </c>
      <c r="AI1585">
        <v>95.657884982538107</v>
      </c>
      <c r="AJ1585">
        <v>103.761643545891</v>
      </c>
      <c r="AK1585">
        <v>11.2989759135558</v>
      </c>
      <c r="AL1585">
        <v>88.477834279192095</v>
      </c>
      <c r="AM1585">
        <v>100.792618752946</v>
      </c>
      <c r="AN1585">
        <v>1.0000000534709299</v>
      </c>
    </row>
    <row r="1586" spans="1:40" x14ac:dyDescent="0.3">
      <c r="A1586" t="str">
        <f>"20200111153903693"</f>
        <v>20200111153903693</v>
      </c>
      <c r="B1586" t="str">
        <f>"1578728343682283"</f>
        <v>1578728343682283</v>
      </c>
      <c r="C1586" t="s">
        <v>40</v>
      </c>
      <c r="D1586">
        <v>4.8417719999999997</v>
      </c>
      <c r="E1586">
        <v>0.47633330000000002</v>
      </c>
      <c r="F1586" t="s">
        <v>53</v>
      </c>
      <c r="G1586">
        <v>-477.29669999999999</v>
      </c>
      <c r="H1586" s="1">
        <v>2.9509929999999998E-6</v>
      </c>
      <c r="I1586">
        <v>279.72829999999999</v>
      </c>
      <c r="J1586">
        <v>-466.83260000000001</v>
      </c>
      <c r="K1586">
        <v>1.114139</v>
      </c>
      <c r="L1586">
        <v>283.6746</v>
      </c>
      <c r="M1586">
        <v>-0.99275899999999995</v>
      </c>
      <c r="N1586">
        <v>0</v>
      </c>
      <c r="O1586">
        <v>-0.11901929999999999</v>
      </c>
      <c r="P1586">
        <v>-0.9525825</v>
      </c>
      <c r="Q1586">
        <v>1.3670109999999999E-2</v>
      </c>
      <c r="R1586">
        <v>-0.303973299999999</v>
      </c>
      <c r="S1586">
        <v>-2.8239139999999998</v>
      </c>
      <c r="T1586">
        <v>-0.28997499999999998</v>
      </c>
      <c r="U1586">
        <v>-1.040314</v>
      </c>
      <c r="V1586">
        <v>-0.18906619999999999</v>
      </c>
      <c r="W1586">
        <v>2.5182280000000001E-2</v>
      </c>
      <c r="X1586">
        <v>0.9816414</v>
      </c>
      <c r="Y1586">
        <v>-0.23101379999999999</v>
      </c>
      <c r="Z1586">
        <v>2.6696830000000002E-4</v>
      </c>
      <c r="AA1586">
        <v>0.97295050000000005</v>
      </c>
      <c r="AB1586">
        <v>39</v>
      </c>
      <c r="AC1586">
        <v>-10.464099999999901</v>
      </c>
      <c r="AD1586">
        <v>-1.114136049007</v>
      </c>
      <c r="AE1586">
        <v>-3.9462999999999999</v>
      </c>
      <c r="AF1586">
        <v>-2.64638298905022</v>
      </c>
      <c r="AG1586">
        <v>-1.114136049007</v>
      </c>
      <c r="AH1586">
        <v>10.7527302156663</v>
      </c>
      <c r="AI1586">
        <v>95.745305333641198</v>
      </c>
      <c r="AJ1586">
        <v>103.82642573935701</v>
      </c>
      <c r="AK1586">
        <v>11.129503544693</v>
      </c>
      <c r="AL1586">
        <v>88.557009108297393</v>
      </c>
      <c r="AM1586">
        <v>100.901793180338</v>
      </c>
      <c r="AN1586">
        <v>1.00000000670119</v>
      </c>
    </row>
    <row r="1587" spans="1:40" x14ac:dyDescent="0.3">
      <c r="A1587" t="str">
        <f>"20200111153903716"</f>
        <v>20200111153903716</v>
      </c>
      <c r="B1587" t="str">
        <f>"1578728343712539"</f>
        <v>1578728343712539</v>
      </c>
      <c r="C1587" t="s">
        <v>40</v>
      </c>
      <c r="D1587">
        <v>4.8630769999999997</v>
      </c>
      <c r="E1587">
        <v>0.47658539999999999</v>
      </c>
      <c r="F1587" t="s">
        <v>53</v>
      </c>
      <c r="G1587">
        <v>-477.42570000000001</v>
      </c>
      <c r="H1587" s="1">
        <v>2.885639E-6</v>
      </c>
      <c r="I1587">
        <v>279.63499999999999</v>
      </c>
      <c r="J1587">
        <v>-467.20839999999998</v>
      </c>
      <c r="K1587">
        <v>1.1143069999999999</v>
      </c>
      <c r="L1587">
        <v>283.62169999999998</v>
      </c>
      <c r="M1587">
        <v>-0.99153720000000001</v>
      </c>
      <c r="N1587">
        <v>0</v>
      </c>
      <c r="O1587">
        <v>-0.12880230000000001</v>
      </c>
      <c r="P1587">
        <v>-0.94925519999999997</v>
      </c>
      <c r="Q1587">
        <v>1.3566440000000001E-2</v>
      </c>
      <c r="R1587">
        <v>-0.3142143</v>
      </c>
      <c r="S1587">
        <v>-2.8114319999999999</v>
      </c>
      <c r="T1587">
        <v>-0.29569479999999998</v>
      </c>
      <c r="U1587">
        <v>-1.0721130000000001</v>
      </c>
      <c r="V1587">
        <v>-0.1899662</v>
      </c>
      <c r="W1587">
        <v>2.498015E-2</v>
      </c>
      <c r="X1587">
        <v>0.98147280000000003</v>
      </c>
      <c r="Y1587">
        <v>-0.23248289999999999</v>
      </c>
      <c r="Z1587">
        <v>1.171095E-3</v>
      </c>
      <c r="AA1587">
        <v>0.97259980000000001</v>
      </c>
      <c r="AB1587">
        <v>39</v>
      </c>
      <c r="AC1587">
        <v>-10.2173</v>
      </c>
      <c r="AD1587">
        <v>-1.114304114361</v>
      </c>
      <c r="AE1587">
        <v>-3.9866999999999799</v>
      </c>
      <c r="AF1587">
        <v>-2.6103520925944101</v>
      </c>
      <c r="AG1587">
        <v>-1.114304114361</v>
      </c>
      <c r="AH1587">
        <v>10.5369654171724</v>
      </c>
      <c r="AI1587">
        <v>95.860823634751895</v>
      </c>
      <c r="AJ1587">
        <v>103.91391939139299</v>
      </c>
      <c r="AK1587">
        <v>10.912527292487299</v>
      </c>
      <c r="AL1587">
        <v>88.568593954828899</v>
      </c>
      <c r="AM1587">
        <v>100.95427211077801</v>
      </c>
      <c r="AN1587">
        <v>1.00000001108815</v>
      </c>
    </row>
    <row r="1588" spans="1:40" x14ac:dyDescent="0.3">
      <c r="A1588" t="str">
        <f>"20200111153903738"</f>
        <v>20200111153903738</v>
      </c>
      <c r="B1588" t="str">
        <f>"1578728343732059"</f>
        <v>1578728343732059</v>
      </c>
      <c r="C1588" t="s">
        <v>40</v>
      </c>
      <c r="D1588">
        <v>4.8676979999999999</v>
      </c>
      <c r="E1588">
        <v>0.47677399999999998</v>
      </c>
      <c r="F1588" t="s">
        <v>53</v>
      </c>
      <c r="G1588">
        <v>-477.62520000000001</v>
      </c>
      <c r="H1588" s="1">
        <v>2.7842759999999999E-6</v>
      </c>
      <c r="I1588">
        <v>279.53109999999998</v>
      </c>
      <c r="J1588">
        <v>-467.5924</v>
      </c>
      <c r="K1588">
        <v>1.1144590000000001</v>
      </c>
      <c r="L1588">
        <v>283.5634</v>
      </c>
      <c r="M1588">
        <v>-0.99017140000000003</v>
      </c>
      <c r="N1588">
        <v>0</v>
      </c>
      <c r="O1588">
        <v>-0.13891099999999901</v>
      </c>
      <c r="P1588">
        <v>-0.9457508</v>
      </c>
      <c r="Q1588">
        <v>1.4520760000000001E-2</v>
      </c>
      <c r="R1588">
        <v>-0.32456819999999997</v>
      </c>
      <c r="S1588">
        <v>-2.8005979999999999</v>
      </c>
      <c r="T1588">
        <v>-0.299587099999999</v>
      </c>
      <c r="U1588">
        <v>-1.0997920000000001</v>
      </c>
      <c r="V1588">
        <v>-0.19071260000000001</v>
      </c>
      <c r="W1588">
        <v>2.5849629999999998E-2</v>
      </c>
      <c r="X1588">
        <v>0.98130550000000005</v>
      </c>
      <c r="Y1588">
        <v>-0.2322061</v>
      </c>
      <c r="Z1588">
        <v>2.22084E-3</v>
      </c>
      <c r="AA1588">
        <v>0.97266410000000003</v>
      </c>
      <c r="AB1588">
        <v>39</v>
      </c>
      <c r="AC1588">
        <v>-10.0328</v>
      </c>
      <c r="AD1588">
        <v>-1.1144562157240001</v>
      </c>
      <c r="AE1588">
        <v>-4.0323000000000198</v>
      </c>
      <c r="AF1588">
        <v>-2.5720226411878899</v>
      </c>
      <c r="AG1588">
        <v>-1.1144562157240001</v>
      </c>
      <c r="AH1588">
        <v>10.3853850207483</v>
      </c>
      <c r="AI1588">
        <v>95.946666123464595</v>
      </c>
      <c r="AJ1588">
        <v>103.909875242025</v>
      </c>
      <c r="AK1588">
        <v>10.757022597016899</v>
      </c>
      <c r="AL1588">
        <v>88.518760294000899</v>
      </c>
      <c r="AM1588">
        <v>100.998094609411</v>
      </c>
      <c r="AN1588">
        <v>0.99999999175007304</v>
      </c>
    </row>
    <row r="1589" spans="1:40" x14ac:dyDescent="0.3">
      <c r="A1589" t="str">
        <f>"20200111153903761"</f>
        <v>20200111153903761</v>
      </c>
      <c r="B1589" t="str">
        <f>"1578728343752554"</f>
        <v>1578728343752554</v>
      </c>
      <c r="C1589" t="s">
        <v>40</v>
      </c>
      <c r="D1589">
        <v>4.8819970000000001</v>
      </c>
      <c r="E1589">
        <v>0.47686200000000001</v>
      </c>
      <c r="F1589" t="s">
        <v>53</v>
      </c>
      <c r="G1589">
        <v>-477.9973</v>
      </c>
      <c r="H1589" s="1">
        <v>2.5957699999999998E-6</v>
      </c>
      <c r="I1589">
        <v>279.3535</v>
      </c>
      <c r="J1589">
        <v>-467.97300000000001</v>
      </c>
      <c r="K1589">
        <v>1.1145849999999999</v>
      </c>
      <c r="L1589">
        <v>283.50170000000003</v>
      </c>
      <c r="M1589">
        <v>-0.98870159999999996</v>
      </c>
      <c r="N1589">
        <v>0</v>
      </c>
      <c r="O1589">
        <v>-0.1490136</v>
      </c>
      <c r="P1589">
        <v>-0.94212379999999996</v>
      </c>
      <c r="Q1589">
        <v>1.5891079999999998E-2</v>
      </c>
      <c r="R1589">
        <v>-0.33488879999999999</v>
      </c>
      <c r="S1589">
        <v>-2.7893680000000001</v>
      </c>
      <c r="T1589">
        <v>-0.29876589999999997</v>
      </c>
      <c r="U1589">
        <v>-1.128601</v>
      </c>
      <c r="V1589">
        <v>-0.19146640000000001</v>
      </c>
      <c r="W1589">
        <v>2.714664E-2</v>
      </c>
      <c r="X1589">
        <v>0.98112370000000004</v>
      </c>
      <c r="Y1589">
        <v>-0.23232069999999999</v>
      </c>
      <c r="Z1589">
        <v>3.226629E-3</v>
      </c>
      <c r="AA1589">
        <v>0.97263390000000005</v>
      </c>
      <c r="AB1589">
        <v>39</v>
      </c>
      <c r="AC1589">
        <v>-10.024299999999901</v>
      </c>
      <c r="AD1589">
        <v>-1.1145824042300001</v>
      </c>
      <c r="AE1589">
        <v>-4.1482000000000303</v>
      </c>
      <c r="AF1589">
        <v>-2.5806795586790598</v>
      </c>
      <c r="AG1589">
        <v>-1.1145824042300001</v>
      </c>
      <c r="AH1589">
        <v>10.420578232886101</v>
      </c>
      <c r="AI1589">
        <v>95.927399830274197</v>
      </c>
      <c r="AJ1589">
        <v>103.909569797049</v>
      </c>
      <c r="AK1589">
        <v>10.793083508807999</v>
      </c>
      <c r="AL1589">
        <v>88.444421027573995</v>
      </c>
      <c r="AM1589">
        <v>101.04249449244</v>
      </c>
      <c r="AN1589">
        <v>1.00000001854696</v>
      </c>
    </row>
    <row r="1590" spans="1:40" x14ac:dyDescent="0.3">
      <c r="A1590" t="str">
        <f>"20200111153903782"</f>
        <v>20200111153903782</v>
      </c>
      <c r="B1590" t="str">
        <f>"1578728343772075"</f>
        <v>1578728343772075</v>
      </c>
      <c r="C1590" t="s">
        <v>40</v>
      </c>
      <c r="D1590">
        <v>4.9077400000000004</v>
      </c>
      <c r="E1590">
        <v>0.4768676</v>
      </c>
      <c r="F1590" t="s">
        <v>53</v>
      </c>
      <c r="G1590">
        <v>-478.40879999999999</v>
      </c>
      <c r="H1590" s="1">
        <v>2.3866519999999999E-6</v>
      </c>
      <c r="I1590">
        <v>279.15210000000002</v>
      </c>
      <c r="J1590">
        <v>-468.33980000000003</v>
      </c>
      <c r="K1590">
        <v>1.114671</v>
      </c>
      <c r="L1590">
        <v>283.4384</v>
      </c>
      <c r="M1590">
        <v>-0.9871761</v>
      </c>
      <c r="N1590">
        <v>0</v>
      </c>
      <c r="O1590">
        <v>-0.15880540000000001</v>
      </c>
      <c r="P1590">
        <v>-0.9384188</v>
      </c>
      <c r="Q1590">
        <v>1.670603E-2</v>
      </c>
      <c r="R1590">
        <v>-0.34509600000000001</v>
      </c>
      <c r="S1590">
        <v>-2.7778019999999999</v>
      </c>
      <c r="T1590">
        <v>-0.29668030000000001</v>
      </c>
      <c r="U1590">
        <v>-1.1577759999999999</v>
      </c>
      <c r="V1590">
        <v>-0.19242090000000001</v>
      </c>
      <c r="W1590">
        <v>2.7893560000000001E-2</v>
      </c>
      <c r="X1590">
        <v>0.98091600000000001</v>
      </c>
      <c r="Y1590">
        <v>-0.2328731</v>
      </c>
      <c r="Z1590">
        <v>4.1565899999999999E-3</v>
      </c>
      <c r="AA1590">
        <v>0.97249819999999998</v>
      </c>
      <c r="AB1590">
        <v>39</v>
      </c>
      <c r="AC1590">
        <v>-10.0689999999999</v>
      </c>
      <c r="AD1590">
        <v>-1.1146686133479999</v>
      </c>
      <c r="AE1590">
        <v>-4.2862999999999802</v>
      </c>
      <c r="AF1590">
        <v>-2.6056355363270098</v>
      </c>
      <c r="AG1590">
        <v>-1.1146686133479999</v>
      </c>
      <c r="AH1590">
        <v>10.512895145988301</v>
      </c>
      <c r="AI1590">
        <v>95.875895358251896</v>
      </c>
      <c r="AJ1590">
        <v>103.920319570487</v>
      </c>
      <c r="AK1590">
        <v>10.888194846543501</v>
      </c>
      <c r="AL1590">
        <v>88.401609461182403</v>
      </c>
      <c r="AM1590">
        <v>101.09847191442</v>
      </c>
      <c r="AN1590">
        <v>1.0000000262511399</v>
      </c>
    </row>
    <row r="1591" spans="1:40" x14ac:dyDescent="0.3">
      <c r="A1591" t="str">
        <f>"20200111153903805"</f>
        <v>20200111153903805</v>
      </c>
      <c r="B1591" t="str">
        <f>"1578728343802331"</f>
        <v>1578728343802331</v>
      </c>
      <c r="C1591" t="s">
        <v>40</v>
      </c>
      <c r="D1591">
        <v>4.9478790000000004</v>
      </c>
      <c r="E1591">
        <v>0.47888940000000002</v>
      </c>
      <c r="F1591" t="s">
        <v>53</v>
      </c>
      <c r="G1591">
        <v>-478.01650000000001</v>
      </c>
      <c r="H1591">
        <v>7.7275650000000001E-2</v>
      </c>
      <c r="I1591">
        <v>279.28320000000002</v>
      </c>
      <c r="J1591">
        <v>-468.71409999999997</v>
      </c>
      <c r="K1591">
        <v>1.114743</v>
      </c>
      <c r="L1591">
        <v>283.36989999999997</v>
      </c>
      <c r="M1591">
        <v>-0.98550959999999999</v>
      </c>
      <c r="N1591">
        <v>0</v>
      </c>
      <c r="O1591">
        <v>-0.16883870000000001</v>
      </c>
      <c r="P1591">
        <v>-0.93435060000000003</v>
      </c>
      <c r="Q1591">
        <v>1.6479649999999998E-2</v>
      </c>
      <c r="R1591">
        <v>-0.35597400000000001</v>
      </c>
      <c r="S1591">
        <v>-2.7654719999999999</v>
      </c>
      <c r="T1591">
        <v>-0.29647509999999999</v>
      </c>
      <c r="U1591">
        <v>-1.1875</v>
      </c>
      <c r="V1591">
        <v>-0.19383629999999999</v>
      </c>
      <c r="W1591">
        <v>2.7590409999999999E-2</v>
      </c>
      <c r="X1591">
        <v>0.98064580000000001</v>
      </c>
      <c r="Y1591">
        <v>-0.2334241</v>
      </c>
      <c r="Z1591">
        <v>5.1309759999999998E-3</v>
      </c>
      <c r="AA1591">
        <v>0.97236149999999999</v>
      </c>
      <c r="AB1591">
        <v>39</v>
      </c>
      <c r="AC1591">
        <v>-9.3024000000000306</v>
      </c>
      <c r="AD1591">
        <v>-1.03746735</v>
      </c>
      <c r="AE1591">
        <v>-4.0866999999999498</v>
      </c>
      <c r="AF1591">
        <v>-2.4318472300393701</v>
      </c>
      <c r="AG1591">
        <v>-1.03746735</v>
      </c>
      <c r="AH1591">
        <v>9.75717215747067</v>
      </c>
      <c r="AI1591">
        <v>95.890506126082897</v>
      </c>
      <c r="AJ1591">
        <v>103.995084966972</v>
      </c>
      <c r="AK1591">
        <v>10.1090369453814</v>
      </c>
      <c r="AL1591">
        <v>88.418985264788702</v>
      </c>
      <c r="AM1591">
        <v>101.181063240694</v>
      </c>
      <c r="AN1591">
        <v>0.99999996348964804</v>
      </c>
    </row>
    <row r="1592" spans="1:40" x14ac:dyDescent="0.3">
      <c r="A1592" t="str">
        <f>"20200111153903827"</f>
        <v>20200111153903827</v>
      </c>
      <c r="B1592" t="str">
        <f>"1578728343821852"</f>
        <v>1578728343821852</v>
      </c>
      <c r="C1592" t="s">
        <v>40</v>
      </c>
      <c r="D1592">
        <v>4.8873959999999999</v>
      </c>
      <c r="E1592">
        <v>0.48071320000000001</v>
      </c>
      <c r="F1592" t="s">
        <v>53</v>
      </c>
      <c r="G1592">
        <v>-476.55650000000003</v>
      </c>
      <c r="H1592" s="1">
        <v>3.3001649999999999E-6</v>
      </c>
      <c r="I1592">
        <v>279.96749999999997</v>
      </c>
      <c r="J1592">
        <v>-469.08440000000002</v>
      </c>
      <c r="K1592">
        <v>1.1147899999999999</v>
      </c>
      <c r="L1592">
        <v>283.29840000000002</v>
      </c>
      <c r="M1592">
        <v>-0.98375400000000002</v>
      </c>
      <c r="N1592">
        <v>0</v>
      </c>
      <c r="O1592">
        <v>-0.17878669999999999</v>
      </c>
      <c r="P1592">
        <v>-0.92973919999999999</v>
      </c>
      <c r="Q1592">
        <v>1.6274E-2</v>
      </c>
      <c r="R1592">
        <v>-0.36785950000000001</v>
      </c>
      <c r="S1592">
        <v>-2.7612920000000001</v>
      </c>
      <c r="T1592">
        <v>-0.3924994</v>
      </c>
      <c r="U1592">
        <v>-1.1979979999999999</v>
      </c>
      <c r="V1592">
        <v>-0.19643070000000001</v>
      </c>
      <c r="W1592">
        <v>2.7273909999999998E-2</v>
      </c>
      <c r="X1592">
        <v>0.98013830000000002</v>
      </c>
      <c r="Y1592">
        <v>-0.22714429999999999</v>
      </c>
      <c r="Z1592">
        <v>8.5162009999999993E-3</v>
      </c>
      <c r="AA1592">
        <v>0.97382389999999996</v>
      </c>
      <c r="AB1592">
        <v>39</v>
      </c>
      <c r="AC1592">
        <v>-7.47210000000001</v>
      </c>
      <c r="AD1592">
        <v>-1.114786699835</v>
      </c>
      <c r="AE1592">
        <v>-3.3309000000000402</v>
      </c>
      <c r="AF1592">
        <v>-1.90574261670503</v>
      </c>
      <c r="AG1592">
        <v>-1.114786699835</v>
      </c>
      <c r="AH1592">
        <v>7.8023953447629104</v>
      </c>
      <c r="AI1592">
        <v>97.902011388667006</v>
      </c>
      <c r="AJ1592">
        <v>103.725807500263</v>
      </c>
      <c r="AK1592">
        <v>8.1087593023367397</v>
      </c>
      <c r="AL1592">
        <v>88.437126242893797</v>
      </c>
      <c r="AM1592">
        <v>101.33258495209</v>
      </c>
      <c r="AN1592">
        <v>0.99999998659803302</v>
      </c>
    </row>
    <row r="1593" spans="1:40" x14ac:dyDescent="0.3">
      <c r="A1593" t="str">
        <f>"20200111153903850"</f>
        <v>20200111153903850</v>
      </c>
      <c r="B1593" t="str">
        <f>"1578728343842346"</f>
        <v>1578728343842346</v>
      </c>
      <c r="C1593" t="s">
        <v>40</v>
      </c>
      <c r="D1593">
        <v>4.8082079999999996</v>
      </c>
      <c r="E1593">
        <v>0.45550410000000002</v>
      </c>
      <c r="F1593" t="s">
        <v>53</v>
      </c>
      <c r="G1593">
        <v>-476.96820000000002</v>
      </c>
      <c r="H1593" s="1">
        <v>3.1033750000000002E-6</v>
      </c>
      <c r="I1593">
        <v>279.80470000000003</v>
      </c>
      <c r="J1593">
        <v>-469.46640000000002</v>
      </c>
      <c r="K1593">
        <v>1.114822</v>
      </c>
      <c r="L1593">
        <v>283.22059999999999</v>
      </c>
      <c r="M1593">
        <v>-0.98183019999999999</v>
      </c>
      <c r="N1593">
        <v>0</v>
      </c>
      <c r="O1593">
        <v>-0.18906899999999999</v>
      </c>
      <c r="P1593">
        <v>-0.92500099999999996</v>
      </c>
      <c r="Q1593">
        <v>1.6460249999999999E-2</v>
      </c>
      <c r="R1593">
        <v>-0.37960840000000001</v>
      </c>
      <c r="S1593">
        <v>-2.7511290000000002</v>
      </c>
      <c r="T1593">
        <v>-0.38901540000000001</v>
      </c>
      <c r="U1593">
        <v>-1.219177</v>
      </c>
      <c r="V1593">
        <v>-0.19859940000000001</v>
      </c>
      <c r="W1593">
        <v>2.7341600000000001E-2</v>
      </c>
      <c r="X1593">
        <v>0.97969930000000005</v>
      </c>
      <c r="Y1593">
        <v>-0.22466149999999999</v>
      </c>
      <c r="Z1593">
        <v>9.9587919999999993E-3</v>
      </c>
      <c r="AA1593">
        <v>0.97438599999999997</v>
      </c>
      <c r="AB1593">
        <v>38</v>
      </c>
      <c r="AC1593">
        <v>-7.5018000000000002</v>
      </c>
      <c r="AD1593">
        <v>-1.1148188966250001</v>
      </c>
      <c r="AE1593">
        <v>-3.4158999999999602</v>
      </c>
      <c r="AF1593">
        <v>-1.9009585759582901</v>
      </c>
      <c r="AG1593">
        <v>-1.1148188966250001</v>
      </c>
      <c r="AH1593">
        <v>7.8684600288905999</v>
      </c>
      <c r="AI1593">
        <v>97.841437733877797</v>
      </c>
      <c r="AJ1593">
        <v>103.581959994428</v>
      </c>
      <c r="AK1593">
        <v>8.1712378441721203</v>
      </c>
      <c r="AL1593">
        <v>88.4332464681506</v>
      </c>
      <c r="AM1593">
        <v>101.4594098183</v>
      </c>
      <c r="AN1593">
        <v>1.0000000015957</v>
      </c>
    </row>
    <row r="1594" spans="1:40" x14ac:dyDescent="0.3">
      <c r="A1594" t="str">
        <f>"20200111153903872"</f>
        <v>20200111153903872</v>
      </c>
      <c r="B1594" t="str">
        <f>"1578728343861867"</f>
        <v>1578728343861867</v>
      </c>
      <c r="C1594" t="s">
        <v>40</v>
      </c>
      <c r="D1594">
        <v>4.8605429999999998</v>
      </c>
      <c r="E1594">
        <v>0.45360739999999999</v>
      </c>
      <c r="F1594" t="s">
        <v>53</v>
      </c>
      <c r="G1594">
        <v>-477.16039999999998</v>
      </c>
      <c r="H1594">
        <v>8.0000440000000006E-2</v>
      </c>
      <c r="I1594">
        <v>279.0453</v>
      </c>
      <c r="J1594">
        <v>-469.83190000000002</v>
      </c>
      <c r="K1594">
        <v>1.11483</v>
      </c>
      <c r="L1594">
        <v>283.1422</v>
      </c>
      <c r="M1594">
        <v>-0.97988310000000001</v>
      </c>
      <c r="N1594">
        <v>0</v>
      </c>
      <c r="O1594">
        <v>-0.19892090000000001</v>
      </c>
      <c r="P1594">
        <v>-0.92058989999999996</v>
      </c>
      <c r="Q1594">
        <v>1.5925789999999999E-2</v>
      </c>
      <c r="R1594">
        <v>-0.39020640000000001</v>
      </c>
      <c r="S1594">
        <v>-2.657715</v>
      </c>
      <c r="T1594">
        <v>-0.35745559999999998</v>
      </c>
      <c r="U1594">
        <v>-1.442261</v>
      </c>
      <c r="V1594">
        <v>-0.1999958</v>
      </c>
      <c r="W1594">
        <v>2.6681900000000001E-2</v>
      </c>
      <c r="X1594">
        <v>0.97943340000000001</v>
      </c>
      <c r="Y1594">
        <v>-0.29192649999999998</v>
      </c>
      <c r="Z1594">
        <v>6.2100289999999997E-3</v>
      </c>
      <c r="AA1594">
        <v>0.95642059999999995</v>
      </c>
      <c r="AB1594">
        <v>38</v>
      </c>
      <c r="AC1594">
        <v>-7.32849999999996</v>
      </c>
      <c r="AD1594">
        <v>-1.0348295599999999</v>
      </c>
      <c r="AE1594">
        <v>-4.0968999999999998</v>
      </c>
      <c r="AF1594">
        <v>-2.5187594079987199</v>
      </c>
      <c r="AG1594">
        <v>-1.0348295599999999</v>
      </c>
      <c r="AH1594">
        <v>7.8774007669961597</v>
      </c>
      <c r="AI1594">
        <v>97.132138403274496</v>
      </c>
      <c r="AJ1594">
        <v>107.73141669554499</v>
      </c>
      <c r="AK1594">
        <v>8.3347743831194094</v>
      </c>
      <c r="AL1594">
        <v>88.471058311060503</v>
      </c>
      <c r="AM1594">
        <v>101.540878558834</v>
      </c>
      <c r="AN1594">
        <v>1.0000000144204</v>
      </c>
    </row>
    <row r="1595" spans="1:40" x14ac:dyDescent="0.3">
      <c r="A1595" t="str">
        <f>"20200111153903894"</f>
        <v>20200111153903894</v>
      </c>
      <c r="B1595" t="str">
        <f>"1578728343882363"</f>
        <v>1578728343882363</v>
      </c>
      <c r="C1595" t="s">
        <v>40</v>
      </c>
      <c r="D1595">
        <v>4.8018199999999904</v>
      </c>
      <c r="E1595">
        <v>0.45558100000000001</v>
      </c>
      <c r="F1595" t="s">
        <v>53</v>
      </c>
      <c r="G1595">
        <v>-477.72669999999999</v>
      </c>
      <c r="H1595">
        <v>8.0000360000000006E-2</v>
      </c>
      <c r="I1595">
        <v>278.68380000000002</v>
      </c>
      <c r="J1595">
        <v>-470.19630000000001</v>
      </c>
      <c r="K1595">
        <v>1.1148279999999999</v>
      </c>
      <c r="L1595">
        <v>283.06020000000001</v>
      </c>
      <c r="M1595">
        <v>-0.97784159999999998</v>
      </c>
      <c r="N1595">
        <v>0</v>
      </c>
      <c r="O1595">
        <v>-0.20873149999999999</v>
      </c>
      <c r="P1595">
        <v>-0.91626940000000001</v>
      </c>
      <c r="Q1595">
        <v>1.442364E-2</v>
      </c>
      <c r="R1595">
        <v>-0.40030280000000001</v>
      </c>
      <c r="S1595">
        <v>-2.6341860000000001</v>
      </c>
      <c r="T1595">
        <v>-0.34528399999999998</v>
      </c>
      <c r="U1595">
        <v>-1.487579</v>
      </c>
      <c r="V1595">
        <v>-0.20090179999999999</v>
      </c>
      <c r="W1595">
        <v>2.5052129999999999E-2</v>
      </c>
      <c r="X1595">
        <v>0.97929100000000002</v>
      </c>
      <c r="Y1595">
        <v>-0.29853760000000001</v>
      </c>
      <c r="Z1595">
        <v>6.7543960000000002E-3</v>
      </c>
      <c r="AA1595">
        <v>0.95437399999999994</v>
      </c>
      <c r="AB1595">
        <v>38</v>
      </c>
      <c r="AC1595">
        <v>-7.5303999999999798</v>
      </c>
      <c r="AD1595">
        <v>-1.03482764</v>
      </c>
      <c r="AE1595">
        <v>-4.3763999999999896</v>
      </c>
      <c r="AF1595">
        <v>-2.6702479167698199</v>
      </c>
      <c r="AG1595">
        <v>-1.03482764</v>
      </c>
      <c r="AH1595">
        <v>8.16286422632996</v>
      </c>
      <c r="AI1595">
        <v>96.8704321730212</v>
      </c>
      <c r="AJ1595">
        <v>108.11403048041799</v>
      </c>
      <c r="AK1595">
        <v>8.6506326103366007</v>
      </c>
      <c r="AL1595">
        <v>88.5644685013675</v>
      </c>
      <c r="AM1595">
        <v>101.59338784835199</v>
      </c>
      <c r="AN1595">
        <v>1.00000000257088</v>
      </c>
    </row>
    <row r="1596" spans="1:40" x14ac:dyDescent="0.3">
      <c r="A1596" t="str">
        <f>"20200111153903917"</f>
        <v>20200111153903917</v>
      </c>
      <c r="B1596" t="str">
        <f>"1578728343912620"</f>
        <v>1578728343912620</v>
      </c>
      <c r="C1596" t="s">
        <v>40</v>
      </c>
      <c r="D1596">
        <v>4.7848220000000001</v>
      </c>
      <c r="E1596">
        <v>0.45720110000000003</v>
      </c>
      <c r="F1596" t="s">
        <v>53</v>
      </c>
      <c r="G1596">
        <v>-478.40449999999998</v>
      </c>
      <c r="H1596">
        <v>8.000024E-2</v>
      </c>
      <c r="I1596">
        <v>278.3562</v>
      </c>
      <c r="J1596">
        <v>-470.57</v>
      </c>
      <c r="K1596">
        <v>1.1148180000000001</v>
      </c>
      <c r="L1596">
        <v>282.97190000000001</v>
      </c>
      <c r="M1596">
        <v>-0.97564479999999998</v>
      </c>
      <c r="N1596">
        <v>0</v>
      </c>
      <c r="O1596">
        <v>-0.21877759999999999</v>
      </c>
      <c r="P1596">
        <v>-0.91170819999999997</v>
      </c>
      <c r="Q1596">
        <v>1.348129E-2</v>
      </c>
      <c r="R1596">
        <v>-0.41061730000000002</v>
      </c>
      <c r="S1596">
        <v>-2.6227109999999998</v>
      </c>
      <c r="T1596">
        <v>-0.3306501</v>
      </c>
      <c r="U1596">
        <v>-1.5030209999999999</v>
      </c>
      <c r="V1596">
        <v>-0.2018517</v>
      </c>
      <c r="W1596">
        <v>2.3981010000000001E-2</v>
      </c>
      <c r="X1596">
        <v>0.97912250000000001</v>
      </c>
      <c r="Y1596">
        <v>-0.29487239999999998</v>
      </c>
      <c r="Z1596">
        <v>7.81590699999999E-3</v>
      </c>
      <c r="AA1596">
        <v>0.95550469999999998</v>
      </c>
      <c r="AB1596">
        <v>38</v>
      </c>
      <c r="AC1596">
        <v>-7.8344999999999896</v>
      </c>
      <c r="AD1596">
        <v>-1.0348177599999999</v>
      </c>
      <c r="AE1596">
        <v>-4.6157000000000004</v>
      </c>
      <c r="AF1596">
        <v>-2.7539576079506598</v>
      </c>
      <c r="AG1596">
        <v>-1.0348177599999999</v>
      </c>
      <c r="AH1596">
        <v>8.5439450802173607</v>
      </c>
      <c r="AI1596">
        <v>96.575840736519396</v>
      </c>
      <c r="AJ1596">
        <v>107.86561408693601</v>
      </c>
      <c r="AK1596">
        <v>9.0362673619460399</v>
      </c>
      <c r="AL1596">
        <v>88.625857654561401</v>
      </c>
      <c r="AM1596">
        <v>101.648658834363</v>
      </c>
      <c r="AN1596">
        <v>1.00000003381987</v>
      </c>
    </row>
    <row r="1597" spans="1:40" x14ac:dyDescent="0.3">
      <c r="A1597" t="str">
        <f>"20200111153903938"</f>
        <v>20200111153903938</v>
      </c>
      <c r="B1597" t="str">
        <f>"1578728343932138"</f>
        <v>1578728343932138</v>
      </c>
      <c r="C1597" t="s">
        <v>40</v>
      </c>
      <c r="D1597">
        <v>4.8106589999999896</v>
      </c>
      <c r="E1597">
        <v>0.45823469999999999</v>
      </c>
      <c r="F1597" t="s">
        <v>53</v>
      </c>
      <c r="G1597">
        <v>-478.88080000000002</v>
      </c>
      <c r="H1597">
        <v>8.0000119999999994E-2</v>
      </c>
      <c r="I1597">
        <v>278.1309</v>
      </c>
      <c r="J1597">
        <v>-470.93889999999999</v>
      </c>
      <c r="K1597">
        <v>1.1147990000000001</v>
      </c>
      <c r="L1597">
        <v>282.88069999999999</v>
      </c>
      <c r="M1597">
        <v>-0.97337450000000003</v>
      </c>
      <c r="N1597">
        <v>0</v>
      </c>
      <c r="O1597">
        <v>-0.2286745</v>
      </c>
      <c r="P1597">
        <v>-0.90714320000000004</v>
      </c>
      <c r="Q1597">
        <v>1.401058E-2</v>
      </c>
      <c r="R1597">
        <v>-0.42058889999999999</v>
      </c>
      <c r="S1597">
        <v>-2.6105040000000002</v>
      </c>
      <c r="T1597">
        <v>-0.32504699999999997</v>
      </c>
      <c r="U1597">
        <v>-1.520599</v>
      </c>
      <c r="V1597">
        <v>-0.2026559</v>
      </c>
      <c r="W1597">
        <v>2.4393829999999998E-2</v>
      </c>
      <c r="X1597">
        <v>0.97894610000000004</v>
      </c>
      <c r="Y1597">
        <v>-0.29199589999999997</v>
      </c>
      <c r="Z1597">
        <v>8.9477629999999992E-3</v>
      </c>
      <c r="AA1597">
        <v>0.9563777</v>
      </c>
      <c r="AB1597">
        <v>38</v>
      </c>
      <c r="AC1597">
        <v>-7.9419000000000297</v>
      </c>
      <c r="AD1597">
        <v>-1.0347988800000001</v>
      </c>
      <c r="AE1597">
        <v>-4.7497999999999898</v>
      </c>
      <c r="AF1597">
        <v>-2.7729016914448801</v>
      </c>
      <c r="AG1597">
        <v>-1.0347988800000001</v>
      </c>
      <c r="AH1597">
        <v>8.7088050009750102</v>
      </c>
      <c r="AI1597">
        <v>96.459604346765104</v>
      </c>
      <c r="AJ1597">
        <v>107.661583755994</v>
      </c>
      <c r="AK1597">
        <v>9.1979930994470003</v>
      </c>
      <c r="AL1597">
        <v>88.602197800022694</v>
      </c>
      <c r="AM1597">
        <v>101.69584184302801</v>
      </c>
      <c r="AN1597">
        <v>0.99999996972604399</v>
      </c>
    </row>
    <row r="1598" spans="1:40" x14ac:dyDescent="0.3">
      <c r="A1598" t="str">
        <f>"20200111153903961"</f>
        <v>20200111153903961</v>
      </c>
      <c r="B1598" t="str">
        <f>"1578728343952635"</f>
        <v>1578728343952635</v>
      </c>
      <c r="C1598" t="s">
        <v>40</v>
      </c>
      <c r="D1598">
        <v>4.818289</v>
      </c>
      <c r="E1598">
        <v>0.45898840000000002</v>
      </c>
      <c r="F1598" t="s">
        <v>53</v>
      </c>
      <c r="G1598">
        <v>-479.31049999999999</v>
      </c>
      <c r="H1598">
        <v>0.08</v>
      </c>
      <c r="I1598">
        <v>277.91199999999998</v>
      </c>
      <c r="J1598">
        <v>-471.30579999999998</v>
      </c>
      <c r="K1598">
        <v>1.1147750000000001</v>
      </c>
      <c r="L1598">
        <v>282.78620000000001</v>
      </c>
      <c r="M1598">
        <v>-0.97101559999999998</v>
      </c>
      <c r="N1598">
        <v>0</v>
      </c>
      <c r="O1598">
        <v>-0.23849860000000001</v>
      </c>
      <c r="P1598">
        <v>-0.90276610000000002</v>
      </c>
      <c r="Q1598">
        <v>1.449894E-2</v>
      </c>
      <c r="R1598">
        <v>-0.42988759999999998</v>
      </c>
      <c r="S1598">
        <v>-2.597321</v>
      </c>
      <c r="T1598">
        <v>-0.32105060000000002</v>
      </c>
      <c r="U1598">
        <v>-1.5415650000000001</v>
      </c>
      <c r="V1598">
        <v>-0.20283370000000001</v>
      </c>
      <c r="W1598">
        <v>2.4790429999999999E-2</v>
      </c>
      <c r="X1598">
        <v>0.97889939999999998</v>
      </c>
      <c r="Y1598">
        <v>-0.29023959999999999</v>
      </c>
      <c r="Z1598">
        <v>1.0015619999999999E-2</v>
      </c>
      <c r="AA1598">
        <v>0.95690160000000002</v>
      </c>
      <c r="AB1598">
        <v>38</v>
      </c>
      <c r="AC1598">
        <v>-8.0047000000000104</v>
      </c>
      <c r="AD1598">
        <v>-1.034775</v>
      </c>
      <c r="AE1598">
        <v>-4.8741999999999699</v>
      </c>
      <c r="AF1598">
        <v>-2.7901491890325101</v>
      </c>
      <c r="AG1598">
        <v>-1.034775</v>
      </c>
      <c r="AH1598">
        <v>8.8286539206648005</v>
      </c>
      <c r="AI1598">
        <v>96.376811866460699</v>
      </c>
      <c r="AJ1598">
        <v>107.53827416232799</v>
      </c>
      <c r="AK1598">
        <v>9.3166958654103205</v>
      </c>
      <c r="AL1598">
        <v>88.579467540214196</v>
      </c>
      <c r="AM1598">
        <v>101.706363164781</v>
      </c>
      <c r="AN1598">
        <v>1.0000000552978101</v>
      </c>
    </row>
    <row r="1599" spans="1:40" x14ac:dyDescent="0.3">
      <c r="A1599" t="str">
        <f>"20200111153903983"</f>
        <v>20200111153903983</v>
      </c>
      <c r="B1599" t="str">
        <f>"1578728343972155"</f>
        <v>1578728343972155</v>
      </c>
      <c r="C1599" t="s">
        <v>40</v>
      </c>
      <c r="D1599">
        <v>4.8348550000000001</v>
      </c>
      <c r="E1599">
        <v>0.4597137</v>
      </c>
      <c r="F1599" t="s">
        <v>53</v>
      </c>
      <c r="G1599">
        <v>-480.2978</v>
      </c>
      <c r="H1599" s="1">
        <v>1.392038E-6</v>
      </c>
      <c r="I1599">
        <v>277.34930000000003</v>
      </c>
      <c r="J1599">
        <v>-471.6626</v>
      </c>
      <c r="K1599">
        <v>1.1147359999999999</v>
      </c>
      <c r="L1599">
        <v>282.69049999999999</v>
      </c>
      <c r="M1599">
        <v>-0.96862689999999996</v>
      </c>
      <c r="N1599">
        <v>0</v>
      </c>
      <c r="O1599">
        <v>-0.24802740000000001</v>
      </c>
      <c r="P1599">
        <v>-0.89801969999999998</v>
      </c>
      <c r="Q1599">
        <v>1.443852E-2</v>
      </c>
      <c r="R1599">
        <v>-0.43971830000000001</v>
      </c>
      <c r="S1599">
        <v>-2.5842290000000001</v>
      </c>
      <c r="T1599">
        <v>-0.32037710000000003</v>
      </c>
      <c r="U1599">
        <v>-1.5625309999999999</v>
      </c>
      <c r="V1599">
        <v>-0.2038982</v>
      </c>
      <c r="W1599">
        <v>2.4625020000000001E-2</v>
      </c>
      <c r="X1599">
        <v>0.97868230000000001</v>
      </c>
      <c r="Y1599">
        <v>-0.28872700000000001</v>
      </c>
      <c r="Z1599">
        <v>1.112434E-2</v>
      </c>
      <c r="AA1599">
        <v>0.95734680000000005</v>
      </c>
      <c r="AB1599">
        <v>38</v>
      </c>
      <c r="AC1599">
        <v>-8.6351999999999904</v>
      </c>
      <c r="AD1599">
        <v>-1.114734607962</v>
      </c>
      <c r="AE1599">
        <v>-5.34119999999995</v>
      </c>
      <c r="AF1599">
        <v>-2.99612119670175</v>
      </c>
      <c r="AG1599">
        <v>-1.114734607962</v>
      </c>
      <c r="AH1599">
        <v>9.5748268783842292</v>
      </c>
      <c r="AI1599">
        <v>96.340168034753404</v>
      </c>
      <c r="AJ1599">
        <v>107.37576200131799</v>
      </c>
      <c r="AK1599">
        <v>10.094388798859599</v>
      </c>
      <c r="AL1599">
        <v>88.588947588516305</v>
      </c>
      <c r="AM1599">
        <v>101.76862862200799</v>
      </c>
      <c r="AN1599">
        <v>0.99999995595326396</v>
      </c>
    </row>
    <row r="1600" spans="1:40" x14ac:dyDescent="0.3">
      <c r="A1600" t="str">
        <f>"20200111153904006"</f>
        <v>20200111153904006</v>
      </c>
      <c r="B1600" t="str">
        <f>"1578728344002411"</f>
        <v>1578728344002411</v>
      </c>
      <c r="C1600" t="s">
        <v>40</v>
      </c>
      <c r="D1600">
        <v>4.855823</v>
      </c>
      <c r="E1600">
        <v>0.46008549999999998</v>
      </c>
      <c r="F1600" t="s">
        <v>53</v>
      </c>
      <c r="G1600">
        <v>-480.61130000000003</v>
      </c>
      <c r="H1600" s="1">
        <v>1.3885759999999999E-6</v>
      </c>
      <c r="I1600">
        <v>277.17169999999999</v>
      </c>
      <c r="J1600">
        <v>-472.02409999999998</v>
      </c>
      <c r="K1600">
        <v>1.1146860000000001</v>
      </c>
      <c r="L1600">
        <v>282.58969999999999</v>
      </c>
      <c r="M1600">
        <v>-0.96611709999999995</v>
      </c>
      <c r="N1600">
        <v>0</v>
      </c>
      <c r="O1600">
        <v>-0.25763520000000001</v>
      </c>
      <c r="P1600">
        <v>-0.89284050000000004</v>
      </c>
      <c r="Q1600">
        <v>1.384529E-2</v>
      </c>
      <c r="R1600">
        <v>-0.4501599</v>
      </c>
      <c r="S1600">
        <v>-2.5698240000000001</v>
      </c>
      <c r="T1600">
        <v>-0.32012299999999999</v>
      </c>
      <c r="U1600">
        <v>-1.5848390000000001</v>
      </c>
      <c r="V1600">
        <v>-0.20556930000000001</v>
      </c>
      <c r="W1600">
        <v>2.3919510000000001E-2</v>
      </c>
      <c r="X1600">
        <v>0.97835019999999995</v>
      </c>
      <c r="Y1600">
        <v>-0.28769099999999997</v>
      </c>
      <c r="Z1600">
        <v>1.2229230000000001E-2</v>
      </c>
      <c r="AA1600">
        <v>0.95764519999999997</v>
      </c>
      <c r="AB1600">
        <v>38</v>
      </c>
      <c r="AC1600">
        <v>-8.5872000000000508</v>
      </c>
      <c r="AD1600">
        <v>-1.1146846114239899</v>
      </c>
      <c r="AE1600">
        <v>-5.4180000000000001</v>
      </c>
      <c r="AF1600">
        <v>-2.9864298202189201</v>
      </c>
      <c r="AG1600">
        <v>-1.1146846114239899</v>
      </c>
      <c r="AH1600">
        <v>9.5778460771299496</v>
      </c>
      <c r="AI1600">
        <v>96.339890782410507</v>
      </c>
      <c r="AJ1600">
        <v>107.317791575984</v>
      </c>
      <c r="AK1600">
        <v>10.094375678130399</v>
      </c>
      <c r="AL1600">
        <v>88.629382305395197</v>
      </c>
      <c r="AM1600">
        <v>101.86627184396799</v>
      </c>
      <c r="AN1600">
        <v>0.99999999695058495</v>
      </c>
    </row>
    <row r="1601" spans="1:40" x14ac:dyDescent="0.3">
      <c r="A1601" t="str">
        <f>"20200111153904028"</f>
        <v>20200111153904028</v>
      </c>
      <c r="B1601" t="str">
        <f>"1578728344021934"</f>
        <v>1578728344021934</v>
      </c>
      <c r="C1601" t="s">
        <v>40</v>
      </c>
      <c r="D1601">
        <v>4.8212669999999997</v>
      </c>
      <c r="E1601">
        <v>0.46049000000000001</v>
      </c>
      <c r="F1601" t="s">
        <v>53</v>
      </c>
      <c r="G1601">
        <v>-480.98219999999998</v>
      </c>
      <c r="H1601" s="1">
        <v>1.3796849999999999E-6</v>
      </c>
      <c r="I1601">
        <v>276.93439999999998</v>
      </c>
      <c r="J1601">
        <v>-472.38729999999998</v>
      </c>
      <c r="K1601">
        <v>1.114625</v>
      </c>
      <c r="L1601">
        <v>282.48469999999998</v>
      </c>
      <c r="M1601">
        <v>-0.96351070000000005</v>
      </c>
      <c r="N1601">
        <v>0</v>
      </c>
      <c r="O1601">
        <v>-0.26722259999999998</v>
      </c>
      <c r="P1601">
        <v>-0.88701390000000002</v>
      </c>
      <c r="Q1601">
        <v>1.34187E-2</v>
      </c>
      <c r="R1601">
        <v>-0.46154790000000001</v>
      </c>
      <c r="S1601">
        <v>-2.552521</v>
      </c>
      <c r="T1601">
        <v>-0.31761850000000003</v>
      </c>
      <c r="U1601">
        <v>-1.6114200000000001</v>
      </c>
      <c r="V1601">
        <v>-0.20834829999999999</v>
      </c>
      <c r="W1601">
        <v>2.3361300000000002E-2</v>
      </c>
      <c r="X1601">
        <v>0.97777559999999997</v>
      </c>
      <c r="Y1601">
        <v>-0.2882825</v>
      </c>
      <c r="Z1601">
        <v>1.315059E-2</v>
      </c>
      <c r="AA1601">
        <v>0.9574551</v>
      </c>
      <c r="AB1601">
        <v>38</v>
      </c>
      <c r="AC1601">
        <v>-8.5948999999999902</v>
      </c>
      <c r="AD1601">
        <v>-1.114623620315</v>
      </c>
      <c r="AE1601">
        <v>-5.5502999999999902</v>
      </c>
      <c r="AF1601">
        <v>-3.0155959161460699</v>
      </c>
      <c r="AG1601">
        <v>-1.114623620315</v>
      </c>
      <c r="AH1601">
        <v>9.6510668940065099</v>
      </c>
      <c r="AI1601">
        <v>96.290671749454205</v>
      </c>
      <c r="AJ1601">
        <v>107.352064079111</v>
      </c>
      <c r="AK1601">
        <v>10.1724774139355</v>
      </c>
      <c r="AL1601">
        <v>88.661374253287804</v>
      </c>
      <c r="AM1601">
        <v>102.028908543895</v>
      </c>
      <c r="AN1601">
        <v>0.99999994420296801</v>
      </c>
    </row>
    <row r="1602" spans="1:40" x14ac:dyDescent="0.3">
      <c r="A1602" t="str">
        <f>"20200111153904051"</f>
        <v>20200111153904051</v>
      </c>
      <c r="B1602" t="str">
        <f>"1578728344042426"</f>
        <v>1578728344042426</v>
      </c>
      <c r="C1602" t="s">
        <v>40</v>
      </c>
      <c r="D1602">
        <v>4.8419420000000004</v>
      </c>
      <c r="E1602">
        <v>0.46082279999999998</v>
      </c>
      <c r="F1602" t="s">
        <v>53</v>
      </c>
      <c r="G1602">
        <v>-481.2484</v>
      </c>
      <c r="H1602" s="1">
        <v>1.3702560000000001E-6</v>
      </c>
      <c r="I1602">
        <v>276.74689999999998</v>
      </c>
      <c r="J1602">
        <v>-472.75220000000002</v>
      </c>
      <c r="K1602">
        <v>1.1145560000000001</v>
      </c>
      <c r="L1602">
        <v>282.37529999999998</v>
      </c>
      <c r="M1602">
        <v>-0.96081229999999995</v>
      </c>
      <c r="N1602">
        <v>0</v>
      </c>
      <c r="O1602">
        <v>-0.27677239999999997</v>
      </c>
      <c r="P1602">
        <v>-0.88116130000000004</v>
      </c>
      <c r="Q1602">
        <v>1.324765E-2</v>
      </c>
      <c r="R1602">
        <v>-0.47263080000000002</v>
      </c>
      <c r="S1602">
        <v>-2.533325</v>
      </c>
      <c r="T1602">
        <v>-0.31866430000000001</v>
      </c>
      <c r="U1602">
        <v>-1.6404110000000001</v>
      </c>
      <c r="V1602">
        <v>-0.21088999999999999</v>
      </c>
      <c r="W1602">
        <v>2.3079559999999999E-2</v>
      </c>
      <c r="X1602">
        <v>0.97723729999999998</v>
      </c>
      <c r="Y1602">
        <v>-0.2898464</v>
      </c>
      <c r="Z1602">
        <v>1.415869E-2</v>
      </c>
      <c r="AA1602">
        <v>0.95696840000000005</v>
      </c>
      <c r="AB1602">
        <v>38</v>
      </c>
      <c r="AC1602">
        <v>-8.4961999999999804</v>
      </c>
      <c r="AD1602">
        <v>-1.1145546297440001</v>
      </c>
      <c r="AE1602">
        <v>-5.6283999999999903</v>
      </c>
      <c r="AF1602">
        <v>-3.0205578527180399</v>
      </c>
      <c r="AG1602">
        <v>-1.1145546297440001</v>
      </c>
      <c r="AH1602">
        <v>9.6072857109015199</v>
      </c>
      <c r="AI1602">
        <v>96.315249575637196</v>
      </c>
      <c r="AJ1602">
        <v>107.453295430118</v>
      </c>
      <c r="AK1602">
        <v>10.1324202683856</v>
      </c>
      <c r="AL1602">
        <v>88.677521193795499</v>
      </c>
      <c r="AM1602">
        <v>102.177807124388</v>
      </c>
      <c r="AN1602">
        <v>0.99999999935054096</v>
      </c>
    </row>
    <row r="1603" spans="1:40" x14ac:dyDescent="0.3">
      <c r="A1603" t="str">
        <f>"20200111153904072"</f>
        <v>20200111153904072</v>
      </c>
      <c r="B1603" t="str">
        <f>"1578728344061947"</f>
        <v>1578728344061947</v>
      </c>
      <c r="C1603" t="s">
        <v>40</v>
      </c>
      <c r="D1603">
        <v>4.8239549999999998</v>
      </c>
      <c r="E1603">
        <v>0.46108769999999999</v>
      </c>
      <c r="F1603" t="s">
        <v>53</v>
      </c>
      <c r="G1603">
        <v>-481.55009999999999</v>
      </c>
      <c r="H1603" s="1">
        <v>1.359122E-6</v>
      </c>
      <c r="I1603">
        <v>276.5317</v>
      </c>
      <c r="J1603">
        <v>-473.09980000000002</v>
      </c>
      <c r="K1603">
        <v>1.1144750000000001</v>
      </c>
      <c r="L1603">
        <v>282.26749999999998</v>
      </c>
      <c r="M1603">
        <v>-0.95817229999999998</v>
      </c>
      <c r="N1603">
        <v>0</v>
      </c>
      <c r="O1603">
        <v>-0.28578199999999998</v>
      </c>
      <c r="P1603">
        <v>-0.87533079999999996</v>
      </c>
      <c r="Q1603">
        <v>1.3666589999999999E-2</v>
      </c>
      <c r="R1603">
        <v>-0.48333199999999998</v>
      </c>
      <c r="S1603">
        <v>-2.513763</v>
      </c>
      <c r="T1603">
        <v>-0.31845129999999999</v>
      </c>
      <c r="U1603">
        <v>-1.6696470000000001</v>
      </c>
      <c r="V1603">
        <v>-0.21362610000000001</v>
      </c>
      <c r="W1603">
        <v>2.3396569999999998E-2</v>
      </c>
      <c r="X1603">
        <v>0.97663529999999998</v>
      </c>
      <c r="Y1603">
        <v>-0.29204760000000002</v>
      </c>
      <c r="Z1603">
        <v>1.50212E-2</v>
      </c>
      <c r="AA1603">
        <v>0.95628579999999996</v>
      </c>
      <c r="AB1603">
        <v>38</v>
      </c>
      <c r="AC1603">
        <v>-8.4502999999999702</v>
      </c>
      <c r="AD1603">
        <v>-1.114473640878</v>
      </c>
      <c r="AE1603">
        <v>-5.7357999999999798</v>
      </c>
      <c r="AF1603">
        <v>-3.0450430118007001</v>
      </c>
      <c r="AG1603">
        <v>-1.114473640878</v>
      </c>
      <c r="AH1603">
        <v>9.6225909942577701</v>
      </c>
      <c r="AI1603">
        <v>96.301164193732106</v>
      </c>
      <c r="AJ1603">
        <v>107.55983516774</v>
      </c>
      <c r="AK1603">
        <v>10.154240290770099</v>
      </c>
      <c r="AL1603">
        <v>88.659352966293994</v>
      </c>
      <c r="AM1603">
        <v>102.33836661328</v>
      </c>
      <c r="AN1603">
        <v>1.0000000096475301</v>
      </c>
    </row>
    <row r="1604" spans="1:40" x14ac:dyDescent="0.3">
      <c r="A1604" t="str">
        <f>"20200111153904095"</f>
        <v>20200111153904095</v>
      </c>
      <c r="B1604" t="str">
        <f>"1578728344092202"</f>
        <v>1578728344092202</v>
      </c>
      <c r="C1604" t="s">
        <v>40</v>
      </c>
      <c r="D1604">
        <v>4.8252959999999998</v>
      </c>
      <c r="E1604">
        <v>0.46167530000000001</v>
      </c>
      <c r="F1604" t="s">
        <v>53</v>
      </c>
      <c r="G1604">
        <v>-481.86470000000003</v>
      </c>
      <c r="H1604" s="1">
        <v>1.3464689999999999E-6</v>
      </c>
      <c r="I1604">
        <v>276.3014</v>
      </c>
      <c r="J1604">
        <v>-473.45569999999998</v>
      </c>
      <c r="K1604">
        <v>1.114382</v>
      </c>
      <c r="L1604">
        <v>282.15339999999998</v>
      </c>
      <c r="M1604">
        <v>-0.95540420000000004</v>
      </c>
      <c r="N1604">
        <v>0</v>
      </c>
      <c r="O1604">
        <v>-0.29490690000000003</v>
      </c>
      <c r="P1604">
        <v>-0.86944200000000005</v>
      </c>
      <c r="Q1604">
        <v>1.3952229999999999E-2</v>
      </c>
      <c r="R1604">
        <v>-0.4938382</v>
      </c>
      <c r="S1604">
        <v>-2.4946290000000002</v>
      </c>
      <c r="T1604">
        <v>-0.31719599999999998</v>
      </c>
      <c r="U1604">
        <v>-1.698029</v>
      </c>
      <c r="V1604">
        <v>-0.2160745</v>
      </c>
      <c r="W1604">
        <v>2.3599640000000002E-2</v>
      </c>
      <c r="X1604">
        <v>0.97609159999999995</v>
      </c>
      <c r="Y1604">
        <v>-0.29381040000000003</v>
      </c>
      <c r="Z1604">
        <v>1.5867619999999999E-2</v>
      </c>
      <c r="AA1604">
        <v>0.95573200000000003</v>
      </c>
      <c r="AB1604">
        <v>38</v>
      </c>
      <c r="AC1604">
        <v>-8.4090000000000398</v>
      </c>
      <c r="AD1604">
        <v>-1.1143806535309999</v>
      </c>
      <c r="AE1604">
        <v>-5.8519999999999701</v>
      </c>
      <c r="AF1604">
        <v>-3.0751306790955999</v>
      </c>
      <c r="AG1604">
        <v>-1.1143806535309999</v>
      </c>
      <c r="AH1604">
        <v>9.6467850986392705</v>
      </c>
      <c r="AI1604">
        <v>96.280786083964003</v>
      </c>
      <c r="AJ1604">
        <v>107.680855949342</v>
      </c>
      <c r="AK1604">
        <v>10.186203202067301</v>
      </c>
      <c r="AL1604">
        <v>88.647714648079599</v>
      </c>
      <c r="AM1604">
        <v>102.482106271625</v>
      </c>
      <c r="AN1604">
        <v>0.999999972074469</v>
      </c>
    </row>
    <row r="1605" spans="1:40" x14ac:dyDescent="0.3">
      <c r="A1605" t="str">
        <f>"20200111153904119"</f>
        <v>20200111153904119</v>
      </c>
      <c r="B1605" t="str">
        <f>"1578728344111722"</f>
        <v>1578728344111722</v>
      </c>
      <c r="C1605" t="s">
        <v>40</v>
      </c>
      <c r="D1605">
        <v>4.829447</v>
      </c>
      <c r="E1605">
        <v>0.46212809999999999</v>
      </c>
      <c r="F1605" t="s">
        <v>53</v>
      </c>
      <c r="G1605">
        <v>-482.12939999999998</v>
      </c>
      <c r="H1605" s="1">
        <v>1.337541E-6</v>
      </c>
      <c r="I1605">
        <v>276.11739999999998</v>
      </c>
      <c r="J1605">
        <v>-473.84010000000001</v>
      </c>
      <c r="K1605">
        <v>1.1142829999999999</v>
      </c>
      <c r="L1605">
        <v>282.02569999999997</v>
      </c>
      <c r="M1605">
        <v>-0.95234600000000003</v>
      </c>
      <c r="N1605">
        <v>0</v>
      </c>
      <c r="O1605">
        <v>-0.30464069999999999</v>
      </c>
      <c r="P1605">
        <v>-0.86288790000000004</v>
      </c>
      <c r="Q1605">
        <v>1.406928E-2</v>
      </c>
      <c r="R1605">
        <v>-0.50519939999999997</v>
      </c>
      <c r="S1605">
        <v>-2.4766849999999998</v>
      </c>
      <c r="T1605">
        <v>-0.31819989999999998</v>
      </c>
      <c r="U1605">
        <v>-1.723511</v>
      </c>
      <c r="V1605">
        <v>-0.2189121</v>
      </c>
      <c r="W1605">
        <v>2.3633970000000001E-2</v>
      </c>
      <c r="X1605">
        <v>0.9754583</v>
      </c>
      <c r="Y1605">
        <v>-0.29397509999999999</v>
      </c>
      <c r="Z1605">
        <v>1.6982000000000001E-2</v>
      </c>
      <c r="AA1605">
        <v>0.95566229999999996</v>
      </c>
      <c r="AB1605">
        <v>38</v>
      </c>
      <c r="AC1605">
        <v>-8.2892999999999599</v>
      </c>
      <c r="AD1605">
        <v>-1.114281662459</v>
      </c>
      <c r="AE1605">
        <v>-5.9082999999999899</v>
      </c>
      <c r="AF1605">
        <v>-3.0651187017728501</v>
      </c>
      <c r="AG1605">
        <v>-1.114281662459</v>
      </c>
      <c r="AH1605">
        <v>9.5805132360279206</v>
      </c>
      <c r="AI1605">
        <v>96.321216379190204</v>
      </c>
      <c r="AJ1605">
        <v>107.741169576982</v>
      </c>
      <c r="AK1605">
        <v>10.1204155124656</v>
      </c>
      <c r="AL1605">
        <v>88.645747150689601</v>
      </c>
      <c r="AM1605">
        <v>102.64873522147801</v>
      </c>
      <c r="AN1605">
        <v>0.99999998355163</v>
      </c>
    </row>
    <row r="1606" spans="1:40" x14ac:dyDescent="0.3">
      <c r="A1606" t="str">
        <f>"20200111153904140"</f>
        <v>20200111153904140</v>
      </c>
      <c r="B1606" t="str">
        <f>"1578728344132219"</f>
        <v>1578728344132219</v>
      </c>
      <c r="C1606" t="s">
        <v>40</v>
      </c>
      <c r="D1606">
        <v>4.7897489999999996</v>
      </c>
      <c r="E1606">
        <v>0.46200079999999999</v>
      </c>
      <c r="F1606" t="s">
        <v>53</v>
      </c>
      <c r="G1606">
        <v>-482.38490000000002</v>
      </c>
      <c r="H1606" s="1">
        <v>1.3274359999999999E-6</v>
      </c>
      <c r="I1606">
        <v>275.9314</v>
      </c>
      <c r="J1606">
        <v>-474.1739</v>
      </c>
      <c r="K1606">
        <v>1.114209</v>
      </c>
      <c r="L1606">
        <v>281.91149999999999</v>
      </c>
      <c r="M1606">
        <v>-0.94963019999999998</v>
      </c>
      <c r="N1606">
        <v>0</v>
      </c>
      <c r="O1606">
        <v>-0.31300670000000003</v>
      </c>
      <c r="P1606">
        <v>-0.85667219999999999</v>
      </c>
      <c r="Q1606">
        <v>1.491054E-2</v>
      </c>
      <c r="R1606">
        <v>-0.51564600000000005</v>
      </c>
      <c r="S1606">
        <v>-2.4562379999999999</v>
      </c>
      <c r="T1606">
        <v>-0.32030560000000002</v>
      </c>
      <c r="U1606">
        <v>-1.7518309999999999</v>
      </c>
      <c r="V1606">
        <v>-0.22219990000000001</v>
      </c>
      <c r="W1606">
        <v>2.4385239999999999E-2</v>
      </c>
      <c r="X1606">
        <v>0.97469609999999995</v>
      </c>
      <c r="Y1606">
        <v>-0.29665750000000002</v>
      </c>
      <c r="Z1606">
        <v>1.7880179999999999E-2</v>
      </c>
      <c r="AA1606">
        <v>0.95481660000000002</v>
      </c>
      <c r="AB1606">
        <v>38</v>
      </c>
      <c r="AC1606">
        <v>-8.2110000000000092</v>
      </c>
      <c r="AD1606">
        <v>-1.114207672564</v>
      </c>
      <c r="AE1606">
        <v>-5.9800999999999904</v>
      </c>
      <c r="AF1606">
        <v>-3.0721784095645002</v>
      </c>
      <c r="AG1606">
        <v>-1.114207672564</v>
      </c>
      <c r="AH1606">
        <v>9.5553661265371801</v>
      </c>
      <c r="AI1606">
        <v>96.334410520892007</v>
      </c>
      <c r="AJ1606">
        <v>107.823294855139</v>
      </c>
      <c r="AK1606">
        <v>10.098750453891199</v>
      </c>
      <c r="AL1606">
        <v>88.6026901056279</v>
      </c>
      <c r="AM1606">
        <v>102.842161175662</v>
      </c>
      <c r="AN1606">
        <v>0.999999961422538</v>
      </c>
    </row>
    <row r="1607" spans="1:40" x14ac:dyDescent="0.3">
      <c r="A1607" t="str">
        <f>"20200111153904162"</f>
        <v>20200111153904162</v>
      </c>
      <c r="B1607" t="str">
        <f>"1578728344151740"</f>
        <v>1578728344151740</v>
      </c>
      <c r="C1607" t="s">
        <v>40</v>
      </c>
      <c r="D1607">
        <v>4.7118989999999998</v>
      </c>
      <c r="E1607">
        <v>0.43764760000000003</v>
      </c>
      <c r="F1607" t="s">
        <v>53</v>
      </c>
      <c r="G1607">
        <v>-482.65609999999998</v>
      </c>
      <c r="H1607" s="1">
        <v>1.3109870000000001E-6</v>
      </c>
      <c r="I1607">
        <v>275.70139999999998</v>
      </c>
      <c r="J1607">
        <v>-474.52620000000002</v>
      </c>
      <c r="K1607">
        <v>1.1141299999999901</v>
      </c>
      <c r="L1607">
        <v>281.78739999999999</v>
      </c>
      <c r="M1607">
        <v>-0.94670279999999996</v>
      </c>
      <c r="N1607">
        <v>0</v>
      </c>
      <c r="O1607">
        <v>-0.3217546</v>
      </c>
      <c r="P1607">
        <v>-0.84992559999999995</v>
      </c>
      <c r="Q1607">
        <v>1.7516999999999901E-2</v>
      </c>
      <c r="R1607">
        <v>-0.52661219999999997</v>
      </c>
      <c r="S1607">
        <v>-2.434631</v>
      </c>
      <c r="T1607">
        <v>-0.31980930000000002</v>
      </c>
      <c r="U1607">
        <v>-1.7824709999999999</v>
      </c>
      <c r="V1607">
        <v>-0.22580259999999999</v>
      </c>
      <c r="W1607">
        <v>2.6897830000000001E-2</v>
      </c>
      <c r="X1607">
        <v>0.97380169999999999</v>
      </c>
      <c r="Y1607">
        <v>-0.29973719999999998</v>
      </c>
      <c r="Z1607">
        <v>1.8656019999999999E-2</v>
      </c>
      <c r="AA1607">
        <v>0.9538394</v>
      </c>
      <c r="AB1607">
        <v>38</v>
      </c>
      <c r="AC1607">
        <v>-8.1298999999999602</v>
      </c>
      <c r="AD1607">
        <v>-1.11412868901299</v>
      </c>
      <c r="AE1607">
        <v>-6.0860000000000101</v>
      </c>
      <c r="AF1607">
        <v>-3.1087434192669599</v>
      </c>
      <c r="AG1607">
        <v>-1.11412868901299</v>
      </c>
      <c r="AH1607">
        <v>9.5410653968466601</v>
      </c>
      <c r="AI1607">
        <v>96.335433867435796</v>
      </c>
      <c r="AJ1607">
        <v>108.04704443248799</v>
      </c>
      <c r="AK1607">
        <v>10.0964101189196</v>
      </c>
      <c r="AL1607">
        <v>88.458682014270295</v>
      </c>
      <c r="AM1607">
        <v>103.054884862487</v>
      </c>
      <c r="AN1607">
        <v>1.00000002917417</v>
      </c>
    </row>
    <row r="1608" spans="1:40" x14ac:dyDescent="0.3">
      <c r="A1608" t="str">
        <f>"20200111153904184"</f>
        <v>20200111153904184</v>
      </c>
      <c r="B1608" t="str">
        <f>"1578728344181995"</f>
        <v>1578728344181995</v>
      </c>
      <c r="C1608" t="s">
        <v>40</v>
      </c>
      <c r="D1608">
        <v>4.6717570000000004</v>
      </c>
      <c r="E1608">
        <v>0.39951370000000003</v>
      </c>
      <c r="F1608" t="s">
        <v>53</v>
      </c>
      <c r="G1608">
        <v>-481.85309999999998</v>
      </c>
      <c r="H1608" s="1">
        <v>1.2079859999999999E-6</v>
      </c>
      <c r="I1608">
        <v>275.52100000000002</v>
      </c>
      <c r="J1608">
        <v>-474.87580000000003</v>
      </c>
      <c r="K1608">
        <v>1.1140479999999999</v>
      </c>
      <c r="L1608">
        <v>281.66059999999999</v>
      </c>
      <c r="M1608">
        <v>-0.94373399999999996</v>
      </c>
      <c r="N1608">
        <v>0</v>
      </c>
      <c r="O1608">
        <v>-0.3303625</v>
      </c>
      <c r="P1608">
        <v>-0.84331999999999996</v>
      </c>
      <c r="Q1608">
        <v>1.8750369999999999E-2</v>
      </c>
      <c r="R1608">
        <v>-0.53708500000000003</v>
      </c>
      <c r="S1608">
        <v>-2.3118590000000001</v>
      </c>
      <c r="T1608">
        <v>-0.35154580000000002</v>
      </c>
      <c r="U1608">
        <v>-1.9772639999999999</v>
      </c>
      <c r="V1608">
        <v>-0.2290102</v>
      </c>
      <c r="W1608">
        <v>2.8051340000000001E-2</v>
      </c>
      <c r="X1608">
        <v>0.97301979999999999</v>
      </c>
      <c r="Y1608">
        <v>-0.36211660000000001</v>
      </c>
      <c r="Z1608">
        <v>1.7676150000000002E-2</v>
      </c>
      <c r="AA1608">
        <v>0.93196520000000005</v>
      </c>
      <c r="AB1608">
        <v>38</v>
      </c>
      <c r="AC1608">
        <v>-6.9772999999999499</v>
      </c>
      <c r="AD1608">
        <v>-1.114046792014</v>
      </c>
      <c r="AE1608">
        <v>-6.1396000000000299</v>
      </c>
      <c r="AF1608">
        <v>-3.4400784201285801</v>
      </c>
      <c r="AG1608">
        <v>-1.114046792014</v>
      </c>
      <c r="AH1608">
        <v>8.4919699874995498</v>
      </c>
      <c r="AI1608">
        <v>96.932582313664497</v>
      </c>
      <c r="AJ1608">
        <v>112.052761573998</v>
      </c>
      <c r="AK1608">
        <v>9.2297775737026395</v>
      </c>
      <c r="AL1608">
        <v>88.392565817047995</v>
      </c>
      <c r="AM1608">
        <v>103.244111121381</v>
      </c>
      <c r="AN1608">
        <v>1.0000000402859299</v>
      </c>
    </row>
    <row r="1609" spans="1:40" x14ac:dyDescent="0.3">
      <c r="A1609" t="str">
        <f>"20200111153904207"</f>
        <v>20200111153904207</v>
      </c>
      <c r="B1609" t="str">
        <f>"1578728344202490"</f>
        <v>1578728344202490</v>
      </c>
      <c r="C1609" t="s">
        <v>40</v>
      </c>
      <c r="D1609">
        <v>4.663106</v>
      </c>
      <c r="E1609">
        <v>0.40257029999999999</v>
      </c>
      <c r="F1609" t="s">
        <v>41</v>
      </c>
      <c r="G1609">
        <v>-475.56029999999998</v>
      </c>
      <c r="H1609">
        <v>0.99553670000000005</v>
      </c>
      <c r="I1609">
        <v>280.93169999999998</v>
      </c>
      <c r="J1609">
        <v>-475.22660000000002</v>
      </c>
      <c r="K1609">
        <v>1.1139730000000001</v>
      </c>
      <c r="L1609">
        <v>281.52980000000002</v>
      </c>
      <c r="M1609">
        <v>-0.94068649999999998</v>
      </c>
      <c r="N1609">
        <v>0</v>
      </c>
      <c r="O1609">
        <v>-0.33894429999999998</v>
      </c>
      <c r="P1609">
        <v>-0.83667190000000002</v>
      </c>
      <c r="Q1609">
        <v>1.8075999999999998E-2</v>
      </c>
      <c r="R1609">
        <v>-0.54740630000000001</v>
      </c>
      <c r="S1609">
        <v>-2.1244200000000002</v>
      </c>
      <c r="T1609">
        <v>-0.36784139999999999</v>
      </c>
      <c r="U1609">
        <v>-2.2628780000000002</v>
      </c>
      <c r="V1609">
        <v>-0.23207649999999999</v>
      </c>
      <c r="W1609">
        <v>2.7301079999999998E-2</v>
      </c>
      <c r="X1609">
        <v>0.97231429999999996</v>
      </c>
      <c r="Y1609">
        <v>-0.45306610000000003</v>
      </c>
      <c r="Z1609">
        <v>1.341816E-2</v>
      </c>
      <c r="AA1609">
        <v>0.89137599999999995</v>
      </c>
      <c r="AB1609">
        <v>38</v>
      </c>
      <c r="AC1609">
        <v>-0.33369999999996403</v>
      </c>
      <c r="AD1609">
        <v>-0.118436299999999</v>
      </c>
      <c r="AE1609">
        <v>-0.59810000000004404</v>
      </c>
      <c r="AF1609">
        <v>-0.43651620914364198</v>
      </c>
      <c r="AG1609">
        <v>-0.118436299999999</v>
      </c>
      <c r="AH1609">
        <v>0.50168576698938805</v>
      </c>
      <c r="AI1609">
        <v>100.098364717179</v>
      </c>
      <c r="AJ1609">
        <v>131.02649256425201</v>
      </c>
      <c r="AK1609">
        <v>0.675471810516587</v>
      </c>
      <c r="AL1609">
        <v>88.435568917561596</v>
      </c>
      <c r="AM1609">
        <v>103.42445267217001</v>
      </c>
      <c r="AN1609">
        <v>0.99999997440295196</v>
      </c>
    </row>
    <row r="1610" spans="1:40" x14ac:dyDescent="0.3">
      <c r="A1610" t="str">
        <f>"20200111153904228"</f>
        <v>20200111153904228</v>
      </c>
      <c r="B1610" t="str">
        <f>"1578728344222021"</f>
        <v>1578728344222021</v>
      </c>
      <c r="C1610" t="s">
        <v>40</v>
      </c>
      <c r="D1610">
        <v>4.7182069999999996</v>
      </c>
      <c r="E1610">
        <v>0.40413310000000002</v>
      </c>
      <c r="F1610" t="s">
        <v>41</v>
      </c>
      <c r="G1610">
        <v>-475.87939999999998</v>
      </c>
      <c r="H1610">
        <v>0.99948570000000003</v>
      </c>
      <c r="I1610">
        <v>280.82819999999998</v>
      </c>
      <c r="J1610">
        <v>-475.57409999999999</v>
      </c>
      <c r="K1610">
        <v>1.113901</v>
      </c>
      <c r="L1610">
        <v>281.39679999999998</v>
      </c>
      <c r="M1610">
        <v>-0.93759420000000004</v>
      </c>
      <c r="N1610">
        <v>0</v>
      </c>
      <c r="O1610">
        <v>-0.34740840000000001</v>
      </c>
      <c r="P1610">
        <v>-0.82962119999999995</v>
      </c>
      <c r="Q1610">
        <v>1.724053E-2</v>
      </c>
      <c r="R1610">
        <v>-0.55806060000000002</v>
      </c>
      <c r="S1610">
        <v>-2.1095890000000002</v>
      </c>
      <c r="T1610">
        <v>-0.36993799999999999</v>
      </c>
      <c r="U1610">
        <v>-2.2681879999999999</v>
      </c>
      <c r="V1610">
        <v>-0.2357157</v>
      </c>
      <c r="W1610">
        <v>2.637492E-2</v>
      </c>
      <c r="X1610">
        <v>0.97146410000000005</v>
      </c>
      <c r="Y1610">
        <v>-0.44925120000000002</v>
      </c>
      <c r="Z1610">
        <v>1.48679E-2</v>
      </c>
      <c r="AA1610">
        <v>0.89328180000000001</v>
      </c>
      <c r="AB1610">
        <v>38</v>
      </c>
      <c r="AC1610">
        <v>-0.30529999999998803</v>
      </c>
      <c r="AD1610">
        <v>-0.1144153</v>
      </c>
      <c r="AE1610">
        <v>-0.56860000000000299</v>
      </c>
      <c r="AF1610">
        <v>-0.41408568802485501</v>
      </c>
      <c r="AG1610">
        <v>-0.1144153</v>
      </c>
      <c r="AH1610">
        <v>0.469094792730887</v>
      </c>
      <c r="AI1610">
        <v>100.362387377636</v>
      </c>
      <c r="AJ1610">
        <v>131.435922977801</v>
      </c>
      <c r="AK1610">
        <v>0.63608784178629096</v>
      </c>
      <c r="AL1610">
        <v>88.488653158869496</v>
      </c>
      <c r="AM1610">
        <v>103.63865064778</v>
      </c>
      <c r="AN1610">
        <v>1.00000001261015</v>
      </c>
    </row>
    <row r="1611" spans="1:40" x14ac:dyDescent="0.3">
      <c r="A1611" t="str">
        <f>"20200111153904251"</f>
        <v>20200111153904251</v>
      </c>
      <c r="B1611" t="str">
        <f>"1578728344242506"</f>
        <v>1578728344242506</v>
      </c>
      <c r="C1611" t="s">
        <v>40</v>
      </c>
      <c r="D1611">
        <v>4.719919</v>
      </c>
      <c r="E1611">
        <v>0.40465489999999998</v>
      </c>
      <c r="F1611" t="s">
        <v>41</v>
      </c>
      <c r="G1611">
        <v>-476.2054</v>
      </c>
      <c r="H1611">
        <v>1.00269599999999</v>
      </c>
      <c r="I1611">
        <v>280.70569999999998</v>
      </c>
      <c r="J1611">
        <v>-475.91719999999998</v>
      </c>
      <c r="K1611">
        <v>1.1138490000000001</v>
      </c>
      <c r="L1611">
        <v>281.26179999999999</v>
      </c>
      <c r="M1611">
        <v>-0.93446229999999997</v>
      </c>
      <c r="N1611">
        <v>0</v>
      </c>
      <c r="O1611">
        <v>-0.35574749999999999</v>
      </c>
      <c r="P1611">
        <v>-0.82260419999999901</v>
      </c>
      <c r="Q1611">
        <v>1.646179E-2</v>
      </c>
      <c r="R1611">
        <v>-0.56837590000000004</v>
      </c>
      <c r="S1611">
        <v>-2.087189</v>
      </c>
      <c r="T1611">
        <v>-0.36762850000000002</v>
      </c>
      <c r="U1611">
        <v>-2.2842410000000002</v>
      </c>
      <c r="V1611">
        <v>-0.23916180000000001</v>
      </c>
      <c r="W1611">
        <v>2.5509759999999999E-2</v>
      </c>
      <c r="X1611">
        <v>0.97064459999999997</v>
      </c>
      <c r="Y1611">
        <v>-0.44924199999999997</v>
      </c>
      <c r="Z1611">
        <v>1.5867119999999998E-2</v>
      </c>
      <c r="AA1611">
        <v>0.89326919999999899</v>
      </c>
      <c r="AB1611">
        <v>38</v>
      </c>
      <c r="AC1611">
        <v>-0.288200000000017</v>
      </c>
      <c r="AD1611">
        <v>-0.111153</v>
      </c>
      <c r="AE1611">
        <v>-0.55610000000001403</v>
      </c>
      <c r="AF1611">
        <v>-0.40443772413622098</v>
      </c>
      <c r="AG1611">
        <v>-0.111153</v>
      </c>
      <c r="AH1611">
        <v>0.452931271536475</v>
      </c>
      <c r="AI1611">
        <v>100.373270396078</v>
      </c>
      <c r="AJ1611">
        <v>131.762749314281</v>
      </c>
      <c r="AK1611">
        <v>0.61730996982807096</v>
      </c>
      <c r="AL1611">
        <v>88.538239886254701</v>
      </c>
      <c r="AM1611">
        <v>103.841668161817</v>
      </c>
      <c r="AN1611">
        <v>1.0000000269718201</v>
      </c>
    </row>
    <row r="1612" spans="1:40" x14ac:dyDescent="0.3">
      <c r="A1612" t="str">
        <f>"20200111153904274"</f>
        <v>20200111153904274</v>
      </c>
      <c r="B1612" t="str">
        <f>"1578728344262030"</f>
        <v>1578728344262030</v>
      </c>
      <c r="C1612" t="s">
        <v>40</v>
      </c>
      <c r="D1612">
        <v>4.747058</v>
      </c>
      <c r="E1612">
        <v>0.40466819999999998</v>
      </c>
      <c r="F1612" t="s">
        <v>41</v>
      </c>
      <c r="G1612">
        <v>-476.55259999999998</v>
      </c>
      <c r="H1612">
        <v>0.99854270000000001</v>
      </c>
      <c r="I1612">
        <v>280.55119999999999</v>
      </c>
      <c r="J1612">
        <v>-476.27010000000001</v>
      </c>
      <c r="K1612">
        <v>1.11381</v>
      </c>
      <c r="L1612">
        <v>281.11930000000001</v>
      </c>
      <c r="M1612">
        <v>-0.93114850000000005</v>
      </c>
      <c r="N1612">
        <v>0</v>
      </c>
      <c r="O1612">
        <v>-0.3643342</v>
      </c>
      <c r="P1612">
        <v>-0.81542209999999904</v>
      </c>
      <c r="Q1612">
        <v>1.7125910000000001E-2</v>
      </c>
      <c r="R1612">
        <v>-0.57861379999999996</v>
      </c>
      <c r="S1612">
        <v>-2.0610659999999998</v>
      </c>
      <c r="T1612">
        <v>-0.37403459999999999</v>
      </c>
      <c r="U1612">
        <v>-2.3060610000000001</v>
      </c>
      <c r="V1612">
        <v>-0.24237549999999999</v>
      </c>
      <c r="W1612">
        <v>2.6090349999999998E-2</v>
      </c>
      <c r="X1612">
        <v>0.96983160000000002</v>
      </c>
      <c r="Y1612">
        <v>-0.45085619999999998</v>
      </c>
      <c r="Z1612">
        <v>1.716999E-2</v>
      </c>
      <c r="AA1612">
        <v>0.89243139999999999</v>
      </c>
      <c r="AB1612">
        <v>38</v>
      </c>
      <c r="AC1612">
        <v>-0.28249999999997</v>
      </c>
      <c r="AD1612">
        <v>-0.115267299999999</v>
      </c>
      <c r="AE1612">
        <v>-0.56810000000001504</v>
      </c>
      <c r="AF1612">
        <v>-0.41249362132974499</v>
      </c>
      <c r="AG1612">
        <v>-0.115267299999999</v>
      </c>
      <c r="AH1612">
        <v>0.45506021195847102</v>
      </c>
      <c r="AI1612">
        <v>100.62924870459101</v>
      </c>
      <c r="AJ1612">
        <v>132.191031137902</v>
      </c>
      <c r="AK1612">
        <v>0.62491386173992503</v>
      </c>
      <c r="AL1612">
        <v>88.504963354242605</v>
      </c>
      <c r="AM1612">
        <v>104.031661698224</v>
      </c>
      <c r="AN1612">
        <v>0.99999996086096499</v>
      </c>
    </row>
    <row r="1613" spans="1:40" x14ac:dyDescent="0.3">
      <c r="A1613" t="str">
        <f>"20200111153904297"</f>
        <v>20200111153904297</v>
      </c>
      <c r="B1613" t="str">
        <f>"1578728344292283"</f>
        <v>1578728344292283</v>
      </c>
      <c r="C1613" t="s">
        <v>40</v>
      </c>
      <c r="D1613">
        <v>4.7275039999999997</v>
      </c>
      <c r="E1613">
        <v>0.40444970000000002</v>
      </c>
      <c r="F1613" t="s">
        <v>53</v>
      </c>
      <c r="G1613">
        <v>-482.25689999999997</v>
      </c>
      <c r="H1613" s="1">
        <v>9.5573839999999997E-7</v>
      </c>
      <c r="I1613">
        <v>274.25209999999998</v>
      </c>
      <c r="J1613">
        <v>-476.608</v>
      </c>
      <c r="K1613">
        <v>1.1138049999999999</v>
      </c>
      <c r="L1613">
        <v>280.97910000000002</v>
      </c>
      <c r="M1613">
        <v>-0.92787249999999999</v>
      </c>
      <c r="N1613">
        <v>0</v>
      </c>
      <c r="O1613">
        <v>-0.37259880000000001</v>
      </c>
      <c r="P1613">
        <v>-0.80828489999999997</v>
      </c>
      <c r="Q1613">
        <v>1.924273E-2</v>
      </c>
      <c r="R1613">
        <v>-0.58847709999999998</v>
      </c>
      <c r="S1613">
        <v>-2.0325929999999999</v>
      </c>
      <c r="T1613">
        <v>-0.37815569999999998</v>
      </c>
      <c r="U1613">
        <v>-2.331512</v>
      </c>
      <c r="V1613">
        <v>-0.2455978</v>
      </c>
      <c r="W1613">
        <v>2.8115210000000002E-2</v>
      </c>
      <c r="X1613">
        <v>0.96896400000000005</v>
      </c>
      <c r="Y1613">
        <v>-0.45395259999999998</v>
      </c>
      <c r="Z1613">
        <v>1.825003E-2</v>
      </c>
      <c r="AA1613">
        <v>0.89083889999999999</v>
      </c>
      <c r="AB1613">
        <v>38</v>
      </c>
      <c r="AC1613">
        <v>-5.6488999999999603</v>
      </c>
      <c r="AD1613">
        <v>-1.1138040442616</v>
      </c>
      <c r="AE1613">
        <v>-6.7270000000000296</v>
      </c>
      <c r="AF1613">
        <v>-4.0720190884311602</v>
      </c>
      <c r="AG1613">
        <v>-1.1138040442616</v>
      </c>
      <c r="AH1613">
        <v>7.6261863818505899</v>
      </c>
      <c r="AI1613">
        <v>97.341232237516806</v>
      </c>
      <c r="AJ1613">
        <v>118.100086439048</v>
      </c>
      <c r="AK1613">
        <v>8.7166861613966997</v>
      </c>
      <c r="AL1613">
        <v>88.388904808946407</v>
      </c>
      <c r="AM1613">
        <v>104.222905555195</v>
      </c>
      <c r="AN1613">
        <v>0.99999998884709196</v>
      </c>
    </row>
    <row r="1614" spans="1:40" x14ac:dyDescent="0.3">
      <c r="A1614" t="str">
        <f>"20200111153904319"</f>
        <v>20200111153904319</v>
      </c>
      <c r="B1614" t="str">
        <f>"1578728344311803"</f>
        <v>1578728344311803</v>
      </c>
      <c r="C1614" t="s">
        <v>40</v>
      </c>
      <c r="D1614">
        <v>4.9037579999999998</v>
      </c>
      <c r="E1614">
        <v>0.40399420000000003</v>
      </c>
      <c r="F1614" t="s">
        <v>53</v>
      </c>
      <c r="G1614">
        <v>-482.4812</v>
      </c>
      <c r="H1614" s="1">
        <v>9.1126039999999999E-7</v>
      </c>
      <c r="I1614">
        <v>274.07</v>
      </c>
      <c r="J1614">
        <v>-476.97250000000003</v>
      </c>
      <c r="K1614">
        <v>1.1138250000000001</v>
      </c>
      <c r="L1614">
        <v>280.8236</v>
      </c>
      <c r="M1614">
        <v>-0.92420740000000001</v>
      </c>
      <c r="N1614">
        <v>0</v>
      </c>
      <c r="O1614">
        <v>-0.38159959999999998</v>
      </c>
      <c r="P1614">
        <v>-0.80098979999999997</v>
      </c>
      <c r="Q1614">
        <v>2.147924E-2</v>
      </c>
      <c r="R1614">
        <v>-0.59829259999999995</v>
      </c>
      <c r="S1614">
        <v>-2.0041500000000001</v>
      </c>
      <c r="T1614">
        <v>-0.38007340000000001</v>
      </c>
      <c r="U1614">
        <v>-2.3576350000000001</v>
      </c>
      <c r="V1614">
        <v>-0.24807170000000001</v>
      </c>
      <c r="W1614">
        <v>3.0267209999999999E-2</v>
      </c>
      <c r="X1614">
        <v>0.96826880000000004</v>
      </c>
      <c r="Y1614">
        <v>-0.45643869999999997</v>
      </c>
      <c r="Z1614">
        <v>1.9375750000000001E-2</v>
      </c>
      <c r="AA1614">
        <v>0.88954390000000005</v>
      </c>
      <c r="AB1614">
        <v>38</v>
      </c>
      <c r="AC1614">
        <v>-5.50869999999997</v>
      </c>
      <c r="AD1614">
        <v>-1.1138240887396</v>
      </c>
      <c r="AE1614">
        <v>-6.7535999999999996</v>
      </c>
      <c r="AF1614">
        <v>-4.0735367490140604</v>
      </c>
      <c r="AG1614">
        <v>-1.1138240887396</v>
      </c>
      <c r="AH1614">
        <v>7.5459571873709503</v>
      </c>
      <c r="AI1614">
        <v>97.400601922992607</v>
      </c>
      <c r="AJ1614">
        <v>118.36152026456401</v>
      </c>
      <c r="AK1614">
        <v>8.6472987469995406</v>
      </c>
      <c r="AL1614">
        <v>88.265551840750604</v>
      </c>
      <c r="AM1614">
        <v>104.37015887685401</v>
      </c>
      <c r="AN1614">
        <v>1.0000000706977501</v>
      </c>
    </row>
    <row r="1615" spans="1:40" x14ac:dyDescent="0.3">
      <c r="A1615" t="str">
        <f>"20200111153904341"</f>
        <v>20200111153904341</v>
      </c>
      <c r="B1615" t="str">
        <f>"1578728344332298"</f>
        <v>1578728344332298</v>
      </c>
      <c r="C1615" t="s">
        <v>40</v>
      </c>
      <c r="D1615">
        <v>4.8497919999999999</v>
      </c>
      <c r="E1615">
        <v>0.42670570000000002</v>
      </c>
      <c r="F1615" t="s">
        <v>41</v>
      </c>
      <c r="G1615">
        <v>-477.66050000000001</v>
      </c>
      <c r="H1615">
        <v>0.98359300000000005</v>
      </c>
      <c r="I1615">
        <v>279.9923</v>
      </c>
      <c r="J1615">
        <v>-477.29059999999998</v>
      </c>
      <c r="K1615">
        <v>1.1138619999999999</v>
      </c>
      <c r="L1615">
        <v>280.68439999999998</v>
      </c>
      <c r="M1615">
        <v>-0.92089189999999999</v>
      </c>
      <c r="N1615">
        <v>0</v>
      </c>
      <c r="O1615">
        <v>-0.38953349999999998</v>
      </c>
      <c r="P1615">
        <v>-0.79434879999999997</v>
      </c>
      <c r="Q1615">
        <v>2.315118E-2</v>
      </c>
      <c r="R1615">
        <v>-0.60702100000000003</v>
      </c>
      <c r="S1615">
        <v>-1.973511</v>
      </c>
      <c r="T1615">
        <v>-0.373587</v>
      </c>
      <c r="U1615">
        <v>-2.385529</v>
      </c>
      <c r="V1615">
        <v>-0.25039679999999997</v>
      </c>
      <c r="W1615">
        <v>3.1855260000000003E-2</v>
      </c>
      <c r="X1615">
        <v>0.96761909999999896</v>
      </c>
      <c r="Y1615">
        <v>-0.46072160000000001</v>
      </c>
      <c r="Z1615">
        <v>1.980438E-2</v>
      </c>
      <c r="AA1615">
        <v>0.88732369999999905</v>
      </c>
      <c r="AB1615">
        <v>38</v>
      </c>
      <c r="AC1615">
        <v>-0.36990000000002898</v>
      </c>
      <c r="AD1615">
        <v>-0.130269</v>
      </c>
      <c r="AE1615">
        <v>-0.69209999999998195</v>
      </c>
      <c r="AF1615">
        <v>-0.48008610126988599</v>
      </c>
      <c r="AG1615">
        <v>-0.130269</v>
      </c>
      <c r="AH1615">
        <v>0.59393501445113395</v>
      </c>
      <c r="AI1615">
        <v>99.680094839778405</v>
      </c>
      <c r="AJ1615">
        <v>128.949100859347</v>
      </c>
      <c r="AK1615">
        <v>0.77473316592526797</v>
      </c>
      <c r="AL1615">
        <v>88.174519255594106</v>
      </c>
      <c r="AM1615">
        <v>104.508518298022</v>
      </c>
      <c r="AN1615">
        <v>1.0000000188623499</v>
      </c>
    </row>
    <row r="1616" spans="1:40" x14ac:dyDescent="0.3">
      <c r="A1616" t="str">
        <f>"20200111153904363"</f>
        <v>20200111153904363</v>
      </c>
      <c r="B1616" t="str">
        <f>"1578728344351819"</f>
        <v>1578728344351819</v>
      </c>
      <c r="C1616" t="s">
        <v>40</v>
      </c>
      <c r="D1616">
        <v>4.7333080000000001</v>
      </c>
      <c r="E1616">
        <v>0.42731799999999998</v>
      </c>
      <c r="F1616" t="s">
        <v>41</v>
      </c>
      <c r="G1616">
        <v>-477.99630000000002</v>
      </c>
      <c r="H1616">
        <v>0.99233199999999999</v>
      </c>
      <c r="I1616">
        <v>279.90780000000001</v>
      </c>
      <c r="J1616">
        <v>-477.62939999999998</v>
      </c>
      <c r="K1616">
        <v>1.1139129999999999</v>
      </c>
      <c r="L1616">
        <v>280.5326</v>
      </c>
      <c r="M1616">
        <v>-0.91721989999999998</v>
      </c>
      <c r="N1616">
        <v>0</v>
      </c>
      <c r="O1616">
        <v>-0.39810289999999998</v>
      </c>
      <c r="P1616">
        <v>-0.78700519999999996</v>
      </c>
      <c r="Q1616">
        <v>2.3888179999999998E-2</v>
      </c>
      <c r="R1616">
        <v>-0.61648340000000001</v>
      </c>
      <c r="S1616">
        <v>-2.056854</v>
      </c>
      <c r="T1616">
        <v>-0.35425139999999999</v>
      </c>
      <c r="U1616">
        <v>-2.2640989999999999</v>
      </c>
      <c r="V1616">
        <v>-0.25298369999999998</v>
      </c>
      <c r="W1616">
        <v>3.2487700000000001E-2</v>
      </c>
      <c r="X1616">
        <v>0.96692489999999998</v>
      </c>
      <c r="Y1616">
        <v>-0.41105910000000001</v>
      </c>
      <c r="Z1616">
        <v>2.3178379999999998E-2</v>
      </c>
      <c r="AA1616">
        <v>0.91131399999999996</v>
      </c>
      <c r="AB1616">
        <v>38</v>
      </c>
      <c r="AC1616">
        <v>-0.36690000000004303</v>
      </c>
      <c r="AD1616">
        <v>-0.121580999999999</v>
      </c>
      <c r="AE1616">
        <v>-0.62479999999999303</v>
      </c>
      <c r="AF1616">
        <v>-0.41536707475533202</v>
      </c>
      <c r="AG1616">
        <v>-0.121580999999999</v>
      </c>
      <c r="AH1616">
        <v>0.56929808566465501</v>
      </c>
      <c r="AI1616">
        <v>99.788531637347305</v>
      </c>
      <c r="AJ1616">
        <v>126.114962678081</v>
      </c>
      <c r="AK1616">
        <v>0.71513079691287396</v>
      </c>
      <c r="AL1616">
        <v>88.138264278640406</v>
      </c>
      <c r="AM1616">
        <v>104.66205587906499</v>
      </c>
      <c r="AN1616">
        <v>0.99999998267849399</v>
      </c>
    </row>
    <row r="1617" spans="1:40" x14ac:dyDescent="0.3">
      <c r="A1617" t="str">
        <f>"20200111153904385"</f>
        <v>20200111153904385</v>
      </c>
      <c r="B1617" t="str">
        <f>"1578728344382076"</f>
        <v>1578728344382076</v>
      </c>
      <c r="C1617" t="s">
        <v>40</v>
      </c>
      <c r="D1617">
        <v>4.8353590000000004</v>
      </c>
      <c r="E1617">
        <v>0.43005139999999997</v>
      </c>
      <c r="F1617" t="s">
        <v>41</v>
      </c>
      <c r="G1617">
        <v>-478.30759999999998</v>
      </c>
      <c r="H1617">
        <v>1.013933</v>
      </c>
      <c r="I1617">
        <v>279.76780000000002</v>
      </c>
      <c r="J1617">
        <v>-477.97309999999999</v>
      </c>
      <c r="K1617">
        <v>1.11399</v>
      </c>
      <c r="L1617">
        <v>280.37450000000001</v>
      </c>
      <c r="M1617">
        <v>-0.91331819999999997</v>
      </c>
      <c r="N1617">
        <v>0</v>
      </c>
      <c r="O1617">
        <v>-0.406974</v>
      </c>
      <c r="P1617">
        <v>-0.77993000000000001</v>
      </c>
      <c r="Q1617">
        <v>2.3220850000000001E-2</v>
      </c>
      <c r="R1617">
        <v>-0.62543549999999903</v>
      </c>
      <c r="S1617">
        <v>-2.0286559999999998</v>
      </c>
      <c r="T1617">
        <v>-0.29903459999999898</v>
      </c>
      <c r="U1617">
        <v>-2.288116</v>
      </c>
      <c r="V1617">
        <v>-0.25464350000000002</v>
      </c>
      <c r="W1617">
        <v>3.1723250000000001E-2</v>
      </c>
      <c r="X1617">
        <v>0.96651450000000005</v>
      </c>
      <c r="Y1617">
        <v>-0.41333730000000002</v>
      </c>
      <c r="Z1617">
        <v>2.0422860000000001E-2</v>
      </c>
      <c r="AA1617">
        <v>0.91034899999999996</v>
      </c>
      <c r="AB1617">
        <v>38</v>
      </c>
      <c r="AC1617">
        <v>-0.33449999999999103</v>
      </c>
      <c r="AD1617">
        <v>-0.10005699999999999</v>
      </c>
      <c r="AE1617">
        <v>-0.60669999999998903</v>
      </c>
      <c r="AF1617">
        <v>-0.40948269829870598</v>
      </c>
      <c r="AG1617">
        <v>-0.10005699999999999</v>
      </c>
      <c r="AH1617">
        <v>0.54118918386626602</v>
      </c>
      <c r="AI1617">
        <v>98.387037645692601</v>
      </c>
      <c r="AJ1617">
        <v>127.112425948614</v>
      </c>
      <c r="AK1617">
        <v>0.68598339352263105</v>
      </c>
      <c r="AL1617">
        <v>88.182086621079605</v>
      </c>
      <c r="AM1617">
        <v>104.760059778157</v>
      </c>
      <c r="AN1617">
        <v>0.99999997769653104</v>
      </c>
    </row>
    <row r="1618" spans="1:40" x14ac:dyDescent="0.3">
      <c r="A1618" t="str">
        <f>"20200111153904408"</f>
        <v>20200111153904408</v>
      </c>
      <c r="B1618" t="str">
        <f>"1578728344402570"</f>
        <v>1578728344402570</v>
      </c>
      <c r="C1618" t="s">
        <v>40</v>
      </c>
      <c r="D1618">
        <v>4.8070500000000003</v>
      </c>
      <c r="E1618">
        <v>0.43112319999999998</v>
      </c>
      <c r="F1618" t="s">
        <v>53</v>
      </c>
      <c r="G1618">
        <v>-486.20420000000001</v>
      </c>
      <c r="H1618" s="1">
        <v>2.4178809999999999E-7</v>
      </c>
      <c r="I1618">
        <v>270.98919999999998</v>
      </c>
      <c r="J1618">
        <v>-478.31529999999998</v>
      </c>
      <c r="K1618">
        <v>1.114104</v>
      </c>
      <c r="L1618">
        <v>280.21280000000002</v>
      </c>
      <c r="M1618">
        <v>-0.90922829999999999</v>
      </c>
      <c r="N1618">
        <v>0</v>
      </c>
      <c r="O1618">
        <v>-0.41603089999999998</v>
      </c>
      <c r="P1618">
        <v>-0.77338809999999902</v>
      </c>
      <c r="Q1618">
        <v>2.2348759999999999E-2</v>
      </c>
      <c r="R1618">
        <v>-0.63353870000000001</v>
      </c>
      <c r="S1618">
        <v>-2.0135190000000001</v>
      </c>
      <c r="T1618">
        <v>-0.27250639999999998</v>
      </c>
      <c r="U1618">
        <v>-2.2958370000000001</v>
      </c>
      <c r="V1618">
        <v>-0.25509999999999999</v>
      </c>
      <c r="W1618">
        <v>3.0767659999999999E-2</v>
      </c>
      <c r="X1618">
        <v>0.96642510000000004</v>
      </c>
      <c r="Y1618">
        <v>-0.40924939999999999</v>
      </c>
      <c r="Z1618">
        <v>1.9719980000000002E-2</v>
      </c>
      <c r="AA1618">
        <v>0.91220950000000001</v>
      </c>
      <c r="AB1618">
        <v>37</v>
      </c>
      <c r="AC1618">
        <v>-7.8889000000000298</v>
      </c>
      <c r="AD1618">
        <v>-1.11410375821189</v>
      </c>
      <c r="AE1618">
        <v>-9.2236000000000296</v>
      </c>
      <c r="AF1618">
        <v>-5.0622447666281998</v>
      </c>
      <c r="AG1618">
        <v>-1.11410375821189</v>
      </c>
      <c r="AH1618">
        <v>10.9193310495969</v>
      </c>
      <c r="AI1618">
        <v>95.288603575302105</v>
      </c>
      <c r="AJ1618">
        <v>114.872624279112</v>
      </c>
      <c r="AK1618">
        <v>12.0871559860873</v>
      </c>
      <c r="AL1618">
        <v>88.236864800625696</v>
      </c>
      <c r="AM1618">
        <v>104.78666980119399</v>
      </c>
      <c r="AN1618">
        <v>1.0000000664059401</v>
      </c>
    </row>
    <row r="1619" spans="1:40" x14ac:dyDescent="0.3">
      <c r="A1619" t="str">
        <f>"20200111153904430"</f>
        <v>20200111153904430</v>
      </c>
      <c r="B1619" t="str">
        <f>"1578728344422093"</f>
        <v>1578728344422093</v>
      </c>
      <c r="C1619" t="s">
        <v>40</v>
      </c>
      <c r="D1619">
        <v>4.789123</v>
      </c>
      <c r="E1619">
        <v>0.43203730000000001</v>
      </c>
      <c r="F1619" t="s">
        <v>53</v>
      </c>
      <c r="G1619">
        <v>-486.47930000000002</v>
      </c>
      <c r="H1619" s="1">
        <v>2.002474E-7</v>
      </c>
      <c r="I1619">
        <v>270.7534</v>
      </c>
      <c r="J1619">
        <v>-478.64</v>
      </c>
      <c r="K1619">
        <v>1.1142540000000001</v>
      </c>
      <c r="L1619">
        <v>280.05540000000002</v>
      </c>
      <c r="M1619">
        <v>-0.90512539999999997</v>
      </c>
      <c r="N1619">
        <v>0</v>
      </c>
      <c r="O1619">
        <v>-0.42488290000000001</v>
      </c>
      <c r="P1619">
        <v>-0.76768110000000001</v>
      </c>
      <c r="Q1619">
        <v>2.202807E-2</v>
      </c>
      <c r="R1619">
        <v>-0.64045379999999996</v>
      </c>
      <c r="S1619">
        <v>-1.9941409999999999</v>
      </c>
      <c r="T1619">
        <v>-0.27213189999999998</v>
      </c>
      <c r="U1619">
        <v>-2.3105769999999999</v>
      </c>
      <c r="V1619">
        <v>-0.2543435</v>
      </c>
      <c r="W1619">
        <v>3.0379690000000001E-2</v>
      </c>
      <c r="X1619">
        <v>0.96663670000000002</v>
      </c>
      <c r="Y1619">
        <v>-0.40763860000000002</v>
      </c>
      <c r="Z1619">
        <v>2.0642819999999999E-2</v>
      </c>
      <c r="AA1619">
        <v>0.91291</v>
      </c>
      <c r="AB1619">
        <v>37</v>
      </c>
      <c r="AC1619">
        <v>-7.8393000000000299</v>
      </c>
      <c r="AD1619">
        <v>-1.1142537997526001</v>
      </c>
      <c r="AE1619">
        <v>-9.3020000000000191</v>
      </c>
      <c r="AF1619">
        <v>-5.0469148341689403</v>
      </c>
      <c r="AG1619">
        <v>-1.1142537997526001</v>
      </c>
      <c r="AH1619">
        <v>10.9571100244133</v>
      </c>
      <c r="AI1619">
        <v>95.277163858522499</v>
      </c>
      <c r="AJ1619">
        <v>114.73109916096</v>
      </c>
      <c r="AK1619">
        <v>12.114915227137001</v>
      </c>
      <c r="AL1619">
        <v>88.259104168513502</v>
      </c>
      <c r="AM1619">
        <v>104.74164595684201</v>
      </c>
      <c r="AN1619">
        <v>1.00000002567181</v>
      </c>
    </row>
    <row r="1620" spans="1:40" x14ac:dyDescent="0.3">
      <c r="A1620" t="str">
        <f>"20200111153904452"</f>
        <v>20200111153904452</v>
      </c>
      <c r="B1620" t="str">
        <f>"1578728344442587"</f>
        <v>1578728344442587</v>
      </c>
      <c r="C1620" t="s">
        <v>40</v>
      </c>
      <c r="D1620">
        <v>4.8354109999999997</v>
      </c>
      <c r="E1620">
        <v>0.43282189999999998</v>
      </c>
      <c r="F1620" t="s">
        <v>53</v>
      </c>
      <c r="G1620">
        <v>-486.7516</v>
      </c>
      <c r="H1620" s="1">
        <v>1.5912810000000001E-7</v>
      </c>
      <c r="I1620">
        <v>270.51990000000001</v>
      </c>
      <c r="J1620">
        <v>-478.96249999999998</v>
      </c>
      <c r="K1620">
        <v>1.114441</v>
      </c>
      <c r="L1620">
        <v>279.89490000000001</v>
      </c>
      <c r="M1620">
        <v>-0.90080059999999995</v>
      </c>
      <c r="N1620">
        <v>0</v>
      </c>
      <c r="O1620">
        <v>-0.43397619999999998</v>
      </c>
      <c r="P1620">
        <v>-0.76188900000000004</v>
      </c>
      <c r="Q1620">
        <v>2.093596E-2</v>
      </c>
      <c r="R1620">
        <v>-0.64736959999999999</v>
      </c>
      <c r="S1620">
        <v>-1.976898</v>
      </c>
      <c r="T1620">
        <v>-0.27155659999999998</v>
      </c>
      <c r="U1620">
        <v>-2.3239139999999998</v>
      </c>
      <c r="V1620">
        <v>-0.2533261</v>
      </c>
      <c r="W1620">
        <v>2.9210050000000001E-2</v>
      </c>
      <c r="X1620">
        <v>0.96693989999999996</v>
      </c>
      <c r="Y1620">
        <v>-0.4049915</v>
      </c>
      <c r="Z1620">
        <v>2.161677E-2</v>
      </c>
      <c r="AA1620">
        <v>0.91406489999999996</v>
      </c>
      <c r="AB1620">
        <v>37</v>
      </c>
      <c r="AC1620">
        <v>-7.7891000000000101</v>
      </c>
      <c r="AD1620">
        <v>-1.11444084087189</v>
      </c>
      <c r="AE1620">
        <v>-9.375</v>
      </c>
      <c r="AF1620">
        <v>-5.0232911736841697</v>
      </c>
      <c r="AG1620">
        <v>-1.11444084087189</v>
      </c>
      <c r="AH1620">
        <v>10.9942757056104</v>
      </c>
      <c r="AI1620">
        <v>95.267654271845501</v>
      </c>
      <c r="AJ1620">
        <v>114.55568928593</v>
      </c>
      <c r="AK1620">
        <v>12.138761505787601</v>
      </c>
      <c r="AL1620">
        <v>88.326149421195794</v>
      </c>
      <c r="AM1620">
        <v>104.680825573077</v>
      </c>
      <c r="AN1620">
        <v>1.0000000550871</v>
      </c>
    </row>
    <row r="1621" spans="1:40" x14ac:dyDescent="0.3">
      <c r="A1621" t="str">
        <f>"20200111153904474"</f>
        <v>20200111153904474</v>
      </c>
      <c r="B1621" t="str">
        <f>"1578728344471867"</f>
        <v>1578728344471867</v>
      </c>
      <c r="C1621" t="s">
        <v>40</v>
      </c>
      <c r="D1621">
        <v>4.8683550000000002</v>
      </c>
      <c r="E1621">
        <v>0.4339307</v>
      </c>
      <c r="F1621" t="s">
        <v>53</v>
      </c>
      <c r="G1621">
        <v>-486.94110000000001</v>
      </c>
      <c r="H1621" s="1">
        <v>1.335104E-7</v>
      </c>
      <c r="I1621">
        <v>270.37439999999998</v>
      </c>
      <c r="J1621">
        <v>-479.28899999999999</v>
      </c>
      <c r="K1621">
        <v>1.1146659999999999</v>
      </c>
      <c r="L1621">
        <v>279.72789999999998</v>
      </c>
      <c r="M1621">
        <v>-0.89613880000000001</v>
      </c>
      <c r="N1621">
        <v>0</v>
      </c>
      <c r="O1621">
        <v>-0.44352140000000001</v>
      </c>
      <c r="P1621">
        <v>-0.75575499999999995</v>
      </c>
      <c r="Q1621">
        <v>1.903475E-2</v>
      </c>
      <c r="R1621">
        <v>-0.65457759999999998</v>
      </c>
      <c r="S1621">
        <v>-1.9589540000000001</v>
      </c>
      <c r="T1621">
        <v>-0.27362419999999998</v>
      </c>
      <c r="U1621">
        <v>-2.3375240000000002</v>
      </c>
      <c r="V1621">
        <v>-0.25218780000000002</v>
      </c>
      <c r="W1621">
        <v>2.721815E-2</v>
      </c>
      <c r="X1621">
        <v>0.96729549999999997</v>
      </c>
      <c r="Y1621">
        <v>-0.40205550000000001</v>
      </c>
      <c r="Z1621">
        <v>2.2865590000000002E-2</v>
      </c>
      <c r="AA1621">
        <v>0.91532979999999997</v>
      </c>
      <c r="AB1621">
        <v>37</v>
      </c>
      <c r="AC1621">
        <v>-7.6521000000000097</v>
      </c>
      <c r="AD1621">
        <v>-1.1146658664896001</v>
      </c>
      <c r="AE1621">
        <v>-9.3534999999999897</v>
      </c>
      <c r="AF1621">
        <v>-4.9466386820438002</v>
      </c>
      <c r="AG1621">
        <v>-1.1146658664896001</v>
      </c>
      <c r="AH1621">
        <v>10.914199845022701</v>
      </c>
      <c r="AI1621">
        <v>95.314455541405096</v>
      </c>
      <c r="AJ1621">
        <v>114.38144174764</v>
      </c>
      <c r="AK1621">
        <v>12.0345948208364</v>
      </c>
      <c r="AL1621">
        <v>88.440322339816106</v>
      </c>
      <c r="AM1621">
        <v>104.612546168191</v>
      </c>
      <c r="AN1621">
        <v>1.00000004923925</v>
      </c>
    </row>
    <row r="1622" spans="1:40" x14ac:dyDescent="0.3">
      <c r="A1622" t="str">
        <f>"20200111153904498"</f>
        <v>20200111153904498</v>
      </c>
      <c r="B1622" t="str">
        <f>"1578728344492362"</f>
        <v>1578728344492362</v>
      </c>
      <c r="C1622" t="s">
        <v>40</v>
      </c>
      <c r="D1622">
        <v>4.8812410000000002</v>
      </c>
      <c r="E1622">
        <v>0.43454219999999999</v>
      </c>
      <c r="F1622" t="s">
        <v>53</v>
      </c>
      <c r="G1622">
        <v>-487.01170000000002</v>
      </c>
      <c r="H1622" s="1">
        <v>1.3517299999999999E-7</v>
      </c>
      <c r="I1622">
        <v>270.38389999999998</v>
      </c>
      <c r="J1622">
        <v>-479.62520000000001</v>
      </c>
      <c r="K1622">
        <v>1.1149519999999999</v>
      </c>
      <c r="L1622">
        <v>279.55059999999997</v>
      </c>
      <c r="M1622">
        <v>-0.89097939999999998</v>
      </c>
      <c r="N1622">
        <v>0</v>
      </c>
      <c r="O1622">
        <v>-0.45379540000000002</v>
      </c>
      <c r="P1622">
        <v>-0.74904169999999903</v>
      </c>
      <c r="Q1622">
        <v>1.8272460000000001E-2</v>
      </c>
      <c r="R1622">
        <v>-0.66227049999999998</v>
      </c>
      <c r="S1622">
        <v>-1.9417420000000001</v>
      </c>
      <c r="T1622">
        <v>-0.28026240000000002</v>
      </c>
      <c r="U1622">
        <v>-2.349396</v>
      </c>
      <c r="V1622">
        <v>-0.25094860000000002</v>
      </c>
      <c r="W1622">
        <v>2.6351090000000001E-2</v>
      </c>
      <c r="X1622">
        <v>0.96764170000000005</v>
      </c>
      <c r="Y1622">
        <v>-0.3978256</v>
      </c>
      <c r="Z1622">
        <v>2.466995E-2</v>
      </c>
      <c r="AA1622">
        <v>0.91712930000000004</v>
      </c>
      <c r="AB1622">
        <v>37</v>
      </c>
      <c r="AC1622">
        <v>-7.3865000000000096</v>
      </c>
      <c r="AD1622">
        <v>-1.114951864827</v>
      </c>
      <c r="AE1622">
        <v>-9.1666999999999899</v>
      </c>
      <c r="AF1622">
        <v>-4.7731100505898896</v>
      </c>
      <c r="AG1622">
        <v>-1.114951864827</v>
      </c>
      <c r="AH1622">
        <v>10.6467371662707</v>
      </c>
      <c r="AI1622">
        <v>95.458536205131495</v>
      </c>
      <c r="AJ1622">
        <v>114.14749015724099</v>
      </c>
      <c r="AK1622">
        <v>11.7208664143728</v>
      </c>
      <c r="AL1622">
        <v>88.4900190026747</v>
      </c>
      <c r="AM1622">
        <v>104.53881201447</v>
      </c>
      <c r="AN1622">
        <v>1.0000000196825101</v>
      </c>
    </row>
    <row r="1623" spans="1:40" x14ac:dyDescent="0.3">
      <c r="A1623" t="str">
        <f>"20200111153904519"</f>
        <v>20200111153904519</v>
      </c>
      <c r="B1623" t="str">
        <f>"1578728344511886"</f>
        <v>1578728344511886</v>
      </c>
      <c r="C1623" t="s">
        <v>40</v>
      </c>
      <c r="D1623">
        <v>4.8775570000000004</v>
      </c>
      <c r="E1623">
        <v>0.43502550000000001</v>
      </c>
      <c r="F1623" t="s">
        <v>41</v>
      </c>
      <c r="G1623">
        <v>-480.31319999999999</v>
      </c>
      <c r="H1623">
        <v>1.013949</v>
      </c>
      <c r="I1623">
        <v>278.7029</v>
      </c>
      <c r="J1623">
        <v>-479.9443</v>
      </c>
      <c r="K1623">
        <v>1.115265</v>
      </c>
      <c r="L1623">
        <v>279.37740000000002</v>
      </c>
      <c r="M1623">
        <v>-0.88573799999999903</v>
      </c>
      <c r="N1623">
        <v>0</v>
      </c>
      <c r="O1623">
        <v>-0.46394089999999999</v>
      </c>
      <c r="P1623">
        <v>-0.74177930000000003</v>
      </c>
      <c r="Q1623">
        <v>1.9502269999999999E-2</v>
      </c>
      <c r="R1623">
        <v>-0.67036010000000001</v>
      </c>
      <c r="S1623">
        <v>-1.9205319999999999</v>
      </c>
      <c r="T1623">
        <v>-0.28193770000000001</v>
      </c>
      <c r="U1623">
        <v>-2.3654480000000002</v>
      </c>
      <c r="V1623">
        <v>-0.25046679999999999</v>
      </c>
      <c r="W1623">
        <v>2.7456000000000001E-2</v>
      </c>
      <c r="X1623">
        <v>0.96773580000000003</v>
      </c>
      <c r="Y1623">
        <v>-0.39538820000000002</v>
      </c>
      <c r="Z1623">
        <v>2.5974339999999999E-2</v>
      </c>
      <c r="AA1623">
        <v>0.91814680000000004</v>
      </c>
      <c r="AB1623">
        <v>37</v>
      </c>
      <c r="AC1623">
        <v>-0.36889999999999601</v>
      </c>
      <c r="AD1623">
        <v>-0.101315999999999</v>
      </c>
      <c r="AE1623">
        <v>-0.67450000000002297</v>
      </c>
      <c r="AF1623">
        <v>-0.41905291762226599</v>
      </c>
      <c r="AG1623">
        <v>-0.101315999999999</v>
      </c>
      <c r="AH1623">
        <v>0.62882824370198998</v>
      </c>
      <c r="AI1623">
        <v>97.636402709528099</v>
      </c>
      <c r="AJ1623">
        <v>123.679600599927</v>
      </c>
      <c r="AK1623">
        <v>0.76242720288632404</v>
      </c>
      <c r="AL1623">
        <v>88.426689389197804</v>
      </c>
      <c r="AM1623">
        <v>104.510726827764</v>
      </c>
      <c r="AN1623">
        <v>1.0000000142199399</v>
      </c>
    </row>
    <row r="1624" spans="1:40" x14ac:dyDescent="0.3">
      <c r="A1624" t="str">
        <f>"20200111153904542"</f>
        <v>20200111153904542</v>
      </c>
      <c r="B1624" t="str">
        <f>"1578728344532379"</f>
        <v>1578728344532379</v>
      </c>
      <c r="C1624" t="s">
        <v>40</v>
      </c>
      <c r="D1624">
        <v>4.881087</v>
      </c>
      <c r="E1624">
        <v>0.4353554</v>
      </c>
      <c r="F1624" t="s">
        <v>41</v>
      </c>
      <c r="G1624">
        <v>-480.62670000000003</v>
      </c>
      <c r="H1624">
        <v>1.014662</v>
      </c>
      <c r="I1624">
        <v>278.5206</v>
      </c>
      <c r="J1624">
        <v>-480.25720000000001</v>
      </c>
      <c r="K1624">
        <v>1.1155600000000001</v>
      </c>
      <c r="L1624">
        <v>279.20269999999999</v>
      </c>
      <c r="M1624">
        <v>-0.88026550000000003</v>
      </c>
      <c r="N1624">
        <v>0</v>
      </c>
      <c r="O1624">
        <v>-0.47424050000000001</v>
      </c>
      <c r="P1624">
        <v>-0.73442640000000003</v>
      </c>
      <c r="Q1624">
        <v>2.1057059999999999E-2</v>
      </c>
      <c r="R1624">
        <v>-0.67836180000000001</v>
      </c>
      <c r="S1624">
        <v>-1.8975219999999999</v>
      </c>
      <c r="T1624">
        <v>-0.2797598</v>
      </c>
      <c r="U1624">
        <v>-2.3836360000000001</v>
      </c>
      <c r="V1624">
        <v>-0.2497528</v>
      </c>
      <c r="W1624">
        <v>2.8900240000000001E-2</v>
      </c>
      <c r="X1624">
        <v>0.96787820000000002</v>
      </c>
      <c r="Y1624">
        <v>-0.39354860000000003</v>
      </c>
      <c r="Z1624">
        <v>2.6906949999999999E-2</v>
      </c>
      <c r="AA1624">
        <v>0.91891</v>
      </c>
      <c r="AB1624">
        <v>37</v>
      </c>
      <c r="AC1624">
        <v>-0.36950000000001598</v>
      </c>
      <c r="AD1624">
        <v>-0.100897999999999</v>
      </c>
      <c r="AE1624">
        <v>-0.68209999999999105</v>
      </c>
      <c r="AF1624">
        <v>-0.41817169009328797</v>
      </c>
      <c r="AG1624">
        <v>-0.100897999999999</v>
      </c>
      <c r="AH1624">
        <v>0.63801844333505597</v>
      </c>
      <c r="AI1624">
        <v>97.534499108630399</v>
      </c>
      <c r="AJ1624">
        <v>123.241738316443</v>
      </c>
      <c r="AK1624">
        <v>0.76949041763699999</v>
      </c>
      <c r="AL1624">
        <v>88.343907544902805</v>
      </c>
      <c r="AM1624">
        <v>104.46906089498999</v>
      </c>
      <c r="AN1624">
        <v>0.99999994750756704</v>
      </c>
    </row>
    <row r="1625" spans="1:40" x14ac:dyDescent="0.3">
      <c r="A1625" t="str">
        <f>"20200111153904564"</f>
        <v>20200111153904564</v>
      </c>
      <c r="B1625" t="str">
        <f>"1578728344551899"</f>
        <v>1578728344551899</v>
      </c>
      <c r="C1625" t="s">
        <v>40</v>
      </c>
      <c r="D1625">
        <v>4.9177559999999998</v>
      </c>
      <c r="E1625">
        <v>0.43564849999999999</v>
      </c>
      <c r="F1625" t="s">
        <v>42</v>
      </c>
      <c r="G1625">
        <v>-487.7878</v>
      </c>
      <c r="H1625" s="1">
        <v>-4.6445140000000001E-6</v>
      </c>
      <c r="I1625">
        <v>269.5446</v>
      </c>
      <c r="J1625">
        <v>-480.57810000000001</v>
      </c>
      <c r="K1625">
        <v>1.1158709999999901</v>
      </c>
      <c r="L1625">
        <v>279.01819999999998</v>
      </c>
      <c r="M1625">
        <v>-0.87428059999999996</v>
      </c>
      <c r="N1625">
        <v>0</v>
      </c>
      <c r="O1625">
        <v>-0.4851837</v>
      </c>
      <c r="P1625">
        <v>-0.72661999999999904</v>
      </c>
      <c r="Q1625">
        <v>2.2842020000000001E-2</v>
      </c>
      <c r="R1625">
        <v>-0.68665980000000004</v>
      </c>
      <c r="S1625">
        <v>-1.8734440000000001</v>
      </c>
      <c r="T1625">
        <v>-0.27752640000000001</v>
      </c>
      <c r="U1625">
        <v>-2.4027099999999999</v>
      </c>
      <c r="V1625">
        <v>-0.24877289999999999</v>
      </c>
      <c r="W1625">
        <v>3.0579390000000001E-2</v>
      </c>
      <c r="X1625">
        <v>0.96807900000000002</v>
      </c>
      <c r="Y1625">
        <v>-0.39138240000000002</v>
      </c>
      <c r="Z1625">
        <v>2.7895130000000001E-2</v>
      </c>
      <c r="AA1625">
        <v>0.91980519999999999</v>
      </c>
      <c r="AB1625">
        <v>37</v>
      </c>
      <c r="AC1625">
        <v>-7.20969999999999</v>
      </c>
      <c r="AD1625">
        <v>-1.1158756445139999</v>
      </c>
      <c r="AE1625">
        <v>-9.4735999999999692</v>
      </c>
      <c r="AF1625">
        <v>-4.7434325134378499</v>
      </c>
      <c r="AG1625">
        <v>-1.1158756445139999</v>
      </c>
      <c r="AH1625">
        <v>10.8060539014337</v>
      </c>
      <c r="AI1625">
        <v>95.401555554830693</v>
      </c>
      <c r="AJ1625">
        <v>113.699584294819</v>
      </c>
      <c r="AK1625">
        <v>11.8539500329742</v>
      </c>
      <c r="AL1625">
        <v>88.247656842583794</v>
      </c>
      <c r="AM1625">
        <v>104.41179610616101</v>
      </c>
      <c r="AN1625">
        <v>1.0000000025540901</v>
      </c>
    </row>
    <row r="1626" spans="1:40" x14ac:dyDescent="0.3">
      <c r="A1626" t="str">
        <f>"20200111153904588"</f>
        <v>20200111153904588</v>
      </c>
      <c r="B1626" t="str">
        <f>"1578728344582154"</f>
        <v>1578728344582154</v>
      </c>
      <c r="C1626" t="s">
        <v>40</v>
      </c>
      <c r="D1626">
        <v>4.8928929999999999</v>
      </c>
      <c r="E1626">
        <v>0.43616290000000002</v>
      </c>
      <c r="F1626" t="s">
        <v>42</v>
      </c>
      <c r="G1626">
        <v>-488.11360000000002</v>
      </c>
      <c r="H1626" s="1">
        <v>-4.4127990000000001E-6</v>
      </c>
      <c r="I1626">
        <v>269.13920000000002</v>
      </c>
      <c r="J1626">
        <v>-480.90190000000001</v>
      </c>
      <c r="K1626">
        <v>1.1161890000000001</v>
      </c>
      <c r="L1626">
        <v>278.82639999999998</v>
      </c>
      <c r="M1626">
        <v>-0.86783159999999904</v>
      </c>
      <c r="N1626">
        <v>0</v>
      </c>
      <c r="O1626">
        <v>-0.49662479999999998</v>
      </c>
      <c r="P1626">
        <v>-0.71827249999999998</v>
      </c>
      <c r="Q1626">
        <v>2.3754290000000001E-2</v>
      </c>
      <c r="R1626">
        <v>-0.69535669999999905</v>
      </c>
      <c r="S1626">
        <v>-1.8479000000000001</v>
      </c>
      <c r="T1626">
        <v>-0.27364119999999997</v>
      </c>
      <c r="U1626">
        <v>-2.4226070000000002</v>
      </c>
      <c r="V1626">
        <v>-0.24777740000000001</v>
      </c>
      <c r="W1626">
        <v>3.1384389999999998E-2</v>
      </c>
      <c r="X1626">
        <v>0.96830850000000002</v>
      </c>
      <c r="Y1626">
        <v>-0.3891038</v>
      </c>
      <c r="Z1626">
        <v>2.874736E-2</v>
      </c>
      <c r="AA1626">
        <v>0.92074529999999999</v>
      </c>
      <c r="AB1626">
        <v>37</v>
      </c>
      <c r="AC1626">
        <v>-7.2117000000000004</v>
      </c>
      <c r="AD1626">
        <v>-1.1161934127990001</v>
      </c>
      <c r="AE1626">
        <v>-9.6871999999999598</v>
      </c>
      <c r="AF1626">
        <v>-4.7850344873862696</v>
      </c>
      <c r="AG1626">
        <v>-1.1161934127990001</v>
      </c>
      <c r="AH1626">
        <v>10.9769621652762</v>
      </c>
      <c r="AI1626">
        <v>95.325362198788895</v>
      </c>
      <c r="AJ1626">
        <v>113.553162078328</v>
      </c>
      <c r="AK1626">
        <v>12.026476672665099</v>
      </c>
      <c r="AL1626">
        <v>88.201511556100897</v>
      </c>
      <c r="AM1626">
        <v>104.35325144018</v>
      </c>
      <c r="AN1626">
        <v>0.999999985529341</v>
      </c>
    </row>
    <row r="1627" spans="1:40" x14ac:dyDescent="0.3">
      <c r="A1627" t="str">
        <f>"20200111153904609"</f>
        <v>20200111153904609</v>
      </c>
      <c r="B1627" t="str">
        <f>"1578728344602653"</f>
        <v>1578728344602653</v>
      </c>
      <c r="C1627" t="s">
        <v>40</v>
      </c>
      <c r="D1627">
        <v>4.8994239999999998</v>
      </c>
      <c r="E1627">
        <v>0.43648999999999999</v>
      </c>
      <c r="F1627" t="s">
        <v>42</v>
      </c>
      <c r="G1627">
        <v>-488.30779999999999</v>
      </c>
      <c r="H1627" s="1">
        <v>-4.2749310000000002E-6</v>
      </c>
      <c r="I1627">
        <v>268.89800000000002</v>
      </c>
      <c r="J1627">
        <v>-481.20569999999998</v>
      </c>
      <c r="K1627">
        <v>1.116495</v>
      </c>
      <c r="L1627">
        <v>278.64089999999999</v>
      </c>
      <c r="M1627">
        <v>-0.86138429999999999</v>
      </c>
      <c r="N1627">
        <v>0</v>
      </c>
      <c r="O1627">
        <v>-0.50772359999999905</v>
      </c>
      <c r="P1627">
        <v>-0.70963619999999905</v>
      </c>
      <c r="Q1627">
        <v>2.448811E-2</v>
      </c>
      <c r="R1627">
        <v>-0.70414279999999996</v>
      </c>
      <c r="S1627">
        <v>-1.8215939999999999</v>
      </c>
      <c r="T1627">
        <v>-0.27454790000000001</v>
      </c>
      <c r="U1627">
        <v>-2.4420470000000001</v>
      </c>
      <c r="V1627">
        <v>-0.24732370000000001</v>
      </c>
      <c r="W1627">
        <v>3.2003480000000001E-2</v>
      </c>
      <c r="X1627">
        <v>0.96840420000000005</v>
      </c>
      <c r="Y1627">
        <v>-0.38720209999999999</v>
      </c>
      <c r="Z1627">
        <v>3.0042639999999999E-2</v>
      </c>
      <c r="AA1627">
        <v>0.92150529999999997</v>
      </c>
      <c r="AB1627">
        <v>37</v>
      </c>
      <c r="AC1627">
        <v>-7.1021000000000001</v>
      </c>
      <c r="AD1627">
        <v>-1.1164992749310001</v>
      </c>
      <c r="AE1627">
        <v>-9.7429000000000094</v>
      </c>
      <c r="AF1627">
        <v>-4.7463347662843303</v>
      </c>
      <c r="AG1627">
        <v>-1.1164992749310001</v>
      </c>
      <c r="AH1627">
        <v>10.9715448777697</v>
      </c>
      <c r="AI1627">
        <v>95.335843835044997</v>
      </c>
      <c r="AJ1627">
        <v>113.393504508384</v>
      </c>
      <c r="AK1627">
        <v>12.006209283094901</v>
      </c>
      <c r="AL1627">
        <v>88.166022444153</v>
      </c>
      <c r="AM1627">
        <v>104.32669487298899</v>
      </c>
      <c r="AN1627">
        <v>0.99999996494571897</v>
      </c>
    </row>
    <row r="1628" spans="1:40" x14ac:dyDescent="0.3">
      <c r="A1628" t="str">
        <f>"20200111153904631"</f>
        <v>20200111153904631</v>
      </c>
      <c r="B1628" t="str">
        <f>"1578728344622170"</f>
        <v>1578728344622170</v>
      </c>
      <c r="C1628" t="s">
        <v>40</v>
      </c>
      <c r="D1628">
        <v>4.9229560000000001</v>
      </c>
      <c r="E1628">
        <v>0.4368399</v>
      </c>
      <c r="F1628" t="s">
        <v>42</v>
      </c>
      <c r="G1628">
        <v>-488.51429999999999</v>
      </c>
      <c r="H1628" s="1">
        <v>-4.1134929999999997E-6</v>
      </c>
      <c r="I1628">
        <v>268.6071</v>
      </c>
      <c r="J1628">
        <v>-481.512</v>
      </c>
      <c r="K1628">
        <v>1.1168149999999999</v>
      </c>
      <c r="L1628">
        <v>278.44810000000001</v>
      </c>
      <c r="M1628">
        <v>-0.85446639999999996</v>
      </c>
      <c r="N1628">
        <v>0</v>
      </c>
      <c r="O1628">
        <v>-0.51927939999999995</v>
      </c>
      <c r="P1628">
        <v>-0.7001541</v>
      </c>
      <c r="Q1628">
        <v>2.4602550000000001E-2</v>
      </c>
      <c r="R1628">
        <v>-0.71356779999999997</v>
      </c>
      <c r="S1628">
        <v>-1.7936399999999999</v>
      </c>
      <c r="T1628">
        <v>-0.2740049</v>
      </c>
      <c r="U1628">
        <v>-2.4624329999999999</v>
      </c>
      <c r="V1628">
        <v>-0.2472606</v>
      </c>
      <c r="W1628">
        <v>3.1989660000000003E-2</v>
      </c>
      <c r="X1628">
        <v>0.96842079999999997</v>
      </c>
      <c r="Y1628">
        <v>-0.38528479999999998</v>
      </c>
      <c r="Z1628">
        <v>3.1229119999999999E-2</v>
      </c>
      <c r="AA1628">
        <v>0.92226909999999895</v>
      </c>
      <c r="AB1628">
        <v>37</v>
      </c>
      <c r="AC1628">
        <v>-7.0023000000000399</v>
      </c>
      <c r="AD1628">
        <v>-1.1168191134929999</v>
      </c>
      <c r="AE1628">
        <v>-9.8409999999999993</v>
      </c>
      <c r="AF1628">
        <v>-4.7327510803635597</v>
      </c>
      <c r="AG1628">
        <v>-1.1168191134929999</v>
      </c>
      <c r="AH1628">
        <v>11.000709815647999</v>
      </c>
      <c r="AI1628">
        <v>95.327881484627596</v>
      </c>
      <c r="AJ1628">
        <v>113.27845501413501</v>
      </c>
      <c r="AK1628">
        <v>12.027544810518901</v>
      </c>
      <c r="AL1628">
        <v>88.166814731261795</v>
      </c>
      <c r="AM1628">
        <v>104.322954678287</v>
      </c>
      <c r="AN1628">
        <v>0.99999999426595698</v>
      </c>
    </row>
    <row r="1629" spans="1:40" x14ac:dyDescent="0.3">
      <c r="A1629" t="str">
        <f>"20200111153904654"</f>
        <v>20200111153904654</v>
      </c>
      <c r="B1629" t="str">
        <f>"1578728344642667"</f>
        <v>1578728344642667</v>
      </c>
      <c r="C1629" t="s">
        <v>40</v>
      </c>
      <c r="D1629">
        <v>4.9275200000000003</v>
      </c>
      <c r="E1629">
        <v>0.43704989999999999</v>
      </c>
      <c r="F1629" t="s">
        <v>42</v>
      </c>
      <c r="G1629">
        <v>-488.6619</v>
      </c>
      <c r="H1629" s="1">
        <v>-3.9850729999999996E-6</v>
      </c>
      <c r="I1629">
        <v>268.36880000000002</v>
      </c>
      <c r="J1629">
        <v>-481.81509999999997</v>
      </c>
      <c r="K1629">
        <v>1.117138</v>
      </c>
      <c r="L1629">
        <v>278.2516</v>
      </c>
      <c r="M1629">
        <v>-0.84719310000000003</v>
      </c>
      <c r="N1629">
        <v>0</v>
      </c>
      <c r="O1629">
        <v>-0.53106059999999999</v>
      </c>
      <c r="P1629">
        <v>-0.68989769999999995</v>
      </c>
      <c r="Q1629">
        <v>2.6449480000000001E-2</v>
      </c>
      <c r="R1629">
        <v>-0.72342359999999895</v>
      </c>
      <c r="S1629">
        <v>-1.7623899999999999</v>
      </c>
      <c r="T1629">
        <v>-0.27528659999999999</v>
      </c>
      <c r="U1629">
        <v>-2.484467</v>
      </c>
      <c r="V1629">
        <v>-0.2477038</v>
      </c>
      <c r="W1629">
        <v>3.3694870000000002E-2</v>
      </c>
      <c r="X1629">
        <v>0.96824969999999999</v>
      </c>
      <c r="Y1629">
        <v>-0.38412220000000002</v>
      </c>
      <c r="Z1629">
        <v>3.262052E-2</v>
      </c>
      <c r="AA1629">
        <v>0.92270580000000002</v>
      </c>
      <c r="AB1629">
        <v>37</v>
      </c>
      <c r="AC1629">
        <v>-6.8468000000000302</v>
      </c>
      <c r="AD1629">
        <v>-1.117141985073</v>
      </c>
      <c r="AE1629">
        <v>-9.8827999999999694</v>
      </c>
      <c r="AF1629">
        <v>-4.69658961603675</v>
      </c>
      <c r="AG1629">
        <v>-1.117141985073</v>
      </c>
      <c r="AH1629">
        <v>10.9556559228478</v>
      </c>
      <c r="AI1629">
        <v>95.354157549953399</v>
      </c>
      <c r="AJ1629">
        <v>113.20437159861601</v>
      </c>
      <c r="AK1629">
        <v>11.972149219589101</v>
      </c>
      <c r="AL1629">
        <v>88.069060658408105</v>
      </c>
      <c r="AM1629">
        <v>104.34999942520599</v>
      </c>
      <c r="AN1629">
        <v>0.99999999917442295</v>
      </c>
    </row>
    <row r="1630" spans="1:40" x14ac:dyDescent="0.3">
      <c r="A1630" t="str">
        <f>"20200111153904676"</f>
        <v>20200111153904676</v>
      </c>
      <c r="B1630" t="str">
        <f>"1578728344671947"</f>
        <v>1578728344671947</v>
      </c>
      <c r="C1630" t="s">
        <v>40</v>
      </c>
      <c r="D1630">
        <v>4.9276559999999998</v>
      </c>
      <c r="E1630">
        <v>0.43738749999999998</v>
      </c>
      <c r="F1630" t="s">
        <v>42</v>
      </c>
      <c r="G1630">
        <v>-488.94850000000002</v>
      </c>
      <c r="H1630" s="1">
        <v>-3.7310459999999999E-6</v>
      </c>
      <c r="I1630">
        <v>267.89519999999999</v>
      </c>
      <c r="J1630">
        <v>-482.1148</v>
      </c>
      <c r="K1630">
        <v>1.1174729999999999</v>
      </c>
      <c r="L1630">
        <v>278.05079999999998</v>
      </c>
      <c r="M1630">
        <v>-0.83954499999999999</v>
      </c>
      <c r="N1630">
        <v>0</v>
      </c>
      <c r="O1630">
        <v>-0.54306860000000001</v>
      </c>
      <c r="P1630">
        <v>-0.67905629999999995</v>
      </c>
      <c r="Q1630">
        <v>2.938557E-2</v>
      </c>
      <c r="R1630">
        <v>-0.73349759999999997</v>
      </c>
      <c r="S1630">
        <v>-1.7280880000000001</v>
      </c>
      <c r="T1630">
        <v>-0.27063179999999998</v>
      </c>
      <c r="U1630">
        <v>-2.5088810000000001</v>
      </c>
      <c r="V1630">
        <v>-0.24835489999999999</v>
      </c>
      <c r="W1630">
        <v>3.6485030000000002E-2</v>
      </c>
      <c r="X1630">
        <v>0.9679818</v>
      </c>
      <c r="Y1630">
        <v>-0.3837508</v>
      </c>
      <c r="Z1630">
        <v>3.328209E-2</v>
      </c>
      <c r="AA1630">
        <v>0.92283669999999995</v>
      </c>
      <c r="AB1630">
        <v>37</v>
      </c>
      <c r="AC1630">
        <v>-6.8337000000000199</v>
      </c>
      <c r="AD1630">
        <v>-1.1174767310460001</v>
      </c>
      <c r="AE1630">
        <v>-10.1555999999999</v>
      </c>
      <c r="AF1630">
        <v>-4.7756934747386097</v>
      </c>
      <c r="AG1630">
        <v>-1.1174767310460001</v>
      </c>
      <c r="AH1630">
        <v>11.1607252890976</v>
      </c>
      <c r="AI1630">
        <v>95.259395035137999</v>
      </c>
      <c r="AJ1630">
        <v>113.166165057947</v>
      </c>
      <c r="AK1630">
        <v>12.190889688115201</v>
      </c>
      <c r="AL1630">
        <v>87.909097786351595</v>
      </c>
      <c r="AM1630">
        <v>104.389971690287</v>
      </c>
      <c r="AN1630">
        <v>1.00000003944967</v>
      </c>
    </row>
    <row r="1631" spans="1:40" x14ac:dyDescent="0.3">
      <c r="A1631" t="str">
        <f>"20200111153904699"</f>
        <v>20200111153904699</v>
      </c>
      <c r="B1631" t="str">
        <f>"1578728344692443"</f>
        <v>1578728344692443</v>
      </c>
      <c r="C1631" t="s">
        <v>40</v>
      </c>
      <c r="D1631">
        <v>4.9484209999999997</v>
      </c>
      <c r="E1631">
        <v>0.43757200000000002</v>
      </c>
      <c r="F1631" t="s">
        <v>41</v>
      </c>
      <c r="G1631">
        <v>-482.7346</v>
      </c>
      <c r="H1631">
        <v>1.020867</v>
      </c>
      <c r="I1631">
        <v>277.12360000000001</v>
      </c>
      <c r="J1631">
        <v>-482.42439999999999</v>
      </c>
      <c r="K1631">
        <v>1.1178079999999999</v>
      </c>
      <c r="L1631">
        <v>277.83609999999999</v>
      </c>
      <c r="M1631">
        <v>-0.83114310000000002</v>
      </c>
      <c r="N1631">
        <v>0</v>
      </c>
      <c r="O1631">
        <v>-0.55583970000000005</v>
      </c>
      <c r="P1631">
        <v>-0.66742469999999998</v>
      </c>
      <c r="Q1631">
        <v>3.1917550000000003E-2</v>
      </c>
      <c r="R1631">
        <v>-0.74399320000000002</v>
      </c>
      <c r="S1631">
        <v>-1.692841</v>
      </c>
      <c r="T1631">
        <v>-0.26385039999999998</v>
      </c>
      <c r="U1631">
        <v>-2.533264</v>
      </c>
      <c r="V1631">
        <v>-0.2488234</v>
      </c>
      <c r="W1631">
        <v>3.8879909999999997E-2</v>
      </c>
      <c r="X1631">
        <v>0.96776819999999997</v>
      </c>
      <c r="Y1631">
        <v>-0.38263200000000003</v>
      </c>
      <c r="Z1631">
        <v>3.3740510000000001E-2</v>
      </c>
      <c r="AA1631">
        <v>0.92328449999999995</v>
      </c>
      <c r="AB1631">
        <v>37</v>
      </c>
      <c r="AC1631">
        <v>-0.31020000000000802</v>
      </c>
      <c r="AD1631">
        <v>-9.6940999999999902E-2</v>
      </c>
      <c r="AE1631">
        <v>-0.71249999999997704</v>
      </c>
      <c r="AF1631">
        <v>-0.41338597996752402</v>
      </c>
      <c r="AG1631">
        <v>-9.6940999999999902E-2</v>
      </c>
      <c r="AH1631">
        <v>0.64391537497388296</v>
      </c>
      <c r="AI1631">
        <v>97.220273352442206</v>
      </c>
      <c r="AJ1631">
        <v>122.699978338672</v>
      </c>
      <c r="AK1631">
        <v>0.77130573448047701</v>
      </c>
      <c r="AL1631">
        <v>87.771783652040696</v>
      </c>
      <c r="AM1631">
        <v>104.419036069483</v>
      </c>
      <c r="AN1631">
        <v>1.0000000103602</v>
      </c>
    </row>
    <row r="1632" spans="1:40" x14ac:dyDescent="0.3">
      <c r="A1632" t="str">
        <f>"20200111153904721"</f>
        <v>20200111153904721</v>
      </c>
      <c r="B1632" t="str">
        <f>"1578728344711963"</f>
        <v>1578728344711963</v>
      </c>
      <c r="C1632" t="s">
        <v>40</v>
      </c>
      <c r="D1632">
        <v>4.9329780000000003</v>
      </c>
      <c r="E1632">
        <v>0.43777500000000003</v>
      </c>
      <c r="F1632" t="s">
        <v>41</v>
      </c>
      <c r="G1632">
        <v>-483.05189999999999</v>
      </c>
      <c r="H1632">
        <v>1.019957</v>
      </c>
      <c r="I1632">
        <v>276.8657</v>
      </c>
      <c r="J1632">
        <v>-482.71460000000002</v>
      </c>
      <c r="K1632">
        <v>1.1181000000000001</v>
      </c>
      <c r="L1632">
        <v>277.62860000000001</v>
      </c>
      <c r="M1632">
        <v>-0.82282129999999998</v>
      </c>
      <c r="N1632">
        <v>0</v>
      </c>
      <c r="O1632">
        <v>-0.56808409999999998</v>
      </c>
      <c r="P1632">
        <v>-0.65588049999999998</v>
      </c>
      <c r="Q1632">
        <v>3.4060819999999999E-2</v>
      </c>
      <c r="R1632">
        <v>-0.75409619999999999</v>
      </c>
      <c r="S1632">
        <v>-1.6546940000000001</v>
      </c>
      <c r="T1632">
        <v>-0.25804379999999999</v>
      </c>
      <c r="U1632">
        <v>-2.5588380000000002</v>
      </c>
      <c r="V1632">
        <v>-0.24943270000000001</v>
      </c>
      <c r="W1632">
        <v>4.0896269999999998E-2</v>
      </c>
      <c r="X1632">
        <v>0.96752819999999995</v>
      </c>
      <c r="Y1632">
        <v>-0.38288070000000002</v>
      </c>
      <c r="Z1632">
        <v>3.416073E-2</v>
      </c>
      <c r="AA1632">
        <v>0.92316600000000004</v>
      </c>
      <c r="AB1632">
        <v>37</v>
      </c>
      <c r="AC1632">
        <v>-0.33729999999997001</v>
      </c>
      <c r="AD1632">
        <v>-9.8142999999999994E-2</v>
      </c>
      <c r="AE1632">
        <v>-0.76290000000000102</v>
      </c>
      <c r="AF1632">
        <v>-0.430213553204987</v>
      </c>
      <c r="AG1632">
        <v>-9.8142999999999994E-2</v>
      </c>
      <c r="AH1632">
        <v>0.70130782401453995</v>
      </c>
      <c r="AI1632">
        <v>96.802477966326705</v>
      </c>
      <c r="AJ1632">
        <v>121.526812794896</v>
      </c>
      <c r="AK1632">
        <v>0.82858217084020702</v>
      </c>
      <c r="AL1632">
        <v>87.656162668311495</v>
      </c>
      <c r="AM1632">
        <v>104.45630206566101</v>
      </c>
      <c r="AN1632">
        <v>0.999999997262221</v>
      </c>
    </row>
    <row r="1633" spans="1:40" x14ac:dyDescent="0.3">
      <c r="A1633" t="str">
        <f>"20200111153904743"</f>
        <v>20200111153904743</v>
      </c>
      <c r="B1633" t="str">
        <f>"1578728344731991"</f>
        <v>1578728344731991</v>
      </c>
      <c r="C1633" t="s">
        <v>40</v>
      </c>
      <c r="D1633">
        <v>5.0014289999999999</v>
      </c>
      <c r="E1633">
        <v>0.44365359999999998</v>
      </c>
      <c r="F1633" t="s">
        <v>42</v>
      </c>
      <c r="G1633">
        <v>-489.85039999999998</v>
      </c>
      <c r="H1633" s="1">
        <v>-2.8574430000000001E-6</v>
      </c>
      <c r="I1633">
        <v>266.23169999999999</v>
      </c>
      <c r="J1633">
        <v>-483.00709999999998</v>
      </c>
      <c r="K1633">
        <v>1.1183799999999999</v>
      </c>
      <c r="L1633">
        <v>277.41250000000002</v>
      </c>
      <c r="M1633">
        <v>-0.81396040000000003</v>
      </c>
      <c r="N1633">
        <v>0</v>
      </c>
      <c r="O1633">
        <v>-0.58070659999999996</v>
      </c>
      <c r="P1633">
        <v>-0.64414689999999997</v>
      </c>
      <c r="Q1633">
        <v>3.5518220000000003E-2</v>
      </c>
      <c r="R1633">
        <v>-0.76407669999999905</v>
      </c>
      <c r="S1633">
        <v>-1.61734</v>
      </c>
      <c r="T1633">
        <v>-0.25341740000000001</v>
      </c>
      <c r="U1633">
        <v>-2.5830989999999998</v>
      </c>
      <c r="V1633">
        <v>-0.24949060000000001</v>
      </c>
      <c r="W1633">
        <v>4.2251709999999998E-2</v>
      </c>
      <c r="X1633">
        <v>0.96745499999999995</v>
      </c>
      <c r="Y1633">
        <v>-0.38214120000000001</v>
      </c>
      <c r="Z1633">
        <v>3.4767270000000003E-2</v>
      </c>
      <c r="AA1633">
        <v>0.92344970000000004</v>
      </c>
      <c r="AB1633">
        <v>37</v>
      </c>
      <c r="AC1633">
        <v>-6.8432999999999904</v>
      </c>
      <c r="AD1633">
        <v>-1.1183828574429999</v>
      </c>
      <c r="AE1633">
        <v>-11.1808</v>
      </c>
      <c r="AF1633">
        <v>-5.0903643443279298</v>
      </c>
      <c r="AG1633">
        <v>-1.1183828574429999</v>
      </c>
      <c r="AH1633">
        <v>11.9772585948397</v>
      </c>
      <c r="AI1633">
        <v>94.911720509552396</v>
      </c>
      <c r="AJ1633">
        <v>113.025611301014</v>
      </c>
      <c r="AK1633">
        <v>13.0620562248632</v>
      </c>
      <c r="AL1633">
        <v>87.578434407296797</v>
      </c>
      <c r="AM1633">
        <v>104.460565272606</v>
      </c>
      <c r="AN1633">
        <v>0.99999997175564104</v>
      </c>
    </row>
    <row r="1634" spans="1:40" x14ac:dyDescent="0.3">
      <c r="A1634" t="str">
        <f>"20200111153904765"</f>
        <v>20200111153904765</v>
      </c>
      <c r="B1634" t="str">
        <f>"1578728344762247"</f>
        <v>1578728344762247</v>
      </c>
      <c r="C1634" t="s">
        <v>40</v>
      </c>
      <c r="D1634">
        <v>4.9633750000000001</v>
      </c>
      <c r="E1634">
        <v>0.43694729999999998</v>
      </c>
      <c r="F1634" t="s">
        <v>42</v>
      </c>
      <c r="G1634">
        <v>-489.12290000000002</v>
      </c>
      <c r="H1634" s="1">
        <v>-3.6007480000000002E-6</v>
      </c>
      <c r="I1634">
        <v>267.6635</v>
      </c>
      <c r="J1634">
        <v>-483.28230000000002</v>
      </c>
      <c r="K1634">
        <v>1.1186370000000001</v>
      </c>
      <c r="L1634">
        <v>277.20280000000002</v>
      </c>
      <c r="M1634">
        <v>-0.80517309999999997</v>
      </c>
      <c r="N1634">
        <v>0</v>
      </c>
      <c r="O1634">
        <v>-0.59282880000000004</v>
      </c>
      <c r="P1634">
        <v>-0.63313619999999904</v>
      </c>
      <c r="Q1634">
        <v>3.5989239999999999E-2</v>
      </c>
      <c r="R1634">
        <v>-0.77320339999999999</v>
      </c>
      <c r="S1634">
        <v>-1.6166990000000001</v>
      </c>
      <c r="T1634">
        <v>-0.29564170000000001</v>
      </c>
      <c r="U1634">
        <v>-2.577118</v>
      </c>
      <c r="V1634">
        <v>-0.24889030000000001</v>
      </c>
      <c r="W1634">
        <v>4.2655699999999998E-2</v>
      </c>
      <c r="X1634">
        <v>0.96759189999999995</v>
      </c>
      <c r="Y1634">
        <v>-0.3676759</v>
      </c>
      <c r="Z1634">
        <v>4.257089E-2</v>
      </c>
      <c r="AA1634">
        <v>0.92897909999999995</v>
      </c>
      <c r="AB1634">
        <v>37</v>
      </c>
      <c r="AC1634">
        <v>-5.8405999999999896</v>
      </c>
      <c r="AD1634">
        <v>-1.1186406007480001</v>
      </c>
      <c r="AE1634">
        <v>-9.5393000000000203</v>
      </c>
      <c r="AF1634">
        <v>-4.1770609709726498</v>
      </c>
      <c r="AG1634">
        <v>-1.1186406007480001</v>
      </c>
      <c r="AH1634">
        <v>10.2565761590104</v>
      </c>
      <c r="AI1634">
        <v>95.767895589027702</v>
      </c>
      <c r="AJ1634">
        <v>112.158947456828</v>
      </c>
      <c r="AK1634">
        <v>11.130882698800001</v>
      </c>
      <c r="AL1634">
        <v>87.555266635896004</v>
      </c>
      <c r="AM1634">
        <v>104.425269418402</v>
      </c>
      <c r="AN1634">
        <v>0.99999998756109498</v>
      </c>
    </row>
    <row r="1635" spans="1:40" x14ac:dyDescent="0.3">
      <c r="A1635" t="str">
        <f>"20200111153904788"</f>
        <v>20200111153904788</v>
      </c>
      <c r="B1635" t="str">
        <f>"1578728344782743"</f>
        <v>1578728344782743</v>
      </c>
      <c r="C1635" t="s">
        <v>40</v>
      </c>
      <c r="D1635">
        <v>4.9847080000000004</v>
      </c>
      <c r="E1635">
        <v>0.43198930000000002</v>
      </c>
      <c r="F1635" t="s">
        <v>42</v>
      </c>
      <c r="G1635">
        <v>-489.05709999999999</v>
      </c>
      <c r="H1635" s="1">
        <v>-3.461032E-6</v>
      </c>
      <c r="I1635">
        <v>267.31060000000002</v>
      </c>
      <c r="J1635">
        <v>-483.57819999999998</v>
      </c>
      <c r="K1635">
        <v>1.1188979999999999</v>
      </c>
      <c r="L1635">
        <v>276.96980000000002</v>
      </c>
      <c r="M1635">
        <v>-0.7952108</v>
      </c>
      <c r="N1635">
        <v>0</v>
      </c>
      <c r="O1635">
        <v>-0.60612449999999995</v>
      </c>
      <c r="P1635">
        <v>-0.62059759999999997</v>
      </c>
      <c r="Q1635">
        <v>3.6137490000000001E-2</v>
      </c>
      <c r="R1635">
        <v>-0.78329579999999999</v>
      </c>
      <c r="S1635">
        <v>-1.5379640000000001</v>
      </c>
      <c r="T1635">
        <v>-0.29791899999999999</v>
      </c>
      <c r="U1635">
        <v>-2.6344910000000001</v>
      </c>
      <c r="V1635">
        <v>-0.24843219999999999</v>
      </c>
      <c r="W1635">
        <v>4.2730030000000002E-2</v>
      </c>
      <c r="X1635">
        <v>0.96770630000000002</v>
      </c>
      <c r="Y1635">
        <v>-0.38178489999999998</v>
      </c>
      <c r="Z1635">
        <v>4.3646650000000002E-2</v>
      </c>
      <c r="AA1635">
        <v>0.92322000000000004</v>
      </c>
      <c r="AB1635">
        <v>37</v>
      </c>
      <c r="AC1635">
        <v>-5.4789000000000003</v>
      </c>
      <c r="AD1635">
        <v>-1.1189014610320001</v>
      </c>
      <c r="AE1635">
        <v>-9.6591999999999896</v>
      </c>
      <c r="AF1635">
        <v>-4.3169301661321899</v>
      </c>
      <c r="AG1635">
        <v>-1.1189014610320001</v>
      </c>
      <c r="AH1635">
        <v>10.110209820637801</v>
      </c>
      <c r="AI1635">
        <v>95.811579371371593</v>
      </c>
      <c r="AJ1635">
        <v>113.121861797102</v>
      </c>
      <c r="AK1635">
        <v>11.050075527166401</v>
      </c>
      <c r="AL1635">
        <v>87.551003857718399</v>
      </c>
      <c r="AM1635">
        <v>104.398192101882</v>
      </c>
      <c r="AN1635">
        <v>0.99999994826016403</v>
      </c>
    </row>
    <row r="1636" spans="1:40" x14ac:dyDescent="0.3">
      <c r="A1636" t="str">
        <f>"20200111153904810"</f>
        <v>20200111153904810</v>
      </c>
      <c r="B1636" t="str">
        <f>"1578728344802266"</f>
        <v>1578728344802266</v>
      </c>
      <c r="C1636" t="s">
        <v>40</v>
      </c>
      <c r="D1636">
        <v>4.974335</v>
      </c>
      <c r="E1636">
        <v>0.42994470000000001</v>
      </c>
      <c r="F1636" t="s">
        <v>42</v>
      </c>
      <c r="G1636">
        <v>-489.15260000000001</v>
      </c>
      <c r="H1636" s="1">
        <v>-3.202743E-6</v>
      </c>
      <c r="I1636">
        <v>266.74810000000002</v>
      </c>
      <c r="J1636">
        <v>-483.84769999999997</v>
      </c>
      <c r="K1636">
        <v>1.119127</v>
      </c>
      <c r="L1636">
        <v>276.75049999999999</v>
      </c>
      <c r="M1636">
        <v>-0.78564969999999901</v>
      </c>
      <c r="N1636">
        <v>0</v>
      </c>
      <c r="O1636">
        <v>-0.61846579999999995</v>
      </c>
      <c r="P1636">
        <v>-0.608954</v>
      </c>
      <c r="Q1636">
        <v>3.6186959999999997E-2</v>
      </c>
      <c r="R1636">
        <v>-0.79237969999999902</v>
      </c>
      <c r="S1636">
        <v>-1.463654</v>
      </c>
      <c r="T1636">
        <v>-0.29378510000000002</v>
      </c>
      <c r="U1636">
        <v>-2.6838679999999999</v>
      </c>
      <c r="V1636">
        <v>-0.24765229999999999</v>
      </c>
      <c r="W1636">
        <v>4.2733350000000003E-2</v>
      </c>
      <c r="X1636">
        <v>0.96790609999999999</v>
      </c>
      <c r="Y1636">
        <v>-0.39420440000000001</v>
      </c>
      <c r="Z1636">
        <v>4.3788970000000003E-2</v>
      </c>
      <c r="AA1636">
        <v>0.91797899999999999</v>
      </c>
      <c r="AB1636">
        <v>37</v>
      </c>
      <c r="AC1636">
        <v>-5.3049000000000301</v>
      </c>
      <c r="AD1636">
        <v>-1.1191302027429999</v>
      </c>
      <c r="AE1636">
        <v>-10.0023999999999</v>
      </c>
      <c r="AF1636">
        <v>-4.53376994893092</v>
      </c>
      <c r="AG1636">
        <v>-1.1191302027429999</v>
      </c>
      <c r="AH1636">
        <v>10.255058897451899</v>
      </c>
      <c r="AI1636">
        <v>95.699842217075698</v>
      </c>
      <c r="AJ1636">
        <v>113.850260962075</v>
      </c>
      <c r="AK1636">
        <v>11.268263191402999</v>
      </c>
      <c r="AL1636">
        <v>87.550813612274794</v>
      </c>
      <c r="AM1636">
        <v>104.352021876601</v>
      </c>
      <c r="AN1636">
        <v>1.00000000965736</v>
      </c>
    </row>
    <row r="1637" spans="1:40" x14ac:dyDescent="0.3">
      <c r="A1637" t="str">
        <f>"20200111153904832"</f>
        <v>20200111153904832</v>
      </c>
      <c r="B1637" t="str">
        <f>"1578728344822760"</f>
        <v>1578728344822760</v>
      </c>
      <c r="C1637" t="s">
        <v>40</v>
      </c>
      <c r="D1637">
        <v>5.0001089999999904</v>
      </c>
      <c r="E1637">
        <v>0.42944339999999998</v>
      </c>
      <c r="F1637" t="s">
        <v>42</v>
      </c>
      <c r="G1637">
        <v>-489.16750000000002</v>
      </c>
      <c r="H1637" s="1">
        <v>-3.0995970000000001E-6</v>
      </c>
      <c r="I1637">
        <v>266.5138</v>
      </c>
      <c r="J1637">
        <v>-484.12</v>
      </c>
      <c r="K1637">
        <v>1.119348</v>
      </c>
      <c r="L1637">
        <v>276.52159999999998</v>
      </c>
      <c r="M1637">
        <v>-0.77548669999999997</v>
      </c>
      <c r="N1637">
        <v>0</v>
      </c>
      <c r="O1637">
        <v>-0.63116000000000005</v>
      </c>
      <c r="P1637">
        <v>-0.596715199999999</v>
      </c>
      <c r="Q1637">
        <v>3.6602750000000003E-2</v>
      </c>
      <c r="R1637">
        <v>-0.80161819999999995</v>
      </c>
      <c r="S1637">
        <v>-1.411041</v>
      </c>
      <c r="T1637">
        <v>-0.29683739999999997</v>
      </c>
      <c r="U1637">
        <v>-2.715179</v>
      </c>
      <c r="V1637">
        <v>-0.24680170000000001</v>
      </c>
      <c r="W1637">
        <v>4.3110660000000002E-2</v>
      </c>
      <c r="X1637">
        <v>0.96810660000000004</v>
      </c>
      <c r="Y1637">
        <v>-0.39764509999999997</v>
      </c>
      <c r="Z1637">
        <v>4.5480149999999997E-2</v>
      </c>
      <c r="AA1637">
        <v>0.91641150000000005</v>
      </c>
      <c r="AB1637">
        <v>37</v>
      </c>
      <c r="AC1637">
        <v>-5.0475000000000101</v>
      </c>
      <c r="AD1637">
        <v>-1.119351099597</v>
      </c>
      <c r="AE1637">
        <v>-10.0077999999999</v>
      </c>
      <c r="AF1637">
        <v>-4.5305414052926301</v>
      </c>
      <c r="AG1637">
        <v>-1.119351099597</v>
      </c>
      <c r="AH1637">
        <v>10.131071643629999</v>
      </c>
      <c r="AI1637">
        <v>95.759437872012498</v>
      </c>
      <c r="AJ1637">
        <v>114.093845437799</v>
      </c>
      <c r="AK1637">
        <v>11.154253222766799</v>
      </c>
      <c r="AL1637">
        <v>87.529175373104195</v>
      </c>
      <c r="AM1637">
        <v>104.30191290364699</v>
      </c>
      <c r="AN1637">
        <v>0.99999999854604205</v>
      </c>
    </row>
    <row r="1638" spans="1:40" x14ac:dyDescent="0.3">
      <c r="A1638" t="str">
        <f>"20200111153904855"</f>
        <v>20200111153904855</v>
      </c>
      <c r="B1638" t="str">
        <f>"1578728344852039"</f>
        <v>1578728344852039</v>
      </c>
      <c r="C1638" t="s">
        <v>40</v>
      </c>
      <c r="D1638">
        <v>5.0209299999999999</v>
      </c>
      <c r="E1638">
        <v>0.4293669</v>
      </c>
      <c r="F1638" t="s">
        <v>42</v>
      </c>
      <c r="G1638">
        <v>-489.24900000000002</v>
      </c>
      <c r="H1638" s="1">
        <v>-2.9691429999999998E-6</v>
      </c>
      <c r="I1638">
        <v>266.24340000000001</v>
      </c>
      <c r="J1638">
        <v>-484.38819999999998</v>
      </c>
      <c r="K1638">
        <v>1.1195740000000001</v>
      </c>
      <c r="L1638">
        <v>276.28859999999997</v>
      </c>
      <c r="M1638">
        <v>-0.76496049999999904</v>
      </c>
      <c r="N1638">
        <v>0</v>
      </c>
      <c r="O1638">
        <v>-0.64387559999999999</v>
      </c>
      <c r="P1638">
        <v>-0.58467469999999999</v>
      </c>
      <c r="Q1638">
        <v>3.6783780000000002E-2</v>
      </c>
      <c r="R1638">
        <v>-0.81043399999999999</v>
      </c>
      <c r="S1638">
        <v>-1.3666689999999999</v>
      </c>
      <c r="T1638">
        <v>-0.29826019999999998</v>
      </c>
      <c r="U1638">
        <v>-2.7387079999999999</v>
      </c>
      <c r="V1638">
        <v>-0.2453071</v>
      </c>
      <c r="W1638">
        <v>4.3286930000000001E-2</v>
      </c>
      <c r="X1638">
        <v>0.96847850000000002</v>
      </c>
      <c r="Y1638">
        <v>-0.39757360000000003</v>
      </c>
      <c r="Z1638">
        <v>4.7132399999999998E-2</v>
      </c>
      <c r="AA1638">
        <v>0.91635900000000003</v>
      </c>
      <c r="AB1638">
        <v>36</v>
      </c>
      <c r="AC1638">
        <v>-4.8608000000000402</v>
      </c>
      <c r="AD1638">
        <v>-1.119576969143</v>
      </c>
      <c r="AE1638">
        <v>-10.0451999999999</v>
      </c>
      <c r="AF1638">
        <v>-4.5096317784074698</v>
      </c>
      <c r="AG1638">
        <v>-1.119576969143</v>
      </c>
      <c r="AH1638">
        <v>10.085984474292101</v>
      </c>
      <c r="AI1638">
        <v>95.786327952918597</v>
      </c>
      <c r="AJ1638">
        <v>114.090309155377</v>
      </c>
      <c r="AK1638">
        <v>11.1048329200542</v>
      </c>
      <c r="AL1638">
        <v>87.519066334158495</v>
      </c>
      <c r="AM1638">
        <v>104.213586006386</v>
      </c>
      <c r="AN1638">
        <v>0.999999968290741</v>
      </c>
    </row>
    <row r="1639" spans="1:40" x14ac:dyDescent="0.3">
      <c r="A1639" t="str">
        <f>"20200111153904878"</f>
        <v>20200111153904878</v>
      </c>
      <c r="B1639" t="str">
        <f>"1578728344872534"</f>
        <v>1578728344872534</v>
      </c>
      <c r="C1639" t="s">
        <v>40</v>
      </c>
      <c r="D1639">
        <v>5.0242459999999998</v>
      </c>
      <c r="E1639">
        <v>0.42957849999999997</v>
      </c>
      <c r="F1639" t="s">
        <v>41</v>
      </c>
      <c r="G1639">
        <v>-484.87650000000002</v>
      </c>
      <c r="H1639">
        <v>1.009406</v>
      </c>
      <c r="I1639">
        <v>275.27190000000002</v>
      </c>
      <c r="J1639">
        <v>-484.65809999999999</v>
      </c>
      <c r="K1639">
        <v>1.119793</v>
      </c>
      <c r="L1639">
        <v>276.0453</v>
      </c>
      <c r="M1639">
        <v>-0.75379339999999995</v>
      </c>
      <c r="N1639">
        <v>0</v>
      </c>
      <c r="O1639">
        <v>-0.65691189999999999</v>
      </c>
      <c r="P1639">
        <v>-0.57144079999999997</v>
      </c>
      <c r="Q1639">
        <v>3.8024339999999997E-2</v>
      </c>
      <c r="R1639">
        <v>-0.81976199999999999</v>
      </c>
      <c r="S1639">
        <v>-1.325348</v>
      </c>
      <c r="T1639">
        <v>-0.29903489999999999</v>
      </c>
      <c r="U1639">
        <v>-2.7591549999999998</v>
      </c>
      <c r="V1639">
        <v>-0.24443409999999999</v>
      </c>
      <c r="W1639">
        <v>4.4504549999999997E-2</v>
      </c>
      <c r="X1639">
        <v>0.96864410000000001</v>
      </c>
      <c r="Y1639">
        <v>-0.39566390000000001</v>
      </c>
      <c r="Z1639">
        <v>4.8823159999999997E-2</v>
      </c>
      <c r="AA1639">
        <v>0.91709669999999999</v>
      </c>
      <c r="AB1639">
        <v>36</v>
      </c>
      <c r="AC1639">
        <v>-0.21840000000002999</v>
      </c>
      <c r="AD1639">
        <v>-0.110387</v>
      </c>
      <c r="AE1639">
        <v>-0.77339999999997999</v>
      </c>
      <c r="AF1639">
        <v>-0.43143200098127699</v>
      </c>
      <c r="AG1639">
        <v>-0.110387</v>
      </c>
      <c r="AH1639">
        <v>0.66031411054821698</v>
      </c>
      <c r="AI1639">
        <v>97.966765703614698</v>
      </c>
      <c r="AJ1639">
        <v>123.15955254988999</v>
      </c>
      <c r="AK1639">
        <v>0.79645061731961198</v>
      </c>
      <c r="AL1639">
        <v>87.449234709688298</v>
      </c>
      <c r="AM1639">
        <v>104.162717913655</v>
      </c>
      <c r="AN1639">
        <v>1.0000000383391601</v>
      </c>
    </row>
    <row r="1640" spans="1:40" x14ac:dyDescent="0.3">
      <c r="A1640" t="str">
        <f>"20200111153904900"</f>
        <v>20200111153904900</v>
      </c>
      <c r="B1640" t="str">
        <f>"1578728344892062"</f>
        <v>1578728344892062</v>
      </c>
      <c r="C1640" t="s">
        <v>40</v>
      </c>
      <c r="D1640">
        <v>5.0255489999999998</v>
      </c>
      <c r="E1640">
        <v>0.42997239999999998</v>
      </c>
      <c r="F1640" t="s">
        <v>41</v>
      </c>
      <c r="G1640">
        <v>-485.1123</v>
      </c>
      <c r="H1640">
        <v>1.015134</v>
      </c>
      <c r="I1640">
        <v>275.06139999999999</v>
      </c>
      <c r="J1640">
        <v>-484.92129999999997</v>
      </c>
      <c r="K1640">
        <v>1.1199920000000001</v>
      </c>
      <c r="L1640">
        <v>275.79989999999998</v>
      </c>
      <c r="M1640">
        <v>-0.74236099999999905</v>
      </c>
      <c r="N1640">
        <v>0</v>
      </c>
      <c r="O1640">
        <v>-0.66980280000000003</v>
      </c>
      <c r="P1640">
        <v>-0.5583013</v>
      </c>
      <c r="Q1640">
        <v>3.8586509999999997E-2</v>
      </c>
      <c r="R1640">
        <v>-0.82874040000000004</v>
      </c>
      <c r="S1640">
        <v>-1.2825009999999999</v>
      </c>
      <c r="T1640">
        <v>-0.29557650000000002</v>
      </c>
      <c r="U1640">
        <v>-2.7792659999999998</v>
      </c>
      <c r="V1640">
        <v>-0.24321019999999999</v>
      </c>
      <c r="W1640">
        <v>4.5067599999999999E-2</v>
      </c>
      <c r="X1640">
        <v>0.96892610000000001</v>
      </c>
      <c r="Y1640">
        <v>-0.39404159999999999</v>
      </c>
      <c r="Z1640">
        <v>4.9794459999999999E-2</v>
      </c>
      <c r="AA1640">
        <v>0.91774270000000002</v>
      </c>
      <c r="AB1640">
        <v>36</v>
      </c>
      <c r="AC1640">
        <v>-0.19100000000003001</v>
      </c>
      <c r="AD1640">
        <v>-0.10485800000000001</v>
      </c>
      <c r="AE1640">
        <v>-0.73849999999998694</v>
      </c>
      <c r="AF1640">
        <v>-0.41256085772107498</v>
      </c>
      <c r="AG1640">
        <v>-0.10485800000000001</v>
      </c>
      <c r="AH1640">
        <v>0.62471942506421496</v>
      </c>
      <c r="AI1640">
        <v>97.973110150559904</v>
      </c>
      <c r="AJ1640">
        <v>123.44052661277</v>
      </c>
      <c r="AK1640">
        <v>0.75596033066564605</v>
      </c>
      <c r="AL1640">
        <v>87.4169419199619</v>
      </c>
      <c r="AM1640">
        <v>104.09069852279001</v>
      </c>
      <c r="AN1640">
        <v>1.0000000386075001</v>
      </c>
    </row>
    <row r="1641" spans="1:40" x14ac:dyDescent="0.3">
      <c r="A1641" t="str">
        <f>"20200111153904922"</f>
        <v>20200111153904922</v>
      </c>
      <c r="B1641" t="str">
        <f>"1578728344912550"</f>
        <v>1578728344912550</v>
      </c>
      <c r="C1641" t="s">
        <v>40</v>
      </c>
      <c r="D1641">
        <v>5.0205460000000004</v>
      </c>
      <c r="E1641">
        <v>0.43043940000000003</v>
      </c>
      <c r="F1641" t="s">
        <v>41</v>
      </c>
      <c r="G1641">
        <v>-485.37459999999999</v>
      </c>
      <c r="H1641">
        <v>1.011884</v>
      </c>
      <c r="I1641">
        <v>274.77820000000003</v>
      </c>
      <c r="J1641">
        <v>-485.16910000000001</v>
      </c>
      <c r="K1641">
        <v>1.1201680000000001</v>
      </c>
      <c r="L1641">
        <v>275.56099999999998</v>
      </c>
      <c r="M1641">
        <v>-0.73108319999999904</v>
      </c>
      <c r="N1641">
        <v>0</v>
      </c>
      <c r="O1641">
        <v>-0.68209299999999995</v>
      </c>
      <c r="P1641">
        <v>-0.54508719999999999</v>
      </c>
      <c r="Q1641">
        <v>3.8922499999999999E-2</v>
      </c>
      <c r="R1641">
        <v>-0.83747559999999999</v>
      </c>
      <c r="S1641">
        <v>-1.240875</v>
      </c>
      <c r="T1641">
        <v>-0.29600310000000002</v>
      </c>
      <c r="U1641">
        <v>-2.7977289999999999</v>
      </c>
      <c r="V1641">
        <v>-0.24243770000000001</v>
      </c>
      <c r="W1641">
        <v>4.5394379999999998E-2</v>
      </c>
      <c r="X1641">
        <v>0.96910439999999998</v>
      </c>
      <c r="Y1641">
        <v>-0.39239679999999999</v>
      </c>
      <c r="Z1641">
        <v>5.1342640000000002E-2</v>
      </c>
      <c r="AA1641">
        <v>0.91836200000000001</v>
      </c>
      <c r="AB1641">
        <v>36</v>
      </c>
      <c r="AC1641">
        <v>-0.20549999999997201</v>
      </c>
      <c r="AD1641">
        <v>-0.10828400000000001</v>
      </c>
      <c r="AE1641">
        <v>-0.78279999999995198</v>
      </c>
      <c r="AF1641">
        <v>-0.42457891659973002</v>
      </c>
      <c r="AG1641">
        <v>-0.10828400000000001</v>
      </c>
      <c r="AH1641">
        <v>0.67223729645847796</v>
      </c>
      <c r="AI1641">
        <v>97.755434888290907</v>
      </c>
      <c r="AJ1641">
        <v>122.276131279064</v>
      </c>
      <c r="AK1641">
        <v>0.80243109599940299</v>
      </c>
      <c r="AL1641">
        <v>87.3981995576749</v>
      </c>
      <c r="AM1641">
        <v>104.045235284554</v>
      </c>
      <c r="AN1641">
        <v>1.0000000131081099</v>
      </c>
    </row>
    <row r="1642" spans="1:40" x14ac:dyDescent="0.3">
      <c r="A1642" t="str">
        <f>"20200111153904944"</f>
        <v>20200111153904944</v>
      </c>
      <c r="B1642" t="str">
        <f>"1578728344941831"</f>
        <v>1578728344941831</v>
      </c>
      <c r="C1642" t="s">
        <v>40</v>
      </c>
      <c r="D1642">
        <v>4.9964649999999997</v>
      </c>
      <c r="E1642">
        <v>0.43117610000000001</v>
      </c>
      <c r="F1642" t="s">
        <v>42</v>
      </c>
      <c r="G1642">
        <v>-489.69819999999999</v>
      </c>
      <c r="H1642" s="1">
        <v>-2.3310330000000001E-6</v>
      </c>
      <c r="I1642">
        <v>264.94170000000003</v>
      </c>
      <c r="J1642">
        <v>-485.41750000000002</v>
      </c>
      <c r="K1642">
        <v>1.120333</v>
      </c>
      <c r="L1642">
        <v>275.31319999999999</v>
      </c>
      <c r="M1642">
        <v>-0.71924279999999996</v>
      </c>
      <c r="N1642">
        <v>0</v>
      </c>
      <c r="O1642">
        <v>-0.69456549999999995</v>
      </c>
      <c r="P1642">
        <v>-0.53108979999999995</v>
      </c>
      <c r="Q1642">
        <v>3.9650520000000002E-2</v>
      </c>
      <c r="R1642">
        <v>-0.84638760000000002</v>
      </c>
      <c r="S1642">
        <v>-1.200439</v>
      </c>
      <c r="T1642">
        <v>-0.29690050000000001</v>
      </c>
      <c r="U1642">
        <v>-2.8146360000000001</v>
      </c>
      <c r="V1642">
        <v>-0.2419057</v>
      </c>
      <c r="W1642">
        <v>4.6106500000000002E-2</v>
      </c>
      <c r="X1642">
        <v>0.9692037</v>
      </c>
      <c r="Y1642">
        <v>-0.38976480000000002</v>
      </c>
      <c r="Z1642">
        <v>5.3048940000000003E-2</v>
      </c>
      <c r="AA1642">
        <v>0.91938529999999996</v>
      </c>
      <c r="AB1642">
        <v>36</v>
      </c>
      <c r="AC1642">
        <v>-4.2806999999999604</v>
      </c>
      <c r="AD1642">
        <v>-1.120335331033</v>
      </c>
      <c r="AE1642">
        <v>-10.3714999999999</v>
      </c>
      <c r="AF1642">
        <v>-4.4427087745688798</v>
      </c>
      <c r="AG1642">
        <v>-1.120335331033</v>
      </c>
      <c r="AH1642">
        <v>10.1824108029278</v>
      </c>
      <c r="AI1642">
        <v>95.758556099316294</v>
      </c>
      <c r="AJ1642">
        <v>113.57222440129</v>
      </c>
      <c r="AK1642">
        <v>11.1657647417977</v>
      </c>
      <c r="AL1642">
        <v>87.357355269809204</v>
      </c>
      <c r="AM1642">
        <v>104.014251469832</v>
      </c>
      <c r="AN1642">
        <v>0.99999999456421496</v>
      </c>
    </row>
    <row r="1643" spans="1:40" x14ac:dyDescent="0.3">
      <c r="A1643" t="str">
        <f>"20200111153904958"</f>
        <v>20200111153904958</v>
      </c>
      <c r="B1643" t="str">
        <f>"1578728344952567"</f>
        <v>1578728344952567</v>
      </c>
      <c r="C1643" t="s">
        <v>40</v>
      </c>
      <c r="D1643">
        <v>5.0315370000000001</v>
      </c>
      <c r="E1643">
        <v>0.43148890000000001</v>
      </c>
      <c r="F1643" t="s">
        <v>42</v>
      </c>
      <c r="G1643">
        <v>-489.7731</v>
      </c>
      <c r="H1643" s="1">
        <v>-2.2031050000000001E-6</v>
      </c>
      <c r="I1643">
        <v>264.67439999999999</v>
      </c>
      <c r="J1643">
        <v>-485.57260000000002</v>
      </c>
      <c r="K1643">
        <v>1.12043</v>
      </c>
      <c r="L1643">
        <v>275.15449999999998</v>
      </c>
      <c r="M1643">
        <v>-0.71158159999999904</v>
      </c>
      <c r="N1643">
        <v>0</v>
      </c>
      <c r="O1643">
        <v>-0.70241140000000002</v>
      </c>
      <c r="P1643">
        <v>-0.52193789999999995</v>
      </c>
      <c r="Q1643">
        <v>4.0180769999999998E-2</v>
      </c>
      <c r="R1643">
        <v>-0.85203689999999999</v>
      </c>
      <c r="S1643">
        <v>-1.1590879999999999</v>
      </c>
      <c r="T1643">
        <v>-0.29813840000000003</v>
      </c>
      <c r="U1643">
        <v>-2.8311459999999999</v>
      </c>
      <c r="V1643">
        <v>-0.24173729999999999</v>
      </c>
      <c r="W1643">
        <v>4.6621410000000002E-2</v>
      </c>
      <c r="X1643">
        <v>0.96922109999999995</v>
      </c>
      <c r="Y1643">
        <v>-0.39305620000000002</v>
      </c>
      <c r="Z1643">
        <v>5.4063510000000002E-2</v>
      </c>
      <c r="AA1643">
        <v>0.91792370000000001</v>
      </c>
      <c r="AB1643">
        <v>36</v>
      </c>
      <c r="AC1643">
        <v>-4.2004999999999697</v>
      </c>
      <c r="AD1643">
        <v>-1.120432203105</v>
      </c>
      <c r="AE1643">
        <v>-10.480099999999901</v>
      </c>
      <c r="AF1643">
        <v>-4.4636185313733199</v>
      </c>
      <c r="AG1643">
        <v>-1.120432203105</v>
      </c>
      <c r="AH1643">
        <v>10.2507890483095</v>
      </c>
      <c r="AI1643">
        <v>95.7227029413785</v>
      </c>
      <c r="AJ1643">
        <v>113.530305846312</v>
      </c>
      <c r="AK1643">
        <v>11.236455616800001</v>
      </c>
      <c r="AL1643">
        <v>87.327821378731997</v>
      </c>
      <c r="AM1643">
        <v>104.00463816941701</v>
      </c>
      <c r="AN1643">
        <v>1.00000000938344</v>
      </c>
    </row>
    <row r="1644" spans="1:40" x14ac:dyDescent="0.3">
      <c r="A1644" t="str">
        <f>"20200111153904971"</f>
        <v>20200111153904971</v>
      </c>
      <c r="B1644" t="str">
        <f>"1578728344962327"</f>
        <v>1578728344962327</v>
      </c>
      <c r="C1644" t="s">
        <v>40</v>
      </c>
      <c r="D1644">
        <v>5.0058059999999998</v>
      </c>
      <c r="E1644">
        <v>0.43173739999999999</v>
      </c>
      <c r="F1644" t="s">
        <v>41</v>
      </c>
      <c r="G1644">
        <v>-485.99180000000001</v>
      </c>
      <c r="H1644">
        <v>1.0101709999999999</v>
      </c>
      <c r="I1644">
        <v>274.10210000000001</v>
      </c>
      <c r="J1644">
        <v>-485.72</v>
      </c>
      <c r="K1644">
        <v>1.12052</v>
      </c>
      <c r="L1644">
        <v>275.00020000000001</v>
      </c>
      <c r="M1644">
        <v>-0.70408549999999903</v>
      </c>
      <c r="N1644">
        <v>0</v>
      </c>
      <c r="O1644">
        <v>-0.70992429999999995</v>
      </c>
      <c r="P1644">
        <v>-0.51261639999999997</v>
      </c>
      <c r="Q1644">
        <v>4.092838E-2</v>
      </c>
      <c r="R1644">
        <v>-0.85764189999999996</v>
      </c>
      <c r="S1644">
        <v>-1.1311040000000001</v>
      </c>
      <c r="T1644">
        <v>-0.29765809999999998</v>
      </c>
      <c r="U1644">
        <v>-2.8421020000000001</v>
      </c>
      <c r="V1644">
        <v>-0.2420342</v>
      </c>
      <c r="W1644">
        <v>4.7336339999999998E-2</v>
      </c>
      <c r="X1644">
        <v>0.96911230000000004</v>
      </c>
      <c r="Y1644">
        <v>-0.39233010000000001</v>
      </c>
      <c r="Z1644">
        <v>5.4886490000000003E-2</v>
      </c>
      <c r="AA1644">
        <v>0.91818549999999999</v>
      </c>
      <c r="AB1644">
        <v>36</v>
      </c>
      <c r="AC1644">
        <v>-0.271799999999984</v>
      </c>
      <c r="AD1644">
        <v>-0.110349</v>
      </c>
      <c r="AE1644">
        <v>-0.89809999999999901</v>
      </c>
      <c r="AF1644">
        <v>-0.43344668800524799</v>
      </c>
      <c r="AG1644">
        <v>-0.110349</v>
      </c>
      <c r="AH1644">
        <v>0.81775612692348898</v>
      </c>
      <c r="AI1644">
        <v>96.799177802139496</v>
      </c>
      <c r="AJ1644">
        <v>117.925555620767</v>
      </c>
      <c r="AK1644">
        <v>0.93208262308908196</v>
      </c>
      <c r="AL1644">
        <v>87.286813512892294</v>
      </c>
      <c r="AM1644">
        <v>104.022672445187</v>
      </c>
      <c r="AN1644">
        <v>0.99999996653276202</v>
      </c>
    </row>
    <row r="1645" spans="1:40" x14ac:dyDescent="0.3">
      <c r="A1645" t="str">
        <f>"20200111153904990"</f>
        <v>20200111153904990</v>
      </c>
      <c r="B1645" t="str">
        <f>"1578728344981850"</f>
        <v>1578728344981850</v>
      </c>
      <c r="C1645" t="s">
        <v>40</v>
      </c>
      <c r="D1645">
        <v>5.0127540000000002</v>
      </c>
      <c r="E1645">
        <v>0.43215340000000002</v>
      </c>
      <c r="F1645" t="s">
        <v>42</v>
      </c>
      <c r="G1645">
        <v>-489.88459999999998</v>
      </c>
      <c r="H1645" s="1">
        <v>-1.9865980000000001E-6</v>
      </c>
      <c r="I1645">
        <v>264.21589999999998</v>
      </c>
      <c r="J1645">
        <v>-485.92270000000002</v>
      </c>
      <c r="K1645">
        <v>1.120633</v>
      </c>
      <c r="L1645">
        <v>274.78230000000002</v>
      </c>
      <c r="M1645">
        <v>-0.69342230000000005</v>
      </c>
      <c r="N1645">
        <v>0</v>
      </c>
      <c r="O1645">
        <v>-0.72034200000000004</v>
      </c>
      <c r="P1645">
        <v>-0.49889119999999998</v>
      </c>
      <c r="Q1645">
        <v>4.2028080000000002E-2</v>
      </c>
      <c r="R1645">
        <v>-0.86564490000000005</v>
      </c>
      <c r="S1645">
        <v>-1.1019289999999999</v>
      </c>
      <c r="T1645">
        <v>-0.29647820000000003</v>
      </c>
      <c r="U1645">
        <v>-2.853424</v>
      </c>
      <c r="V1645">
        <v>-0.2430447</v>
      </c>
      <c r="W1645">
        <v>4.8367519999999997E-2</v>
      </c>
      <c r="X1645">
        <v>0.96880849999999996</v>
      </c>
      <c r="Y1645">
        <v>-0.3880323</v>
      </c>
      <c r="Z1645">
        <v>5.6049750000000002E-2</v>
      </c>
      <c r="AA1645">
        <v>0.91993990000000003</v>
      </c>
      <c r="AB1645">
        <v>36</v>
      </c>
      <c r="AC1645">
        <v>-3.9618999999999498</v>
      </c>
      <c r="AD1645">
        <v>-1.1206349865979901</v>
      </c>
      <c r="AE1645">
        <v>-10.5664</v>
      </c>
      <c r="AF1645">
        <v>-4.4299785071011097</v>
      </c>
      <c r="AG1645">
        <v>-1.1206349865979901</v>
      </c>
      <c r="AH1645">
        <v>10.2589363941104</v>
      </c>
      <c r="AI1645">
        <v>95.726738010056906</v>
      </c>
      <c r="AJ1645">
        <v>113.355485994484</v>
      </c>
      <c r="AK1645">
        <v>11.230596969216201</v>
      </c>
      <c r="AL1645">
        <v>87.227663652647294</v>
      </c>
      <c r="AM1645">
        <v>104.083132942061</v>
      </c>
      <c r="AN1645">
        <v>1.0000000264306399</v>
      </c>
    </row>
    <row r="1646" spans="1:40" x14ac:dyDescent="0.3">
      <c r="A1646" t="str">
        <f>"20200111153905012"</f>
        <v>20200111153905012</v>
      </c>
      <c r="B1646" t="str">
        <f>"1578728345002342"</f>
        <v>1578728345002342</v>
      </c>
      <c r="C1646" t="s">
        <v>40</v>
      </c>
      <c r="D1646">
        <v>4.9915729999999998</v>
      </c>
      <c r="E1646">
        <v>0.4327278</v>
      </c>
      <c r="F1646" t="s">
        <v>42</v>
      </c>
      <c r="G1646">
        <v>-489.9357</v>
      </c>
      <c r="H1646" s="1">
        <v>-1.8531000000000001E-6</v>
      </c>
      <c r="I1646">
        <v>263.92579999999998</v>
      </c>
      <c r="J1646">
        <v>-486.14519999999999</v>
      </c>
      <c r="K1646">
        <v>1.1207450000000001</v>
      </c>
      <c r="L1646">
        <v>274.53550000000001</v>
      </c>
      <c r="M1646">
        <v>-0.68124750000000001</v>
      </c>
      <c r="N1646">
        <v>0</v>
      </c>
      <c r="O1646">
        <v>-0.73186589999999996</v>
      </c>
      <c r="P1646">
        <v>-0.48262899999999997</v>
      </c>
      <c r="Q1646">
        <v>4.2238039999999998E-2</v>
      </c>
      <c r="R1646">
        <v>-0.87480599999999997</v>
      </c>
      <c r="S1646">
        <v>-1.0604549999999999</v>
      </c>
      <c r="T1646">
        <v>-0.29613220000000001</v>
      </c>
      <c r="U1646">
        <v>-2.8688660000000001</v>
      </c>
      <c r="V1646">
        <v>-0.24492269999999999</v>
      </c>
      <c r="W1646">
        <v>4.8470399999999997E-2</v>
      </c>
      <c r="X1646">
        <v>0.96833029999999998</v>
      </c>
      <c r="Y1646">
        <v>-0.38591579999999998</v>
      </c>
      <c r="Z1646">
        <v>5.7413789999999999E-2</v>
      </c>
      <c r="AA1646">
        <v>0.9207457</v>
      </c>
      <c r="AB1646">
        <v>36</v>
      </c>
      <c r="AC1646">
        <v>-3.7905000000000002</v>
      </c>
      <c r="AD1646">
        <v>-1.1207468531</v>
      </c>
      <c r="AE1646">
        <v>-10.6097</v>
      </c>
      <c r="AF1646">
        <v>-4.4106587808263802</v>
      </c>
      <c r="AG1646">
        <v>-1.1207468531</v>
      </c>
      <c r="AH1646">
        <v>10.2471639467394</v>
      </c>
      <c r="AI1646">
        <v>95.736719295734403</v>
      </c>
      <c r="AJ1646">
        <v>113.28836212148499</v>
      </c>
      <c r="AK1646">
        <v>11.212241227380501</v>
      </c>
      <c r="AL1646">
        <v>87.221762176918403</v>
      </c>
      <c r="AM1646">
        <v>104.19429798530901</v>
      </c>
      <c r="AN1646">
        <v>1.0000000392747601</v>
      </c>
    </row>
    <row r="1647" spans="1:40" x14ac:dyDescent="0.3">
      <c r="A1647" t="str">
        <f>"20200111153905045"</f>
        <v>20200111153905045</v>
      </c>
      <c r="B1647" t="str">
        <f>"1578728345041981"</f>
        <v>1578728345041981</v>
      </c>
      <c r="C1647" t="s">
        <v>40</v>
      </c>
      <c r="D1647">
        <v>4.9803100000000002</v>
      </c>
      <c r="E1647">
        <v>0.4335233</v>
      </c>
      <c r="F1647" t="s">
        <v>42</v>
      </c>
      <c r="G1647">
        <v>-489.94889999999998</v>
      </c>
      <c r="H1647" s="1">
        <v>-1.748197E-6</v>
      </c>
      <c r="I1647">
        <v>263.68669999999997</v>
      </c>
      <c r="J1647">
        <v>-486.48860000000002</v>
      </c>
      <c r="K1647">
        <v>1.1208959999999999</v>
      </c>
      <c r="L1647">
        <v>274.13709999999998</v>
      </c>
      <c r="M1647">
        <v>-0.66141249999999996</v>
      </c>
      <c r="N1647">
        <v>0</v>
      </c>
      <c r="O1647">
        <v>-0.7498378</v>
      </c>
      <c r="P1647">
        <v>-0.45703919999999998</v>
      </c>
      <c r="Q1647">
        <v>4.1117059999999997E-2</v>
      </c>
      <c r="R1647">
        <v>-0.88849609999999901</v>
      </c>
      <c r="S1647">
        <v>-1.0116879999999999</v>
      </c>
      <c r="T1647">
        <v>-0.29809659999999999</v>
      </c>
      <c r="U1647">
        <v>-2.8855590000000002</v>
      </c>
      <c r="V1647">
        <v>-0.2471158</v>
      </c>
      <c r="W1647">
        <v>4.7219179999999999E-2</v>
      </c>
      <c r="X1647">
        <v>0.9678348</v>
      </c>
      <c r="Y1647">
        <v>-0.37677929999999998</v>
      </c>
      <c r="Z1647">
        <v>6.0265489999999998E-2</v>
      </c>
      <c r="AA1647">
        <v>0.92434050000000001</v>
      </c>
      <c r="AB1647">
        <v>36</v>
      </c>
      <c r="AC1647">
        <v>-3.4602999999999602</v>
      </c>
      <c r="AD1647">
        <v>-1.1208977481969999</v>
      </c>
      <c r="AE1647">
        <v>-10.4504</v>
      </c>
      <c r="AF1647">
        <v>-4.2736508795708597</v>
      </c>
      <c r="AG1647">
        <v>-1.1208977481969999</v>
      </c>
      <c r="AH1647">
        <v>10.022283477606299</v>
      </c>
      <c r="AI1647">
        <v>95.873802193554695</v>
      </c>
      <c r="AJ1647">
        <v>113.09412155904199</v>
      </c>
      <c r="AK1647">
        <v>10.9529297317142</v>
      </c>
      <c r="AL1647">
        <v>87.293533986382499</v>
      </c>
      <c r="AM1647">
        <v>104.323222535157</v>
      </c>
      <c r="AN1647">
        <v>1.00000003483027</v>
      </c>
    </row>
    <row r="1648" spans="1:40" x14ac:dyDescent="0.3">
      <c r="A1648" t="str">
        <f>"20200111153905069"</f>
        <v>20200111153905069</v>
      </c>
      <c r="B1648" t="str">
        <f>"1578728345062476"</f>
        <v>1578728345062476</v>
      </c>
      <c r="C1648" t="s">
        <v>40</v>
      </c>
      <c r="D1648">
        <v>4.9742509999999998</v>
      </c>
      <c r="E1648">
        <v>0.44511410000000001</v>
      </c>
      <c r="F1648" t="s">
        <v>42</v>
      </c>
      <c r="G1648">
        <v>-489.9554</v>
      </c>
      <c r="H1648" s="1">
        <v>-1.5928490000000001E-6</v>
      </c>
      <c r="I1648">
        <v>263.32729999999998</v>
      </c>
      <c r="J1648">
        <v>-486.7244</v>
      </c>
      <c r="K1648">
        <v>1.1209750000000001</v>
      </c>
      <c r="L1648">
        <v>273.85109999999997</v>
      </c>
      <c r="M1648">
        <v>-0.64704220000000001</v>
      </c>
      <c r="N1648">
        <v>0</v>
      </c>
      <c r="O1648">
        <v>-0.76227180000000005</v>
      </c>
      <c r="P1648">
        <v>-0.43846420000000003</v>
      </c>
      <c r="Q1648">
        <v>4.0308509999999999E-2</v>
      </c>
      <c r="R1648">
        <v>-0.89784439999999999</v>
      </c>
      <c r="S1648">
        <v>-0.9333496</v>
      </c>
      <c r="T1648">
        <v>-0.30177609999999999</v>
      </c>
      <c r="U1648">
        <v>-2.9102779999999999</v>
      </c>
      <c r="V1648">
        <v>-0.24885199999999999</v>
      </c>
      <c r="W1648">
        <v>4.6312279999999997E-2</v>
      </c>
      <c r="X1648">
        <v>0.9674336</v>
      </c>
      <c r="Y1648">
        <v>-0.38402380000000003</v>
      </c>
      <c r="Z1648">
        <v>6.2270480000000003E-2</v>
      </c>
      <c r="AA1648">
        <v>0.92122099999999996</v>
      </c>
      <c r="AB1648">
        <v>36</v>
      </c>
      <c r="AC1648">
        <v>-3.2309999999999901</v>
      </c>
      <c r="AD1648">
        <v>-1.1209765928489901</v>
      </c>
      <c r="AE1648">
        <v>-10.5237999999999</v>
      </c>
      <c r="AF1648">
        <v>-4.30243603157097</v>
      </c>
      <c r="AG1648">
        <v>-1.1209765928489901</v>
      </c>
      <c r="AH1648">
        <v>10.010202243403199</v>
      </c>
      <c r="AI1648">
        <v>95.874093394669998</v>
      </c>
      <c r="AJ1648">
        <v>113.258280031171</v>
      </c>
      <c r="AK1648">
        <v>10.9531590548713</v>
      </c>
      <c r="AL1648">
        <v>87.345552238364306</v>
      </c>
      <c r="AM1648">
        <v>104.425403789237</v>
      </c>
      <c r="AN1648">
        <v>0.99999995779587803</v>
      </c>
    </row>
    <row r="1649" spans="1:40" x14ac:dyDescent="0.3">
      <c r="A1649" t="str">
        <f>"20200111153905090"</f>
        <v>20200111153905090</v>
      </c>
      <c r="B1649" t="str">
        <f>"1578728345081999"</f>
        <v>1578728345081999</v>
      </c>
      <c r="C1649" t="s">
        <v>40</v>
      </c>
      <c r="D1649">
        <v>4.980677</v>
      </c>
      <c r="E1649">
        <v>0.44629659999999899</v>
      </c>
      <c r="F1649" t="s">
        <v>42</v>
      </c>
      <c r="G1649">
        <v>-490.149</v>
      </c>
      <c r="H1649" s="1">
        <v>-1.7198959999999999E-6</v>
      </c>
      <c r="I1649">
        <v>263.50580000000002</v>
      </c>
      <c r="J1649">
        <v>-486.93549999999999</v>
      </c>
      <c r="K1649">
        <v>1.12104</v>
      </c>
      <c r="L1649">
        <v>273.58530000000002</v>
      </c>
      <c r="M1649">
        <v>-0.63361279999999998</v>
      </c>
      <c r="N1649">
        <v>0</v>
      </c>
      <c r="O1649">
        <v>-0.77346990000000004</v>
      </c>
      <c r="P1649">
        <v>-0.4219155</v>
      </c>
      <c r="Q1649">
        <v>3.9940910000000003E-2</v>
      </c>
      <c r="R1649">
        <v>-0.90575499999999998</v>
      </c>
      <c r="S1649">
        <v>-0.95614619999999995</v>
      </c>
      <c r="T1649">
        <v>-0.3129808</v>
      </c>
      <c r="U1649">
        <v>-2.8884280000000002</v>
      </c>
      <c r="V1649">
        <v>-0.24969230000000001</v>
      </c>
      <c r="W1649">
        <v>4.58912E-2</v>
      </c>
      <c r="X1649">
        <v>0.96723720000000002</v>
      </c>
      <c r="Y1649">
        <v>-0.35927490000000001</v>
      </c>
      <c r="Z1649">
        <v>6.7167980000000002E-2</v>
      </c>
      <c r="AA1649">
        <v>0.93081150000000001</v>
      </c>
      <c r="AB1649">
        <v>36</v>
      </c>
      <c r="AC1649">
        <v>-3.21350000000001</v>
      </c>
      <c r="AD1649">
        <v>-1.1210417198960001</v>
      </c>
      <c r="AE1649">
        <v>-10.0794999999999</v>
      </c>
      <c r="AF1649">
        <v>-3.8581774226756802</v>
      </c>
      <c r="AG1649">
        <v>-1.1210417198960001</v>
      </c>
      <c r="AH1649">
        <v>9.7244850447155997</v>
      </c>
      <c r="AI1649">
        <v>96.116180015840499</v>
      </c>
      <c r="AJ1649">
        <v>111.640641653625</v>
      </c>
      <c r="AK1649">
        <v>10.521781072969</v>
      </c>
      <c r="AL1649">
        <v>87.369704200034306</v>
      </c>
      <c r="AM1649">
        <v>104.474886986298</v>
      </c>
      <c r="AN1649">
        <v>1.00000002399028</v>
      </c>
    </row>
    <row r="1650" spans="1:40" x14ac:dyDescent="0.3">
      <c r="A1650" t="str">
        <f>"20200111153905113"</f>
        <v>20200111153905113</v>
      </c>
      <c r="B1650" t="str">
        <f>"1578728345102492"</f>
        <v>1578728345102492</v>
      </c>
      <c r="C1650" t="s">
        <v>40</v>
      </c>
      <c r="D1650">
        <v>4.9127080000000003</v>
      </c>
      <c r="E1650">
        <v>0.44772509999999999</v>
      </c>
      <c r="F1650" t="s">
        <v>42</v>
      </c>
      <c r="G1650">
        <v>-490.142</v>
      </c>
      <c r="H1650" s="1">
        <v>-1.6634100000000001E-6</v>
      </c>
      <c r="I1650">
        <v>263.37849999999997</v>
      </c>
      <c r="J1650">
        <v>-487.14859999999999</v>
      </c>
      <c r="K1650">
        <v>1.1211</v>
      </c>
      <c r="L1650">
        <v>273.30720000000002</v>
      </c>
      <c r="M1650">
        <v>-0.61949509999999997</v>
      </c>
      <c r="N1650">
        <v>0</v>
      </c>
      <c r="O1650">
        <v>-0.78482180000000001</v>
      </c>
      <c r="P1650">
        <v>-0.4062846</v>
      </c>
      <c r="Q1650">
        <v>3.9241850000000002E-2</v>
      </c>
      <c r="R1650">
        <v>-0.91290369999999998</v>
      </c>
      <c r="S1650">
        <v>-0.91152949999999999</v>
      </c>
      <c r="T1650">
        <v>-0.3186889</v>
      </c>
      <c r="U1650">
        <v>-2.9015810000000002</v>
      </c>
      <c r="V1650">
        <v>-0.2487925</v>
      </c>
      <c r="W1650">
        <v>4.5219559999999999E-2</v>
      </c>
      <c r="X1650">
        <v>0.96750060000000004</v>
      </c>
      <c r="Y1650">
        <v>-0.35664970000000001</v>
      </c>
      <c r="Z1650">
        <v>6.9956820000000003E-2</v>
      </c>
      <c r="AA1650">
        <v>0.93161530000000004</v>
      </c>
      <c r="AB1650">
        <v>36</v>
      </c>
      <c r="AC1650">
        <v>-2.9933999999999998</v>
      </c>
      <c r="AD1650">
        <v>-1.1211016634099999</v>
      </c>
      <c r="AE1650">
        <v>-9.92870000000004</v>
      </c>
      <c r="AF1650">
        <v>-3.7581059275664201</v>
      </c>
      <c r="AG1650">
        <v>-1.1211016634099999</v>
      </c>
      <c r="AH1650">
        <v>9.53655185860862</v>
      </c>
      <c r="AI1650">
        <v>96.241761154573496</v>
      </c>
      <c r="AJ1650">
        <v>111.508104006454</v>
      </c>
      <c r="AK1650">
        <v>10.311452393064799</v>
      </c>
      <c r="AL1650">
        <v>87.408226174273594</v>
      </c>
      <c r="AM1650">
        <v>104.421141485996</v>
      </c>
      <c r="AN1650">
        <v>0.99999996383160095</v>
      </c>
    </row>
    <row r="1651" spans="1:40" x14ac:dyDescent="0.3">
      <c r="A1651" t="str">
        <f>"20200111153905138"</f>
        <v>20200111153905138</v>
      </c>
      <c r="B1651" t="str">
        <f>"1578728345132638"</f>
        <v>1578728345132638</v>
      </c>
      <c r="C1651" t="s">
        <v>40</v>
      </c>
      <c r="D1651">
        <v>4.9520869999999997</v>
      </c>
      <c r="E1651">
        <v>0.44872699999999999</v>
      </c>
      <c r="F1651" t="s">
        <v>42</v>
      </c>
      <c r="G1651">
        <v>-490.2011</v>
      </c>
      <c r="H1651" s="1">
        <v>-1.5625760000000001E-6</v>
      </c>
      <c r="I1651">
        <v>263.10680000000002</v>
      </c>
      <c r="J1651">
        <v>-487.37290000000002</v>
      </c>
      <c r="K1651">
        <v>1.121146</v>
      </c>
      <c r="L1651">
        <v>273.00229999999999</v>
      </c>
      <c r="M1651">
        <v>-0.60396039999999995</v>
      </c>
      <c r="N1651">
        <v>0</v>
      </c>
      <c r="O1651">
        <v>-0.79683780000000004</v>
      </c>
      <c r="P1651">
        <v>-0.3897159</v>
      </c>
      <c r="Q1651">
        <v>3.8654580000000001E-2</v>
      </c>
      <c r="R1651">
        <v>-0.92012349999999998</v>
      </c>
      <c r="S1651">
        <v>-0.87146000000000001</v>
      </c>
      <c r="T1651">
        <v>-0.32006240000000002</v>
      </c>
      <c r="U1651">
        <v>-2.9121090000000001</v>
      </c>
      <c r="V1651">
        <v>-0.2472771</v>
      </c>
      <c r="W1651">
        <v>4.4690809999999997E-2</v>
      </c>
      <c r="X1651">
        <v>0.96791360000000004</v>
      </c>
      <c r="Y1651">
        <v>-0.35101769999999999</v>
      </c>
      <c r="Z1651">
        <v>7.2047100000000003E-2</v>
      </c>
      <c r="AA1651">
        <v>0.93359300000000001</v>
      </c>
      <c r="AB1651">
        <v>36</v>
      </c>
      <c r="AC1651">
        <v>-2.8281999999999798</v>
      </c>
      <c r="AD1651">
        <v>-1.1211475625759999</v>
      </c>
      <c r="AE1651">
        <v>-9.89549999999997</v>
      </c>
      <c r="AF1651">
        <v>-3.6797291450040501</v>
      </c>
      <c r="AG1651">
        <v>-1.1211475625759999</v>
      </c>
      <c r="AH1651">
        <v>9.4820534570550503</v>
      </c>
      <c r="AI1651">
        <v>96.290293628196693</v>
      </c>
      <c r="AJ1651">
        <v>111.20988947771001</v>
      </c>
      <c r="AK1651">
        <v>10.232629974748001</v>
      </c>
      <c r="AL1651">
        <v>87.438552032327607</v>
      </c>
      <c r="AM1651">
        <v>104.331067955693</v>
      </c>
      <c r="AN1651">
        <v>0.99999998487391295</v>
      </c>
    </row>
    <row r="1652" spans="1:40" x14ac:dyDescent="0.3">
      <c r="A1652" t="str">
        <f>"20200111153905159"</f>
        <v>20200111153905159</v>
      </c>
      <c r="B1652" t="str">
        <f>"1578728345152157"</f>
        <v>1578728345152157</v>
      </c>
      <c r="C1652" t="s">
        <v>40</v>
      </c>
      <c r="D1652">
        <v>4.9808190000000003</v>
      </c>
      <c r="E1652">
        <v>0.44818439999999998</v>
      </c>
      <c r="F1652" t="s">
        <v>42</v>
      </c>
      <c r="G1652">
        <v>-490.29700000000003</v>
      </c>
      <c r="H1652" s="1">
        <v>-1.387981E-6</v>
      </c>
      <c r="I1652">
        <v>262.6404</v>
      </c>
      <c r="J1652">
        <v>-487.56819999999999</v>
      </c>
      <c r="K1652">
        <v>1.1211789999999999</v>
      </c>
      <c r="L1652">
        <v>272.726</v>
      </c>
      <c r="M1652">
        <v>-0.58985410000000005</v>
      </c>
      <c r="N1652">
        <v>0</v>
      </c>
      <c r="O1652">
        <v>-0.80733520000000003</v>
      </c>
      <c r="P1652">
        <v>-0.37521310000000002</v>
      </c>
      <c r="Q1652">
        <v>3.8443779999999997E-2</v>
      </c>
      <c r="R1652">
        <v>-0.92614079999999999</v>
      </c>
      <c r="S1652">
        <v>-0.82519529999999996</v>
      </c>
      <c r="T1652">
        <v>-0.3163977</v>
      </c>
      <c r="U1652">
        <v>-2.9242249999999999</v>
      </c>
      <c r="V1652">
        <v>-0.24546290000000001</v>
      </c>
      <c r="W1652">
        <v>4.4555999999999998E-2</v>
      </c>
      <c r="X1652">
        <v>0.96838150000000001</v>
      </c>
      <c r="Y1652">
        <v>-0.3492422</v>
      </c>
      <c r="Z1652">
        <v>7.2669299999999895E-2</v>
      </c>
      <c r="AA1652">
        <v>0.9342104</v>
      </c>
      <c r="AB1652">
        <v>36</v>
      </c>
      <c r="AC1652">
        <v>-2.7287999999999699</v>
      </c>
      <c r="AD1652">
        <v>-1.1211803879809901</v>
      </c>
      <c r="AE1652">
        <v>-10.085599999999999</v>
      </c>
      <c r="AF1652">
        <v>-3.7038545640184801</v>
      </c>
      <c r="AG1652">
        <v>-1.1211803879809901</v>
      </c>
      <c r="AH1652">
        <v>9.6423967312244994</v>
      </c>
      <c r="AI1652">
        <v>96.194845368618303</v>
      </c>
      <c r="AJ1652">
        <v>111.01286984382401</v>
      </c>
      <c r="AK1652">
        <v>10.3899662567364</v>
      </c>
      <c r="AL1652">
        <v>87.446283819386295</v>
      </c>
      <c r="AM1652">
        <v>104.22361399674</v>
      </c>
      <c r="AN1652">
        <v>1.00000000097733</v>
      </c>
    </row>
    <row r="1653" spans="1:40" x14ac:dyDescent="0.3">
      <c r="A1653" t="str">
        <f>"20200111153905181"</f>
        <v>20200111153905181</v>
      </c>
      <c r="B1653" t="str">
        <f>"1578728345172653"</f>
        <v>1578728345172653</v>
      </c>
      <c r="C1653" t="s">
        <v>40</v>
      </c>
      <c r="D1653">
        <v>4.927333</v>
      </c>
      <c r="E1653">
        <v>0.41201130000000002</v>
      </c>
      <c r="F1653" t="s">
        <v>42</v>
      </c>
      <c r="G1653">
        <v>-490.28899999999999</v>
      </c>
      <c r="H1653" s="1">
        <v>-1.2870619999999999E-6</v>
      </c>
      <c r="I1653">
        <v>262.41000000000003</v>
      </c>
      <c r="J1653">
        <v>-487.76330000000002</v>
      </c>
      <c r="K1653">
        <v>1.121202</v>
      </c>
      <c r="L1653">
        <v>272.43939999999998</v>
      </c>
      <c r="M1653">
        <v>-0.57519690000000001</v>
      </c>
      <c r="N1653">
        <v>0</v>
      </c>
      <c r="O1653">
        <v>-0.81784250000000003</v>
      </c>
      <c r="P1653">
        <v>-0.36131859999999999</v>
      </c>
      <c r="Q1653">
        <v>3.938738E-2</v>
      </c>
      <c r="R1653">
        <v>-0.93161039999999995</v>
      </c>
      <c r="S1653">
        <v>-0.77502439999999995</v>
      </c>
      <c r="T1653">
        <v>-0.31937379999999999</v>
      </c>
      <c r="U1653">
        <v>-2.9385379999999999</v>
      </c>
      <c r="V1653">
        <v>-0.24250070000000001</v>
      </c>
      <c r="W1653">
        <v>4.5630169999999998E-2</v>
      </c>
      <c r="X1653">
        <v>0.96907750000000004</v>
      </c>
      <c r="Y1653">
        <v>-0.34841309999999998</v>
      </c>
      <c r="Z1653">
        <v>7.4731770000000003E-2</v>
      </c>
      <c r="AA1653">
        <v>0.9343572</v>
      </c>
      <c r="AB1653">
        <v>36</v>
      </c>
      <c r="AC1653">
        <v>-2.5256999999999699</v>
      </c>
      <c r="AD1653">
        <v>-1.1212032870619999</v>
      </c>
      <c r="AE1653">
        <v>-10.0293999999999</v>
      </c>
      <c r="AF1653">
        <v>-3.6607560744555898</v>
      </c>
      <c r="AG1653">
        <v>-1.1212032870619999</v>
      </c>
      <c r="AH1653">
        <v>9.5444398621255502</v>
      </c>
      <c r="AI1653">
        <v>96.259240145787999</v>
      </c>
      <c r="AJ1653">
        <v>110.98424385334999</v>
      </c>
      <c r="AK1653">
        <v>10.2837038137683</v>
      </c>
      <c r="AL1653">
        <v>87.384675611005704</v>
      </c>
      <c r="AM1653">
        <v>104.049115092226</v>
      </c>
      <c r="AN1653">
        <v>0.99999995146048304</v>
      </c>
    </row>
    <row r="1654" spans="1:40" x14ac:dyDescent="0.3">
      <c r="A1654" t="str">
        <f>"20200111153905202"</f>
        <v>20200111153905202</v>
      </c>
      <c r="B1654" t="str">
        <f>"1578728345192173"</f>
        <v>1578728345192173</v>
      </c>
      <c r="C1654" t="s">
        <v>40</v>
      </c>
      <c r="D1654">
        <v>4.8974549999999999</v>
      </c>
      <c r="E1654">
        <v>0.41293920000000001</v>
      </c>
      <c r="F1654" t="s">
        <v>41</v>
      </c>
      <c r="G1654">
        <v>-487.91419999999999</v>
      </c>
      <c r="H1654">
        <v>1.062989</v>
      </c>
      <c r="I1654">
        <v>271.41649999999998</v>
      </c>
      <c r="J1654">
        <v>-487.9468</v>
      </c>
      <c r="K1654">
        <v>1.1212219999999999</v>
      </c>
      <c r="L1654">
        <v>272.15940000000001</v>
      </c>
      <c r="M1654">
        <v>-0.56086190000000002</v>
      </c>
      <c r="N1654">
        <v>0</v>
      </c>
      <c r="O1654">
        <v>-0.82773869999999905</v>
      </c>
      <c r="P1654">
        <v>-0.34745130000000002</v>
      </c>
      <c r="Q1654">
        <v>4.0555220000000003E-2</v>
      </c>
      <c r="R1654">
        <v>-0.9368206</v>
      </c>
      <c r="S1654">
        <v>-0.45028689999999999</v>
      </c>
      <c r="T1654">
        <v>-0.17374790000000001</v>
      </c>
      <c r="U1654">
        <v>-3.0529169999999999</v>
      </c>
      <c r="V1654">
        <v>-0.24002409999999999</v>
      </c>
      <c r="W1654">
        <v>4.6909100000000002E-2</v>
      </c>
      <c r="X1654">
        <v>0.96963290000000002</v>
      </c>
      <c r="Y1654">
        <v>-0.43422670000000002</v>
      </c>
      <c r="Z1654">
        <v>3.9341149999999998E-2</v>
      </c>
      <c r="AA1654">
        <v>0.89994409999999903</v>
      </c>
      <c r="AB1654">
        <v>35</v>
      </c>
      <c r="AC1654">
        <v>3.26000000000021E-2</v>
      </c>
      <c r="AD1654">
        <v>-5.8232999999999903E-2</v>
      </c>
      <c r="AE1654">
        <v>-0.74290000000001999</v>
      </c>
      <c r="AF1654">
        <v>-0.44100677961051499</v>
      </c>
      <c r="AG1654">
        <v>-5.8232999999999903E-2</v>
      </c>
      <c r="AH1654">
        <v>0.59309013446677195</v>
      </c>
      <c r="AI1654">
        <v>94.505081021553593</v>
      </c>
      <c r="AJ1654">
        <v>126.63355639452401</v>
      </c>
      <c r="AK1654">
        <v>0.74137302996079602</v>
      </c>
      <c r="AL1654">
        <v>87.311319867213498</v>
      </c>
      <c r="AM1654">
        <v>103.903575546301</v>
      </c>
      <c r="AN1654">
        <v>0.99999999650301497</v>
      </c>
    </row>
    <row r="1655" spans="1:40" x14ac:dyDescent="0.3">
      <c r="A1655" t="str">
        <f>"20200111153905225"</f>
        <v>20200111153905225</v>
      </c>
      <c r="B1655" t="str">
        <f>"1578728345222429"</f>
        <v>1578728345222429</v>
      </c>
      <c r="C1655" t="s">
        <v>40</v>
      </c>
      <c r="D1655">
        <v>4.9343940000000002</v>
      </c>
      <c r="E1655">
        <v>0.41680149999999999</v>
      </c>
      <c r="F1655" t="s">
        <v>41</v>
      </c>
      <c r="G1655">
        <v>-488.08080000000001</v>
      </c>
      <c r="H1655">
        <v>1.0752900000000001</v>
      </c>
      <c r="I1655">
        <v>271.16000000000003</v>
      </c>
      <c r="J1655">
        <v>-488.13</v>
      </c>
      <c r="K1655">
        <v>1.121221</v>
      </c>
      <c r="L1655">
        <v>271.86869999999999</v>
      </c>
      <c r="M1655">
        <v>-0.54599279999999994</v>
      </c>
      <c r="N1655">
        <v>0</v>
      </c>
      <c r="O1655">
        <v>-0.83762130000000001</v>
      </c>
      <c r="P1655">
        <v>-0.33242660000000002</v>
      </c>
      <c r="Q1655">
        <v>4.1435899999999998E-2</v>
      </c>
      <c r="R1655">
        <v>-0.94221860000000002</v>
      </c>
      <c r="S1655">
        <v>-0.4096069</v>
      </c>
      <c r="T1655">
        <v>-0.14045820000000001</v>
      </c>
      <c r="U1655">
        <v>-3.0564269999999998</v>
      </c>
      <c r="V1655">
        <v>-0.2382309</v>
      </c>
      <c r="W1655">
        <v>4.7874090000000001E-2</v>
      </c>
      <c r="X1655">
        <v>0.97002790000000005</v>
      </c>
      <c r="Y1655">
        <v>-0.43000909999999898</v>
      </c>
      <c r="Z1655">
        <v>3.2506599999999997E-2</v>
      </c>
      <c r="AA1655">
        <v>0.90223909999999996</v>
      </c>
      <c r="AB1655">
        <v>35</v>
      </c>
      <c r="AC1655">
        <v>4.9199999999984798E-2</v>
      </c>
      <c r="AD1655">
        <v>-4.5931000000000097E-2</v>
      </c>
      <c r="AE1655">
        <v>-0.70869999999996403</v>
      </c>
      <c r="AF1655">
        <v>-0.42643395146492202</v>
      </c>
      <c r="AG1655">
        <v>-4.5931000000000097E-2</v>
      </c>
      <c r="AH1655">
        <v>0.56447977049291598</v>
      </c>
      <c r="AI1655">
        <v>93.714707477642307</v>
      </c>
      <c r="AJ1655">
        <v>127.069075024207</v>
      </c>
      <c r="AK1655">
        <v>0.70893792606879402</v>
      </c>
      <c r="AL1655">
        <v>87.255967849231595</v>
      </c>
      <c r="AM1655">
        <v>103.798284005627</v>
      </c>
      <c r="AN1655">
        <v>1.0000000084932701</v>
      </c>
    </row>
    <row r="1656" spans="1:40" x14ac:dyDescent="0.3">
      <c r="A1656" t="str">
        <f>"20200111153905248"</f>
        <v>20200111153905248</v>
      </c>
      <c r="B1656" t="str">
        <f>"1578728345241950"</f>
        <v>1578728345241950</v>
      </c>
      <c r="C1656" t="s">
        <v>40</v>
      </c>
      <c r="D1656">
        <v>4.8533249999999999</v>
      </c>
      <c r="E1656">
        <v>0.42009570000000002</v>
      </c>
      <c r="F1656" t="s">
        <v>41</v>
      </c>
      <c r="G1656">
        <v>-488.25749999999999</v>
      </c>
      <c r="H1656">
        <v>1.0740799999999999</v>
      </c>
      <c r="I1656">
        <v>270.87020000000001</v>
      </c>
      <c r="J1656">
        <v>-488.3134</v>
      </c>
      <c r="K1656">
        <v>1.121191</v>
      </c>
      <c r="L1656">
        <v>271.5659</v>
      </c>
      <c r="M1656">
        <v>-0.5305375</v>
      </c>
      <c r="N1656">
        <v>0</v>
      </c>
      <c r="O1656">
        <v>-0.847495</v>
      </c>
      <c r="P1656">
        <v>-0.31574550000000001</v>
      </c>
      <c r="Q1656">
        <v>4.178842E-2</v>
      </c>
      <c r="R1656">
        <v>-0.94792310000000002</v>
      </c>
      <c r="S1656">
        <v>-0.38995360000000001</v>
      </c>
      <c r="T1656">
        <v>-0.14413399999999901</v>
      </c>
      <c r="U1656">
        <v>-3.0527039999999999</v>
      </c>
      <c r="V1656">
        <v>-0.23756269999999999</v>
      </c>
      <c r="W1656">
        <v>4.8262260000000001E-2</v>
      </c>
      <c r="X1656">
        <v>0.97017249999999999</v>
      </c>
      <c r="Y1656">
        <v>-0.41899110000000001</v>
      </c>
      <c r="Z1656">
        <v>3.420695E-2</v>
      </c>
      <c r="AA1656">
        <v>0.90734579999999998</v>
      </c>
      <c r="AB1656">
        <v>35</v>
      </c>
      <c r="AC1656">
        <v>5.59000000000082E-2</v>
      </c>
      <c r="AD1656">
        <v>-4.7111000000000097E-2</v>
      </c>
      <c r="AE1656">
        <v>-0.695699999999987</v>
      </c>
      <c r="AF1656">
        <v>-0.41463948936238398</v>
      </c>
      <c r="AG1656">
        <v>-4.7111000000000097E-2</v>
      </c>
      <c r="AH1656">
        <v>0.55748421941616799</v>
      </c>
      <c r="AI1656">
        <v>93.879140161542395</v>
      </c>
      <c r="AJ1656">
        <v>126.6407276348</v>
      </c>
      <c r="AK1656">
        <v>0.69637203229147004</v>
      </c>
      <c r="AL1656">
        <v>87.233701531831002</v>
      </c>
      <c r="AM1656">
        <v>103.759082130187</v>
      </c>
      <c r="AN1656">
        <v>0.99999998096392295</v>
      </c>
    </row>
    <row r="1657" spans="1:40" x14ac:dyDescent="0.3">
      <c r="A1657" t="str">
        <f>"20200111153905270"</f>
        <v>20200111153905270</v>
      </c>
      <c r="B1657" t="str">
        <f>"1578728345262445"</f>
        <v>1578728345262445</v>
      </c>
      <c r="C1657" t="s">
        <v>40</v>
      </c>
      <c r="D1657">
        <v>4.8519889999999997</v>
      </c>
      <c r="E1657">
        <v>0.42259989999999997</v>
      </c>
      <c r="F1657" t="s">
        <v>42</v>
      </c>
      <c r="G1657">
        <v>-490.84899999999999</v>
      </c>
      <c r="H1657" s="1">
        <v>-4.9718919999999998E-7</v>
      </c>
      <c r="I1657">
        <v>250.22149999999999</v>
      </c>
      <c r="J1657">
        <v>-488.49079999999998</v>
      </c>
      <c r="K1657">
        <v>1.1211420000000001</v>
      </c>
      <c r="L1657">
        <v>271.26069999999999</v>
      </c>
      <c r="M1657">
        <v>-0.51502389999999998</v>
      </c>
      <c r="N1657">
        <v>0</v>
      </c>
      <c r="O1657">
        <v>-0.85701149999999904</v>
      </c>
      <c r="P1657">
        <v>-0.29802410000000001</v>
      </c>
      <c r="Q1657">
        <v>4.2088109999999998E-2</v>
      </c>
      <c r="R1657">
        <v>-0.95363039999999999</v>
      </c>
      <c r="S1657">
        <v>-0.36245729999999998</v>
      </c>
      <c r="T1657">
        <v>-0.16027279999999999</v>
      </c>
      <c r="U1657">
        <v>-3.0511469999999998</v>
      </c>
      <c r="V1657">
        <v>-0.2379849</v>
      </c>
      <c r="W1657">
        <v>4.8552320000000003E-2</v>
      </c>
      <c r="X1657">
        <v>0.97005459999999999</v>
      </c>
      <c r="Y1657">
        <v>-0.41045880000000001</v>
      </c>
      <c r="Z1657">
        <v>3.8893629999999998E-2</v>
      </c>
      <c r="AA1657">
        <v>0.91104929999999995</v>
      </c>
      <c r="AB1657">
        <v>35</v>
      </c>
      <c r="AC1657">
        <v>-2.3582000000000098</v>
      </c>
      <c r="AD1657">
        <v>-1.1211424971891999</v>
      </c>
      <c r="AE1657">
        <v>-21.039199999999902</v>
      </c>
      <c r="AF1657">
        <v>-8.7912736940626104</v>
      </c>
      <c r="AG1657">
        <v>-1.1211424971891999</v>
      </c>
      <c r="AH1657">
        <v>19.194248237416101</v>
      </c>
      <c r="AI1657">
        <v>93.039846204071395</v>
      </c>
      <c r="AJ1657">
        <v>114.608539715783</v>
      </c>
      <c r="AK1657">
        <v>21.141490464545601</v>
      </c>
      <c r="AL1657">
        <v>87.217062958602696</v>
      </c>
      <c r="AM1657">
        <v>103.78421454266</v>
      </c>
      <c r="AN1657">
        <v>1.00000003369327</v>
      </c>
    </row>
    <row r="1658" spans="1:40" x14ac:dyDescent="0.3">
      <c r="A1658" t="str">
        <f>"20200111153905291"</f>
        <v>20200111153905291</v>
      </c>
      <c r="B1658" t="str">
        <f>"1578728345281968"</f>
        <v>1578728345281968</v>
      </c>
      <c r="C1658" t="s">
        <v>40</v>
      </c>
      <c r="D1658">
        <v>4.8787979999999997</v>
      </c>
      <c r="E1658">
        <v>0.42495519999999998</v>
      </c>
      <c r="F1658" t="s">
        <v>42</v>
      </c>
      <c r="G1658">
        <v>-490.65480000000002</v>
      </c>
      <c r="H1658" s="1">
        <v>-7.4398469999999902E-7</v>
      </c>
      <c r="I1658">
        <v>250.91720000000001</v>
      </c>
      <c r="J1658">
        <v>-488.65109999999999</v>
      </c>
      <c r="K1658">
        <v>1.121076</v>
      </c>
      <c r="L1658">
        <v>270.97340000000003</v>
      </c>
      <c r="M1658">
        <v>-0.50051069999999998</v>
      </c>
      <c r="N1658">
        <v>0</v>
      </c>
      <c r="O1658">
        <v>-0.86556789999999995</v>
      </c>
      <c r="P1658">
        <v>-0.28118670000000001</v>
      </c>
      <c r="Q1658">
        <v>4.2298450000000001E-2</v>
      </c>
      <c r="R1658">
        <v>-0.95872040000000003</v>
      </c>
      <c r="S1658">
        <v>-0.32464599999999999</v>
      </c>
      <c r="T1658">
        <v>-0.16818959999999999</v>
      </c>
      <c r="U1658">
        <v>-3.0518489999999998</v>
      </c>
      <c r="V1658">
        <v>-0.2387157</v>
      </c>
      <c r="W1658">
        <v>4.8743290000000002E-2</v>
      </c>
      <c r="X1658">
        <v>0.96986539999999999</v>
      </c>
      <c r="Y1658">
        <v>-0.40626990000000002</v>
      </c>
      <c r="Z1658">
        <v>4.1560760000000002E-2</v>
      </c>
      <c r="AA1658">
        <v>0.91280749999999999</v>
      </c>
      <c r="AB1658">
        <v>35</v>
      </c>
      <c r="AC1658">
        <v>-2.00370000000003</v>
      </c>
      <c r="AD1658">
        <v>-1.1210767439847</v>
      </c>
      <c r="AE1658">
        <v>-20.0562</v>
      </c>
      <c r="AF1658">
        <v>-8.2795588835998402</v>
      </c>
      <c r="AG1658">
        <v>-1.1210767439847</v>
      </c>
      <c r="AH1658">
        <v>18.308819374558599</v>
      </c>
      <c r="AI1658">
        <v>93.193332861813303</v>
      </c>
      <c r="AJ1658">
        <v>114.333290247904</v>
      </c>
      <c r="AK1658">
        <v>20.1251279564407</v>
      </c>
      <c r="AL1658">
        <v>87.206108102287104</v>
      </c>
      <c r="AM1658">
        <v>103.82751475217501</v>
      </c>
      <c r="AN1658">
        <v>0.99999999393183603</v>
      </c>
    </row>
    <row r="1659" spans="1:40" x14ac:dyDescent="0.3">
      <c r="A1659" t="str">
        <f>"20200111153905314"</f>
        <v>20200111153905314</v>
      </c>
      <c r="B1659" t="str">
        <f>"1578728345302461"</f>
        <v>1578728345302461</v>
      </c>
      <c r="C1659" t="s">
        <v>40</v>
      </c>
      <c r="D1659">
        <v>4.8594400000000002</v>
      </c>
      <c r="E1659">
        <v>0.44010189999999999</v>
      </c>
      <c r="F1659" t="s">
        <v>42</v>
      </c>
      <c r="G1659">
        <v>-490.50740000000002</v>
      </c>
      <c r="H1659" s="1">
        <v>-8.9056680000000005E-7</v>
      </c>
      <c r="I1659">
        <v>251.35040000000001</v>
      </c>
      <c r="J1659">
        <v>-488.81240000000003</v>
      </c>
      <c r="K1659">
        <v>1.1209849999999999</v>
      </c>
      <c r="L1659">
        <v>270.67239999999998</v>
      </c>
      <c r="M1659">
        <v>-0.48541390000000001</v>
      </c>
      <c r="N1659">
        <v>0</v>
      </c>
      <c r="O1659">
        <v>-0.87412449999999997</v>
      </c>
      <c r="P1659">
        <v>-0.26412329999999901</v>
      </c>
      <c r="Q1659">
        <v>4.3225800000000002E-2</v>
      </c>
      <c r="R1659">
        <v>-0.96352009999999999</v>
      </c>
      <c r="S1659">
        <v>-0.28872680000000001</v>
      </c>
      <c r="T1659">
        <v>-0.1743729</v>
      </c>
      <c r="U1659">
        <v>-3.0521850000000001</v>
      </c>
      <c r="V1659">
        <v>-0.2391066</v>
      </c>
      <c r="W1659">
        <v>4.9673439999999999E-2</v>
      </c>
      <c r="X1659">
        <v>0.96972190000000003</v>
      </c>
      <c r="Y1659">
        <v>-0.40105849999999998</v>
      </c>
      <c r="Z1659">
        <v>4.3879479999999998E-2</v>
      </c>
      <c r="AA1659">
        <v>0.91500090000000001</v>
      </c>
      <c r="AB1659">
        <v>35</v>
      </c>
      <c r="AC1659">
        <v>-1.6949999999999901</v>
      </c>
      <c r="AD1659">
        <v>-1.1209858905668</v>
      </c>
      <c r="AE1659">
        <v>-19.3219999999999</v>
      </c>
      <c r="AF1659">
        <v>-7.8723362297460202</v>
      </c>
      <c r="AG1659">
        <v>-1.1209858905668</v>
      </c>
      <c r="AH1659">
        <v>17.656113630224301</v>
      </c>
      <c r="AI1659">
        <v>93.318701386959802</v>
      </c>
      <c r="AJ1659">
        <v>114.030671596925</v>
      </c>
      <c r="AK1659">
        <v>19.364106888891499</v>
      </c>
      <c r="AL1659">
        <v>87.1527497779595</v>
      </c>
      <c r="AM1659">
        <v>103.85125695444501</v>
      </c>
      <c r="AN1659">
        <v>0.999999990072301</v>
      </c>
    </row>
    <row r="1660" spans="1:40" x14ac:dyDescent="0.3">
      <c r="A1660" t="str">
        <f>"20200111153905338"</f>
        <v>20200111153905338</v>
      </c>
      <c r="B1660" t="str">
        <f>"1578728345332717"</f>
        <v>1578728345332717</v>
      </c>
      <c r="C1660" t="s">
        <v>40</v>
      </c>
      <c r="D1660">
        <v>4.8907259999999999</v>
      </c>
      <c r="E1660">
        <v>0.44283860000000003</v>
      </c>
      <c r="F1660" t="s">
        <v>42</v>
      </c>
      <c r="G1660">
        <v>-490.53379999999999</v>
      </c>
      <c r="H1660" s="1">
        <v>-2.8808550000000001E-6</v>
      </c>
      <c r="I1660">
        <v>255.9734</v>
      </c>
      <c r="J1660">
        <v>-488.97719999999998</v>
      </c>
      <c r="K1660">
        <v>1.120862</v>
      </c>
      <c r="L1660">
        <v>270.35050000000001</v>
      </c>
      <c r="M1660">
        <v>-0.4694586</v>
      </c>
      <c r="N1660">
        <v>0</v>
      </c>
      <c r="O1660">
        <v>-0.88279699999999905</v>
      </c>
      <c r="P1660">
        <v>-0.24768119999999999</v>
      </c>
      <c r="Q1660">
        <v>4.4142149999999998E-2</v>
      </c>
      <c r="R1660">
        <v>-0.96783580000000002</v>
      </c>
      <c r="S1660">
        <v>-0.35446169999999999</v>
      </c>
      <c r="T1660">
        <v>-0.23083029999999999</v>
      </c>
      <c r="U1660">
        <v>-3.026764</v>
      </c>
      <c r="V1660">
        <v>-0.23800470000000001</v>
      </c>
      <c r="W1660">
        <v>5.0668299999999999E-2</v>
      </c>
      <c r="X1660">
        <v>0.96994150000000001</v>
      </c>
      <c r="Y1660">
        <v>-0.36382819999999999</v>
      </c>
      <c r="Z1660">
        <v>6.0019639999999999E-2</v>
      </c>
      <c r="AA1660">
        <v>0.92953039999999998</v>
      </c>
      <c r="AB1660">
        <v>35</v>
      </c>
      <c r="AC1660">
        <v>-1.5566</v>
      </c>
      <c r="AD1660">
        <v>-1.1208648808549999</v>
      </c>
      <c r="AE1660">
        <v>-14.3771</v>
      </c>
      <c r="AF1660">
        <v>-5.34393462191733</v>
      </c>
      <c r="AG1660">
        <v>-1.1208648808549999</v>
      </c>
      <c r="AH1660">
        <v>13.344517876586901</v>
      </c>
      <c r="AI1660">
        <v>94.458588133563296</v>
      </c>
      <c r="AJ1660">
        <v>111.824085894131</v>
      </c>
      <c r="AK1660">
        <v>14.4183956348481</v>
      </c>
      <c r="AL1660">
        <v>87.0956766891603</v>
      </c>
      <c r="AM1660">
        <v>103.786863728814</v>
      </c>
      <c r="AN1660">
        <v>1.0000000136346101</v>
      </c>
    </row>
    <row r="1661" spans="1:40" x14ac:dyDescent="0.3">
      <c r="A1661" t="str">
        <f>"20200111153905361"</f>
        <v>20200111153905361</v>
      </c>
      <c r="B1661" t="str">
        <f>"1578728345352237"</f>
        <v>1578728345352237</v>
      </c>
      <c r="C1661" t="s">
        <v>40</v>
      </c>
      <c r="D1661">
        <v>4.9244339999999998</v>
      </c>
      <c r="E1661">
        <v>0.44413789999999997</v>
      </c>
      <c r="F1661" t="s">
        <v>42</v>
      </c>
      <c r="G1661">
        <v>-490.5652</v>
      </c>
      <c r="H1661" s="1">
        <v>-2.6931410000000002E-6</v>
      </c>
      <c r="I1661">
        <v>255.5163</v>
      </c>
      <c r="J1661">
        <v>-489.1343</v>
      </c>
      <c r="K1661">
        <v>1.1207210000000001</v>
      </c>
      <c r="L1661">
        <v>270.02929999999998</v>
      </c>
      <c r="M1661">
        <v>-0.45373200000000002</v>
      </c>
      <c r="N1661">
        <v>0</v>
      </c>
      <c r="O1661">
        <v>-0.89098299999999997</v>
      </c>
      <c r="P1661">
        <v>-0.2326202</v>
      </c>
      <c r="Q1661">
        <v>4.5095719999999999E-2</v>
      </c>
      <c r="R1661">
        <v>-0.97152150000000004</v>
      </c>
      <c r="S1661">
        <v>-0.32406620000000003</v>
      </c>
      <c r="T1661">
        <v>-0.22873660000000001</v>
      </c>
      <c r="U1661">
        <v>-3.0272220000000001</v>
      </c>
      <c r="V1661">
        <v>-0.2358672</v>
      </c>
      <c r="W1661">
        <v>5.1750240000000003E-2</v>
      </c>
      <c r="X1661">
        <v>0.9704064</v>
      </c>
      <c r="Y1661">
        <v>-0.35653859999999998</v>
      </c>
      <c r="Z1661">
        <v>6.0506879999999999E-2</v>
      </c>
      <c r="AA1661">
        <v>0.93231920000000001</v>
      </c>
      <c r="AB1661">
        <v>35</v>
      </c>
      <c r="AC1661">
        <v>-1.4309000000000001</v>
      </c>
      <c r="AD1661">
        <v>-1.1207236931409901</v>
      </c>
      <c r="AE1661">
        <v>-14.5129999999999</v>
      </c>
      <c r="AF1661">
        <v>-5.2796585920952097</v>
      </c>
      <c r="AG1661">
        <v>-1.1207236931409901</v>
      </c>
      <c r="AH1661">
        <v>13.5022177952841</v>
      </c>
      <c r="AI1661">
        <v>94.420361655726097</v>
      </c>
      <c r="AJ1661">
        <v>111.356571059283</v>
      </c>
      <c r="AK1661">
        <v>14.5410007164823</v>
      </c>
      <c r="AL1661">
        <v>87.033604615563405</v>
      </c>
      <c r="AM1661">
        <v>103.66140643820999</v>
      </c>
      <c r="AN1661">
        <v>1.0000000022684199</v>
      </c>
    </row>
    <row r="1662" spans="1:40" x14ac:dyDescent="0.3">
      <c r="A1662" t="str">
        <f>"20200111153905383"</f>
        <v>20200111153905383</v>
      </c>
      <c r="B1662" t="str">
        <f>"1578728345372733"</f>
        <v>1578728345372733</v>
      </c>
      <c r="C1662" t="s">
        <v>40</v>
      </c>
      <c r="D1662">
        <v>4.9072050000000003</v>
      </c>
      <c r="E1662">
        <v>0.44475809999999999</v>
      </c>
      <c r="F1662" t="s">
        <v>42</v>
      </c>
      <c r="G1662">
        <v>-490.5598</v>
      </c>
      <c r="H1662" s="1">
        <v>-2.4467120000000001E-6</v>
      </c>
      <c r="I1662">
        <v>254.9452</v>
      </c>
      <c r="J1662">
        <v>-489.28140000000002</v>
      </c>
      <c r="K1662">
        <v>1.120573</v>
      </c>
      <c r="L1662">
        <v>269.71519999999998</v>
      </c>
      <c r="M1662">
        <v>-0.43853009999999898</v>
      </c>
      <c r="N1662">
        <v>0</v>
      </c>
      <c r="O1662">
        <v>-0.89856369999999897</v>
      </c>
      <c r="P1662">
        <v>-0.21959970000000001</v>
      </c>
      <c r="Q1662">
        <v>4.6543199999999903E-2</v>
      </c>
      <c r="R1662">
        <v>-0.97447899999999998</v>
      </c>
      <c r="S1662">
        <v>-0.2863464</v>
      </c>
      <c r="T1662">
        <v>-0.22511329999999999</v>
      </c>
      <c r="U1662">
        <v>-3.029846</v>
      </c>
      <c r="V1662">
        <v>-0.2323701</v>
      </c>
      <c r="W1662">
        <v>5.3384960000000002E-2</v>
      </c>
      <c r="X1662">
        <v>0.97116119999999995</v>
      </c>
      <c r="Y1662">
        <v>-0.35223789999999999</v>
      </c>
      <c r="Z1662">
        <v>6.0418100000000002E-2</v>
      </c>
      <c r="AA1662">
        <v>0.93395830000000002</v>
      </c>
      <c r="AB1662">
        <v>35</v>
      </c>
      <c r="AC1662">
        <v>-1.27839999999997</v>
      </c>
      <c r="AD1662">
        <v>-1.1205754467119999</v>
      </c>
      <c r="AE1662">
        <v>-14.7699999999999</v>
      </c>
      <c r="AF1662">
        <v>-5.29882428548982</v>
      </c>
      <c r="AG1662">
        <v>-1.1205754467119999</v>
      </c>
      <c r="AH1662">
        <v>13.755713297954999</v>
      </c>
      <c r="AI1662">
        <v>94.347125929981999</v>
      </c>
      <c r="AJ1662">
        <v>111.06713283244299</v>
      </c>
      <c r="AK1662">
        <v>14.7835339643742</v>
      </c>
      <c r="AL1662">
        <v>86.939812198640993</v>
      </c>
      <c r="AM1662">
        <v>103.456198848632</v>
      </c>
      <c r="AN1662">
        <v>0.99999994685682403</v>
      </c>
    </row>
    <row r="1663" spans="1:40" x14ac:dyDescent="0.3">
      <c r="A1663" t="str">
        <f>"20200111153905404"</f>
        <v>20200111153905404</v>
      </c>
      <c r="B1663" t="str">
        <f>"1578728345402013"</f>
        <v>1578728345402013</v>
      </c>
      <c r="C1663" t="s">
        <v>40</v>
      </c>
      <c r="D1663">
        <v>4.926272</v>
      </c>
      <c r="E1663">
        <v>0.45298129999999998</v>
      </c>
      <c r="F1663" t="s">
        <v>42</v>
      </c>
      <c r="G1663">
        <v>-490.55340000000001</v>
      </c>
      <c r="H1663" s="1">
        <v>-2.1772390000000001E-6</v>
      </c>
      <c r="I1663">
        <v>254.3211</v>
      </c>
      <c r="J1663">
        <v>-489.41520000000003</v>
      </c>
      <c r="K1663">
        <v>1.12042</v>
      </c>
      <c r="L1663">
        <v>269.41719999999998</v>
      </c>
      <c r="M1663">
        <v>-0.42428129999999997</v>
      </c>
      <c r="N1663">
        <v>0</v>
      </c>
      <c r="O1663">
        <v>-0.90537979999999996</v>
      </c>
      <c r="P1663">
        <v>-0.2076607</v>
      </c>
      <c r="Q1663">
        <v>4.7357499999999997E-2</v>
      </c>
      <c r="R1663">
        <v>-0.97705379999999997</v>
      </c>
      <c r="S1663">
        <v>-0.25057980000000002</v>
      </c>
      <c r="T1663">
        <v>-0.2207538</v>
      </c>
      <c r="U1663">
        <v>-3.032654</v>
      </c>
      <c r="V1663">
        <v>-0.22890170000000001</v>
      </c>
      <c r="W1663">
        <v>5.4380589999999999E-2</v>
      </c>
      <c r="X1663">
        <v>0.97192940000000005</v>
      </c>
      <c r="Y1663">
        <v>-0.34845959999999998</v>
      </c>
      <c r="Z1663">
        <v>6.000482E-2</v>
      </c>
      <c r="AA1663">
        <v>0.93540120000000004</v>
      </c>
      <c r="AB1663">
        <v>35</v>
      </c>
      <c r="AC1663">
        <v>-1.1381999999999799</v>
      </c>
      <c r="AD1663">
        <v>-1.120422177239</v>
      </c>
      <c r="AE1663">
        <v>-15.0960999999999</v>
      </c>
      <c r="AF1663">
        <v>-5.3459411709000602</v>
      </c>
      <c r="AG1663">
        <v>-1.120422177239</v>
      </c>
      <c r="AH1663">
        <v>14.0754550225043</v>
      </c>
      <c r="AI1663">
        <v>94.2558000945087</v>
      </c>
      <c r="AJ1663">
        <v>110.797073629876</v>
      </c>
      <c r="AK1663">
        <v>15.0981080585786</v>
      </c>
      <c r="AL1663">
        <v>86.882683962692795</v>
      </c>
      <c r="AM1663">
        <v>103.252385233524</v>
      </c>
      <c r="AN1663">
        <v>0.99999999770799897</v>
      </c>
    </row>
    <row r="1664" spans="1:40" x14ac:dyDescent="0.3">
      <c r="A1664" t="str">
        <f>"20200111153905428"</f>
        <v>20200111153905428</v>
      </c>
      <c r="B1664" t="str">
        <f>"1578728345422509"</f>
        <v>1578728345422509</v>
      </c>
      <c r="C1664" t="s">
        <v>40</v>
      </c>
      <c r="D1664">
        <v>4.9295049999999998</v>
      </c>
      <c r="E1664">
        <v>0.45367970000000002</v>
      </c>
      <c r="F1664" t="s">
        <v>42</v>
      </c>
      <c r="G1664">
        <v>-490.8879</v>
      </c>
      <c r="H1664" s="1">
        <v>-1.837978E-6</v>
      </c>
      <c r="I1664">
        <v>253.3228</v>
      </c>
      <c r="J1664">
        <v>-489.55599999999998</v>
      </c>
      <c r="K1664">
        <v>1.120233</v>
      </c>
      <c r="L1664">
        <v>269.08920000000001</v>
      </c>
      <c r="M1664">
        <v>-0.40879130000000002</v>
      </c>
      <c r="N1664">
        <v>0</v>
      </c>
      <c r="O1664">
        <v>-0.91248019999999996</v>
      </c>
      <c r="P1664">
        <v>-0.19539219999999999</v>
      </c>
      <c r="Q1664">
        <v>4.704494E-2</v>
      </c>
      <c r="R1664">
        <v>-0.97959609999999997</v>
      </c>
      <c r="S1664">
        <v>-0.27651979999999998</v>
      </c>
      <c r="T1664">
        <v>-0.21036759999999999</v>
      </c>
      <c r="U1664">
        <v>-3.0218509999999998</v>
      </c>
      <c r="V1664">
        <v>-0.2244901</v>
      </c>
      <c r="W1664">
        <v>5.4267749999999997E-2</v>
      </c>
      <c r="X1664">
        <v>0.9729641</v>
      </c>
      <c r="Y1664">
        <v>-0.32412580000000002</v>
      </c>
      <c r="Z1664">
        <v>5.8413890000000003E-2</v>
      </c>
      <c r="AA1664">
        <v>0.94420879999999996</v>
      </c>
      <c r="AB1664">
        <v>35</v>
      </c>
      <c r="AC1664">
        <v>-1.3319000000000101</v>
      </c>
      <c r="AD1664">
        <v>-1.1202348379780001</v>
      </c>
      <c r="AE1664">
        <v>-15.766400000000001</v>
      </c>
      <c r="AF1664">
        <v>-5.2044518480356698</v>
      </c>
      <c r="AG1664">
        <v>-1.1202348379780001</v>
      </c>
      <c r="AH1664">
        <v>14.8585295843361</v>
      </c>
      <c r="AI1664">
        <v>94.070007391758793</v>
      </c>
      <c r="AJ1664">
        <v>109.30367104763199</v>
      </c>
      <c r="AK1664">
        <v>15.783445331717999</v>
      </c>
      <c r="AL1664">
        <v>86.889158683215996</v>
      </c>
      <c r="AM1664">
        <v>102.99237605531199</v>
      </c>
      <c r="AN1664">
        <v>0.99999996678844005</v>
      </c>
    </row>
    <row r="1665" spans="1:40" x14ac:dyDescent="0.3">
      <c r="A1665" t="str">
        <f>"20200111153905450"</f>
        <v>20200111153905450</v>
      </c>
      <c r="B1665" t="str">
        <f>"1578728345442598"</f>
        <v>1578728345442598</v>
      </c>
      <c r="C1665" t="s">
        <v>40</v>
      </c>
      <c r="D1665">
        <v>4.9214320000000003</v>
      </c>
      <c r="E1665">
        <v>0.4547774</v>
      </c>
      <c r="F1665" t="s">
        <v>42</v>
      </c>
      <c r="G1665">
        <v>-490.88279999999997</v>
      </c>
      <c r="H1665" s="1">
        <v>-1.5268510000000001E-6</v>
      </c>
      <c r="I1665">
        <v>252.60069999999999</v>
      </c>
      <c r="J1665">
        <v>-489.68579999999997</v>
      </c>
      <c r="K1665">
        <v>1.120031</v>
      </c>
      <c r="L1665">
        <v>268.7724</v>
      </c>
      <c r="M1665">
        <v>-0.394036</v>
      </c>
      <c r="N1665">
        <v>0</v>
      </c>
      <c r="O1665">
        <v>-0.91895099999999996</v>
      </c>
      <c r="P1665">
        <v>-0.18313370000000001</v>
      </c>
      <c r="Q1665">
        <v>4.6369189999999998E-2</v>
      </c>
      <c r="R1665">
        <v>-0.98199429999999999</v>
      </c>
      <c r="S1665">
        <v>-0.2433167</v>
      </c>
      <c r="T1665">
        <v>-0.2054368</v>
      </c>
      <c r="U1665">
        <v>-3.0237729999999998</v>
      </c>
      <c r="V1665">
        <v>-0.2209286</v>
      </c>
      <c r="W1665">
        <v>5.370113E-2</v>
      </c>
      <c r="X1665">
        <v>0.97381039999999996</v>
      </c>
      <c r="Y1665">
        <v>-0.31922159999999999</v>
      </c>
      <c r="Z1665">
        <v>5.7741590000000002E-2</v>
      </c>
      <c r="AA1665">
        <v>0.94591939999999997</v>
      </c>
      <c r="AB1665">
        <v>35</v>
      </c>
      <c r="AC1665">
        <v>-1.1970000000000001</v>
      </c>
      <c r="AD1665">
        <v>-1.1200325268510001</v>
      </c>
      <c r="AE1665">
        <v>-16.171700000000001</v>
      </c>
      <c r="AF1665">
        <v>-5.2479096185035399</v>
      </c>
      <c r="AG1665">
        <v>-1.1200325268510001</v>
      </c>
      <c r="AH1665">
        <v>15.261881575026401</v>
      </c>
      <c r="AI1665">
        <v>93.969925143799799</v>
      </c>
      <c r="AJ1665">
        <v>108.97590654289699</v>
      </c>
      <c r="AK1665">
        <v>16.1777642903869</v>
      </c>
      <c r="AL1665">
        <v>86.921671059209103</v>
      </c>
      <c r="AM1665">
        <v>102.78233603701599</v>
      </c>
      <c r="AN1665">
        <v>0.99999997640469795</v>
      </c>
    </row>
    <row r="1666" spans="1:40" x14ac:dyDescent="0.3">
      <c r="A1666" t="str">
        <f>"20200111153905472"</f>
        <v>20200111153905472</v>
      </c>
      <c r="B1666" t="str">
        <f>"1578728345462121"</f>
        <v>1578728345462121</v>
      </c>
      <c r="C1666" t="s">
        <v>40</v>
      </c>
      <c r="D1666">
        <v>4.9125500000000004</v>
      </c>
      <c r="E1666">
        <v>0.45549790000000001</v>
      </c>
      <c r="F1666" t="s">
        <v>42</v>
      </c>
      <c r="G1666">
        <v>-490.85219999999998</v>
      </c>
      <c r="H1666" s="1">
        <v>-1.364845E-6</v>
      </c>
      <c r="I1666">
        <v>252.24199999999999</v>
      </c>
      <c r="J1666">
        <v>-489.81020000000001</v>
      </c>
      <c r="K1666">
        <v>1.1198079999999999</v>
      </c>
      <c r="L1666">
        <v>268.4547</v>
      </c>
      <c r="M1666">
        <v>-0.37944879999999997</v>
      </c>
      <c r="N1666">
        <v>0</v>
      </c>
      <c r="O1666">
        <v>-0.92507309999999998</v>
      </c>
      <c r="P1666">
        <v>-0.17009089999999999</v>
      </c>
      <c r="Q1666">
        <v>4.5539400000000001E-2</v>
      </c>
      <c r="R1666">
        <v>-0.98437549999999996</v>
      </c>
      <c r="S1666">
        <v>-0.21343989999999999</v>
      </c>
      <c r="T1666">
        <v>-0.204953</v>
      </c>
      <c r="U1666">
        <v>-3.0248719999999998</v>
      </c>
      <c r="V1666">
        <v>-0.21838959999999999</v>
      </c>
      <c r="W1666">
        <v>5.2877380000000002E-2</v>
      </c>
      <c r="X1666">
        <v>0.97442810000000002</v>
      </c>
      <c r="Y1666">
        <v>-0.31354179999999998</v>
      </c>
      <c r="Z1666">
        <v>5.8280029999999997E-2</v>
      </c>
      <c r="AA1666">
        <v>0.94778419999999997</v>
      </c>
      <c r="AB1666">
        <v>35</v>
      </c>
      <c r="AC1666">
        <v>-1.0419999999999701</v>
      </c>
      <c r="AD1666">
        <v>-1.1198093648449901</v>
      </c>
      <c r="AE1666">
        <v>-16.212699999999899</v>
      </c>
      <c r="AF1666">
        <v>-5.1640989614844797</v>
      </c>
      <c r="AG1666">
        <v>-1.1198093648449901</v>
      </c>
      <c r="AH1666">
        <v>15.3225096376573</v>
      </c>
      <c r="AI1666">
        <v>93.961702143685002</v>
      </c>
      <c r="AJ1666">
        <v>108.62520399973</v>
      </c>
      <c r="AK1666">
        <v>16.2080594980923</v>
      </c>
      <c r="AL1666">
        <v>86.9689359268028</v>
      </c>
      <c r="AM1666">
        <v>102.632427049821</v>
      </c>
      <c r="AN1666">
        <v>1.00000007838671</v>
      </c>
    </row>
    <row r="1667" spans="1:40" x14ac:dyDescent="0.3">
      <c r="A1667" t="str">
        <f>"20200111153905493"</f>
        <v>20200111153905493</v>
      </c>
      <c r="B1667" t="str">
        <f>"1578728345482633"</f>
        <v>1578728345482633</v>
      </c>
      <c r="C1667" t="s">
        <v>40</v>
      </c>
      <c r="D1667">
        <v>4.9378849999999996</v>
      </c>
      <c r="E1667">
        <v>0.45638919999999999</v>
      </c>
      <c r="F1667" t="s">
        <v>42</v>
      </c>
      <c r="G1667">
        <v>-490.77159999999998</v>
      </c>
      <c r="H1667" s="1">
        <v>-1.3121990000000001E-6</v>
      </c>
      <c r="I1667">
        <v>252.16929999999999</v>
      </c>
      <c r="J1667">
        <v>-489.92129999999997</v>
      </c>
      <c r="K1667">
        <v>1.119578</v>
      </c>
      <c r="L1667">
        <v>268.15710000000001</v>
      </c>
      <c r="M1667">
        <v>-0.36601739999999999</v>
      </c>
      <c r="N1667">
        <v>0</v>
      </c>
      <c r="O1667">
        <v>-0.93047360000000001</v>
      </c>
      <c r="P1667">
        <v>-0.1578697</v>
      </c>
      <c r="Q1667">
        <v>4.4772199999999998E-2</v>
      </c>
      <c r="R1667">
        <v>-0.98644480000000001</v>
      </c>
      <c r="S1667">
        <v>-0.17868039999999999</v>
      </c>
      <c r="T1667">
        <v>-0.20810010000000001</v>
      </c>
      <c r="U1667">
        <v>-3.0263979999999999</v>
      </c>
      <c r="V1667">
        <v>-0.21631639999999999</v>
      </c>
      <c r="W1667">
        <v>5.2050730000000003E-2</v>
      </c>
      <c r="X1667">
        <v>0.97493479999999999</v>
      </c>
      <c r="Y1667">
        <v>-0.31067060000000002</v>
      </c>
      <c r="Z1667">
        <v>5.9740950000000001E-2</v>
      </c>
      <c r="AA1667">
        <v>0.94863839999999999</v>
      </c>
      <c r="AB1667">
        <v>35</v>
      </c>
      <c r="AC1667">
        <v>-0.85030000000000405</v>
      </c>
      <c r="AD1667">
        <v>-1.1195793121990001</v>
      </c>
      <c r="AE1667">
        <v>-15.9878</v>
      </c>
      <c r="AF1667">
        <v>-5.0366353809422701</v>
      </c>
      <c r="AG1667">
        <v>-1.1195793121990001</v>
      </c>
      <c r="AH1667">
        <v>15.115436355764</v>
      </c>
      <c r="AI1667">
        <v>94.019579662228494</v>
      </c>
      <c r="AJ1667">
        <v>108.428659832405</v>
      </c>
      <c r="AK1667">
        <v>15.9717741663854</v>
      </c>
      <c r="AL1667">
        <v>87.016364456882798</v>
      </c>
      <c r="AM1667">
        <v>102.51000169477101</v>
      </c>
      <c r="AN1667">
        <v>0.99999996382676504</v>
      </c>
    </row>
    <row r="1668" spans="1:40" x14ac:dyDescent="0.3">
      <c r="A1668" t="str">
        <f>"20200111153905516"</f>
        <v>20200111153905516</v>
      </c>
      <c r="B1668" t="str">
        <f>"1578728345511895"</f>
        <v>1578728345511895</v>
      </c>
      <c r="C1668" t="s">
        <v>40</v>
      </c>
      <c r="D1668">
        <v>4.9376439999999997</v>
      </c>
      <c r="E1668">
        <v>0.46296530000000002</v>
      </c>
      <c r="F1668" t="s">
        <v>42</v>
      </c>
      <c r="G1668">
        <v>-490.7176</v>
      </c>
      <c r="H1668" s="1">
        <v>-1.157217E-6</v>
      </c>
      <c r="I1668">
        <v>251.8416</v>
      </c>
      <c r="J1668">
        <v>-490.03800000000001</v>
      </c>
      <c r="K1668">
        <v>1.119289</v>
      </c>
      <c r="L1668">
        <v>267.82940000000002</v>
      </c>
      <c r="M1668">
        <v>-0.3514948</v>
      </c>
      <c r="N1668">
        <v>0</v>
      </c>
      <c r="O1668">
        <v>-0.9360617</v>
      </c>
      <c r="P1668">
        <v>-0.14461650000000001</v>
      </c>
      <c r="Q1668">
        <v>4.331318E-2</v>
      </c>
      <c r="R1668">
        <v>-0.98853930000000001</v>
      </c>
      <c r="S1668">
        <v>-0.14773559999999999</v>
      </c>
      <c r="T1668">
        <v>-0.20771490000000001</v>
      </c>
      <c r="U1668">
        <v>-3.0270079999999999</v>
      </c>
      <c r="V1668">
        <v>-0.21415709999999999</v>
      </c>
      <c r="W1668">
        <v>5.047256E-2</v>
      </c>
      <c r="X1668">
        <v>0.97549439999999998</v>
      </c>
      <c r="Y1668">
        <v>-0.30555670000000001</v>
      </c>
      <c r="Z1668">
        <v>6.0257289999999998E-2</v>
      </c>
      <c r="AA1668">
        <v>0.95026529999999998</v>
      </c>
      <c r="AB1668">
        <v>35</v>
      </c>
      <c r="AC1668">
        <v>-0.67959999999999299</v>
      </c>
      <c r="AD1668">
        <v>-1.119290157217</v>
      </c>
      <c r="AE1668">
        <v>-15.9878</v>
      </c>
      <c r="AF1668">
        <v>-4.9598134044699096</v>
      </c>
      <c r="AG1668">
        <v>-1.119290157217</v>
      </c>
      <c r="AH1668">
        <v>15.132233929455399</v>
      </c>
      <c r="AI1668">
        <v>94.020596640391304</v>
      </c>
      <c r="AJ1668">
        <v>108.147321863595</v>
      </c>
      <c r="AK1668">
        <v>15.963616857058501</v>
      </c>
      <c r="AL1668">
        <v>87.106906190857998</v>
      </c>
      <c r="AM1668">
        <v>102.382112012965</v>
      </c>
      <c r="AN1668">
        <v>1.00000003361236</v>
      </c>
    </row>
    <row r="1669" spans="1:40" x14ac:dyDescent="0.3">
      <c r="A1669" t="str">
        <f>"20200111153905541"</f>
        <v>20200111153905541</v>
      </c>
      <c r="B1669" t="str">
        <f>"1578728345532071"</f>
        <v>1578728345532071</v>
      </c>
      <c r="C1669" t="s">
        <v>40</v>
      </c>
      <c r="D1669">
        <v>4.9725449999999896</v>
      </c>
      <c r="E1669">
        <v>0.46365190000000001</v>
      </c>
      <c r="F1669" t="s">
        <v>42</v>
      </c>
      <c r="G1669">
        <v>-490.851</v>
      </c>
      <c r="H1669" s="1">
        <v>-1.4355390000000001E-6</v>
      </c>
      <c r="I1669">
        <v>252.4076</v>
      </c>
      <c r="J1669">
        <v>-490.16390000000001</v>
      </c>
      <c r="K1669">
        <v>1.1189469999999999</v>
      </c>
      <c r="L1669">
        <v>267.45519999999999</v>
      </c>
      <c r="M1669">
        <v>-0.3352752</v>
      </c>
      <c r="N1669">
        <v>0</v>
      </c>
      <c r="O1669">
        <v>-0.94200010000000001</v>
      </c>
      <c r="P1669">
        <v>-0.12761739999999999</v>
      </c>
      <c r="Q1669">
        <v>4.2655609999999997E-2</v>
      </c>
      <c r="R1669">
        <v>-0.99090590000000001</v>
      </c>
      <c r="S1669">
        <v>-0.1592712</v>
      </c>
      <c r="T1669">
        <v>-0.2192653</v>
      </c>
      <c r="U1669">
        <v>-3.0210880000000002</v>
      </c>
      <c r="V1669">
        <v>-0.21399509999999999</v>
      </c>
      <c r="W1669">
        <v>4.9531039999999998E-2</v>
      </c>
      <c r="X1669">
        <v>0.97557819999999995</v>
      </c>
      <c r="Y1669">
        <v>-0.28534700000000002</v>
      </c>
      <c r="Z1669">
        <v>6.4577289999999996E-2</v>
      </c>
      <c r="AA1669">
        <v>0.95624629999999999</v>
      </c>
      <c r="AB1669">
        <v>35</v>
      </c>
      <c r="AC1669">
        <v>-0.68709999999998606</v>
      </c>
      <c r="AD1669">
        <v>-1.11894843553899</v>
      </c>
      <c r="AE1669">
        <v>-15.0475999999999</v>
      </c>
      <c r="AF1669">
        <v>-4.3741998426469602</v>
      </c>
      <c r="AG1669">
        <v>-1.11894843553899</v>
      </c>
      <c r="AH1669">
        <v>14.327778320216501</v>
      </c>
      <c r="AI1669">
        <v>94.271666398749005</v>
      </c>
      <c r="AJ1669">
        <v>106.97717113527</v>
      </c>
      <c r="AK1669">
        <v>15.0223467360487</v>
      </c>
      <c r="AL1669">
        <v>87.160918853392999</v>
      </c>
      <c r="AM1669">
        <v>102.372004031161</v>
      </c>
      <c r="AN1669">
        <v>1.0000000255313599</v>
      </c>
    </row>
    <row r="1670" spans="1:40" x14ac:dyDescent="0.3">
      <c r="A1670" t="str">
        <f>"20200111153905561"</f>
        <v>20200111153905561</v>
      </c>
      <c r="B1670" t="str">
        <f>"1578728345552566"</f>
        <v>1578728345552566</v>
      </c>
      <c r="C1670" t="s">
        <v>40</v>
      </c>
      <c r="D1670">
        <v>4.9534949999999904</v>
      </c>
      <c r="E1670">
        <v>0.46402559999999898</v>
      </c>
      <c r="F1670" t="s">
        <v>42</v>
      </c>
      <c r="G1670">
        <v>-490.74520000000001</v>
      </c>
      <c r="H1670" s="1">
        <v>-1.1687679999999999E-6</v>
      </c>
      <c r="I1670">
        <v>251.85140000000001</v>
      </c>
      <c r="J1670">
        <v>-490.25779999999997</v>
      </c>
      <c r="K1670">
        <v>1.1186769999999999</v>
      </c>
      <c r="L1670">
        <v>267.16309999999999</v>
      </c>
      <c r="M1670">
        <v>-0.32284059999999998</v>
      </c>
      <c r="N1670">
        <v>0</v>
      </c>
      <c r="O1670">
        <v>-0.94633929999999999</v>
      </c>
      <c r="P1670">
        <v>-0.1156514</v>
      </c>
      <c r="Q1670">
        <v>4.160552E-2</v>
      </c>
      <c r="R1670">
        <v>-0.99241809999999997</v>
      </c>
      <c r="S1670">
        <v>-0.11257929999999999</v>
      </c>
      <c r="T1670">
        <v>-0.21673300000000001</v>
      </c>
      <c r="U1670">
        <v>-3.0223689999999999</v>
      </c>
      <c r="V1670">
        <v>-0.2128533</v>
      </c>
      <c r="W1670">
        <v>4.8290850000000003E-2</v>
      </c>
      <c r="X1670">
        <v>0.97589009999999998</v>
      </c>
      <c r="Y1670">
        <v>-0.28748559999999901</v>
      </c>
      <c r="Z1670">
        <v>6.4264829999999995E-2</v>
      </c>
      <c r="AA1670">
        <v>0.95562650000000005</v>
      </c>
      <c r="AB1670">
        <v>35</v>
      </c>
      <c r="AC1670">
        <v>-0.48740000000003603</v>
      </c>
      <c r="AD1670">
        <v>-1.1186781687680001</v>
      </c>
      <c r="AE1670">
        <v>-15.311699999999901</v>
      </c>
      <c r="AF1670">
        <v>-4.4587008679890303</v>
      </c>
      <c r="AG1670">
        <v>-1.1186781687680001</v>
      </c>
      <c r="AH1670">
        <v>14.571297084619699</v>
      </c>
      <c r="AI1670">
        <v>94.198708913094706</v>
      </c>
      <c r="AJ1670">
        <v>107.013693493037</v>
      </c>
      <c r="AK1670">
        <v>15.279206556746701</v>
      </c>
      <c r="AL1670">
        <v>87.232061614767602</v>
      </c>
      <c r="AM1670">
        <v>102.304194923235</v>
      </c>
      <c r="AN1670">
        <v>1.00000001039631</v>
      </c>
    </row>
    <row r="1671" spans="1:40" x14ac:dyDescent="0.3">
      <c r="A1671" t="str">
        <f>"20200111153905584"</f>
        <v>20200111153905584</v>
      </c>
      <c r="B1671" t="str">
        <f>"1578728345572091"</f>
        <v>1578728345572091</v>
      </c>
      <c r="C1671" t="s">
        <v>40</v>
      </c>
      <c r="D1671">
        <v>5.0154420000000002</v>
      </c>
      <c r="E1671">
        <v>0.46943649999999998</v>
      </c>
      <c r="F1671" t="s">
        <v>42</v>
      </c>
      <c r="G1671">
        <v>-490.65890000000002</v>
      </c>
      <c r="H1671" s="1">
        <v>-1.1679029999999999E-6</v>
      </c>
      <c r="I1671">
        <v>251.90280000000001</v>
      </c>
      <c r="J1671">
        <v>-490.35739999999998</v>
      </c>
      <c r="K1671">
        <v>1.1183809999999901</v>
      </c>
      <c r="L1671">
        <v>266.83749999999998</v>
      </c>
      <c r="M1671">
        <v>-0.3092356</v>
      </c>
      <c r="N1671">
        <v>0</v>
      </c>
      <c r="O1671">
        <v>-0.95087860000000002</v>
      </c>
      <c r="P1671">
        <v>-0.10302119999999999</v>
      </c>
      <c r="Q1671">
        <v>4.1348219999999998E-2</v>
      </c>
      <c r="R1671">
        <v>-0.99381960000000003</v>
      </c>
      <c r="S1671">
        <v>-7.9467769999999993E-2</v>
      </c>
      <c r="T1671">
        <v>-0.22160250000000001</v>
      </c>
      <c r="U1671">
        <v>-3.0229490000000001</v>
      </c>
      <c r="V1671">
        <v>-0.21121419999999999</v>
      </c>
      <c r="W1671">
        <v>4.7818369999999999E-2</v>
      </c>
      <c r="X1671">
        <v>0.97626939999999995</v>
      </c>
      <c r="Y1671">
        <v>-0.28421259999999998</v>
      </c>
      <c r="Z1671">
        <v>6.6227789999999995E-2</v>
      </c>
      <c r="AA1671">
        <v>0.95647110000000002</v>
      </c>
      <c r="AB1671">
        <v>35</v>
      </c>
      <c r="AC1671">
        <v>-0.30150000000003202</v>
      </c>
      <c r="AD1671">
        <v>-1.1183821679029999</v>
      </c>
      <c r="AE1671">
        <v>-14.9346999999999</v>
      </c>
      <c r="AF1671">
        <v>-4.3079432873782402</v>
      </c>
      <c r="AG1671">
        <v>-1.1183821679029999</v>
      </c>
      <c r="AH1671">
        <v>14.2160863478474</v>
      </c>
      <c r="AI1671">
        <v>94.305632066889999</v>
      </c>
      <c r="AJ1671">
        <v>106.858540271043</v>
      </c>
      <c r="AK1671">
        <v>14.8965185560319</v>
      </c>
      <c r="AL1671">
        <v>87.259163974601407</v>
      </c>
      <c r="AM1671">
        <v>102.207696978436</v>
      </c>
      <c r="AN1671">
        <v>0.99999998808372803</v>
      </c>
    </row>
    <row r="1672" spans="1:40" x14ac:dyDescent="0.3">
      <c r="A1672" t="str">
        <f>"20200111153905607"</f>
        <v>20200111153905607</v>
      </c>
      <c r="B1672" t="str">
        <f>"1578728345602343"</f>
        <v>1578728345602343</v>
      </c>
      <c r="C1672" t="s">
        <v>40</v>
      </c>
      <c r="D1672">
        <v>5.0259689999999999</v>
      </c>
      <c r="E1672">
        <v>0.47100619999999999</v>
      </c>
      <c r="F1672" t="s">
        <v>42</v>
      </c>
      <c r="G1672">
        <v>-490.77420000000001</v>
      </c>
      <c r="H1672" s="1">
        <v>-1.1774980000000001E-6</v>
      </c>
      <c r="I1672">
        <v>251.8537</v>
      </c>
      <c r="J1672">
        <v>-490.45749999999998</v>
      </c>
      <c r="K1672">
        <v>1.118047</v>
      </c>
      <c r="L1672">
        <v>266.49349999999998</v>
      </c>
      <c r="M1672">
        <v>-0.29515619999999998</v>
      </c>
      <c r="N1672">
        <v>0</v>
      </c>
      <c r="O1672">
        <v>-0.95534949999999996</v>
      </c>
      <c r="P1672">
        <v>-9.1106969999999995E-2</v>
      </c>
      <c r="Q1672">
        <v>4.2466129999999998E-2</v>
      </c>
      <c r="R1672">
        <v>-0.99493540000000003</v>
      </c>
      <c r="S1672">
        <v>-8.3984379999999997E-2</v>
      </c>
      <c r="T1672">
        <v>-0.2253619</v>
      </c>
      <c r="U1672">
        <v>-3.0193479999999999</v>
      </c>
      <c r="V1672">
        <v>-0.20846139999999999</v>
      </c>
      <c r="W1672">
        <v>4.8720920000000001E-2</v>
      </c>
      <c r="X1672">
        <v>0.97681629999999997</v>
      </c>
      <c r="Y1672">
        <v>-0.26855659999999998</v>
      </c>
      <c r="Z1672">
        <v>6.8088759999999998E-2</v>
      </c>
      <c r="AA1672">
        <v>0.96085449999999994</v>
      </c>
      <c r="AB1672">
        <v>35</v>
      </c>
      <c r="AC1672">
        <v>-0.31670000000002502</v>
      </c>
      <c r="AD1672">
        <v>-1.118048177498</v>
      </c>
      <c r="AE1672">
        <v>-14.6397999999999</v>
      </c>
      <c r="AF1672">
        <v>-3.995557686388</v>
      </c>
      <c r="AG1672">
        <v>-1.118048177498</v>
      </c>
      <c r="AH1672">
        <v>13.999328253365601</v>
      </c>
      <c r="AI1672">
        <v>94.391564249519107</v>
      </c>
      <c r="AJ1672">
        <v>105.9293117241</v>
      </c>
      <c r="AK1672">
        <v>14.601222705579801</v>
      </c>
      <c r="AL1672">
        <v>87.207391304746693</v>
      </c>
      <c r="AM1672">
        <v>102.046722314429</v>
      </c>
      <c r="AN1672">
        <v>0.99999998364064802</v>
      </c>
    </row>
    <row r="1673" spans="1:40" x14ac:dyDescent="0.3">
      <c r="A1673" t="str">
        <f>"20200111153905629"</f>
        <v>20200111153905629</v>
      </c>
      <c r="B1673" t="str">
        <f>"1578728345621863"</f>
        <v>1578728345621863</v>
      </c>
      <c r="C1673" t="s">
        <v>40</v>
      </c>
      <c r="D1673">
        <v>5.0244390000000001</v>
      </c>
      <c r="E1673">
        <v>0.4728501</v>
      </c>
      <c r="F1673" t="s">
        <v>42</v>
      </c>
      <c r="G1673">
        <v>-490.75880000000001</v>
      </c>
      <c r="H1673" s="1">
        <v>-9.9801280000000007E-7</v>
      </c>
      <c r="I1673">
        <v>251.44489999999999</v>
      </c>
      <c r="J1673">
        <v>-490.5496</v>
      </c>
      <c r="K1673">
        <v>1.117712</v>
      </c>
      <c r="L1673">
        <v>266.15969999999999</v>
      </c>
      <c r="M1673">
        <v>-0.28181009999999901</v>
      </c>
      <c r="N1673">
        <v>0</v>
      </c>
      <c r="O1673">
        <v>-0.95937810000000001</v>
      </c>
      <c r="P1673">
        <v>-8.0391660000000004E-2</v>
      </c>
      <c r="Q1673">
        <v>4.3803920000000003E-2</v>
      </c>
      <c r="R1673">
        <v>-0.99580060000000004</v>
      </c>
      <c r="S1673">
        <v>-6.045532E-2</v>
      </c>
      <c r="T1673">
        <v>-0.22431960000000001</v>
      </c>
      <c r="U1673">
        <v>-3.0192869999999998</v>
      </c>
      <c r="V1673">
        <v>-0.2053333</v>
      </c>
      <c r="W1673">
        <v>4.9851550000000001E-2</v>
      </c>
      <c r="X1673">
        <v>0.9774216</v>
      </c>
      <c r="Y1673">
        <v>-0.2626058</v>
      </c>
      <c r="Z1673">
        <v>6.8287790000000001E-2</v>
      </c>
      <c r="AA1673">
        <v>0.9624838</v>
      </c>
      <c r="AB1673">
        <v>35</v>
      </c>
      <c r="AC1673">
        <v>-0.20920000000000899</v>
      </c>
      <c r="AD1673">
        <v>-1.1177129980128</v>
      </c>
      <c r="AE1673">
        <v>-14.714799999999901</v>
      </c>
      <c r="AF1673">
        <v>-3.9237916449031198</v>
      </c>
      <c r="AG1673">
        <v>-1.1177129980128</v>
      </c>
      <c r="AH1673">
        <v>14.0959516365035</v>
      </c>
      <c r="AI1673">
        <v>94.368276386634506</v>
      </c>
      <c r="AJ1673">
        <v>105.55523612176999</v>
      </c>
      <c r="AK1673">
        <v>14.6745110909081</v>
      </c>
      <c r="AL1673">
        <v>87.142532089287201</v>
      </c>
      <c r="AM1673">
        <v>101.863976560504</v>
      </c>
      <c r="AN1673">
        <v>0.99999996263642499</v>
      </c>
    </row>
    <row r="1674" spans="1:40" x14ac:dyDescent="0.3">
      <c r="A1674" t="str">
        <f>"20200111153905652"</f>
        <v>20200111153905652</v>
      </c>
      <c r="B1674" t="str">
        <f>"1578728345642185"</f>
        <v>1578728345642185</v>
      </c>
      <c r="C1674" t="s">
        <v>40</v>
      </c>
      <c r="D1674">
        <v>5.0798750000000004</v>
      </c>
      <c r="E1674">
        <v>0.47395480000000001</v>
      </c>
      <c r="F1674" t="s">
        <v>42</v>
      </c>
      <c r="G1674">
        <v>-490.7638</v>
      </c>
      <c r="H1674" s="1">
        <v>-7.3404349999999896E-7</v>
      </c>
      <c r="I1674">
        <v>250.82640000000001</v>
      </c>
      <c r="J1674">
        <v>-490.64159999999998</v>
      </c>
      <c r="K1674">
        <v>1.1173489999999999</v>
      </c>
      <c r="L1674">
        <v>265.80840000000001</v>
      </c>
      <c r="M1674">
        <v>-0.26811610000000002</v>
      </c>
      <c r="N1674">
        <v>0</v>
      </c>
      <c r="O1674">
        <v>-0.96330199999999999</v>
      </c>
      <c r="P1674">
        <v>-6.9350029999999993E-2</v>
      </c>
      <c r="Q1674">
        <v>4.5097760000000001E-2</v>
      </c>
      <c r="R1674">
        <v>-0.99657269999999998</v>
      </c>
      <c r="S1674">
        <v>-4.2175289999999997E-2</v>
      </c>
      <c r="T1674">
        <v>-0.22006120000000001</v>
      </c>
      <c r="U1674">
        <v>-3.0188899999999999</v>
      </c>
      <c r="V1674">
        <v>-0.20221130000000001</v>
      </c>
      <c r="W1674">
        <v>5.0912590000000001E-2</v>
      </c>
      <c r="X1674">
        <v>0.97801760000000004</v>
      </c>
      <c r="Y1674">
        <v>-0.2546754</v>
      </c>
      <c r="Z1674">
        <v>6.7512630000000004E-2</v>
      </c>
      <c r="AA1674">
        <v>0.96466700000000005</v>
      </c>
      <c r="AB1674">
        <v>35</v>
      </c>
      <c r="AC1674">
        <v>-0.12220000000002</v>
      </c>
      <c r="AD1674">
        <v>-1.1173497340434999</v>
      </c>
      <c r="AE1674">
        <v>-14.981999999999999</v>
      </c>
      <c r="AF1674">
        <v>-3.8779496531802402</v>
      </c>
      <c r="AG1674">
        <v>-1.1173497340434999</v>
      </c>
      <c r="AH1674">
        <v>14.3861217853739</v>
      </c>
      <c r="AI1674">
        <v>94.288684648162103</v>
      </c>
      <c r="AJ1674">
        <v>105.086174328217</v>
      </c>
      <c r="AK1674">
        <v>14.941467932046599</v>
      </c>
      <c r="AL1674">
        <v>87.0816616692031</v>
      </c>
      <c r="AM1674">
        <v>101.681662974831</v>
      </c>
      <c r="AN1674">
        <v>0.99999996378897804</v>
      </c>
    </row>
    <row r="1675" spans="1:40" x14ac:dyDescent="0.3">
      <c r="A1675" t="str">
        <f>"20200111153905673"</f>
        <v>20200111153905673</v>
      </c>
      <c r="B1675" t="str">
        <f>"1578728345662680"</f>
        <v>1578728345662680</v>
      </c>
      <c r="C1675" t="s">
        <v>40</v>
      </c>
      <c r="D1675">
        <v>5.1407970000000001</v>
      </c>
      <c r="E1675">
        <v>0.48060629999999999</v>
      </c>
      <c r="F1675" t="s">
        <v>42</v>
      </c>
      <c r="G1675">
        <v>-490.73399999999998</v>
      </c>
      <c r="H1675" s="1">
        <v>-4.05457E-7</v>
      </c>
      <c r="I1675">
        <v>250.07900000000001</v>
      </c>
      <c r="J1675">
        <v>-490.72</v>
      </c>
      <c r="K1675">
        <v>1.1170070000000001</v>
      </c>
      <c r="L1675">
        <v>265.49220000000003</v>
      </c>
      <c r="M1675">
        <v>-0.25612089999999998</v>
      </c>
      <c r="N1675">
        <v>0</v>
      </c>
      <c r="O1675">
        <v>-0.96656660000000005</v>
      </c>
      <c r="P1675">
        <v>-6.0957650000000002E-2</v>
      </c>
      <c r="Q1675">
        <v>4.5583699999999998E-2</v>
      </c>
      <c r="R1675">
        <v>-0.99709899999999996</v>
      </c>
      <c r="S1675">
        <v>-1.773071E-2</v>
      </c>
      <c r="T1675">
        <v>-0.21444240000000001</v>
      </c>
      <c r="U1675">
        <v>-3.018799</v>
      </c>
      <c r="V1675">
        <v>-0.19824159999999999</v>
      </c>
      <c r="W1675">
        <v>5.1215469999999999E-2</v>
      </c>
      <c r="X1675">
        <v>0.97881419999999997</v>
      </c>
      <c r="Y1675">
        <v>-0.2504613</v>
      </c>
      <c r="Z1675">
        <v>6.6185469999999996E-2</v>
      </c>
      <c r="AA1675">
        <v>0.96586159999999999</v>
      </c>
      <c r="AB1675">
        <v>35</v>
      </c>
      <c r="AC1675">
        <v>-1.4000000000009999E-2</v>
      </c>
      <c r="AD1675">
        <v>-1.1170074054569901</v>
      </c>
      <c r="AE1675">
        <v>-15.4132</v>
      </c>
      <c r="AF1675">
        <v>-3.9138523453273799</v>
      </c>
      <c r="AG1675">
        <v>-1.1170074054569901</v>
      </c>
      <c r="AH1675">
        <v>14.824736122984801</v>
      </c>
      <c r="AI1675">
        <v>94.166717835947395</v>
      </c>
      <c r="AJ1675">
        <v>104.789118438716</v>
      </c>
      <c r="AK1675">
        <v>15.373312812826001</v>
      </c>
      <c r="AL1675">
        <v>87.064285351470303</v>
      </c>
      <c r="AM1675">
        <v>101.44938012497801</v>
      </c>
      <c r="AN1675">
        <v>0.99999999722975996</v>
      </c>
    </row>
    <row r="1676" spans="1:40" x14ac:dyDescent="0.3">
      <c r="A1676" t="str">
        <f>"20200111153905697"</f>
        <v>20200111153905697</v>
      </c>
      <c r="B1676" t="str">
        <f>"1578728345691957"</f>
        <v>1578728345691957</v>
      </c>
      <c r="C1676" t="s">
        <v>40</v>
      </c>
      <c r="D1676">
        <v>5.1756589999999996</v>
      </c>
      <c r="E1676">
        <v>0.4820777</v>
      </c>
      <c r="F1676" t="s">
        <v>42</v>
      </c>
      <c r="G1676">
        <v>-490.96769999999998</v>
      </c>
      <c r="H1676" s="1">
        <v>-4.1409840000000002E-6</v>
      </c>
      <c r="I1676">
        <v>248.6508</v>
      </c>
      <c r="J1676">
        <v>-490.80450000000002</v>
      </c>
      <c r="K1676">
        <v>1.1166130000000001</v>
      </c>
      <c r="L1676">
        <v>265.13189999999997</v>
      </c>
      <c r="M1676">
        <v>-0.2428563</v>
      </c>
      <c r="N1676">
        <v>0</v>
      </c>
      <c r="O1676">
        <v>-0.96999139999999995</v>
      </c>
      <c r="P1676">
        <v>-5.1324210000000002E-2</v>
      </c>
      <c r="Q1676">
        <v>4.5514550000000001E-2</v>
      </c>
      <c r="R1676">
        <v>-0.99764430000000004</v>
      </c>
      <c r="S1676">
        <v>-4.4342039999999999E-2</v>
      </c>
      <c r="T1676">
        <v>-0.19998009999999999</v>
      </c>
      <c r="U1676">
        <v>-3.0151370000000002</v>
      </c>
      <c r="V1676">
        <v>-0.19422120000000001</v>
      </c>
      <c r="W1676">
        <v>5.0905449999999998E-2</v>
      </c>
      <c r="X1676">
        <v>0.97963599999999995</v>
      </c>
      <c r="Y1676">
        <v>-0.22860449999999999</v>
      </c>
      <c r="Z1676">
        <v>6.2332119999999998E-2</v>
      </c>
      <c r="AA1676">
        <v>0.97152190000000005</v>
      </c>
      <c r="AB1676">
        <v>35</v>
      </c>
      <c r="AC1676">
        <v>-0.16319999999995999</v>
      </c>
      <c r="AD1676">
        <v>-1.11661714098399</v>
      </c>
      <c r="AE1676">
        <v>-16.481099999999898</v>
      </c>
      <c r="AF1676">
        <v>-3.8269358269026998</v>
      </c>
      <c r="AG1676">
        <v>-1.11661714098399</v>
      </c>
      <c r="AH1676">
        <v>15.9540355280588</v>
      </c>
      <c r="AI1676">
        <v>93.893489322836004</v>
      </c>
      <c r="AJ1676">
        <v>103.488830621443</v>
      </c>
      <c r="AK1676">
        <v>16.444559017904101</v>
      </c>
      <c r="AL1676">
        <v>87.082071298504104</v>
      </c>
      <c r="AM1676">
        <v>101.21395956792701</v>
      </c>
      <c r="AN1676">
        <v>0.99999996593257001</v>
      </c>
    </row>
    <row r="1677" spans="1:40" x14ac:dyDescent="0.3">
      <c r="A1677" t="str">
        <f>"20200111153905718"</f>
        <v>20200111153905718</v>
      </c>
      <c r="B1677" t="str">
        <f>"1578728345712454"</f>
        <v>1578728345712454</v>
      </c>
      <c r="C1677" t="s">
        <v>40</v>
      </c>
      <c r="D1677">
        <v>5.1015459999999999</v>
      </c>
      <c r="E1677">
        <v>0.48283340000000002</v>
      </c>
      <c r="F1677" t="s">
        <v>42</v>
      </c>
      <c r="G1677">
        <v>-490.94889999999998</v>
      </c>
      <c r="H1677" s="1">
        <v>-4.3440159999999998E-6</v>
      </c>
      <c r="I1677">
        <v>249.25720000000001</v>
      </c>
      <c r="J1677">
        <v>-490.87700000000001</v>
      </c>
      <c r="K1677">
        <v>1.1162669999999999</v>
      </c>
      <c r="L1677">
        <v>264.80590000000001</v>
      </c>
      <c r="M1677">
        <v>-0.2312128</v>
      </c>
      <c r="N1677">
        <v>0</v>
      </c>
      <c r="O1677">
        <v>-0.97283839999999999</v>
      </c>
      <c r="P1677">
        <v>-4.3107529999999998E-2</v>
      </c>
      <c r="Q1677">
        <v>4.4956179999999998E-2</v>
      </c>
      <c r="R1677">
        <v>-0.99805869999999997</v>
      </c>
      <c r="S1677">
        <v>-2.7435299999999999E-2</v>
      </c>
      <c r="T1677">
        <v>-0.21210029999999999</v>
      </c>
      <c r="U1677">
        <v>-3.0153810000000001</v>
      </c>
      <c r="V1677">
        <v>-0.19047900000000001</v>
      </c>
      <c r="W1677">
        <v>5.0134919999999999E-2</v>
      </c>
      <c r="X1677">
        <v>0.98041020000000001</v>
      </c>
      <c r="Y1677">
        <v>-0.22237970000000001</v>
      </c>
      <c r="Z1677">
        <v>6.6437389999999999E-2</v>
      </c>
      <c r="AA1677">
        <v>0.9726939</v>
      </c>
      <c r="AB1677">
        <v>36</v>
      </c>
      <c r="AC1677">
        <v>-7.1900000000027803E-2</v>
      </c>
      <c r="AD1677">
        <v>-1.1162713440159999</v>
      </c>
      <c r="AE1677">
        <v>-15.548699999999901</v>
      </c>
      <c r="AF1677">
        <v>-3.5072573337462898</v>
      </c>
      <c r="AG1677">
        <v>-1.1162713440159999</v>
      </c>
      <c r="AH1677">
        <v>15.066300103886901</v>
      </c>
      <c r="AI1677">
        <v>94.127377052690505</v>
      </c>
      <c r="AJ1677">
        <v>103.10439923247201</v>
      </c>
      <c r="AK1677">
        <v>15.5093621577089</v>
      </c>
      <c r="AL1677">
        <v>87.126275848366802</v>
      </c>
      <c r="AM1677">
        <v>100.99473815411299</v>
      </c>
      <c r="AN1677">
        <v>0.99999995995422197</v>
      </c>
    </row>
    <row r="1678" spans="1:40" x14ac:dyDescent="0.3">
      <c r="A1678" t="str">
        <f>"20200111153905742"</f>
        <v>20200111153905742</v>
      </c>
      <c r="B1678" t="str">
        <f>"1578728345732274"</f>
        <v>1578728345732274</v>
      </c>
      <c r="C1678" t="s">
        <v>40</v>
      </c>
      <c r="D1678">
        <v>5.1353859999999996</v>
      </c>
      <c r="E1678">
        <v>0.48161709999999902</v>
      </c>
      <c r="F1678" t="s">
        <v>42</v>
      </c>
      <c r="G1678">
        <v>-490.92329999999998</v>
      </c>
      <c r="H1678" s="1">
        <v>-4.3494040000000003E-6</v>
      </c>
      <c r="I1678">
        <v>249.28639999999999</v>
      </c>
      <c r="J1678">
        <v>-490.95249999999999</v>
      </c>
      <c r="K1678">
        <v>1.115917</v>
      </c>
      <c r="L1678">
        <v>264.44560000000001</v>
      </c>
      <c r="M1678">
        <v>-0.2187124</v>
      </c>
      <c r="N1678">
        <v>0</v>
      </c>
      <c r="O1678">
        <v>-0.9757306</v>
      </c>
      <c r="P1678">
        <v>-3.3758820000000002E-2</v>
      </c>
      <c r="Q1678">
        <v>4.386694E-2</v>
      </c>
      <c r="R1678">
        <v>-0.99846710000000005</v>
      </c>
      <c r="S1678">
        <v>-9.0026859999999993E-3</v>
      </c>
      <c r="T1678">
        <v>-0.21687670000000001</v>
      </c>
      <c r="U1678">
        <v>-3.015228</v>
      </c>
      <c r="V1678">
        <v>-0.18700359999999999</v>
      </c>
      <c r="W1678">
        <v>4.8800459999999997E-2</v>
      </c>
      <c r="X1678">
        <v>0.98114630000000003</v>
      </c>
      <c r="Y1678">
        <v>-0.215811</v>
      </c>
      <c r="Z1678">
        <v>6.8293209999999993E-2</v>
      </c>
      <c r="AA1678">
        <v>0.97404400000000002</v>
      </c>
      <c r="AB1678">
        <v>36</v>
      </c>
      <c r="AC1678">
        <v>2.9200000000002901E-2</v>
      </c>
      <c r="AD1678">
        <v>-1.1159213494039999</v>
      </c>
      <c r="AE1678">
        <v>-15.1592</v>
      </c>
      <c r="AF1678">
        <v>-3.3261638860605598</v>
      </c>
      <c r="AG1678">
        <v>-1.1159213494039999</v>
      </c>
      <c r="AH1678">
        <v>14.7060657253913</v>
      </c>
      <c r="AI1678">
        <v>94.232871327905798</v>
      </c>
      <c r="AJ1678">
        <v>102.744518075408</v>
      </c>
      <c r="AK1678">
        <v>15.1187636986137</v>
      </c>
      <c r="AL1678">
        <v>87.202828467417703</v>
      </c>
      <c r="AM1678">
        <v>100.790980559079</v>
      </c>
      <c r="AN1678">
        <v>0.999999946656429</v>
      </c>
    </row>
    <row r="1679" spans="1:40" x14ac:dyDescent="0.3">
      <c r="A1679" t="str">
        <f>"20200111153905765"</f>
        <v>20200111153905765</v>
      </c>
      <c r="B1679" t="str">
        <f>"1578728345762530"</f>
        <v>1578728345762530</v>
      </c>
      <c r="C1679" t="s">
        <v>40</v>
      </c>
      <c r="D1679">
        <v>5.1316050000000004</v>
      </c>
      <c r="E1679">
        <v>0.47961910000000002</v>
      </c>
      <c r="F1679" t="s">
        <v>42</v>
      </c>
      <c r="G1679">
        <v>-490.81020000000001</v>
      </c>
      <c r="H1679" s="1">
        <v>-4.3821300000000003E-6</v>
      </c>
      <c r="I1679">
        <v>249.44149999999999</v>
      </c>
      <c r="J1679">
        <v>-491.02409999999998</v>
      </c>
      <c r="K1679">
        <v>1.115591</v>
      </c>
      <c r="L1679">
        <v>264.08280000000002</v>
      </c>
      <c r="M1679">
        <v>-0.2064879</v>
      </c>
      <c r="N1679">
        <v>0</v>
      </c>
      <c r="O1679">
        <v>-0.97839560000000003</v>
      </c>
      <c r="P1679">
        <v>-2.461584E-2</v>
      </c>
      <c r="Q1679">
        <v>4.3178349999999997E-2</v>
      </c>
      <c r="R1679">
        <v>-0.99876450000000006</v>
      </c>
      <c r="S1679">
        <v>2.8594970000000001E-2</v>
      </c>
      <c r="T1679">
        <v>-0.2242702</v>
      </c>
      <c r="U1679">
        <v>-3.0154109999999998</v>
      </c>
      <c r="V1679">
        <v>-0.183647</v>
      </c>
      <c r="W1679">
        <v>4.7869330000000002E-2</v>
      </c>
      <c r="X1679">
        <v>0.98182599999999998</v>
      </c>
      <c r="Y1679">
        <v>-0.21573639999999999</v>
      </c>
      <c r="Z1679">
        <v>7.0898329999999996E-2</v>
      </c>
      <c r="AA1679">
        <v>0.97387429999999997</v>
      </c>
      <c r="AB1679">
        <v>36</v>
      </c>
      <c r="AC1679">
        <v>0.21389999999996601</v>
      </c>
      <c r="AD1679">
        <v>-1.11559538213</v>
      </c>
      <c r="AE1679">
        <v>-14.641299999999999</v>
      </c>
      <c r="AF1679">
        <v>-3.2140437298145699</v>
      </c>
      <c r="AG1679">
        <v>-1.11559538213</v>
      </c>
      <c r="AH1679">
        <v>14.1991457852426</v>
      </c>
      <c r="AI1679">
        <v>94.3819660209207</v>
      </c>
      <c r="AJ1679">
        <v>102.75424184282799</v>
      </c>
      <c r="AK1679">
        <v>14.601040072007301</v>
      </c>
      <c r="AL1679">
        <v>87.256240849892095</v>
      </c>
      <c r="AM1679">
        <v>100.594545451036</v>
      </c>
      <c r="AN1679">
        <v>0.99999999381982396</v>
      </c>
    </row>
    <row r="1680" spans="1:40" x14ac:dyDescent="0.3">
      <c r="A1680" t="str">
        <f>"20200111153905786"</f>
        <v>20200111153905786</v>
      </c>
      <c r="B1680" t="str">
        <f>"1578728345782051"</f>
        <v>1578728345782051</v>
      </c>
      <c r="C1680" t="s">
        <v>40</v>
      </c>
      <c r="D1680">
        <v>5.1709430000000003</v>
      </c>
      <c r="E1680">
        <v>0.47946519999999998</v>
      </c>
      <c r="F1680" t="s">
        <v>42</v>
      </c>
      <c r="G1680">
        <v>-490.65820000000002</v>
      </c>
      <c r="H1680" s="1">
        <v>-4.1113069999999999E-6</v>
      </c>
      <c r="I1680">
        <v>248.76439999999999</v>
      </c>
      <c r="J1680">
        <v>-491.08449999999999</v>
      </c>
      <c r="K1680">
        <v>1.115307</v>
      </c>
      <c r="L1680">
        <v>263.7586</v>
      </c>
      <c r="M1680">
        <v>-0.19587779999999999</v>
      </c>
      <c r="N1680">
        <v>0</v>
      </c>
      <c r="O1680">
        <v>-0.98057910000000004</v>
      </c>
      <c r="P1680">
        <v>-1.717436E-2</v>
      </c>
      <c r="Q1680">
        <v>4.1865300000000001E-2</v>
      </c>
      <c r="R1680">
        <v>-0.99897559999999996</v>
      </c>
      <c r="S1680">
        <v>7.2021479999999999E-2</v>
      </c>
      <c r="T1680">
        <v>-0.21957280000000001</v>
      </c>
      <c r="U1680">
        <v>-3.0149840000000001</v>
      </c>
      <c r="V1680">
        <v>-0.180257</v>
      </c>
      <c r="W1680">
        <v>4.6356090000000003E-2</v>
      </c>
      <c r="X1680">
        <v>0.98252660000000003</v>
      </c>
      <c r="Y1680">
        <v>-0.2191844</v>
      </c>
      <c r="Z1680">
        <v>6.9631009999999993E-2</v>
      </c>
      <c r="AA1680">
        <v>0.97319560000000005</v>
      </c>
      <c r="AB1680">
        <v>36</v>
      </c>
      <c r="AC1680">
        <v>0.42629999999996898</v>
      </c>
      <c r="AD1680">
        <v>-1.115311111307</v>
      </c>
      <c r="AE1680">
        <v>-14.994199999999999</v>
      </c>
      <c r="AF1680">
        <v>-3.3367669252425598</v>
      </c>
      <c r="AG1680">
        <v>-1.115311111307</v>
      </c>
      <c r="AH1680">
        <v>14.539820956655401</v>
      </c>
      <c r="AI1680">
        <v>94.2756977139273</v>
      </c>
      <c r="AJ1680">
        <v>102.925096344087</v>
      </c>
      <c r="AK1680">
        <v>14.959422643939</v>
      </c>
      <c r="AL1680">
        <v>87.343039514060393</v>
      </c>
      <c r="AM1680">
        <v>100.396029752198</v>
      </c>
      <c r="AN1680">
        <v>0.99999999641832304</v>
      </c>
    </row>
    <row r="1681" spans="1:40" x14ac:dyDescent="0.3">
      <c r="A1681" t="str">
        <f>"20200111153905810"</f>
        <v>20200111153905810</v>
      </c>
      <c r="B1681" t="str">
        <f>"1578728345802547"</f>
        <v>1578728345802547</v>
      </c>
      <c r="C1681" t="s">
        <v>40</v>
      </c>
      <c r="D1681">
        <v>5.1358649999999999</v>
      </c>
      <c r="E1681">
        <v>0.47964889999999999</v>
      </c>
      <c r="F1681" t="s">
        <v>42</v>
      </c>
      <c r="G1681">
        <v>-490.596</v>
      </c>
      <c r="H1681" s="1">
        <v>-3.9323630000000003E-6</v>
      </c>
      <c r="I1681">
        <v>248.38589999999999</v>
      </c>
      <c r="J1681">
        <v>-491.15100000000001</v>
      </c>
      <c r="K1681">
        <v>1.1149819999999999</v>
      </c>
      <c r="L1681">
        <v>263.37830000000002</v>
      </c>
      <c r="M1681">
        <v>-0.1838071</v>
      </c>
      <c r="N1681">
        <v>0</v>
      </c>
      <c r="O1681">
        <v>-0.98291810000000002</v>
      </c>
      <c r="P1681">
        <v>-7.8867920000000001E-3</v>
      </c>
      <c r="Q1681">
        <v>4.0579629999999998E-2</v>
      </c>
      <c r="R1681">
        <v>-0.99914530000000001</v>
      </c>
      <c r="S1681">
        <v>9.5764160000000001E-2</v>
      </c>
      <c r="T1681">
        <v>-0.21866340000000001</v>
      </c>
      <c r="U1681">
        <v>-3.013916</v>
      </c>
      <c r="V1681">
        <v>-0.17723699999999901</v>
      </c>
      <c r="W1681">
        <v>4.481371E-2</v>
      </c>
      <c r="X1681">
        <v>0.9831474</v>
      </c>
      <c r="Y1681">
        <v>-0.2148552</v>
      </c>
      <c r="Z1681">
        <v>6.9648680000000004E-2</v>
      </c>
      <c r="AA1681">
        <v>0.97415929999999995</v>
      </c>
      <c r="AB1681">
        <v>36</v>
      </c>
      <c r="AC1681">
        <v>0.55500000000000604</v>
      </c>
      <c r="AD1681">
        <v>-1.11498593236299</v>
      </c>
      <c r="AE1681">
        <v>-14.9924</v>
      </c>
      <c r="AF1681">
        <v>-3.2832382180325999</v>
      </c>
      <c r="AG1681">
        <v>-1.11498593236299</v>
      </c>
      <c r="AH1681">
        <v>14.5545350794758</v>
      </c>
      <c r="AI1681">
        <v>94.273750356896599</v>
      </c>
      <c r="AJ1681">
        <v>102.712107955832</v>
      </c>
      <c r="AK1681">
        <v>14.961862791959099</v>
      </c>
      <c r="AL1681">
        <v>87.431503400076195</v>
      </c>
      <c r="AM1681">
        <v>100.21924062839599</v>
      </c>
      <c r="AN1681">
        <v>1.0000000164498599</v>
      </c>
    </row>
    <row r="1682" spans="1:40" x14ac:dyDescent="0.3">
      <c r="A1682" t="str">
        <f>"20200111153905831"</f>
        <v>20200111153905831</v>
      </c>
      <c r="B1682" t="str">
        <f>"1578728345822065"</f>
        <v>1578728345822065</v>
      </c>
      <c r="C1682" t="s">
        <v>40</v>
      </c>
      <c r="D1682">
        <v>5.1246070000000001</v>
      </c>
      <c r="E1682">
        <v>0.47982750000000002</v>
      </c>
      <c r="F1682" t="s">
        <v>42</v>
      </c>
      <c r="G1682">
        <v>-490.52679999999998</v>
      </c>
      <c r="H1682" s="1">
        <v>-3.7635189999999999E-6</v>
      </c>
      <c r="I1682">
        <v>248.0352</v>
      </c>
      <c r="J1682">
        <v>-491.20609999999999</v>
      </c>
      <c r="K1682">
        <v>1.114698</v>
      </c>
      <c r="L1682">
        <v>263.04259999999999</v>
      </c>
      <c r="M1682">
        <v>-0.17350019999999999</v>
      </c>
      <c r="N1682">
        <v>0</v>
      </c>
      <c r="O1682">
        <v>-0.98479329999999998</v>
      </c>
      <c r="P1682">
        <v>-1.9161220000000001E-4</v>
      </c>
      <c r="Q1682">
        <v>4.0047939999999997E-2</v>
      </c>
      <c r="R1682">
        <v>-0.99919780000000002</v>
      </c>
      <c r="S1682">
        <v>0.1225586</v>
      </c>
      <c r="T1682">
        <v>-0.21891360000000001</v>
      </c>
      <c r="U1682">
        <v>-3.0124209999999998</v>
      </c>
      <c r="V1682">
        <v>-0.1744578</v>
      </c>
      <c r="W1682">
        <v>4.406438E-2</v>
      </c>
      <c r="X1682">
        <v>0.98367819999999995</v>
      </c>
      <c r="Y1682">
        <v>-0.21329149999999999</v>
      </c>
      <c r="Z1682">
        <v>6.996666E-2</v>
      </c>
      <c r="AA1682">
        <v>0.97448009999999996</v>
      </c>
      <c r="AB1682">
        <v>36</v>
      </c>
      <c r="AC1682">
        <v>0.67930000000001201</v>
      </c>
      <c r="AD1682">
        <v>-1.114701763519</v>
      </c>
      <c r="AE1682">
        <v>-15.007399999999899</v>
      </c>
      <c r="AF1682">
        <v>-3.2549665648449801</v>
      </c>
      <c r="AG1682">
        <v>-1.114701763519</v>
      </c>
      <c r="AH1682">
        <v>14.581630565848901</v>
      </c>
      <c r="AI1682">
        <v>94.266896152205703</v>
      </c>
      <c r="AJ1682">
        <v>102.583480176724</v>
      </c>
      <c r="AK1682">
        <v>14.9820331503688</v>
      </c>
      <c r="AL1682">
        <v>87.474479254596204</v>
      </c>
      <c r="AM1682">
        <v>100.05697682758</v>
      </c>
      <c r="AN1682">
        <v>0.99999999736043199</v>
      </c>
    </row>
    <row r="1683" spans="1:40" x14ac:dyDescent="0.3">
      <c r="A1683" t="str">
        <f>"20200111153905854"</f>
        <v>20200111153905854</v>
      </c>
      <c r="B1683" t="str">
        <f>"1578728345852657"</f>
        <v>1578728345852657</v>
      </c>
      <c r="C1683" t="s">
        <v>40</v>
      </c>
      <c r="D1683">
        <v>5.1205889999999998</v>
      </c>
      <c r="E1683">
        <v>0.48039169999999998</v>
      </c>
      <c r="F1683" t="s">
        <v>42</v>
      </c>
      <c r="G1683">
        <v>-490.47</v>
      </c>
      <c r="H1683" s="1">
        <v>-3.5922250000000002E-6</v>
      </c>
      <c r="I1683">
        <v>247.6711</v>
      </c>
      <c r="J1683">
        <v>-491.26280000000003</v>
      </c>
      <c r="K1683">
        <v>1.114392</v>
      </c>
      <c r="L1683">
        <v>262.67410000000001</v>
      </c>
      <c r="M1683">
        <v>-0.16254250000000001</v>
      </c>
      <c r="N1683">
        <v>0</v>
      </c>
      <c r="O1683">
        <v>-0.98666480000000001</v>
      </c>
      <c r="P1683">
        <v>8.6883359999999996E-3</v>
      </c>
      <c r="Q1683">
        <v>4.0339449999999999E-2</v>
      </c>
      <c r="R1683">
        <v>-0.99914829999999999</v>
      </c>
      <c r="S1683">
        <v>0.14419560000000001</v>
      </c>
      <c r="T1683">
        <v>-0.2183629</v>
      </c>
      <c r="U1683">
        <v>-3.0111690000000002</v>
      </c>
      <c r="V1683">
        <v>-0.17222770000000001</v>
      </c>
      <c r="W1683">
        <v>4.4104869999999997E-2</v>
      </c>
      <c r="X1683">
        <v>0.98406930000000004</v>
      </c>
      <c r="Y1683">
        <v>-0.20943439999999999</v>
      </c>
      <c r="Z1683">
        <v>7.0041919999999994E-2</v>
      </c>
      <c r="AA1683">
        <v>0.97531089999999998</v>
      </c>
      <c r="AB1683">
        <v>36</v>
      </c>
      <c r="AC1683">
        <v>0.79279999999999895</v>
      </c>
      <c r="AD1683">
        <v>-1.114395592225</v>
      </c>
      <c r="AE1683">
        <v>-15.003</v>
      </c>
      <c r="AF1683">
        <v>-3.2033453175963</v>
      </c>
      <c r="AG1683">
        <v>-1.114395592225</v>
      </c>
      <c r="AH1683">
        <v>14.594304135687601</v>
      </c>
      <c r="AI1683">
        <v>94.265382245334493</v>
      </c>
      <c r="AJ1683">
        <v>102.37969914357799</v>
      </c>
      <c r="AK1683">
        <v>14.98322435141</v>
      </c>
      <c r="AL1683">
        <v>87.472157106916001</v>
      </c>
      <c r="AM1683">
        <v>99.927125244848298</v>
      </c>
      <c r="AN1683">
        <v>1.00000000370374</v>
      </c>
    </row>
    <row r="1684" spans="1:40" x14ac:dyDescent="0.3">
      <c r="A1684" t="str">
        <f>"20200111153905874"</f>
        <v>20200111153905874</v>
      </c>
      <c r="B1684" t="str">
        <f>"1578728345872177"</f>
        <v>1578728345872177</v>
      </c>
      <c r="C1684" t="s">
        <v>40</v>
      </c>
      <c r="D1684">
        <v>5.145391</v>
      </c>
      <c r="E1684">
        <v>0.48089310000000002</v>
      </c>
      <c r="F1684" t="s">
        <v>42</v>
      </c>
      <c r="G1684">
        <v>-490.39710000000002</v>
      </c>
      <c r="H1684" s="1">
        <v>-3.3201499999999999E-6</v>
      </c>
      <c r="I1684">
        <v>247.0822</v>
      </c>
      <c r="J1684">
        <v>-491.30849999999998</v>
      </c>
      <c r="K1684">
        <v>1.1141299999999901</v>
      </c>
      <c r="L1684">
        <v>262.35579999999999</v>
      </c>
      <c r="M1684">
        <v>-0.1533996</v>
      </c>
      <c r="N1684">
        <v>0</v>
      </c>
      <c r="O1684">
        <v>-0.98813070000000003</v>
      </c>
      <c r="P1684">
        <v>1.6168040000000002E-2</v>
      </c>
      <c r="Q1684">
        <v>4.0310810000000002E-2</v>
      </c>
      <c r="R1684">
        <v>-0.99905650000000001</v>
      </c>
      <c r="S1684">
        <v>0.16711429999999999</v>
      </c>
      <c r="T1684">
        <v>-0.21511749999999999</v>
      </c>
      <c r="U1684">
        <v>-3.0097960000000001</v>
      </c>
      <c r="V1684">
        <v>-0.1704456</v>
      </c>
      <c r="W1684">
        <v>4.3869070000000003E-2</v>
      </c>
      <c r="X1684">
        <v>0.98439010000000005</v>
      </c>
      <c r="Y1684">
        <v>-0.20781189999999999</v>
      </c>
      <c r="Z1684">
        <v>6.9192519999999993E-2</v>
      </c>
      <c r="AA1684">
        <v>0.97571850000000004</v>
      </c>
      <c r="AB1684">
        <v>36</v>
      </c>
      <c r="AC1684">
        <v>0.91139999999995702</v>
      </c>
      <c r="AD1684">
        <v>-1.1141333201500001</v>
      </c>
      <c r="AE1684">
        <v>-15.273599999999901</v>
      </c>
      <c r="AF1684">
        <v>-3.2265464812107498</v>
      </c>
      <c r="AG1684">
        <v>-1.1141333201500001</v>
      </c>
      <c r="AH1684">
        <v>14.8741360867957</v>
      </c>
      <c r="AI1684">
        <v>94.186674779915293</v>
      </c>
      <c r="AJ1684">
        <v>102.239165868189</v>
      </c>
      <c r="AK1684">
        <v>15.2607935435547</v>
      </c>
      <c r="AL1684">
        <v>87.485680615737294</v>
      </c>
      <c r="AM1684">
        <v>99.823278457610897</v>
      </c>
      <c r="AN1684">
        <v>1.0000000334200101</v>
      </c>
    </row>
    <row r="1685" spans="1:40" x14ac:dyDescent="0.3">
      <c r="A1685" t="str">
        <f>"20200111153905899"</f>
        <v>20200111153905899</v>
      </c>
      <c r="B1685" t="str">
        <f>"1578728345892673"</f>
        <v>1578728345892673</v>
      </c>
      <c r="C1685" t="s">
        <v>40</v>
      </c>
      <c r="D1685">
        <v>5.1532589999999896</v>
      </c>
      <c r="E1685">
        <v>0.48785269999999997</v>
      </c>
      <c r="F1685" t="s">
        <v>42</v>
      </c>
      <c r="G1685">
        <v>-490.33539999999999</v>
      </c>
      <c r="H1685" s="1">
        <v>-3.1170060000000001E-6</v>
      </c>
      <c r="I1685">
        <v>246.64689999999999</v>
      </c>
      <c r="J1685">
        <v>-491.35820000000001</v>
      </c>
      <c r="K1685">
        <v>1.1138349999999999</v>
      </c>
      <c r="L1685">
        <v>261.98509999999999</v>
      </c>
      <c r="M1685">
        <v>-0.14311370000000001</v>
      </c>
      <c r="N1685">
        <v>0</v>
      </c>
      <c r="O1685">
        <v>-0.98967609999999995</v>
      </c>
      <c r="P1685">
        <v>2.5450380000000002E-2</v>
      </c>
      <c r="Q1685">
        <v>4.0101390000000001E-2</v>
      </c>
      <c r="R1685">
        <v>-0.99887159999999997</v>
      </c>
      <c r="S1685">
        <v>0.1863708</v>
      </c>
      <c r="T1685">
        <v>-0.21337120000000001</v>
      </c>
      <c r="U1685">
        <v>-3.0084529999999998</v>
      </c>
      <c r="V1685">
        <v>-0.1693096</v>
      </c>
      <c r="W1685">
        <v>4.3417459999999998E-2</v>
      </c>
      <c r="X1685">
        <v>0.98460610000000004</v>
      </c>
      <c r="Y1685">
        <v>-0.20388619999999999</v>
      </c>
      <c r="Z1685">
        <v>6.8843950000000001E-2</v>
      </c>
      <c r="AA1685">
        <v>0.97657099999999997</v>
      </c>
      <c r="AB1685">
        <v>36</v>
      </c>
      <c r="AC1685">
        <v>1.0228000000000099</v>
      </c>
      <c r="AD1685">
        <v>-1.1138381170059899</v>
      </c>
      <c r="AE1685">
        <v>-15.338200000000001</v>
      </c>
      <c r="AF1685">
        <v>-3.1906915049299398</v>
      </c>
      <c r="AG1685">
        <v>-1.1138381170059899</v>
      </c>
      <c r="AH1685">
        <v>14.9554043952251</v>
      </c>
      <c r="AI1685">
        <v>94.165956512749503</v>
      </c>
      <c r="AJ1685">
        <v>102.043327187842</v>
      </c>
      <c r="AK1685">
        <v>15.3324906083534</v>
      </c>
      <c r="AL1685">
        <v>87.511580542815693</v>
      </c>
      <c r="AM1685">
        <v>99.756970738689603</v>
      </c>
      <c r="AN1685">
        <v>0.99999999432110998</v>
      </c>
    </row>
    <row r="1686" spans="1:40" x14ac:dyDescent="0.3">
      <c r="A1686" t="str">
        <f>"20200111153905920"</f>
        <v>20200111153905920</v>
      </c>
      <c r="B1686" t="str">
        <f>"1578728345912193"</f>
        <v>1578728345912193</v>
      </c>
      <c r="C1686" t="s">
        <v>40</v>
      </c>
      <c r="D1686">
        <v>5.1752500000000001</v>
      </c>
      <c r="E1686">
        <v>0.4885814</v>
      </c>
      <c r="F1686" t="s">
        <v>42</v>
      </c>
      <c r="G1686">
        <v>-490.38749999999999</v>
      </c>
      <c r="H1686" s="1">
        <v>-1.881864E-6</v>
      </c>
      <c r="I1686">
        <v>243.7354</v>
      </c>
      <c r="J1686">
        <v>-491.40570000000002</v>
      </c>
      <c r="K1686">
        <v>1.113558</v>
      </c>
      <c r="L1686">
        <v>261.60140000000001</v>
      </c>
      <c r="M1686">
        <v>-0.13282169999999999</v>
      </c>
      <c r="N1686">
        <v>0</v>
      </c>
      <c r="O1686">
        <v>-0.99111249999999995</v>
      </c>
      <c r="P1686">
        <v>3.4999570000000001E-2</v>
      </c>
      <c r="Q1686">
        <v>3.9687060000000003E-2</v>
      </c>
      <c r="R1686">
        <v>-0.99859909999999996</v>
      </c>
      <c r="S1686">
        <v>0.1599121</v>
      </c>
      <c r="T1686">
        <v>-0.1835089</v>
      </c>
      <c r="U1686">
        <v>-3.0067140000000001</v>
      </c>
      <c r="V1686">
        <v>-0.1684466</v>
      </c>
      <c r="W1686">
        <v>4.2773850000000002E-2</v>
      </c>
      <c r="X1686">
        <v>0.9847823</v>
      </c>
      <c r="Y1686">
        <v>-0.18518000000000001</v>
      </c>
      <c r="Z1686">
        <v>5.9540639999999999E-2</v>
      </c>
      <c r="AA1686">
        <v>0.98089919999999997</v>
      </c>
      <c r="AB1686">
        <v>37</v>
      </c>
      <c r="AC1686">
        <v>1.01820000000003</v>
      </c>
      <c r="AD1686">
        <v>-1.113559881864</v>
      </c>
      <c r="AE1686">
        <v>-17.866</v>
      </c>
      <c r="AF1686">
        <v>-3.3691888856800398</v>
      </c>
      <c r="AG1686">
        <v>-1.113559881864</v>
      </c>
      <c r="AH1686">
        <v>17.5046723258485</v>
      </c>
      <c r="AI1686">
        <v>93.574532285033101</v>
      </c>
      <c r="AJ1686">
        <v>100.894698580933</v>
      </c>
      <c r="AK1686">
        <v>17.860711144666499</v>
      </c>
      <c r="AL1686">
        <v>87.548491032083305</v>
      </c>
      <c r="AM1686">
        <v>99.706482604422106</v>
      </c>
      <c r="AN1686">
        <v>1.0000000188443301</v>
      </c>
    </row>
    <row r="1687" spans="1:40" x14ac:dyDescent="0.3">
      <c r="A1687" t="str">
        <f>"20200111153905942"</f>
        <v>20200111153905942</v>
      </c>
      <c r="B1687" t="str">
        <f>"1578728345932197"</f>
        <v>1578728345932197</v>
      </c>
      <c r="C1687" t="s">
        <v>40</v>
      </c>
      <c r="D1687">
        <v>5.1470149999999997</v>
      </c>
      <c r="E1687">
        <v>0.48892590000000002</v>
      </c>
      <c r="F1687" t="s">
        <v>42</v>
      </c>
      <c r="G1687">
        <v>-490.29719999999998</v>
      </c>
      <c r="H1687" s="1">
        <v>-1.7128529999999999E-6</v>
      </c>
      <c r="I1687">
        <v>243.3974</v>
      </c>
      <c r="J1687">
        <v>-491.44619999999998</v>
      </c>
      <c r="K1687">
        <v>1.1133379999999999</v>
      </c>
      <c r="L1687">
        <v>261.24860000000001</v>
      </c>
      <c r="M1687">
        <v>-0.12362480000000001</v>
      </c>
      <c r="N1687">
        <v>0</v>
      </c>
      <c r="O1687">
        <v>-0.99230390000000002</v>
      </c>
      <c r="P1687">
        <v>4.2950049999999997E-2</v>
      </c>
      <c r="Q1687">
        <v>3.9753950000000003E-2</v>
      </c>
      <c r="R1687">
        <v>-0.99828609999999895</v>
      </c>
      <c r="S1687">
        <v>0.18298339999999999</v>
      </c>
      <c r="T1687">
        <v>-0.18382570000000001</v>
      </c>
      <c r="U1687">
        <v>-3.005096</v>
      </c>
      <c r="V1687">
        <v>-0.1671272</v>
      </c>
      <c r="W1687">
        <v>4.266619E-2</v>
      </c>
      <c r="X1687">
        <v>0.98501170000000005</v>
      </c>
      <c r="Y1687">
        <v>-0.18360000000000001</v>
      </c>
      <c r="Z1687">
        <v>5.9779819999999997E-2</v>
      </c>
      <c r="AA1687">
        <v>0.98118159999999999</v>
      </c>
      <c r="AB1687">
        <v>37</v>
      </c>
      <c r="AC1687">
        <v>1.149</v>
      </c>
      <c r="AD1687">
        <v>-1.113339712853</v>
      </c>
      <c r="AE1687">
        <v>-17.851199999999999</v>
      </c>
      <c r="AF1687">
        <v>-3.3341761163741999</v>
      </c>
      <c r="AG1687">
        <v>-1.113339712853</v>
      </c>
      <c r="AH1687">
        <v>17.504402075162002</v>
      </c>
      <c r="AI1687">
        <v>93.575197633144697</v>
      </c>
      <c r="AJ1687">
        <v>100.78431142605599</v>
      </c>
      <c r="AK1687">
        <v>17.853860862573999</v>
      </c>
      <c r="AL1687">
        <v>87.554665029506296</v>
      </c>
      <c r="AM1687">
        <v>99.629682764285405</v>
      </c>
      <c r="AN1687">
        <v>0.99999997694292198</v>
      </c>
    </row>
    <row r="1688" spans="1:40" x14ac:dyDescent="0.3">
      <c r="A1688" t="str">
        <f>"20200111153905964"</f>
        <v>20200111153905964</v>
      </c>
      <c r="B1688" t="str">
        <f>"1578728345952693"</f>
        <v>1578728345952693</v>
      </c>
      <c r="C1688" t="s">
        <v>40</v>
      </c>
      <c r="D1688">
        <v>5.1767459999999996</v>
      </c>
      <c r="E1688">
        <v>0.48994219999999999</v>
      </c>
      <c r="F1688" t="s">
        <v>42</v>
      </c>
      <c r="G1688">
        <v>-490.1764</v>
      </c>
      <c r="H1688" s="1">
        <v>-1.3380119999999901E-6</v>
      </c>
      <c r="I1688">
        <v>242.5986</v>
      </c>
      <c r="J1688">
        <v>-491.48340000000002</v>
      </c>
      <c r="K1688">
        <v>1.113135</v>
      </c>
      <c r="L1688">
        <v>260.89699999999999</v>
      </c>
      <c r="M1688">
        <v>-0.1146982</v>
      </c>
      <c r="N1688">
        <v>0</v>
      </c>
      <c r="O1688">
        <v>-0.99337710000000001</v>
      </c>
      <c r="P1688">
        <v>5.0367559999999999E-2</v>
      </c>
      <c r="Q1688">
        <v>3.950584E-2</v>
      </c>
      <c r="R1688">
        <v>-0.99794939999999999</v>
      </c>
      <c r="S1688">
        <v>0.20449829999999999</v>
      </c>
      <c r="T1688">
        <v>-0.1793013</v>
      </c>
      <c r="U1688">
        <v>-3.0035400000000001</v>
      </c>
      <c r="V1688">
        <v>-0.1655605</v>
      </c>
      <c r="W1688">
        <v>4.2272669999999998E-2</v>
      </c>
      <c r="X1688">
        <v>0.98529319999999998</v>
      </c>
      <c r="Y1688">
        <v>-0.1817975</v>
      </c>
      <c r="Z1688">
        <v>5.8436080000000001E-2</v>
      </c>
      <c r="AA1688">
        <v>0.98159810000000003</v>
      </c>
      <c r="AB1688">
        <v>37</v>
      </c>
      <c r="AC1688">
        <v>1.3070000000000099</v>
      </c>
      <c r="AD1688">
        <v>-1.1131363380120001</v>
      </c>
      <c r="AE1688">
        <v>-18.298399999999901</v>
      </c>
      <c r="AF1688">
        <v>-3.3847539972736</v>
      </c>
      <c r="AG1688">
        <v>-1.1131363380120001</v>
      </c>
      <c r="AH1688">
        <v>17.961586959532401</v>
      </c>
      <c r="AI1688">
        <v>93.485080628738203</v>
      </c>
      <c r="AJ1688">
        <v>100.671898790063</v>
      </c>
      <c r="AK1688">
        <v>18.3115875399678</v>
      </c>
      <c r="AL1688">
        <v>87.577232418952903</v>
      </c>
      <c r="AM1688">
        <v>99.538402656741695</v>
      </c>
      <c r="AN1688">
        <v>0.999999973877709</v>
      </c>
    </row>
    <row r="1689" spans="1:40" x14ac:dyDescent="0.3">
      <c r="A1689" t="str">
        <f>"20200111153905986"</f>
        <v>20200111153905986</v>
      </c>
      <c r="B1689" t="str">
        <f>"1578728345981974"</f>
        <v>1578728345981974</v>
      </c>
      <c r="C1689" t="s">
        <v>40</v>
      </c>
      <c r="D1689">
        <v>5.1656680000000001</v>
      </c>
      <c r="E1689">
        <v>0.49110160000000003</v>
      </c>
      <c r="F1689" t="s">
        <v>42</v>
      </c>
      <c r="G1689">
        <v>-490.13389999999998</v>
      </c>
      <c r="H1689" s="1">
        <v>-1.23532E-6</v>
      </c>
      <c r="I1689">
        <v>242.38570000000001</v>
      </c>
      <c r="J1689">
        <v>-491.51889999999997</v>
      </c>
      <c r="K1689">
        <v>1.1129420000000001</v>
      </c>
      <c r="L1689">
        <v>260.53140000000002</v>
      </c>
      <c r="M1689">
        <v>-0.1056503</v>
      </c>
      <c r="N1689">
        <v>0</v>
      </c>
      <c r="O1689">
        <v>-0.99438159999999998</v>
      </c>
      <c r="P1689">
        <v>5.8254359999999998E-2</v>
      </c>
      <c r="Q1689">
        <v>3.851562E-2</v>
      </c>
      <c r="R1689">
        <v>-0.99755839999999996</v>
      </c>
      <c r="S1689">
        <v>0.21887210000000001</v>
      </c>
      <c r="T1689">
        <v>-0.180534</v>
      </c>
      <c r="U1689">
        <v>-3.0022579999999999</v>
      </c>
      <c r="V1689">
        <v>-0.1643358</v>
      </c>
      <c r="W1689">
        <v>4.1142119999999997E-2</v>
      </c>
      <c r="X1689">
        <v>0.98554609999999998</v>
      </c>
      <c r="Y1689">
        <v>-0.17754690000000001</v>
      </c>
      <c r="Z1689">
        <v>5.896506E-2</v>
      </c>
      <c r="AA1689">
        <v>0.98234429999999995</v>
      </c>
      <c r="AB1689">
        <v>37</v>
      </c>
      <c r="AC1689">
        <v>1.38499999999999</v>
      </c>
      <c r="AD1689">
        <v>-1.1129432353199999</v>
      </c>
      <c r="AE1689">
        <v>-18.145700000000001</v>
      </c>
      <c r="AF1689">
        <v>-3.2821131802037802</v>
      </c>
      <c r="AG1689">
        <v>-1.1129432353199999</v>
      </c>
      <c r="AH1689">
        <v>17.831122510836899</v>
      </c>
      <c r="AI1689">
        <v>93.512668750410995</v>
      </c>
      <c r="AJ1689">
        <v>100.42949657826099</v>
      </c>
      <c r="AK1689">
        <v>18.164796711474199</v>
      </c>
      <c r="AL1689">
        <v>87.642064694220593</v>
      </c>
      <c r="AM1689">
        <v>99.466740806981406</v>
      </c>
      <c r="AN1689">
        <v>1.0000000222124701</v>
      </c>
    </row>
    <row r="1690" spans="1:40" x14ac:dyDescent="0.3">
      <c r="A1690" t="str">
        <f>"20200111153906010"</f>
        <v>20200111153906010</v>
      </c>
      <c r="B1690" t="str">
        <f>"1578728346002469"</f>
        <v>1578728346002469</v>
      </c>
      <c r="C1690" t="s">
        <v>40</v>
      </c>
      <c r="D1690">
        <v>5.1774930000000001</v>
      </c>
      <c r="E1690">
        <v>0.496527</v>
      </c>
      <c r="F1690" t="s">
        <v>42</v>
      </c>
      <c r="G1690">
        <v>-490.09699999999998</v>
      </c>
      <c r="H1690" s="1">
        <v>-1.176597E-6</v>
      </c>
      <c r="I1690">
        <v>242.27160000000001</v>
      </c>
      <c r="J1690">
        <v>-491.5532</v>
      </c>
      <c r="K1690">
        <v>1.1127609999999999</v>
      </c>
      <c r="L1690">
        <v>260.14370000000002</v>
      </c>
      <c r="M1690">
        <v>-9.6288700000000005E-2</v>
      </c>
      <c r="N1690">
        <v>0</v>
      </c>
      <c r="O1690">
        <v>-0.99533340000000003</v>
      </c>
      <c r="P1690">
        <v>6.6368419999999997E-2</v>
      </c>
      <c r="Q1690">
        <v>3.7993680000000002E-2</v>
      </c>
      <c r="R1690">
        <v>-0.99707179999999995</v>
      </c>
      <c r="S1690">
        <v>0.23367309999999999</v>
      </c>
      <c r="T1690">
        <v>-0.18290149999999999</v>
      </c>
      <c r="U1690">
        <v>-3.0008240000000002</v>
      </c>
      <c r="V1690">
        <v>-0.16304669999999999</v>
      </c>
      <c r="W1690">
        <v>4.0497970000000001E-2</v>
      </c>
      <c r="X1690">
        <v>0.98578690000000002</v>
      </c>
      <c r="Y1690">
        <v>-0.1731327</v>
      </c>
      <c r="Z1690">
        <v>5.9863359999999997E-2</v>
      </c>
      <c r="AA1690">
        <v>0.98307750000000005</v>
      </c>
      <c r="AB1690">
        <v>37</v>
      </c>
      <c r="AC1690">
        <v>1.4562000000000199</v>
      </c>
      <c r="AD1690">
        <v>-1.1127621765969999</v>
      </c>
      <c r="AE1690">
        <v>-17.8721</v>
      </c>
      <c r="AF1690">
        <v>-3.15818668123711</v>
      </c>
      <c r="AG1690">
        <v>-1.1127621765969999</v>
      </c>
      <c r="AH1690">
        <v>17.581128715228399</v>
      </c>
      <c r="AI1690">
        <v>93.564683598315895</v>
      </c>
      <c r="AJ1690">
        <v>100.183717760663</v>
      </c>
      <c r="AK1690">
        <v>17.897163732743699</v>
      </c>
      <c r="AL1690">
        <v>87.679002650175207</v>
      </c>
      <c r="AM1690">
        <v>99.391555768390404</v>
      </c>
      <c r="AN1690">
        <v>1.0000000620833001</v>
      </c>
    </row>
    <row r="1691" spans="1:40" x14ac:dyDescent="0.3">
      <c r="A1691" t="str">
        <f>"20200111153906033"</f>
        <v>20200111153906033</v>
      </c>
      <c r="B1691" t="str">
        <f>"1578728346021992"</f>
        <v>1578728346021992</v>
      </c>
      <c r="C1691" t="s">
        <v>40</v>
      </c>
      <c r="D1691">
        <v>5.1776289999999996</v>
      </c>
      <c r="E1691">
        <v>0.49591289999999999</v>
      </c>
      <c r="F1691" t="s">
        <v>42</v>
      </c>
      <c r="G1691">
        <v>-490.27539999999999</v>
      </c>
      <c r="H1691" s="1">
        <v>-1.216004E-6</v>
      </c>
      <c r="I1691">
        <v>242.25290000000001</v>
      </c>
      <c r="J1691">
        <v>-491.5831</v>
      </c>
      <c r="K1691">
        <v>1.112592</v>
      </c>
      <c r="L1691">
        <v>259.76670000000001</v>
      </c>
      <c r="M1691">
        <v>-8.7399060000000001E-2</v>
      </c>
      <c r="N1691">
        <v>0</v>
      </c>
      <c r="O1691">
        <v>-0.9961544</v>
      </c>
      <c r="P1691">
        <v>7.3955350000000003E-2</v>
      </c>
      <c r="Q1691">
        <v>3.7579269999999998E-2</v>
      </c>
      <c r="R1691">
        <v>-0.99655320000000003</v>
      </c>
      <c r="S1691">
        <v>0.21438599999999999</v>
      </c>
      <c r="T1691">
        <v>-0.18669469999999999</v>
      </c>
      <c r="U1691">
        <v>-3.0016479999999999</v>
      </c>
      <c r="V1691">
        <v>-0.16172</v>
      </c>
      <c r="W1691">
        <v>3.9991029999999997E-2</v>
      </c>
      <c r="X1691">
        <v>0.98602599999999996</v>
      </c>
      <c r="Y1691">
        <v>-0.15801200000000001</v>
      </c>
      <c r="Z1691">
        <v>6.1253120000000001E-2</v>
      </c>
      <c r="AA1691">
        <v>0.98553550000000001</v>
      </c>
      <c r="AB1691">
        <v>37</v>
      </c>
      <c r="AC1691">
        <v>1.3077000000000101</v>
      </c>
      <c r="AD1691">
        <v>-1.112593216004</v>
      </c>
      <c r="AE1691">
        <v>-17.5138</v>
      </c>
      <c r="AF1691">
        <v>-2.8220885592740301</v>
      </c>
      <c r="AG1691">
        <v>-1.112593216004</v>
      </c>
      <c r="AH1691">
        <v>17.263203145055002</v>
      </c>
      <c r="AI1691">
        <v>93.639370014994299</v>
      </c>
      <c r="AJ1691">
        <v>99.284260139056002</v>
      </c>
      <c r="AK1691">
        <v>17.527698945615199</v>
      </c>
      <c r="AL1691">
        <v>87.708071479628401</v>
      </c>
      <c r="AM1691">
        <v>99.314262999516203</v>
      </c>
      <c r="AN1691">
        <v>0.99999995677822895</v>
      </c>
    </row>
    <row r="1692" spans="1:40" x14ac:dyDescent="0.3">
      <c r="A1692" t="str">
        <f>"20200111153906054"</f>
        <v>20200111153906054</v>
      </c>
      <c r="B1692" t="str">
        <f>"1578728346042022"</f>
        <v>1578728346042022</v>
      </c>
      <c r="C1692" t="s">
        <v>40</v>
      </c>
      <c r="D1692">
        <v>5.1771699999999896</v>
      </c>
      <c r="E1692">
        <v>0.49583169999999999</v>
      </c>
      <c r="F1692" t="s">
        <v>42</v>
      </c>
      <c r="G1692">
        <v>-490.0292</v>
      </c>
      <c r="H1692" s="1">
        <v>-4.1973249999999998E-7</v>
      </c>
      <c r="I1692">
        <v>240.54939999999999</v>
      </c>
      <c r="J1692">
        <v>-491.60879999999997</v>
      </c>
      <c r="K1692">
        <v>1.1124449999999999</v>
      </c>
      <c r="L1692">
        <v>259.40499999999997</v>
      </c>
      <c r="M1692">
        <v>-7.9054440000000004E-2</v>
      </c>
      <c r="N1692">
        <v>0</v>
      </c>
      <c r="O1692">
        <v>-0.99685230000000002</v>
      </c>
      <c r="P1692">
        <v>7.9931329999999995E-2</v>
      </c>
      <c r="Q1692">
        <v>3.7074620000000003E-2</v>
      </c>
      <c r="R1692">
        <v>-0.99611079999999996</v>
      </c>
      <c r="S1692">
        <v>0.24249270000000001</v>
      </c>
      <c r="T1692">
        <v>-0.173625799999999</v>
      </c>
      <c r="U1692">
        <v>-2.9989620000000001</v>
      </c>
      <c r="V1692">
        <v>-0.15934999999999999</v>
      </c>
      <c r="W1692">
        <v>3.9453580000000002E-2</v>
      </c>
      <c r="X1692">
        <v>0.98643340000000002</v>
      </c>
      <c r="Y1692">
        <v>-0.1590097</v>
      </c>
      <c r="Z1692">
        <v>5.7066369999999998E-2</v>
      </c>
      <c r="AA1692">
        <v>0.98562640000000001</v>
      </c>
      <c r="AB1692">
        <v>38</v>
      </c>
      <c r="AC1692">
        <v>1.5795999999999699</v>
      </c>
      <c r="AD1692">
        <v>-1.1124454197325</v>
      </c>
      <c r="AE1692">
        <v>-18.8555999999999</v>
      </c>
      <c r="AF1692">
        <v>-3.0547430053667299</v>
      </c>
      <c r="AG1692">
        <v>-1.1124454197325</v>
      </c>
      <c r="AH1692">
        <v>18.607391995741899</v>
      </c>
      <c r="AI1692">
        <v>93.3762752214014</v>
      </c>
      <c r="AJ1692">
        <v>99.322986257979395</v>
      </c>
      <c r="AK1692">
        <v>18.889256907669001</v>
      </c>
      <c r="AL1692">
        <v>87.738889360398602</v>
      </c>
      <c r="AM1692">
        <v>99.176376904979193</v>
      </c>
      <c r="AN1692">
        <v>0.99999993005518495</v>
      </c>
    </row>
    <row r="1693" spans="1:40" x14ac:dyDescent="0.3">
      <c r="A1693" t="str">
        <f>"20200111153906088"</f>
        <v>20200111153906088</v>
      </c>
      <c r="B1693" t="str">
        <f>"1578728346082034"</f>
        <v>1578728346082034</v>
      </c>
      <c r="C1693" t="s">
        <v>40</v>
      </c>
      <c r="D1693">
        <v>5.2347039999999998</v>
      </c>
      <c r="E1693">
        <v>0.49793549999999998</v>
      </c>
      <c r="F1693" t="s">
        <v>42</v>
      </c>
      <c r="G1693">
        <v>-489.8972</v>
      </c>
      <c r="H1693" s="1">
        <v>-8.736296E-8</v>
      </c>
      <c r="I1693">
        <v>239.79390000000001</v>
      </c>
      <c r="J1693">
        <v>-491.6422</v>
      </c>
      <c r="K1693">
        <v>1.1122350000000001</v>
      </c>
      <c r="L1693">
        <v>258.84730000000002</v>
      </c>
      <c r="M1693">
        <v>-6.6543779999999997E-2</v>
      </c>
      <c r="N1693">
        <v>0</v>
      </c>
      <c r="O1693">
        <v>-0.99776659999999995</v>
      </c>
      <c r="P1693">
        <v>8.9447540000000006E-2</v>
      </c>
      <c r="Q1693">
        <v>3.7664139999999999E-2</v>
      </c>
      <c r="R1693">
        <v>-0.99527960000000004</v>
      </c>
      <c r="S1693">
        <v>0.26156620000000003</v>
      </c>
      <c r="T1693">
        <v>-0.17000799999999999</v>
      </c>
      <c r="U1693">
        <v>-2.9970400000000001</v>
      </c>
      <c r="V1693">
        <v>-0.15639029999999901</v>
      </c>
      <c r="W1693">
        <v>4.004344E-2</v>
      </c>
      <c r="X1693">
        <v>0.98688330000000002</v>
      </c>
      <c r="Y1693">
        <v>-0.15290709999999999</v>
      </c>
      <c r="Z1693">
        <v>5.6006640000000003E-2</v>
      </c>
      <c r="AA1693">
        <v>0.98665230000000004</v>
      </c>
      <c r="AB1693">
        <v>38</v>
      </c>
      <c r="AC1693">
        <v>1.7450000000000001</v>
      </c>
      <c r="AD1693">
        <v>-1.1122350873629601</v>
      </c>
      <c r="AE1693">
        <v>-19.0534</v>
      </c>
      <c r="AF1693">
        <v>-2.99890467741462</v>
      </c>
      <c r="AG1693">
        <v>-1.1122350873629601</v>
      </c>
      <c r="AH1693">
        <v>18.831409887012299</v>
      </c>
      <c r="AI1693">
        <v>93.338153391749998</v>
      </c>
      <c r="AJ1693">
        <v>99.048380682583101</v>
      </c>
      <c r="AK1693">
        <v>19.101112388718199</v>
      </c>
      <c r="AL1693">
        <v>87.705066358046594</v>
      </c>
      <c r="AM1693">
        <v>99.004720076275504</v>
      </c>
      <c r="AN1693">
        <v>1.0000000254200001</v>
      </c>
    </row>
    <row r="1694" spans="1:40" x14ac:dyDescent="0.3">
      <c r="A1694" t="str">
        <f>"20200111153906112"</f>
        <v>20200111153906112</v>
      </c>
      <c r="B1694" t="str">
        <f>"1578728346102530"</f>
        <v>1578728346102530</v>
      </c>
      <c r="C1694" t="s">
        <v>40</v>
      </c>
      <c r="D1694">
        <v>5.2512230000000004</v>
      </c>
      <c r="E1694">
        <v>0.49876680000000001</v>
      </c>
      <c r="F1694" t="s">
        <v>42</v>
      </c>
      <c r="G1694">
        <v>-489.78500000000003</v>
      </c>
      <c r="H1694" s="1">
        <v>-3.8439669999999997E-6</v>
      </c>
      <c r="I1694">
        <v>238.5043</v>
      </c>
      <c r="J1694">
        <v>-491.66300000000001</v>
      </c>
      <c r="K1694">
        <v>1.112093</v>
      </c>
      <c r="L1694">
        <v>258.43360000000001</v>
      </c>
      <c r="M1694">
        <v>-5.7467520000000001E-2</v>
      </c>
      <c r="N1694">
        <v>0</v>
      </c>
      <c r="O1694">
        <v>-0.99833059999999996</v>
      </c>
      <c r="P1694">
        <v>9.6648499999999998E-2</v>
      </c>
      <c r="Q1694">
        <v>3.6884260000000002E-2</v>
      </c>
      <c r="R1694">
        <v>-0.99463489999999999</v>
      </c>
      <c r="S1694">
        <v>0.27349849999999998</v>
      </c>
      <c r="T1694">
        <v>-0.163794</v>
      </c>
      <c r="U1694">
        <v>-2.995819</v>
      </c>
      <c r="V1694">
        <v>-0.15452829999999901</v>
      </c>
      <c r="W1694">
        <v>3.9297310000000002E-2</v>
      </c>
      <c r="X1694">
        <v>0.98720649999999999</v>
      </c>
      <c r="Y1694">
        <v>-0.14786199999999999</v>
      </c>
      <c r="Z1694">
        <v>5.4045080000000002E-2</v>
      </c>
      <c r="AA1694">
        <v>0.98753020000000002</v>
      </c>
      <c r="AB1694">
        <v>38</v>
      </c>
      <c r="AC1694">
        <v>1.8779999999999799</v>
      </c>
      <c r="AD1694">
        <v>-1.112096843967</v>
      </c>
      <c r="AE1694">
        <v>-19.929300000000001</v>
      </c>
      <c r="AF1694">
        <v>-3.01090982339025</v>
      </c>
      <c r="AG1694">
        <v>-1.112096843967</v>
      </c>
      <c r="AH1694">
        <v>19.727549022898199</v>
      </c>
      <c r="AI1694">
        <v>93.1896487938604</v>
      </c>
      <c r="AJ1694">
        <v>98.677779670170494</v>
      </c>
      <c r="AK1694">
        <v>19.986958943416099</v>
      </c>
      <c r="AL1694">
        <v>87.747850020237806</v>
      </c>
      <c r="AM1694">
        <v>98.896368054178296</v>
      </c>
      <c r="AN1694">
        <v>0.99999997385818695</v>
      </c>
    </row>
    <row r="1695" spans="1:40" x14ac:dyDescent="0.3">
      <c r="A1695" t="str">
        <f>"20200111153906134"</f>
        <v>20200111153906134</v>
      </c>
      <c r="B1695" t="str">
        <f>"1578728346122050"</f>
        <v>1578728346122050</v>
      </c>
      <c r="C1695" t="s">
        <v>40</v>
      </c>
      <c r="D1695">
        <v>5.2856509999999997</v>
      </c>
      <c r="E1695">
        <v>0.4996179</v>
      </c>
      <c r="F1695" t="s">
        <v>42</v>
      </c>
      <c r="G1695">
        <v>-489.74419999999998</v>
      </c>
      <c r="H1695" s="1">
        <v>-3.8504130000000002E-6</v>
      </c>
      <c r="I1695">
        <v>238.50239999999999</v>
      </c>
      <c r="J1695">
        <v>-491.6782</v>
      </c>
      <c r="K1695">
        <v>1.111998</v>
      </c>
      <c r="L1695">
        <v>258.07060000000001</v>
      </c>
      <c r="M1695">
        <v>-4.9668200000000003E-2</v>
      </c>
      <c r="N1695">
        <v>0</v>
      </c>
      <c r="O1695">
        <v>-0.998749</v>
      </c>
      <c r="P1695">
        <v>0.10244250000000001</v>
      </c>
      <c r="Q1695">
        <v>3.560261E-2</v>
      </c>
      <c r="R1695">
        <v>-0.99410160000000003</v>
      </c>
      <c r="S1695">
        <v>0.288269</v>
      </c>
      <c r="T1695">
        <v>-0.16707640000000001</v>
      </c>
      <c r="U1695">
        <v>-2.99437</v>
      </c>
      <c r="V1695">
        <v>-0.15253439999999999</v>
      </c>
      <c r="W1695">
        <v>3.8103720000000001E-2</v>
      </c>
      <c r="X1695">
        <v>0.98756339999999998</v>
      </c>
      <c r="Y1695">
        <v>-0.14500289999999999</v>
      </c>
      <c r="Z1695">
        <v>5.5185369999999997E-2</v>
      </c>
      <c r="AA1695">
        <v>0.98789110000000002</v>
      </c>
      <c r="AB1695">
        <v>38</v>
      </c>
      <c r="AC1695">
        <v>1.9340000000000199</v>
      </c>
      <c r="AD1695">
        <v>-1.112001850413</v>
      </c>
      <c r="AE1695">
        <v>-19.568200000000001</v>
      </c>
      <c r="AF1695">
        <v>-2.89429034372202</v>
      </c>
      <c r="AG1695">
        <v>-1.112001850413</v>
      </c>
      <c r="AH1695">
        <v>19.385989985597</v>
      </c>
      <c r="AI1695">
        <v>93.247041483207795</v>
      </c>
      <c r="AJ1695">
        <v>98.491427344445398</v>
      </c>
      <c r="AK1695">
        <v>19.632373071810498</v>
      </c>
      <c r="AL1695">
        <v>87.816289138870204</v>
      </c>
      <c r="AM1695">
        <v>98.780253601163594</v>
      </c>
      <c r="AN1695">
        <v>1.0000000528403701</v>
      </c>
    </row>
    <row r="1696" spans="1:40" x14ac:dyDescent="0.3">
      <c r="A1696" t="str">
        <f>"20200111153906154"</f>
        <v>20200111153906154</v>
      </c>
      <c r="B1696" t="str">
        <f>"1578728346151838"</f>
        <v>1578728346151838</v>
      </c>
      <c r="C1696" t="s">
        <v>40</v>
      </c>
      <c r="D1696">
        <v>5.2904090000000004</v>
      </c>
      <c r="E1696">
        <v>0.50764730000000002</v>
      </c>
      <c r="F1696" t="s">
        <v>42</v>
      </c>
      <c r="G1696">
        <v>-489.77229999999997</v>
      </c>
      <c r="H1696" s="1">
        <v>-4.0501789999999998E-6</v>
      </c>
      <c r="I1696">
        <v>238.97970000000001</v>
      </c>
      <c r="J1696">
        <v>-491.6902</v>
      </c>
      <c r="K1696">
        <v>1.1119319999999999</v>
      </c>
      <c r="L1696">
        <v>257.71910000000003</v>
      </c>
      <c r="M1696">
        <v>-4.2284620000000002E-2</v>
      </c>
      <c r="N1696">
        <v>0</v>
      </c>
      <c r="O1696">
        <v>-0.99908819999999998</v>
      </c>
      <c r="P1696">
        <v>0.1085864</v>
      </c>
      <c r="Q1696">
        <v>3.5077839999999999E-2</v>
      </c>
      <c r="R1696">
        <v>-0.99346820000000002</v>
      </c>
      <c r="S1696">
        <v>0.29882809999999999</v>
      </c>
      <c r="T1696">
        <v>-0.1743519</v>
      </c>
      <c r="U1696">
        <v>-2.9932859999999999</v>
      </c>
      <c r="V1696">
        <v>-0.1513224</v>
      </c>
      <c r="W1696">
        <v>3.7738250000000001E-2</v>
      </c>
      <c r="X1696">
        <v>0.98776379999999997</v>
      </c>
      <c r="Y1696">
        <v>-0.1411607</v>
      </c>
      <c r="Z1696">
        <v>5.7637069999999999E-2</v>
      </c>
      <c r="AA1696">
        <v>0.98830750000000001</v>
      </c>
      <c r="AB1696">
        <v>38</v>
      </c>
      <c r="AC1696">
        <v>1.9179000000000299</v>
      </c>
      <c r="AD1696">
        <v>-1.1119360501790001</v>
      </c>
      <c r="AE1696">
        <v>-18.7394</v>
      </c>
      <c r="AF1696">
        <v>-2.6991818518402799</v>
      </c>
      <c r="AG1696">
        <v>-1.1119360501790001</v>
      </c>
      <c r="AH1696">
        <v>18.576811646762199</v>
      </c>
      <c r="AI1696">
        <v>93.389904700765797</v>
      </c>
      <c r="AJ1696">
        <v>98.267134060559698</v>
      </c>
      <c r="AK1696">
        <v>18.804784375479301</v>
      </c>
      <c r="AL1696">
        <v>87.837243950424707</v>
      </c>
      <c r="AM1696">
        <v>98.709822035382899</v>
      </c>
      <c r="AN1696">
        <v>0.99999998442263105</v>
      </c>
    </row>
    <row r="1697" spans="1:40" x14ac:dyDescent="0.3">
      <c r="A1697" t="str">
        <f>"20200111153906179"</f>
        <v>20200111153906179</v>
      </c>
      <c r="B1697" t="str">
        <f>"1578728346172336"</f>
        <v>1578728346172336</v>
      </c>
      <c r="C1697" t="s">
        <v>40</v>
      </c>
      <c r="D1697">
        <v>5.3429539999999998</v>
      </c>
      <c r="E1697">
        <v>0.50932250000000001</v>
      </c>
      <c r="F1697" t="s">
        <v>42</v>
      </c>
      <c r="G1697">
        <v>-490.23169999999999</v>
      </c>
      <c r="H1697" s="1">
        <v>-4.1261619999999998E-7</v>
      </c>
      <c r="I1697">
        <v>240.40719999999999</v>
      </c>
      <c r="J1697">
        <v>-491.70049999999998</v>
      </c>
      <c r="K1697">
        <v>1.111869</v>
      </c>
      <c r="L1697">
        <v>257.32319999999999</v>
      </c>
      <c r="M1697">
        <v>-3.4176209999999999E-2</v>
      </c>
      <c r="N1697">
        <v>0</v>
      </c>
      <c r="O1697">
        <v>-0.99939719999999999</v>
      </c>
      <c r="P1697">
        <v>0.11645709999999999</v>
      </c>
      <c r="Q1697">
        <v>3.4854639999999999E-2</v>
      </c>
      <c r="R1697">
        <v>-0.99258389999999996</v>
      </c>
      <c r="S1697">
        <v>0.25265500000000002</v>
      </c>
      <c r="T1697">
        <v>-0.19262029999999999</v>
      </c>
      <c r="U1697">
        <v>-2.9989469999999998</v>
      </c>
      <c r="V1697">
        <v>-0.15112519999999999</v>
      </c>
      <c r="W1697">
        <v>3.7787319999999999E-2</v>
      </c>
      <c r="X1697">
        <v>0.98779209999999995</v>
      </c>
      <c r="Y1697">
        <v>-0.1177868</v>
      </c>
      <c r="Z1697">
        <v>6.3705499999999998E-2</v>
      </c>
      <c r="AA1697">
        <v>0.99099340000000002</v>
      </c>
      <c r="AB1697">
        <v>38</v>
      </c>
      <c r="AC1697">
        <v>1.4687999999999799</v>
      </c>
      <c r="AD1697">
        <v>-1.1118694126162001</v>
      </c>
      <c r="AE1697">
        <v>-16.915999999999901</v>
      </c>
      <c r="AF1697">
        <v>-2.0373414284539302</v>
      </c>
      <c r="AG1697">
        <v>-1.1118694126162001</v>
      </c>
      <c r="AH1697">
        <v>16.7839499142802</v>
      </c>
      <c r="AI1697">
        <v>93.762539687285695</v>
      </c>
      <c r="AJ1697">
        <v>96.921061613064197</v>
      </c>
      <c r="AK1697">
        <v>16.943671042955099</v>
      </c>
      <c r="AL1697">
        <v>87.834430408931297</v>
      </c>
      <c r="AM1697">
        <v>98.698399907464406</v>
      </c>
      <c r="AN1697">
        <v>0.999999970225115</v>
      </c>
    </row>
    <row r="1698" spans="1:40" x14ac:dyDescent="0.3">
      <c r="A1698" t="str">
        <f>"20200111153906200"</f>
        <v>20200111153906200</v>
      </c>
      <c r="B1698" t="str">
        <f>"1578728346191855"</f>
        <v>1578728346191855</v>
      </c>
      <c r="C1698" t="s">
        <v>40</v>
      </c>
      <c r="D1698">
        <v>5.3054940000000004</v>
      </c>
      <c r="E1698">
        <v>0.50984410000000002</v>
      </c>
      <c r="F1698" t="s">
        <v>42</v>
      </c>
      <c r="G1698">
        <v>-490.1515</v>
      </c>
      <c r="H1698" s="1">
        <v>-8.0080209999999994E-8</v>
      </c>
      <c r="I1698">
        <v>239.68180000000001</v>
      </c>
      <c r="J1698">
        <v>-491.70760000000001</v>
      </c>
      <c r="K1698">
        <v>1.1118059999999901</v>
      </c>
      <c r="L1698">
        <v>256.94119999999998</v>
      </c>
      <c r="M1698">
        <v>-2.6526439999999998E-2</v>
      </c>
      <c r="N1698">
        <v>0</v>
      </c>
      <c r="O1698">
        <v>-0.99962779999999996</v>
      </c>
      <c r="P1698">
        <v>0.1239374</v>
      </c>
      <c r="Q1698">
        <v>3.4351279999999998E-2</v>
      </c>
      <c r="R1698">
        <v>-0.99169569999999996</v>
      </c>
      <c r="S1698">
        <v>0.2632446</v>
      </c>
      <c r="T1698">
        <v>-0.18896160000000001</v>
      </c>
      <c r="U1698">
        <v>-2.998138</v>
      </c>
      <c r="V1698">
        <v>-0.15099660000000001</v>
      </c>
      <c r="W1698">
        <v>3.7624360000000003E-2</v>
      </c>
      <c r="X1698">
        <v>0.98781799999999997</v>
      </c>
      <c r="Y1698">
        <v>-0.11368929999999999</v>
      </c>
      <c r="Z1698">
        <v>6.2544489999999994E-2</v>
      </c>
      <c r="AA1698">
        <v>0.99154569999999997</v>
      </c>
      <c r="AB1698">
        <v>38</v>
      </c>
      <c r="AC1698">
        <v>1.55610000000001</v>
      </c>
      <c r="AD1698">
        <v>-1.1118060800802101</v>
      </c>
      <c r="AE1698">
        <v>-17.2593999999999</v>
      </c>
      <c r="AF1698">
        <v>-2.0051386975721899</v>
      </c>
      <c r="AG1698">
        <v>-1.1118060800802101</v>
      </c>
      <c r="AH1698">
        <v>17.141490879449499</v>
      </c>
      <c r="AI1698">
        <v>93.685973622576995</v>
      </c>
      <c r="AJ1698">
        <v>96.6718956111323</v>
      </c>
      <c r="AK1698">
        <v>17.294143619342801</v>
      </c>
      <c r="AL1698">
        <v>87.843774002249503</v>
      </c>
      <c r="AM1698">
        <v>98.690886674855605</v>
      </c>
      <c r="AN1698">
        <v>0.99999998340048402</v>
      </c>
    </row>
    <row r="1699" spans="1:40" x14ac:dyDescent="0.3">
      <c r="A1699" t="str">
        <f>"20200111153906223"</f>
        <v>20200111153906223</v>
      </c>
      <c r="B1699" t="str">
        <f>"1578728346212349"</f>
        <v>1578728346212349</v>
      </c>
      <c r="C1699" t="s">
        <v>40</v>
      </c>
      <c r="D1699">
        <v>5.3338950000000001</v>
      </c>
      <c r="E1699">
        <v>0.51035739999999996</v>
      </c>
      <c r="F1699" t="s">
        <v>42</v>
      </c>
      <c r="G1699">
        <v>-490.06479999999999</v>
      </c>
      <c r="H1699" s="1">
        <v>-4.2581860000000002E-6</v>
      </c>
      <c r="I1699">
        <v>239.47479999999999</v>
      </c>
      <c r="J1699">
        <v>-491.71179999999998</v>
      </c>
      <c r="K1699">
        <v>1.111729</v>
      </c>
      <c r="L1699">
        <v>256.55790000000002</v>
      </c>
      <c r="M1699">
        <v>-1.8989490000000001E-2</v>
      </c>
      <c r="N1699">
        <v>0</v>
      </c>
      <c r="O1699">
        <v>-0.99979700000000005</v>
      </c>
      <c r="P1699">
        <v>0.13240009999999999</v>
      </c>
      <c r="Q1699">
        <v>3.3925980000000001E-2</v>
      </c>
      <c r="R1699">
        <v>-0.99061580000000005</v>
      </c>
      <c r="S1699">
        <v>0.28182980000000002</v>
      </c>
      <c r="T1699">
        <v>-0.19074050000000001</v>
      </c>
      <c r="U1699">
        <v>-2.9965060000000001</v>
      </c>
      <c r="V1699">
        <v>-0.1519692</v>
      </c>
      <c r="W1699">
        <v>3.7548119999999997E-2</v>
      </c>
      <c r="X1699">
        <v>0.98767179999999999</v>
      </c>
      <c r="Y1699">
        <v>-0.112342</v>
      </c>
      <c r="Z1699">
        <v>6.3168630000000003E-2</v>
      </c>
      <c r="AA1699">
        <v>0.99165970000000003</v>
      </c>
      <c r="AB1699">
        <v>38</v>
      </c>
      <c r="AC1699">
        <v>1.64699999999999</v>
      </c>
      <c r="AD1699">
        <v>-1.111733258186</v>
      </c>
      <c r="AE1699">
        <v>-17.083100000000002</v>
      </c>
      <c r="AF1699">
        <v>-1.96287323382685</v>
      </c>
      <c r="AG1699">
        <v>-1.111733258186</v>
      </c>
      <c r="AH1699">
        <v>16.977503163497499</v>
      </c>
      <c r="AI1699">
        <v>93.721813192938001</v>
      </c>
      <c r="AJ1699">
        <v>96.595034907978601</v>
      </c>
      <c r="AK1699">
        <v>17.1267170186232</v>
      </c>
      <c r="AL1699">
        <v>87.848145447085699</v>
      </c>
      <c r="AM1699">
        <v>98.747278215522996</v>
      </c>
      <c r="AN1699">
        <v>1.0000000417896999</v>
      </c>
    </row>
    <row r="1700" spans="1:40" x14ac:dyDescent="0.3">
      <c r="A1700" t="str">
        <f>"20200111153906245"</f>
        <v>20200111153906245</v>
      </c>
      <c r="B1700" t="str">
        <f>"1578728346242608"</f>
        <v>1578728346242608</v>
      </c>
      <c r="C1700" t="s">
        <v>40</v>
      </c>
      <c r="D1700">
        <v>5.4512939999999999</v>
      </c>
      <c r="E1700">
        <v>0.51236959999999998</v>
      </c>
      <c r="F1700" t="s">
        <v>42</v>
      </c>
      <c r="G1700">
        <v>-489.93950000000001</v>
      </c>
      <c r="H1700" s="1">
        <v>-4.0362719999999999E-6</v>
      </c>
      <c r="I1700">
        <v>239.0164</v>
      </c>
      <c r="J1700">
        <v>-491.71319999999997</v>
      </c>
      <c r="K1700">
        <v>1.1116330000000001</v>
      </c>
      <c r="L1700">
        <v>256.17770000000002</v>
      </c>
      <c r="M1700">
        <v>-1.170386E-2</v>
      </c>
      <c r="N1700">
        <v>0</v>
      </c>
      <c r="O1700">
        <v>-0.99990659999999998</v>
      </c>
      <c r="P1700">
        <v>0.14124639999999999</v>
      </c>
      <c r="Q1700">
        <v>3.3047899999999998E-2</v>
      </c>
      <c r="R1700">
        <v>-0.98942289999999999</v>
      </c>
      <c r="S1700">
        <v>0.30255130000000002</v>
      </c>
      <c r="T1700">
        <v>-0.18978310000000001</v>
      </c>
      <c r="U1700">
        <v>-2.9944920000000002</v>
      </c>
      <c r="V1700">
        <v>-0.1535736</v>
      </c>
      <c r="W1700">
        <v>3.7038740000000001E-2</v>
      </c>
      <c r="X1700">
        <v>0.98744279999999995</v>
      </c>
      <c r="Y1700">
        <v>-0.1119631</v>
      </c>
      <c r="Z1700">
        <v>6.2885689999999994E-2</v>
      </c>
      <c r="AA1700">
        <v>0.99172059999999995</v>
      </c>
      <c r="AB1700">
        <v>38</v>
      </c>
      <c r="AC1700">
        <v>1.7736999999999601</v>
      </c>
      <c r="AD1700">
        <v>-1.1116370362720001</v>
      </c>
      <c r="AE1700">
        <v>-17.161300000000001</v>
      </c>
      <c r="AF1700">
        <v>-1.96627386525363</v>
      </c>
      <c r="AG1700">
        <v>-1.1116370362720001</v>
      </c>
      <c r="AH1700">
        <v>17.068503994487902</v>
      </c>
      <c r="AI1700">
        <v>93.701881518438498</v>
      </c>
      <c r="AJ1700">
        <v>96.5714467784764</v>
      </c>
      <c r="AK1700">
        <v>17.217311010243101</v>
      </c>
      <c r="AL1700">
        <v>87.877351000554398</v>
      </c>
      <c r="AM1700">
        <v>98.840193506774796</v>
      </c>
      <c r="AN1700">
        <v>1.00000000107479</v>
      </c>
    </row>
    <row r="1701" spans="1:40" x14ac:dyDescent="0.3">
      <c r="A1701" t="str">
        <f>"20200111153906266"</f>
        <v>20200111153906266</v>
      </c>
      <c r="B1701" t="str">
        <f>"1578728346262125"</f>
        <v>1578728346262125</v>
      </c>
      <c r="C1701" t="s">
        <v>40</v>
      </c>
      <c r="D1701">
        <v>5.3347429999999996</v>
      </c>
      <c r="E1701">
        <v>0.51307320000000001</v>
      </c>
      <c r="F1701" t="s">
        <v>42</v>
      </c>
      <c r="G1701">
        <v>-489.97430000000003</v>
      </c>
      <c r="H1701" s="1">
        <v>-4.2687140000000003E-6</v>
      </c>
      <c r="I1701">
        <v>239.55549999999999</v>
      </c>
      <c r="J1701">
        <v>-491.71210000000002</v>
      </c>
      <c r="K1701">
        <v>1.1115090000000001</v>
      </c>
      <c r="L1701">
        <v>255.8168</v>
      </c>
      <c r="M1701">
        <v>-5.0033630000000003E-3</v>
      </c>
      <c r="N1701">
        <v>0</v>
      </c>
      <c r="O1701">
        <v>-0.99995990000000001</v>
      </c>
      <c r="P1701">
        <v>0.15059900000000001</v>
      </c>
      <c r="Q1701">
        <v>3.1942610000000003E-2</v>
      </c>
      <c r="R1701">
        <v>-0.98807900000000004</v>
      </c>
      <c r="S1701">
        <v>0.31320189999999998</v>
      </c>
      <c r="T1701">
        <v>-0.20023099999999999</v>
      </c>
      <c r="U1701">
        <v>-2.9940340000000001</v>
      </c>
      <c r="V1701">
        <v>-0.15626679999999901</v>
      </c>
      <c r="W1701">
        <v>3.6296330000000002E-2</v>
      </c>
      <c r="X1701">
        <v>0.98704769999999997</v>
      </c>
      <c r="Y1701">
        <v>-0.1087867</v>
      </c>
      <c r="Z1701">
        <v>6.6348110000000002E-2</v>
      </c>
      <c r="AA1701">
        <v>0.99184850000000002</v>
      </c>
      <c r="AB1701">
        <v>38</v>
      </c>
      <c r="AC1701">
        <v>1.73779999999999</v>
      </c>
      <c r="AD1701">
        <v>-1.1115132687139999</v>
      </c>
      <c r="AE1701">
        <v>-16.261299999999999</v>
      </c>
      <c r="AF1701">
        <v>-1.8107769476773501</v>
      </c>
      <c r="AG1701">
        <v>-1.1115132687139999</v>
      </c>
      <c r="AH1701">
        <v>16.177669991870701</v>
      </c>
      <c r="AI1701">
        <v>93.906106938097693</v>
      </c>
      <c r="AJ1701">
        <v>96.386570453239997</v>
      </c>
      <c r="AK1701">
        <v>16.316598336253801</v>
      </c>
      <c r="AL1701">
        <v>87.919916477750107</v>
      </c>
      <c r="AM1701">
        <v>98.996251386337207</v>
      </c>
      <c r="AN1701">
        <v>0.99999994921449797</v>
      </c>
    </row>
    <row r="1702" spans="1:40" x14ac:dyDescent="0.3">
      <c r="A1702" t="str">
        <f>"20200111153906290"</f>
        <v>20200111153906290</v>
      </c>
      <c r="B1702" t="str">
        <f>"1578728346282621"</f>
        <v>1578728346282621</v>
      </c>
      <c r="C1702" t="s">
        <v>40</v>
      </c>
      <c r="D1702">
        <v>5.2119260000000001</v>
      </c>
      <c r="E1702">
        <v>0.51206030000000002</v>
      </c>
      <c r="F1702" t="s">
        <v>42</v>
      </c>
      <c r="G1702">
        <v>-489.86590000000001</v>
      </c>
      <c r="H1702" s="1">
        <v>-4.1880259999999998E-6</v>
      </c>
      <c r="I1702">
        <v>239.33969999999999</v>
      </c>
      <c r="J1702">
        <v>-491.70830000000001</v>
      </c>
      <c r="K1702">
        <v>1.1113219999999999</v>
      </c>
      <c r="L1702">
        <v>255.41220000000001</v>
      </c>
      <c r="M1702">
        <v>2.2208240000000001E-3</v>
      </c>
      <c r="N1702">
        <v>0</v>
      </c>
      <c r="O1702">
        <v>-0.99996680000000004</v>
      </c>
      <c r="P1702">
        <v>0.160327</v>
      </c>
      <c r="Q1702">
        <v>3.123105E-2</v>
      </c>
      <c r="R1702">
        <v>-0.98656980000000005</v>
      </c>
      <c r="S1702">
        <v>0.33520509999999998</v>
      </c>
      <c r="T1702">
        <v>-0.20180890000000001</v>
      </c>
      <c r="U1702">
        <v>-2.9916230000000001</v>
      </c>
      <c r="V1702">
        <v>-0.15883429999999901</v>
      </c>
      <c r="W1702">
        <v>3.6035659999999997E-2</v>
      </c>
      <c r="X1702">
        <v>0.98664739999999995</v>
      </c>
      <c r="Y1702">
        <v>-0.1088943</v>
      </c>
      <c r="Z1702">
        <v>6.6896319999999995E-2</v>
      </c>
      <c r="AA1702">
        <v>0.99179980000000001</v>
      </c>
      <c r="AB1702">
        <v>38</v>
      </c>
      <c r="AC1702">
        <v>1.84239999999999</v>
      </c>
      <c r="AD1702">
        <v>-1.1113261880259999</v>
      </c>
      <c r="AE1702">
        <v>-16.072500000000002</v>
      </c>
      <c r="AF1702">
        <v>-1.7982144556625099</v>
      </c>
      <c r="AG1702">
        <v>-1.1113261880259999</v>
      </c>
      <c r="AH1702">
        <v>16.001043779571599</v>
      </c>
      <c r="AI1702">
        <v>93.948229556836495</v>
      </c>
      <c r="AJ1702">
        <v>96.4120577408397</v>
      </c>
      <c r="AK1702">
        <v>16.140075066755799</v>
      </c>
      <c r="AL1702">
        <v>87.934861646868697</v>
      </c>
      <c r="AM1702">
        <v>99.145232026300405</v>
      </c>
      <c r="AN1702">
        <v>0.99999999778744197</v>
      </c>
    </row>
    <row r="1703" spans="1:40" x14ac:dyDescent="0.3">
      <c r="A1703" t="str">
        <f>"20200111153906311"</f>
        <v>20200111153906311</v>
      </c>
      <c r="B1703" t="str">
        <f>"1578728346302144"</f>
        <v>1578728346302144</v>
      </c>
      <c r="C1703" t="s">
        <v>40</v>
      </c>
      <c r="D1703">
        <v>5.3270839999999904</v>
      </c>
      <c r="E1703">
        <v>0.46970400000000001</v>
      </c>
      <c r="F1703" t="s">
        <v>42</v>
      </c>
      <c r="G1703">
        <v>-489.69349999999997</v>
      </c>
      <c r="H1703" s="1">
        <v>-4.1730569999999998E-6</v>
      </c>
      <c r="I1703">
        <v>239.23349999999999</v>
      </c>
      <c r="J1703">
        <v>-491.7022</v>
      </c>
      <c r="K1703">
        <v>1.1111040000000001</v>
      </c>
      <c r="L1703">
        <v>255.03210000000001</v>
      </c>
      <c r="M1703">
        <v>8.6905569999999998E-3</v>
      </c>
      <c r="N1703">
        <v>0</v>
      </c>
      <c r="O1703">
        <v>-0.99992829999999999</v>
      </c>
      <c r="P1703">
        <v>0.1689504</v>
      </c>
      <c r="Q1703">
        <v>2.9464190000000001E-2</v>
      </c>
      <c r="R1703">
        <v>-0.98518419999999896</v>
      </c>
      <c r="S1703">
        <v>0.3719788</v>
      </c>
      <c r="T1703">
        <v>-0.20517279999999999</v>
      </c>
      <c r="U1703">
        <v>-2.9869080000000001</v>
      </c>
      <c r="V1703">
        <v>-0.16103239999999999</v>
      </c>
      <c r="W1703">
        <v>3.4716610000000002E-2</v>
      </c>
      <c r="X1703">
        <v>0.9863383</v>
      </c>
      <c r="Y1703">
        <v>-0.11466659999999999</v>
      </c>
      <c r="Z1703">
        <v>6.8037810000000004E-2</v>
      </c>
      <c r="AA1703">
        <v>0.99107129999999999</v>
      </c>
      <c r="AB1703">
        <v>39</v>
      </c>
      <c r="AC1703">
        <v>2.0087000000000299</v>
      </c>
      <c r="AD1703">
        <v>-1.111108173057</v>
      </c>
      <c r="AE1703">
        <v>-15.7986</v>
      </c>
      <c r="AF1703">
        <v>-1.86225620919822</v>
      </c>
      <c r="AG1703">
        <v>-1.111108173057</v>
      </c>
      <c r="AH1703">
        <v>15.7388509209747</v>
      </c>
      <c r="AI1703">
        <v>94.010300586276898</v>
      </c>
      <c r="AJ1703">
        <v>96.747991127738402</v>
      </c>
      <c r="AK1703">
        <v>15.887541907847099</v>
      </c>
      <c r="AL1703">
        <v>88.010484909231295</v>
      </c>
      <c r="AM1703">
        <v>99.272464596662203</v>
      </c>
      <c r="AN1703">
        <v>0.99999995945327003</v>
      </c>
    </row>
    <row r="1704" spans="1:40" x14ac:dyDescent="0.3">
      <c r="A1704" t="str">
        <f>"20200111153906335"</f>
        <v>20200111153906335</v>
      </c>
      <c r="B1704" t="str">
        <f>"1578728346332398"</f>
        <v>1578728346332398</v>
      </c>
      <c r="C1704" t="s">
        <v>40</v>
      </c>
      <c r="D1704">
        <v>5.2178100000000001</v>
      </c>
      <c r="E1704">
        <v>0.46768280000000001</v>
      </c>
      <c r="F1704" t="s">
        <v>42</v>
      </c>
      <c r="G1704">
        <v>-488.37</v>
      </c>
      <c r="H1704" s="1">
        <v>-1.1609599999999999E-6</v>
      </c>
      <c r="I1704">
        <v>241.66499999999999</v>
      </c>
      <c r="J1704">
        <v>-491.69369999999998</v>
      </c>
      <c r="K1704">
        <v>1.11083</v>
      </c>
      <c r="L1704">
        <v>254.63939999999999</v>
      </c>
      <c r="M1704">
        <v>1.501779E-2</v>
      </c>
      <c r="N1704">
        <v>0</v>
      </c>
      <c r="O1704">
        <v>-0.99985000000000002</v>
      </c>
      <c r="P1704">
        <v>0.176440299999999</v>
      </c>
      <c r="Q1704">
        <v>2.761719E-2</v>
      </c>
      <c r="R1704">
        <v>-0.98392409999999997</v>
      </c>
      <c r="S1704">
        <v>0.7297363</v>
      </c>
      <c r="T1704">
        <v>-0.24332090000000001</v>
      </c>
      <c r="U1704">
        <v>-2.9272610000000001</v>
      </c>
      <c r="V1704">
        <v>-0.16224229999999901</v>
      </c>
      <c r="W1704">
        <v>3.3368420000000003E-2</v>
      </c>
      <c r="X1704">
        <v>0.98618660000000002</v>
      </c>
      <c r="Y1704">
        <v>-0.22650239999999999</v>
      </c>
      <c r="Z1704">
        <v>8.0522679999999999E-2</v>
      </c>
      <c r="AA1704">
        <v>0.97067639999999999</v>
      </c>
      <c r="AB1704">
        <v>39</v>
      </c>
      <c r="AC1704">
        <v>3.3236999999999699</v>
      </c>
      <c r="AD1704">
        <v>-1.1108311609599999</v>
      </c>
      <c r="AE1704">
        <v>-12.974399999999999</v>
      </c>
      <c r="AF1704">
        <v>-3.1070977555123598</v>
      </c>
      <c r="AG1704">
        <v>-1.1108311609599999</v>
      </c>
      <c r="AH1704">
        <v>12.933882702048299</v>
      </c>
      <c r="AI1704">
        <v>94.773664689120594</v>
      </c>
      <c r="AJ1704">
        <v>103.508155729108</v>
      </c>
      <c r="AK1704">
        <v>13.348158078207399</v>
      </c>
      <c r="AL1704">
        <v>88.087775415697195</v>
      </c>
      <c r="AM1704">
        <v>99.342320364632997</v>
      </c>
      <c r="AN1704">
        <v>1.00000001269107</v>
      </c>
    </row>
    <row r="1705" spans="1:40" x14ac:dyDescent="0.3">
      <c r="A1705" t="str">
        <f>"20200111153906356"</f>
        <v>20200111153906356</v>
      </c>
      <c r="B1705" t="str">
        <f>"1578728346351918"</f>
        <v>1578728346351918</v>
      </c>
      <c r="C1705" t="s">
        <v>40</v>
      </c>
      <c r="D1705">
        <v>5.1806979999999996</v>
      </c>
      <c r="E1705">
        <v>0.46851340000000002</v>
      </c>
      <c r="F1705" t="s">
        <v>42</v>
      </c>
      <c r="G1705">
        <v>-488.33150000000001</v>
      </c>
      <c r="H1705" s="1">
        <v>-1.245339E-6</v>
      </c>
      <c r="I1705">
        <v>241.8458</v>
      </c>
      <c r="J1705">
        <v>-491.68360000000001</v>
      </c>
      <c r="K1705">
        <v>1.1105529999999999</v>
      </c>
      <c r="L1705">
        <v>254.27209999999999</v>
      </c>
      <c r="M1705">
        <v>2.056082E-2</v>
      </c>
      <c r="N1705">
        <v>0</v>
      </c>
      <c r="O1705">
        <v>-0.99974779999999996</v>
      </c>
      <c r="P1705">
        <v>0.18199360000000001</v>
      </c>
      <c r="Q1705">
        <v>2.485333E-2</v>
      </c>
      <c r="R1705">
        <v>-0.98298560000000001</v>
      </c>
      <c r="S1705">
        <v>0.76702879999999996</v>
      </c>
      <c r="T1705">
        <v>-0.2534169</v>
      </c>
      <c r="U1705">
        <v>-2.9186399999999999</v>
      </c>
      <c r="V1705">
        <v>-0.16227730000000001</v>
      </c>
      <c r="W1705">
        <v>3.1101759999999999E-2</v>
      </c>
      <c r="X1705">
        <v>0.98625490000000005</v>
      </c>
      <c r="Y1705">
        <v>-0.23333789999999999</v>
      </c>
      <c r="Z1705">
        <v>8.3867300000000006E-2</v>
      </c>
      <c r="AA1705">
        <v>0.96877230000000003</v>
      </c>
      <c r="AB1705">
        <v>39</v>
      </c>
      <c r="AC1705">
        <v>3.3521000000000001</v>
      </c>
      <c r="AD1705">
        <v>-1.1105542453389901</v>
      </c>
      <c r="AE1705">
        <v>-12.4262999999999</v>
      </c>
      <c r="AF1705">
        <v>-3.0730061483182798</v>
      </c>
      <c r="AG1705">
        <v>-1.1105542453389901</v>
      </c>
      <c r="AH1705">
        <v>12.4002723722051</v>
      </c>
      <c r="AI1705">
        <v>94.968193306297806</v>
      </c>
      <c r="AJ1705">
        <v>103.918498073943</v>
      </c>
      <c r="AK1705">
        <v>12.823550694886199</v>
      </c>
      <c r="AL1705">
        <v>88.217712970297598</v>
      </c>
      <c r="AM1705">
        <v>99.343664511545896</v>
      </c>
      <c r="AN1705">
        <v>0.99999998467219797</v>
      </c>
    </row>
    <row r="1706" spans="1:40" x14ac:dyDescent="0.3">
      <c r="A1706" t="str">
        <f>"20200111153906380"</f>
        <v>20200111153906380</v>
      </c>
      <c r="B1706" t="str">
        <f>"1578728346372413"</f>
        <v>1578728346372413</v>
      </c>
      <c r="C1706" t="s">
        <v>40</v>
      </c>
      <c r="D1706">
        <v>5.1769699999999998</v>
      </c>
      <c r="E1706">
        <v>0.46920770000000001</v>
      </c>
      <c r="F1706" t="s">
        <v>42</v>
      </c>
      <c r="G1706">
        <v>-488.39510000000001</v>
      </c>
      <c r="H1706" s="1">
        <v>-1.2689E-6</v>
      </c>
      <c r="I1706">
        <v>241.92699999999999</v>
      </c>
      <c r="J1706">
        <v>-491.67009999999999</v>
      </c>
      <c r="K1706">
        <v>1.1102609999999999</v>
      </c>
      <c r="L1706">
        <v>253.86439999999999</v>
      </c>
      <c r="M1706">
        <v>2.6367729999999999E-2</v>
      </c>
      <c r="N1706">
        <v>0</v>
      </c>
      <c r="O1706">
        <v>-0.99960769999999999</v>
      </c>
      <c r="P1706">
        <v>0.18640329999999999</v>
      </c>
      <c r="Q1706">
        <v>2.3667250000000001E-2</v>
      </c>
      <c r="R1706">
        <v>-0.98218839999999996</v>
      </c>
      <c r="S1706">
        <v>0.77642819999999901</v>
      </c>
      <c r="T1706">
        <v>-0.26220959999999899</v>
      </c>
      <c r="U1706">
        <v>-2.9147639999999999</v>
      </c>
      <c r="V1706">
        <v>-0.1609362</v>
      </c>
      <c r="W1706">
        <v>3.046453E-2</v>
      </c>
      <c r="X1706">
        <v>0.98649450000000005</v>
      </c>
      <c r="Y1706">
        <v>-0.2308607</v>
      </c>
      <c r="Z1706">
        <v>8.6839040000000006E-2</v>
      </c>
      <c r="AA1706">
        <v>0.96910390000000002</v>
      </c>
      <c r="AB1706">
        <v>39</v>
      </c>
      <c r="AC1706">
        <v>3.2749999999999702</v>
      </c>
      <c r="AD1706">
        <v>-1.1102622688999999</v>
      </c>
      <c r="AE1706">
        <v>-11.937399999999901</v>
      </c>
      <c r="AF1706">
        <v>-2.9354697608963098</v>
      </c>
      <c r="AG1706">
        <v>-1.1102622688999999</v>
      </c>
      <c r="AH1706">
        <v>11.9236835986319</v>
      </c>
      <c r="AI1706">
        <v>95.166315790529197</v>
      </c>
      <c r="AJ1706">
        <v>103.83050483614301</v>
      </c>
      <c r="AK1706">
        <v>12.3297970617185</v>
      </c>
      <c r="AL1706">
        <v>88.254240852246596</v>
      </c>
      <c r="AM1706">
        <v>99.265579523665096</v>
      </c>
      <c r="AN1706">
        <v>0.99999997329440504</v>
      </c>
    </row>
    <row r="1707" spans="1:40" x14ac:dyDescent="0.3">
      <c r="A1707" t="str">
        <f>"20200111153906402"</f>
        <v>20200111153906402</v>
      </c>
      <c r="B1707" t="str">
        <f>"1578728346391934"</f>
        <v>1578728346391934</v>
      </c>
      <c r="C1707" t="s">
        <v>40</v>
      </c>
      <c r="D1707">
        <v>5.219201</v>
      </c>
      <c r="E1707">
        <v>0.47012409999999999</v>
      </c>
      <c r="F1707" t="s">
        <v>42</v>
      </c>
      <c r="G1707">
        <v>-488.4049</v>
      </c>
      <c r="H1707" s="1">
        <v>-1.1829909999999999E-6</v>
      </c>
      <c r="I1707">
        <v>241.73079999999999</v>
      </c>
      <c r="J1707">
        <v>-491.6558</v>
      </c>
      <c r="K1707">
        <v>1.110006</v>
      </c>
      <c r="L1707">
        <v>253.48509999999999</v>
      </c>
      <c r="M1707">
        <v>3.1448419999999998E-2</v>
      </c>
      <c r="N1707">
        <v>0</v>
      </c>
      <c r="O1707">
        <v>-0.99945729999999999</v>
      </c>
      <c r="P1707">
        <v>0.18951080000000001</v>
      </c>
      <c r="Q1707">
        <v>2.3744810000000002E-2</v>
      </c>
      <c r="R1707">
        <v>-0.98159169999999996</v>
      </c>
      <c r="S1707">
        <v>0.78366089999999999</v>
      </c>
      <c r="T1707">
        <v>-0.26646720000000002</v>
      </c>
      <c r="U1707">
        <v>-2.9121090000000001</v>
      </c>
      <c r="V1707">
        <v>-0.15902749999999999</v>
      </c>
      <c r="W1707">
        <v>3.1050290000000001E-2</v>
      </c>
      <c r="X1707">
        <v>0.98678580000000005</v>
      </c>
      <c r="Y1707">
        <v>-0.22834769999999999</v>
      </c>
      <c r="Z1707">
        <v>8.8294319999999996E-2</v>
      </c>
      <c r="AA1707">
        <v>0.96956770000000003</v>
      </c>
      <c r="AB1707">
        <v>39</v>
      </c>
      <c r="AC1707">
        <v>3.2509000000000001</v>
      </c>
      <c r="AD1707">
        <v>-1.1100071829909901</v>
      </c>
      <c r="AE1707">
        <v>-11.754300000000001</v>
      </c>
      <c r="AF1707">
        <v>-2.85596076881294</v>
      </c>
      <c r="AG1707">
        <v>-1.1100071829909901</v>
      </c>
      <c r="AH1707">
        <v>11.7533595961927</v>
      </c>
      <c r="AI1707">
        <v>95.243418100083005</v>
      </c>
      <c r="AJ1707">
        <v>103.657661983282</v>
      </c>
      <c r="AK1707">
        <v>12.146196509883501</v>
      </c>
      <c r="AL1707">
        <v>88.2206635087839</v>
      </c>
      <c r="AM1707">
        <v>99.154905193147599</v>
      </c>
      <c r="AN1707">
        <v>1.0000000406734799</v>
      </c>
    </row>
    <row r="1708" spans="1:40" x14ac:dyDescent="0.3">
      <c r="A1708" t="str">
        <f>"20200111153906426"</f>
        <v>20200111153906426</v>
      </c>
      <c r="B1708" t="str">
        <f>"1578728346422190"</f>
        <v>1578728346422190</v>
      </c>
      <c r="C1708" t="s">
        <v>40</v>
      </c>
      <c r="D1708">
        <v>5.1425799999999997</v>
      </c>
      <c r="E1708">
        <v>0.47154770000000001</v>
      </c>
      <c r="F1708" t="s">
        <v>42</v>
      </c>
      <c r="G1708">
        <v>-488.35309999999998</v>
      </c>
      <c r="H1708" s="1">
        <v>-9.8375129999999996E-7</v>
      </c>
      <c r="I1708">
        <v>241.2449</v>
      </c>
      <c r="J1708">
        <v>-491.63830000000002</v>
      </c>
      <c r="K1708">
        <v>1.1097300000000001</v>
      </c>
      <c r="L1708">
        <v>253.0745</v>
      </c>
      <c r="M1708">
        <v>3.658028E-2</v>
      </c>
      <c r="N1708">
        <v>0</v>
      </c>
      <c r="O1708">
        <v>-0.99927869999999996</v>
      </c>
      <c r="P1708">
        <v>0.19309319999999999</v>
      </c>
      <c r="Q1708">
        <v>2.3527780000000002E-2</v>
      </c>
      <c r="R1708">
        <v>-0.98089839999999995</v>
      </c>
      <c r="S1708">
        <v>0.78546139999999998</v>
      </c>
      <c r="T1708">
        <v>-0.26398529999999998</v>
      </c>
      <c r="U1708">
        <v>-2.9109950000000002</v>
      </c>
      <c r="V1708">
        <v>-0.1575397</v>
      </c>
      <c r="W1708">
        <v>3.1377710000000003E-2</v>
      </c>
      <c r="X1708">
        <v>0.98701399999999995</v>
      </c>
      <c r="Y1708">
        <v>-0.22401689999999999</v>
      </c>
      <c r="Z1708">
        <v>8.7525240000000004E-2</v>
      </c>
      <c r="AA1708">
        <v>0.97064709999999998</v>
      </c>
      <c r="AB1708">
        <v>39</v>
      </c>
      <c r="AC1708">
        <v>3.2852000000000299</v>
      </c>
      <c r="AD1708">
        <v>-1.1097309837513001</v>
      </c>
      <c r="AE1708">
        <v>-11.829599999999999</v>
      </c>
      <c r="AF1708">
        <v>-2.8271502271682998</v>
      </c>
      <c r="AG1708">
        <v>-1.1097309837513001</v>
      </c>
      <c r="AH1708">
        <v>11.845085490506699</v>
      </c>
      <c r="AI1708">
        <v>95.206832799737199</v>
      </c>
      <c r="AJ1708">
        <v>103.424041360492</v>
      </c>
      <c r="AK1708">
        <v>12.2282595466685</v>
      </c>
      <c r="AL1708">
        <v>88.201894465125903</v>
      </c>
      <c r="AM1708">
        <v>99.068623605505906</v>
      </c>
      <c r="AN1708">
        <v>0.99999997697846599</v>
      </c>
    </row>
    <row r="1709" spans="1:40" x14ac:dyDescent="0.3">
      <c r="A1709" t="str">
        <f>"20200111153906446"</f>
        <v>20200111153906446</v>
      </c>
      <c r="B1709" t="str">
        <f>"1578728346442686"</f>
        <v>1578728346442686</v>
      </c>
      <c r="C1709" t="s">
        <v>40</v>
      </c>
      <c r="D1709">
        <v>5.1778719999999998</v>
      </c>
      <c r="E1709">
        <v>0.47215279999999998</v>
      </c>
      <c r="F1709" t="s">
        <v>42</v>
      </c>
      <c r="G1709">
        <v>-488.36189999999999</v>
      </c>
      <c r="H1709" s="1">
        <v>-8.698178E-7</v>
      </c>
      <c r="I1709">
        <v>240.92330000000001</v>
      </c>
      <c r="J1709">
        <v>-491.6225</v>
      </c>
      <c r="K1709">
        <v>1.109486</v>
      </c>
      <c r="L1709">
        <v>252.73560000000001</v>
      </c>
      <c r="M1709">
        <v>4.0525270000000002E-2</v>
      </c>
      <c r="N1709">
        <v>0</v>
      </c>
      <c r="O1709">
        <v>-0.99912290000000004</v>
      </c>
      <c r="P1709">
        <v>0.19623640000000001</v>
      </c>
      <c r="Q1709">
        <v>2.2534559999999999E-2</v>
      </c>
      <c r="R1709">
        <v>-0.98029770000000005</v>
      </c>
      <c r="S1709">
        <v>0.78472900000000001</v>
      </c>
      <c r="T1709">
        <v>-0.26578940000000001</v>
      </c>
      <c r="U1709">
        <v>-2.9103240000000001</v>
      </c>
      <c r="V1709">
        <v>-0.15677559999999999</v>
      </c>
      <c r="W1709">
        <v>3.0835810000000002E-2</v>
      </c>
      <c r="X1709">
        <v>0.98715280000000005</v>
      </c>
      <c r="Y1709">
        <v>-0.21998200000000001</v>
      </c>
      <c r="Z1709">
        <v>8.8161749999999997E-2</v>
      </c>
      <c r="AA1709">
        <v>0.97151200000000004</v>
      </c>
      <c r="AB1709">
        <v>39</v>
      </c>
      <c r="AC1709">
        <v>3.2606000000000099</v>
      </c>
      <c r="AD1709">
        <v>-1.1094868698178</v>
      </c>
      <c r="AE1709">
        <v>-11.812299999999899</v>
      </c>
      <c r="AF1709">
        <v>-2.7566005254334298</v>
      </c>
      <c r="AG1709">
        <v>-1.1094868698178</v>
      </c>
      <c r="AH1709">
        <v>11.8376991033835</v>
      </c>
      <c r="AI1709">
        <v>95.215651668293305</v>
      </c>
      <c r="AJ1709">
        <v>103.108639249212</v>
      </c>
      <c r="AK1709">
        <v>12.204955044299201</v>
      </c>
      <c r="AL1709">
        <v>88.232958198955501</v>
      </c>
      <c r="AM1709">
        <v>99.024116491587193</v>
      </c>
      <c r="AN1709">
        <v>1.0000000432407701</v>
      </c>
    </row>
    <row r="1710" spans="1:40" x14ac:dyDescent="0.3">
      <c r="A1710" t="str">
        <f>"20200111153906469"</f>
        <v>20200111153906469</v>
      </c>
      <c r="B1710" t="str">
        <f>"1578728346462206"</f>
        <v>1578728346462206</v>
      </c>
      <c r="C1710" t="s">
        <v>40</v>
      </c>
      <c r="D1710">
        <v>5.1610969999999998</v>
      </c>
      <c r="E1710">
        <v>0.47280840000000002</v>
      </c>
      <c r="F1710" t="s">
        <v>42</v>
      </c>
      <c r="G1710">
        <v>-488.37880000000001</v>
      </c>
      <c r="H1710" s="1">
        <v>-8.1575679999999998E-7</v>
      </c>
      <c r="I1710">
        <v>240.77760000000001</v>
      </c>
      <c r="J1710">
        <v>-491.60289999999998</v>
      </c>
      <c r="K1710">
        <v>1.1091819999999999</v>
      </c>
      <c r="L1710">
        <v>252.34620000000001</v>
      </c>
      <c r="M1710">
        <v>4.4737039999999999E-2</v>
      </c>
      <c r="N1710">
        <v>0</v>
      </c>
      <c r="O1710">
        <v>-0.99893929999999997</v>
      </c>
      <c r="P1710">
        <v>0.2004368</v>
      </c>
      <c r="Q1710">
        <v>2.18123E-2</v>
      </c>
      <c r="R1710">
        <v>-0.97946390000000005</v>
      </c>
      <c r="S1710">
        <v>0.78897090000000003</v>
      </c>
      <c r="T1710">
        <v>-0.26986399999999999</v>
      </c>
      <c r="U1710">
        <v>-2.908569</v>
      </c>
      <c r="V1710">
        <v>-0.15681439999999999</v>
      </c>
      <c r="W1710">
        <v>3.0619899999999999E-2</v>
      </c>
      <c r="X1710">
        <v>0.98715339999999996</v>
      </c>
      <c r="Y1710">
        <v>-0.21730479999999999</v>
      </c>
      <c r="Z1710">
        <v>8.9540300000000003E-2</v>
      </c>
      <c r="AA1710">
        <v>0.97198830000000003</v>
      </c>
      <c r="AB1710">
        <v>39</v>
      </c>
      <c r="AC1710">
        <v>3.22409999999996</v>
      </c>
      <c r="AD1710">
        <v>-1.1091828157568</v>
      </c>
      <c r="AE1710">
        <v>-11.5686</v>
      </c>
      <c r="AF1710">
        <v>-2.6804313651207101</v>
      </c>
      <c r="AG1710">
        <v>-1.1091828157568</v>
      </c>
      <c r="AH1710">
        <v>11.6022916210354</v>
      </c>
      <c r="AI1710">
        <v>95.321567312032201</v>
      </c>
      <c r="AJ1710">
        <v>103.008585543401</v>
      </c>
      <c r="AK1710">
        <v>11.959438518653</v>
      </c>
      <c r="AL1710">
        <v>88.245334847384697</v>
      </c>
      <c r="AM1710">
        <v>99.026307686653496</v>
      </c>
      <c r="AN1710">
        <v>1.0000000847274599</v>
      </c>
    </row>
    <row r="1711" spans="1:40" x14ac:dyDescent="0.3">
      <c r="A1711" t="str">
        <f>"20200111153906491"</f>
        <v>20200111153906491</v>
      </c>
      <c r="B1711" t="str">
        <f>"1578728346482702"</f>
        <v>1578728346482702</v>
      </c>
      <c r="C1711" t="s">
        <v>40</v>
      </c>
      <c r="D1711">
        <v>5.1944429999999997</v>
      </c>
      <c r="E1711">
        <v>0.4734198</v>
      </c>
      <c r="F1711" t="s">
        <v>42</v>
      </c>
      <c r="G1711">
        <v>-488.34460000000001</v>
      </c>
      <c r="H1711" s="1">
        <v>-7.1222040000000003E-7</v>
      </c>
      <c r="I1711">
        <v>240.44659999999999</v>
      </c>
      <c r="J1711">
        <v>-491.58159999999998</v>
      </c>
      <c r="K1711">
        <v>1.1088530000000001</v>
      </c>
      <c r="L1711">
        <v>251.95140000000001</v>
      </c>
      <c r="M1711">
        <v>4.8653160000000001E-2</v>
      </c>
      <c r="N1711">
        <v>0</v>
      </c>
      <c r="O1711">
        <v>-0.99875190000000003</v>
      </c>
      <c r="P1711">
        <v>0.20451910000000001</v>
      </c>
      <c r="Q1711">
        <v>2.0399259999999999E-2</v>
      </c>
      <c r="R1711">
        <v>-0.97865000000000002</v>
      </c>
      <c r="S1711">
        <v>0.79574579999999995</v>
      </c>
      <c r="T1711">
        <v>-0.27088319999999999</v>
      </c>
      <c r="U1711">
        <v>-2.9060969999999999</v>
      </c>
      <c r="V1711">
        <v>-0.15701909999999999</v>
      </c>
      <c r="W1711">
        <v>2.9713369999999999E-2</v>
      </c>
      <c r="X1711">
        <v>0.98714849999999998</v>
      </c>
      <c r="Y1711">
        <v>-0.21578749999999999</v>
      </c>
      <c r="Z1711">
        <v>8.9912560000000002E-2</v>
      </c>
      <c r="AA1711">
        <v>0.97229189999999999</v>
      </c>
      <c r="AB1711">
        <v>38</v>
      </c>
      <c r="AC1711">
        <v>3.2369999999999601</v>
      </c>
      <c r="AD1711">
        <v>-1.1088537122204001</v>
      </c>
      <c r="AE1711">
        <v>-11.504799999999999</v>
      </c>
      <c r="AF1711">
        <v>-2.65056933815158</v>
      </c>
      <c r="AG1711">
        <v>-1.1088537122204001</v>
      </c>
      <c r="AH1711">
        <v>11.5492576680642</v>
      </c>
      <c r="AI1711">
        <v>95.346057462372002</v>
      </c>
      <c r="AJ1711">
        <v>102.925622279625</v>
      </c>
      <c r="AK1711">
        <v>11.9012783790144</v>
      </c>
      <c r="AL1711">
        <v>88.297298729895004</v>
      </c>
      <c r="AM1711">
        <v>99.037940074611996</v>
      </c>
      <c r="AN1711">
        <v>1.0000000215869</v>
      </c>
    </row>
    <row r="1712" spans="1:40" x14ac:dyDescent="0.3">
      <c r="A1712" t="str">
        <f>"20200111153906514"</f>
        <v>20200111153906514</v>
      </c>
      <c r="B1712" t="str">
        <f>"1578728346502221"</f>
        <v>1578728346502221</v>
      </c>
      <c r="C1712" t="s">
        <v>40</v>
      </c>
      <c r="D1712">
        <v>5.215077</v>
      </c>
      <c r="E1712">
        <v>0.47396050000000001</v>
      </c>
      <c r="F1712" t="s">
        <v>42</v>
      </c>
      <c r="G1712">
        <v>-488.33580000000001</v>
      </c>
      <c r="H1712" s="1">
        <v>-6.3762809999999896E-7</v>
      </c>
      <c r="I1712">
        <v>240.22049999999999</v>
      </c>
      <c r="J1712">
        <v>-491.55930000000001</v>
      </c>
      <c r="K1712">
        <v>1.108509</v>
      </c>
      <c r="L1712">
        <v>251.56219999999999</v>
      </c>
      <c r="M1712">
        <v>5.2147789999999999E-2</v>
      </c>
      <c r="N1712">
        <v>0</v>
      </c>
      <c r="O1712">
        <v>-0.9985716</v>
      </c>
      <c r="P1712">
        <v>0.2086643</v>
      </c>
      <c r="Q1712">
        <v>1.818956E-2</v>
      </c>
      <c r="R1712">
        <v>-0.97781839999999998</v>
      </c>
      <c r="S1712">
        <v>0.80331419999999998</v>
      </c>
      <c r="T1712">
        <v>-0.27443050000000002</v>
      </c>
      <c r="U1712">
        <v>-2.9032749999999998</v>
      </c>
      <c r="V1712">
        <v>-0.15769720000000001</v>
      </c>
      <c r="W1712">
        <v>2.7984129999999999E-2</v>
      </c>
      <c r="X1712">
        <v>0.98709089999999999</v>
      </c>
      <c r="Y1712">
        <v>-0.21493870000000001</v>
      </c>
      <c r="Z1712">
        <v>9.1118450000000004E-2</v>
      </c>
      <c r="AA1712">
        <v>0.9723676</v>
      </c>
      <c r="AB1712">
        <v>38</v>
      </c>
      <c r="AC1712">
        <v>3.2235</v>
      </c>
      <c r="AD1712">
        <v>-1.1085096376281001</v>
      </c>
      <c r="AE1712">
        <v>-11.341699999999999</v>
      </c>
      <c r="AF1712">
        <v>-2.6046076144565</v>
      </c>
      <c r="AG1712">
        <v>-1.1085096376281001</v>
      </c>
      <c r="AH1712">
        <v>11.393671309529299</v>
      </c>
      <c r="AI1712">
        <v>95.41801241025</v>
      </c>
      <c r="AJ1712">
        <v>102.87662588600099</v>
      </c>
      <c r="AK1712">
        <v>11.740039197191299</v>
      </c>
      <c r="AL1712">
        <v>88.396418084504603</v>
      </c>
      <c r="AM1712">
        <v>99.076843642505906</v>
      </c>
      <c r="AN1712">
        <v>0.99999998164125303</v>
      </c>
    </row>
    <row r="1713" spans="1:40" x14ac:dyDescent="0.3">
      <c r="A1713" t="str">
        <f>"20200111153906534"</f>
        <v>20200111153906534</v>
      </c>
      <c r="B1713" t="str">
        <f>"1578728346532480"</f>
        <v>1578728346532480</v>
      </c>
      <c r="C1713" t="s">
        <v>40</v>
      </c>
      <c r="D1713">
        <v>5.2250779999999999</v>
      </c>
      <c r="E1713">
        <v>0.4748502</v>
      </c>
      <c r="F1713" t="s">
        <v>42</v>
      </c>
      <c r="G1713">
        <v>-488.35770000000002</v>
      </c>
      <c r="H1713" s="1">
        <v>-5.9220799999999897E-7</v>
      </c>
      <c r="I1713">
        <v>240.10419999999999</v>
      </c>
      <c r="J1713">
        <v>-491.53890000000001</v>
      </c>
      <c r="K1713">
        <v>1.108177</v>
      </c>
      <c r="L1713">
        <v>251.22030000000001</v>
      </c>
      <c r="M1713">
        <v>5.4872990000000003E-2</v>
      </c>
      <c r="N1713">
        <v>0</v>
      </c>
      <c r="O1713">
        <v>-0.99842220000000004</v>
      </c>
      <c r="P1713">
        <v>0.21176790000000001</v>
      </c>
      <c r="Q1713">
        <v>1.6483680000000001E-2</v>
      </c>
      <c r="R1713">
        <v>-0.97718090000000002</v>
      </c>
      <c r="S1713">
        <v>0.81042479999999995</v>
      </c>
      <c r="T1713">
        <v>-0.28059489999999998</v>
      </c>
      <c r="U1713">
        <v>-2.9003299999999999</v>
      </c>
      <c r="V1713">
        <v>-0.15809779999999901</v>
      </c>
      <c r="W1713">
        <v>2.6684759999999998E-2</v>
      </c>
      <c r="X1713">
        <v>0.98706280000000002</v>
      </c>
      <c r="Y1713">
        <v>-0.2146885</v>
      </c>
      <c r="Z1713">
        <v>9.3189859999999999E-2</v>
      </c>
      <c r="AA1713">
        <v>0.97222660000000005</v>
      </c>
      <c r="AB1713">
        <v>38</v>
      </c>
      <c r="AC1713">
        <v>3.1811999999999898</v>
      </c>
      <c r="AD1713">
        <v>-1.1081775922079999</v>
      </c>
      <c r="AE1713">
        <v>-11.116099999999999</v>
      </c>
      <c r="AF1713">
        <v>-2.54302905503874</v>
      </c>
      <c r="AG1713">
        <v>-1.1081775922079999</v>
      </c>
      <c r="AH1713">
        <v>11.171304032901601</v>
      </c>
      <c r="AI1713">
        <v>95.524698451275199</v>
      </c>
      <c r="AJ1713">
        <v>102.824241940451</v>
      </c>
      <c r="AK1713">
        <v>11.510564197560701</v>
      </c>
      <c r="AL1713">
        <v>88.470894335593101</v>
      </c>
      <c r="AM1713">
        <v>99.099771069397704</v>
      </c>
      <c r="AN1713">
        <v>0.999999980962468</v>
      </c>
    </row>
    <row r="1714" spans="1:40" x14ac:dyDescent="0.3">
      <c r="A1714" t="str">
        <f>"20200111153906557"</f>
        <v>20200111153906557</v>
      </c>
      <c r="B1714" t="str">
        <f>"1578728346551998"</f>
        <v>1578728346551998</v>
      </c>
      <c r="C1714" t="s">
        <v>40</v>
      </c>
      <c r="D1714">
        <v>5.2902100000000001</v>
      </c>
      <c r="E1714">
        <v>0.50163840000000004</v>
      </c>
      <c r="F1714" t="s">
        <v>42</v>
      </c>
      <c r="G1714">
        <v>-488.37380000000002</v>
      </c>
      <c r="H1714" s="1">
        <v>-5.3068560000000002E-7</v>
      </c>
      <c r="I1714">
        <v>239.93600000000001</v>
      </c>
      <c r="J1714">
        <v>-491.51490000000001</v>
      </c>
      <c r="K1714">
        <v>1.107783</v>
      </c>
      <c r="L1714">
        <v>250.83269999999999</v>
      </c>
      <c r="M1714">
        <v>5.7547670000000002E-2</v>
      </c>
      <c r="N1714">
        <v>0</v>
      </c>
      <c r="O1714">
        <v>-0.99826820000000005</v>
      </c>
      <c r="P1714">
        <v>0.21340680000000001</v>
      </c>
      <c r="Q1714">
        <v>1.4699729999999999E-2</v>
      </c>
      <c r="R1714">
        <v>-0.97685299999999997</v>
      </c>
      <c r="S1714">
        <v>0.81304929999999997</v>
      </c>
      <c r="T1714">
        <v>-0.284665</v>
      </c>
      <c r="U1714">
        <v>-2.898682</v>
      </c>
      <c r="V1714">
        <v>-0.15706579999999901</v>
      </c>
      <c r="W1714">
        <v>2.5353400000000002E-2</v>
      </c>
      <c r="X1714">
        <v>0.98726270000000005</v>
      </c>
      <c r="Y1714">
        <v>-0.2129964</v>
      </c>
      <c r="Z1714">
        <v>9.4565670000000004E-2</v>
      </c>
      <c r="AA1714">
        <v>0.97246589999999999</v>
      </c>
      <c r="AB1714">
        <v>38</v>
      </c>
      <c r="AC1714">
        <v>3.14109999999999</v>
      </c>
      <c r="AD1714">
        <v>-1.1077835306856001</v>
      </c>
      <c r="AE1714">
        <v>-10.896699999999999</v>
      </c>
      <c r="AF1714">
        <v>-2.4850541411736802</v>
      </c>
      <c r="AG1714">
        <v>-1.1077835306856001</v>
      </c>
      <c r="AH1714">
        <v>10.9548804705984</v>
      </c>
      <c r="AI1714">
        <v>95.6321195006946</v>
      </c>
      <c r="AJ1714">
        <v>102.78093217858</v>
      </c>
      <c r="AK1714">
        <v>11.28769615823</v>
      </c>
      <c r="AL1714">
        <v>88.547201585527503</v>
      </c>
      <c r="AM1714">
        <v>99.039555228667297</v>
      </c>
      <c r="AN1714">
        <v>1.00000004961624</v>
      </c>
    </row>
    <row r="1715" spans="1:40" x14ac:dyDescent="0.3">
      <c r="A1715" t="str">
        <f>"20200111153906581"</f>
        <v>20200111153906581</v>
      </c>
      <c r="B1715" t="str">
        <f>"1578728346572494"</f>
        <v>1578728346572494</v>
      </c>
      <c r="C1715" t="s">
        <v>40</v>
      </c>
      <c r="D1715">
        <v>5.5201659999999997</v>
      </c>
      <c r="E1715">
        <v>0.5588533</v>
      </c>
      <c r="F1715" t="s">
        <v>42</v>
      </c>
      <c r="G1715">
        <v>-488.48649999999998</v>
      </c>
      <c r="H1715" s="1">
        <v>-3.118506E-6</v>
      </c>
      <c r="I1715">
        <v>236.27629999999999</v>
      </c>
      <c r="J1715">
        <v>-491.48899999999998</v>
      </c>
      <c r="K1715">
        <v>1.107359</v>
      </c>
      <c r="L1715">
        <v>250.42590000000001</v>
      </c>
      <c r="M1715">
        <v>5.9915070000000001E-2</v>
      </c>
      <c r="N1715">
        <v>0</v>
      </c>
      <c r="O1715">
        <v>-0.9981257</v>
      </c>
      <c r="P1715">
        <v>0.21476880000000001</v>
      </c>
      <c r="Q1715">
        <v>1.367264E-2</v>
      </c>
      <c r="R1715">
        <v>-0.97656920000000003</v>
      </c>
      <c r="S1715">
        <v>0.61181640000000004</v>
      </c>
      <c r="T1715">
        <v>-0.22380359999999999</v>
      </c>
      <c r="U1715">
        <v>-2.9407960000000002</v>
      </c>
      <c r="V1715">
        <v>-0.1560657</v>
      </c>
      <c r="W1715">
        <v>2.47666E-2</v>
      </c>
      <c r="X1715">
        <v>0.98743610000000004</v>
      </c>
      <c r="Y1715">
        <v>-0.14408760000000001</v>
      </c>
      <c r="Z1715">
        <v>7.4491509999999997E-2</v>
      </c>
      <c r="AA1715">
        <v>0.9867572</v>
      </c>
      <c r="AB1715">
        <v>38</v>
      </c>
      <c r="AC1715">
        <v>3.0025000000000501</v>
      </c>
      <c r="AD1715">
        <v>-1.1073621185060001</v>
      </c>
      <c r="AE1715">
        <v>-14.1496</v>
      </c>
      <c r="AF1715">
        <v>-2.1367418054463698</v>
      </c>
      <c r="AG1715">
        <v>-1.1073621185060001</v>
      </c>
      <c r="AH1715">
        <v>14.2207388216264</v>
      </c>
      <c r="AI1715">
        <v>94.403378009739995</v>
      </c>
      <c r="AJ1715">
        <v>98.545072492096395</v>
      </c>
      <c r="AK1715">
        <v>14.4229445342328</v>
      </c>
      <c r="AL1715">
        <v>88.580833195959599</v>
      </c>
      <c r="AM1715">
        <v>98.981386579501503</v>
      </c>
      <c r="AN1715">
        <v>0.99999996938762903</v>
      </c>
    </row>
    <row r="1716" spans="1:40" x14ac:dyDescent="0.3">
      <c r="A1716" t="str">
        <f>"20200111153906603"</f>
        <v>20200111153906603</v>
      </c>
      <c r="B1716" t="str">
        <f>"1578728346592013"</f>
        <v>1578728346592013</v>
      </c>
      <c r="C1716" t="s">
        <v>40</v>
      </c>
      <c r="D1716">
        <v>5.5233239999999997</v>
      </c>
      <c r="E1716">
        <v>0.57073859999999998</v>
      </c>
      <c r="F1716" t="s">
        <v>42</v>
      </c>
      <c r="G1716">
        <v>-490.46100000000001</v>
      </c>
      <c r="H1716" s="1">
        <v>-1.25697E-6</v>
      </c>
      <c r="I1716">
        <v>232.23320000000001</v>
      </c>
      <c r="J1716">
        <v>-491.46519999999998</v>
      </c>
      <c r="K1716">
        <v>1.1069910000000001</v>
      </c>
      <c r="L1716">
        <v>250.0599</v>
      </c>
      <c r="M1716">
        <v>6.1718750000000003E-2</v>
      </c>
      <c r="N1716">
        <v>0</v>
      </c>
      <c r="O1716">
        <v>-0.99801320000000004</v>
      </c>
      <c r="P1716">
        <v>0.21536810000000001</v>
      </c>
      <c r="Q1716">
        <v>1.2374019999999999E-2</v>
      </c>
      <c r="R1716">
        <v>-0.97645490000000001</v>
      </c>
      <c r="S1716">
        <v>0.17160029999999901</v>
      </c>
      <c r="T1716">
        <v>-0.18484880000000001</v>
      </c>
      <c r="U1716">
        <v>-3.0368499999999998</v>
      </c>
      <c r="V1716">
        <v>-0.1548553</v>
      </c>
      <c r="W1716">
        <v>2.3830839999999999E-2</v>
      </c>
      <c r="X1716">
        <v>0.98764969999999996</v>
      </c>
      <c r="Y1716">
        <v>5.4205939999999999E-3</v>
      </c>
      <c r="Z1716">
        <v>6.0534129999999998E-2</v>
      </c>
      <c r="AA1716">
        <v>0.99815140000000002</v>
      </c>
      <c r="AB1716">
        <v>38</v>
      </c>
      <c r="AC1716">
        <v>1.00419999999996</v>
      </c>
      <c r="AD1716">
        <v>-1.1069922569699999</v>
      </c>
      <c r="AE1716">
        <v>-17.826699999999899</v>
      </c>
      <c r="AF1716">
        <v>9.7669220991173006E-2</v>
      </c>
      <c r="AG1716">
        <v>-1.1069922569699999</v>
      </c>
      <c r="AH1716">
        <v>17.786323587190001</v>
      </c>
      <c r="AI1716">
        <v>93.561350113400295</v>
      </c>
      <c r="AJ1716">
        <v>89.685377482460197</v>
      </c>
      <c r="AK1716">
        <v>17.8210066461452</v>
      </c>
      <c r="AL1716">
        <v>88.634464176846393</v>
      </c>
      <c r="AM1716">
        <v>98.910955473827599</v>
      </c>
      <c r="AN1716">
        <v>1.0000000013916399</v>
      </c>
    </row>
    <row r="1717" spans="1:40" x14ac:dyDescent="0.3">
      <c r="A1717" t="str">
        <f>"20200111153906625"</f>
        <v>20200111153906625</v>
      </c>
      <c r="B1717" t="str">
        <f>"1578728346622270"</f>
        <v>1578728346622270</v>
      </c>
      <c r="C1717" t="s">
        <v>40</v>
      </c>
      <c r="D1717">
        <v>5.4677829999999998</v>
      </c>
      <c r="E1717">
        <v>0.57500390000000001</v>
      </c>
      <c r="F1717" t="s">
        <v>41</v>
      </c>
      <c r="G1717">
        <v>-491.44200000000001</v>
      </c>
      <c r="H1717">
        <v>1.037857</v>
      </c>
      <c r="I1717">
        <v>249.1336</v>
      </c>
      <c r="J1717">
        <v>-491.44</v>
      </c>
      <c r="K1717">
        <v>1.106622</v>
      </c>
      <c r="L1717">
        <v>249.6797</v>
      </c>
      <c r="M1717">
        <v>6.3239489999999995E-2</v>
      </c>
      <c r="N1717">
        <v>0</v>
      </c>
      <c r="O1717">
        <v>-0.99791560000000001</v>
      </c>
      <c r="P1717">
        <v>0.2145784</v>
      </c>
      <c r="Q1717">
        <v>1.1049369999999999E-2</v>
      </c>
      <c r="R1717">
        <v>-0.97664450000000003</v>
      </c>
      <c r="S1717">
        <v>7.7636720000000006E-2</v>
      </c>
      <c r="T1717">
        <v>-0.2284175</v>
      </c>
      <c r="U1717">
        <v>-3.0581209999999999</v>
      </c>
      <c r="V1717">
        <v>-0.15252060000000001</v>
      </c>
      <c r="W1717">
        <v>2.2859790000000001E-2</v>
      </c>
      <c r="X1717">
        <v>0.98803589999999997</v>
      </c>
      <c r="Y1717">
        <v>3.7966350000000003E-2</v>
      </c>
      <c r="Z1717">
        <v>7.4222570000000002E-2</v>
      </c>
      <c r="AA1717">
        <v>0.99651869999999998</v>
      </c>
      <c r="AB1717">
        <v>38</v>
      </c>
      <c r="AC1717">
        <v>-1.9999999999527002E-3</v>
      </c>
      <c r="AD1717">
        <v>-6.8764999999999896E-2</v>
      </c>
      <c r="AE1717">
        <v>-0.54609999999999503</v>
      </c>
      <c r="AF1717">
        <v>3.5963706110582597E-2</v>
      </c>
      <c r="AG1717">
        <v>-6.8764999999999896E-2</v>
      </c>
      <c r="AH1717">
        <v>0.536375647611676</v>
      </c>
      <c r="AI1717">
        <v>97.289452672729297</v>
      </c>
      <c r="AJ1717">
        <v>86.1640894127666</v>
      </c>
      <c r="AK1717">
        <v>0.54196019109622195</v>
      </c>
      <c r="AL1717">
        <v>88.690116439478402</v>
      </c>
      <c r="AM1717">
        <v>98.7753384499362</v>
      </c>
      <c r="AN1717">
        <v>1.0000000215560001</v>
      </c>
    </row>
    <row r="1718" spans="1:40" x14ac:dyDescent="0.3">
      <c r="A1718" t="str">
        <f>"20200111153906648"</f>
        <v>20200111153906648</v>
      </c>
      <c r="B1718" t="str">
        <f>"1578728346642766"</f>
        <v>1578728346642766</v>
      </c>
      <c r="C1718" t="s">
        <v>40</v>
      </c>
      <c r="D1718">
        <v>5.459937</v>
      </c>
      <c r="E1718">
        <v>0.57604829999999996</v>
      </c>
      <c r="F1718" t="s">
        <v>41</v>
      </c>
      <c r="G1718">
        <v>-491.42790000000002</v>
      </c>
      <c r="H1718">
        <v>1.0403169999999999</v>
      </c>
      <c r="I1718">
        <v>248.791</v>
      </c>
      <c r="J1718">
        <v>-491.41410000000002</v>
      </c>
      <c r="K1718">
        <v>1.1062430000000001</v>
      </c>
      <c r="L1718">
        <v>249.29169999999999</v>
      </c>
      <c r="M1718">
        <v>6.4406190000000002E-2</v>
      </c>
      <c r="N1718">
        <v>0</v>
      </c>
      <c r="O1718">
        <v>-0.99783889999999997</v>
      </c>
      <c r="P1718">
        <v>0.21418480000000001</v>
      </c>
      <c r="Q1718">
        <v>1.0001410000000001E-2</v>
      </c>
      <c r="R1718">
        <v>-0.97674209999999995</v>
      </c>
      <c r="S1718">
        <v>4.1381840000000003E-2</v>
      </c>
      <c r="T1718">
        <v>-0.22865440000000001</v>
      </c>
      <c r="U1718">
        <v>-3.0652309999999998</v>
      </c>
      <c r="V1718">
        <v>-0.150939299999999</v>
      </c>
      <c r="W1718">
        <v>2.2138040000000001E-2</v>
      </c>
      <c r="X1718">
        <v>0.98829509999999998</v>
      </c>
      <c r="Y1718">
        <v>5.097173E-2</v>
      </c>
      <c r="Z1718">
        <v>7.4106340000000007E-2</v>
      </c>
      <c r="AA1718">
        <v>0.99594680000000002</v>
      </c>
      <c r="AB1718">
        <v>38</v>
      </c>
      <c r="AC1718">
        <v>-1.3800000000003299E-2</v>
      </c>
      <c r="AD1718">
        <v>-6.5926000000000096E-2</v>
      </c>
      <c r="AE1718">
        <v>-0.50069999999999404</v>
      </c>
      <c r="AF1718">
        <v>4.5238576192970802E-2</v>
      </c>
      <c r="AG1718">
        <v>-6.5926000000000096E-2</v>
      </c>
      <c r="AH1718">
        <v>0.490278178428106</v>
      </c>
      <c r="AI1718">
        <v>97.626413473518795</v>
      </c>
      <c r="AJ1718">
        <v>84.728174883302401</v>
      </c>
      <c r="AK1718">
        <v>0.49675492800248</v>
      </c>
      <c r="AL1718">
        <v>88.731480092334493</v>
      </c>
      <c r="AM1718">
        <v>98.683508974614398</v>
      </c>
      <c r="AN1718">
        <v>0.99999998489177</v>
      </c>
    </row>
    <row r="1719" spans="1:40" x14ac:dyDescent="0.3">
      <c r="A1719" t="str">
        <f>"20200111153906670"</f>
        <v>20200111153906670</v>
      </c>
      <c r="B1719" t="str">
        <f>"1578728346662286"</f>
        <v>1578728346662286</v>
      </c>
      <c r="C1719" t="s">
        <v>40</v>
      </c>
      <c r="D1719">
        <v>5.4479449999999998</v>
      </c>
      <c r="E1719">
        <v>0.57674300000000001</v>
      </c>
      <c r="F1719" t="s">
        <v>41</v>
      </c>
      <c r="G1719">
        <v>-491.40559999999999</v>
      </c>
      <c r="H1719">
        <v>1.042672</v>
      </c>
      <c r="I1719">
        <v>248.44909999999999</v>
      </c>
      <c r="J1719">
        <v>-491.38869999999997</v>
      </c>
      <c r="K1719">
        <v>1.105866</v>
      </c>
      <c r="L1719">
        <v>248.91370000000001</v>
      </c>
      <c r="M1719">
        <v>6.5187239999999994E-2</v>
      </c>
      <c r="N1719">
        <v>0</v>
      </c>
      <c r="O1719">
        <v>-0.99778610000000001</v>
      </c>
      <c r="P1719">
        <v>0.21407010000000001</v>
      </c>
      <c r="Q1719">
        <v>9.7716360000000002E-3</v>
      </c>
      <c r="R1719">
        <v>-0.97676960000000002</v>
      </c>
      <c r="S1719">
        <v>3.1524660000000003E-2</v>
      </c>
      <c r="T1719">
        <v>-0.23146659999999999</v>
      </c>
      <c r="U1719">
        <v>-3.0668950000000001</v>
      </c>
      <c r="V1719">
        <v>-0.15002770000000001</v>
      </c>
      <c r="W1719">
        <v>2.219811E-2</v>
      </c>
      <c r="X1719">
        <v>0.98843259999999999</v>
      </c>
      <c r="Y1719">
        <v>5.4961690000000001E-2</v>
      </c>
      <c r="Z1719">
        <v>7.4959899999999996E-2</v>
      </c>
      <c r="AA1719">
        <v>0.99567070000000002</v>
      </c>
      <c r="AB1719">
        <v>38</v>
      </c>
      <c r="AC1719">
        <v>-1.6900000000020999E-2</v>
      </c>
      <c r="AD1719">
        <v>-6.3193999999999903E-2</v>
      </c>
      <c r="AE1719">
        <v>-0.464600000000018</v>
      </c>
      <c r="AF1719">
        <v>4.6297258064387697E-2</v>
      </c>
      <c r="AG1719">
        <v>-6.3193999999999903E-2</v>
      </c>
      <c r="AH1719">
        <v>0.45411936425857002</v>
      </c>
      <c r="AI1719">
        <v>97.8819090657353</v>
      </c>
      <c r="AJ1719">
        <v>84.178834151785196</v>
      </c>
      <c r="AK1719">
        <v>0.46082677302310499</v>
      </c>
      <c r="AL1719">
        <v>88.728037553576897</v>
      </c>
      <c r="AM1719">
        <v>98.630674402674003</v>
      </c>
      <c r="AN1719">
        <v>1.0000000357988099</v>
      </c>
    </row>
    <row r="1720" spans="1:40" x14ac:dyDescent="0.3">
      <c r="A1720" t="str">
        <f>"20200111153906691"</f>
        <v>20200111153906691</v>
      </c>
      <c r="B1720" t="str">
        <f>"1578728346682782"</f>
        <v>1578728346682782</v>
      </c>
      <c r="C1720" t="s">
        <v>40</v>
      </c>
      <c r="D1720">
        <v>5.4533509999999996</v>
      </c>
      <c r="E1720">
        <v>0.5772929</v>
      </c>
      <c r="F1720" t="s">
        <v>41</v>
      </c>
      <c r="G1720">
        <v>-491.38240000000002</v>
      </c>
      <c r="H1720">
        <v>1.0453629999999901</v>
      </c>
      <c r="I1720">
        <v>248.10669999999999</v>
      </c>
      <c r="J1720">
        <v>-491.36419999999998</v>
      </c>
      <c r="K1720">
        <v>1.105524</v>
      </c>
      <c r="L1720">
        <v>248.54839999999999</v>
      </c>
      <c r="M1720">
        <v>6.5646689999999994E-2</v>
      </c>
      <c r="N1720">
        <v>0</v>
      </c>
      <c r="O1720">
        <v>-0.99775440000000004</v>
      </c>
      <c r="P1720">
        <v>0.2136536</v>
      </c>
      <c r="Q1720">
        <v>9.9882840000000001E-3</v>
      </c>
      <c r="R1720">
        <v>-0.97685869999999997</v>
      </c>
      <c r="S1720">
        <v>2.581787E-2</v>
      </c>
      <c r="T1720">
        <v>-0.23021140000000001</v>
      </c>
      <c r="U1720">
        <v>-3.0680079999999998</v>
      </c>
      <c r="V1720">
        <v>-0.14913289999999901</v>
      </c>
      <c r="W1720">
        <v>2.2671009999999998E-2</v>
      </c>
      <c r="X1720">
        <v>0.98855720000000002</v>
      </c>
      <c r="Y1720">
        <v>5.7276720000000003E-2</v>
      </c>
      <c r="Z1720">
        <v>7.452114E-2</v>
      </c>
      <c r="AA1720">
        <v>0.99557320000000005</v>
      </c>
      <c r="AB1720">
        <v>38</v>
      </c>
      <c r="AC1720">
        <v>-1.8200000000035702E-2</v>
      </c>
      <c r="AD1720">
        <v>-6.0161000000000103E-2</v>
      </c>
      <c r="AE1720">
        <v>-0.44169999999999698</v>
      </c>
      <c r="AF1720">
        <v>4.6301932029103897E-2</v>
      </c>
      <c r="AG1720">
        <v>-6.0161000000000103E-2</v>
      </c>
      <c r="AH1720">
        <v>0.43155973618309101</v>
      </c>
      <c r="AI1720">
        <v>97.891382014542899</v>
      </c>
      <c r="AJ1720">
        <v>83.876176290238405</v>
      </c>
      <c r="AK1720">
        <v>0.43818605720064502</v>
      </c>
      <c r="AL1720">
        <v>88.700935469717905</v>
      </c>
      <c r="AM1720">
        <v>98.578902056505001</v>
      </c>
      <c r="AN1720">
        <v>0.99999996711433403</v>
      </c>
    </row>
    <row r="1721" spans="1:40" x14ac:dyDescent="0.3">
      <c r="A1721" t="str">
        <f>"20200111153906715"</f>
        <v>20200111153906715</v>
      </c>
      <c r="B1721" t="str">
        <f>"1578728346712062"</f>
        <v>1578728346712062</v>
      </c>
      <c r="C1721" t="s">
        <v>40</v>
      </c>
      <c r="D1721">
        <v>5.4372339999999904</v>
      </c>
      <c r="E1721">
        <v>0.57805410000000002</v>
      </c>
      <c r="F1721" t="s">
        <v>41</v>
      </c>
      <c r="G1721">
        <v>-491.35950000000003</v>
      </c>
      <c r="H1721">
        <v>1.0467930000000001</v>
      </c>
      <c r="I1721">
        <v>247.76499999999999</v>
      </c>
      <c r="J1721">
        <v>-491.33699999999999</v>
      </c>
      <c r="K1721">
        <v>1.105175</v>
      </c>
      <c r="L1721">
        <v>248.1422</v>
      </c>
      <c r="M1721">
        <v>6.5870639999999994E-2</v>
      </c>
      <c r="N1721">
        <v>0</v>
      </c>
      <c r="O1721">
        <v>-0.99773780000000001</v>
      </c>
      <c r="P1721">
        <v>0.21385309999999999</v>
      </c>
      <c r="Q1721">
        <v>9.9695570000000004E-3</v>
      </c>
      <c r="R1721">
        <v>-0.97681499999999999</v>
      </c>
      <c r="S1721">
        <v>2.0507810000000001E-2</v>
      </c>
      <c r="T1721">
        <v>-0.23024919999999999</v>
      </c>
      <c r="U1721">
        <v>-3.068924</v>
      </c>
      <c r="V1721">
        <v>-0.14909249999999999</v>
      </c>
      <c r="W1721">
        <v>2.2901270000000001E-2</v>
      </c>
      <c r="X1721">
        <v>0.9885581</v>
      </c>
      <c r="Y1721">
        <v>5.9225809999999997E-2</v>
      </c>
      <c r="Z1721">
        <v>7.4505760000000004E-2</v>
      </c>
      <c r="AA1721">
        <v>0.99546029999999996</v>
      </c>
      <c r="AB1721">
        <v>38</v>
      </c>
      <c r="AC1721">
        <v>-2.25000000000363E-2</v>
      </c>
      <c r="AD1721">
        <v>-5.8381999999999899E-2</v>
      </c>
      <c r="AE1721">
        <v>-0.37720000000001602</v>
      </c>
      <c r="AF1721">
        <v>4.6196998973654202E-2</v>
      </c>
      <c r="AG1721">
        <v>-5.8381999999999899E-2</v>
      </c>
      <c r="AH1721">
        <v>0.36615783283550202</v>
      </c>
      <c r="AI1721">
        <v>98.989177858472502</v>
      </c>
      <c r="AJ1721">
        <v>82.809163234130494</v>
      </c>
      <c r="AK1721">
        <v>0.373649808222837</v>
      </c>
      <c r="AL1721">
        <v>88.687739264165501</v>
      </c>
      <c r="AM1721">
        <v>98.576604911390206</v>
      </c>
      <c r="AN1721">
        <v>1.0000000793997299</v>
      </c>
    </row>
    <row r="1722" spans="1:40" x14ac:dyDescent="0.3">
      <c r="A1722" t="str">
        <f>"20200111153906738"</f>
        <v>20200111153906738</v>
      </c>
      <c r="B1722" t="str">
        <f>"1578728346732559"</f>
        <v>1578728346732559</v>
      </c>
      <c r="C1722" t="s">
        <v>40</v>
      </c>
      <c r="D1722">
        <v>5.4342829999999998</v>
      </c>
      <c r="E1722">
        <v>0.57855249999999903</v>
      </c>
      <c r="F1722" t="s">
        <v>41</v>
      </c>
      <c r="G1722">
        <v>-491.33199999999999</v>
      </c>
      <c r="H1722">
        <v>1.0269440000000001</v>
      </c>
      <c r="I1722">
        <v>247.09479999999999</v>
      </c>
      <c r="J1722">
        <v>-491.31270000000001</v>
      </c>
      <c r="K1722">
        <v>1.10491299999999</v>
      </c>
      <c r="L1722">
        <v>247.77799999999999</v>
      </c>
      <c r="M1722">
        <v>6.5843949999999998E-2</v>
      </c>
      <c r="N1722">
        <v>0</v>
      </c>
      <c r="O1722">
        <v>-0.99773840000000003</v>
      </c>
      <c r="P1722">
        <v>0.2138234</v>
      </c>
      <c r="Q1722">
        <v>1.024635E-2</v>
      </c>
      <c r="R1722">
        <v>-0.97681870000000004</v>
      </c>
      <c r="S1722">
        <v>1.51062E-2</v>
      </c>
      <c r="T1722">
        <v>-0.2293153</v>
      </c>
      <c r="U1722">
        <v>-3.0702060000000002</v>
      </c>
      <c r="V1722">
        <v>-0.14907390000000001</v>
      </c>
      <c r="W1722">
        <v>2.3368440000000001E-2</v>
      </c>
      <c r="X1722">
        <v>0.98854989999999998</v>
      </c>
      <c r="Y1722">
        <v>6.0953060000000003E-2</v>
      </c>
      <c r="Z1722">
        <v>7.4171139999999997E-2</v>
      </c>
      <c r="AA1722">
        <v>0.99538099999999996</v>
      </c>
      <c r="AB1722">
        <v>38</v>
      </c>
      <c r="AC1722">
        <v>-1.9299999999986901E-2</v>
      </c>
      <c r="AD1722">
        <v>-7.7968999999999705E-2</v>
      </c>
      <c r="AE1722">
        <v>-0.68319999999999903</v>
      </c>
      <c r="AF1722">
        <v>6.3421456004455201E-2</v>
      </c>
      <c r="AG1722">
        <v>-7.7968999999999705E-2</v>
      </c>
      <c r="AH1722">
        <v>0.67170484930505203</v>
      </c>
      <c r="AI1722">
        <v>96.591991875992505</v>
      </c>
      <c r="AJ1722">
        <v>84.606201048489595</v>
      </c>
      <c r="AK1722">
        <v>0.67918248698170103</v>
      </c>
      <c r="AL1722">
        <v>88.660965135424505</v>
      </c>
      <c r="AM1722">
        <v>98.575620924364898</v>
      </c>
      <c r="AN1722">
        <v>1.0000000082196201</v>
      </c>
    </row>
    <row r="1723" spans="1:40" x14ac:dyDescent="0.3">
      <c r="A1723" t="str">
        <f>"20200111153906759"</f>
        <v>20200111153906759</v>
      </c>
      <c r="B1723" t="str">
        <f>"1578728346752078"</f>
        <v>1578728346752078</v>
      </c>
      <c r="C1723" t="s">
        <v>40</v>
      </c>
      <c r="D1723">
        <v>5.43248</v>
      </c>
      <c r="E1723">
        <v>0.57890949999999997</v>
      </c>
      <c r="F1723" t="s">
        <v>41</v>
      </c>
      <c r="G1723">
        <v>-491.30930000000001</v>
      </c>
      <c r="H1723">
        <v>1.0286200000000001</v>
      </c>
      <c r="I1723">
        <v>246.7542</v>
      </c>
      <c r="J1723">
        <v>-491.28739999999999</v>
      </c>
      <c r="K1723">
        <v>1.104689</v>
      </c>
      <c r="L1723">
        <v>247.3947</v>
      </c>
      <c r="M1723">
        <v>6.5657579999999993E-2</v>
      </c>
      <c r="N1723">
        <v>0</v>
      </c>
      <c r="O1723">
        <v>-0.99774960000000001</v>
      </c>
      <c r="P1723">
        <v>0.21344479999999999</v>
      </c>
      <c r="Q1723">
        <v>1.1136679999999999E-2</v>
      </c>
      <c r="R1723">
        <v>-0.97689170000000003</v>
      </c>
      <c r="S1723">
        <v>1.119995E-2</v>
      </c>
      <c r="T1723">
        <v>-0.2289465</v>
      </c>
      <c r="U1723">
        <v>-3.0711360000000001</v>
      </c>
      <c r="V1723">
        <v>-0.1488632</v>
      </c>
      <c r="W1723">
        <v>2.4425760000000001E-2</v>
      </c>
      <c r="X1723">
        <v>0.98855610000000005</v>
      </c>
      <c r="Y1723">
        <v>6.203413E-2</v>
      </c>
      <c r="Z1723">
        <v>7.4029289999999998E-2</v>
      </c>
      <c r="AA1723">
        <v>0.99532480000000001</v>
      </c>
      <c r="AB1723">
        <v>38</v>
      </c>
      <c r="AC1723">
        <v>-2.1900000000016399E-2</v>
      </c>
      <c r="AD1723">
        <v>-7.6068999999999901E-2</v>
      </c>
      <c r="AE1723">
        <v>-0.64050000000000296</v>
      </c>
      <c r="AF1723">
        <v>6.30224011584231E-2</v>
      </c>
      <c r="AG1723">
        <v>-7.6068999999999901E-2</v>
      </c>
      <c r="AH1723">
        <v>0.62882041040413295</v>
      </c>
      <c r="AI1723">
        <v>96.863553933567204</v>
      </c>
      <c r="AJ1723">
        <v>84.276744674753701</v>
      </c>
      <c r="AK1723">
        <v>0.63653234352198895</v>
      </c>
      <c r="AL1723">
        <v>88.600367865872897</v>
      </c>
      <c r="AM1723">
        <v>98.563627123199197</v>
      </c>
      <c r="AN1723">
        <v>1.0000000164565099</v>
      </c>
    </row>
    <row r="1724" spans="1:40" x14ac:dyDescent="0.3">
      <c r="A1724" t="str">
        <f>"20200111153906781"</f>
        <v>20200111153906781</v>
      </c>
      <c r="B1724" t="str">
        <f>"1578728346772574"</f>
        <v>1578728346772574</v>
      </c>
      <c r="C1724" t="s">
        <v>40</v>
      </c>
      <c r="D1724">
        <v>5.4020720000000004</v>
      </c>
      <c r="E1724">
        <v>0.57929739999999996</v>
      </c>
      <c r="F1724" t="s">
        <v>41</v>
      </c>
      <c r="G1724">
        <v>-491.28550000000001</v>
      </c>
      <c r="H1724">
        <v>1.032073</v>
      </c>
      <c r="I1724">
        <v>246.41319999999999</v>
      </c>
      <c r="J1724">
        <v>-491.26260000000002</v>
      </c>
      <c r="K1724">
        <v>1.104514</v>
      </c>
      <c r="L1724">
        <v>247.0155</v>
      </c>
      <c r="M1724">
        <v>6.5369079999999996E-2</v>
      </c>
      <c r="N1724">
        <v>0</v>
      </c>
      <c r="O1724">
        <v>-0.99776779999999998</v>
      </c>
      <c r="P1724">
        <v>0.21295900000000001</v>
      </c>
      <c r="Q1724">
        <v>1.123802E-2</v>
      </c>
      <c r="R1724">
        <v>-0.97699669999999905</v>
      </c>
      <c r="S1724">
        <v>7.9650880000000004E-3</v>
      </c>
      <c r="T1724">
        <v>-0.22745299999999999</v>
      </c>
      <c r="U1724">
        <v>-3.071793</v>
      </c>
      <c r="V1724">
        <v>-0.14864639999999901</v>
      </c>
      <c r="W1724">
        <v>2.4662199999999999E-2</v>
      </c>
      <c r="X1724">
        <v>0.98858279999999998</v>
      </c>
      <c r="Y1724">
        <v>6.27944E-2</v>
      </c>
      <c r="Z1724">
        <v>7.3533840000000003E-2</v>
      </c>
      <c r="AA1724">
        <v>0.99531380000000003</v>
      </c>
      <c r="AB1724">
        <v>38</v>
      </c>
      <c r="AC1724">
        <v>-2.2899999999992801E-2</v>
      </c>
      <c r="AD1724">
        <v>-7.2440999999999894E-2</v>
      </c>
      <c r="AE1724">
        <v>-0.60230000000001305</v>
      </c>
      <c r="AF1724">
        <v>6.1340417446416197E-2</v>
      </c>
      <c r="AG1724">
        <v>-7.2440999999999894E-2</v>
      </c>
      <c r="AH1724">
        <v>0.59097780177622605</v>
      </c>
      <c r="AI1724">
        <v>96.951375947606095</v>
      </c>
      <c r="AJ1724">
        <v>84.074215943581393</v>
      </c>
      <c r="AK1724">
        <v>0.59855251021590505</v>
      </c>
      <c r="AL1724">
        <v>88.586816696122099</v>
      </c>
      <c r="AM1724">
        <v>98.551112281114001</v>
      </c>
      <c r="AN1724">
        <v>0.999999964398819</v>
      </c>
    </row>
    <row r="1725" spans="1:40" x14ac:dyDescent="0.3">
      <c r="A1725" t="str">
        <f>"20200111153906804"</f>
        <v>20200111153906804</v>
      </c>
      <c r="B1725" t="str">
        <f>"1578728346802830"</f>
        <v>1578728346802830</v>
      </c>
      <c r="C1725" t="s">
        <v>40</v>
      </c>
      <c r="D1725">
        <v>5.3975589999999896</v>
      </c>
      <c r="E1725">
        <v>0.57987469999999997</v>
      </c>
      <c r="F1725" t="s">
        <v>41</v>
      </c>
      <c r="G1725">
        <v>-491.26170000000002</v>
      </c>
      <c r="H1725">
        <v>1.0346820000000001</v>
      </c>
      <c r="I1725">
        <v>246.0728</v>
      </c>
      <c r="J1725">
        <v>-491.2371</v>
      </c>
      <c r="K1725">
        <v>1.104368</v>
      </c>
      <c r="L1725">
        <v>246.62549999999999</v>
      </c>
      <c r="M1725">
        <v>6.501469E-2</v>
      </c>
      <c r="N1725">
        <v>0</v>
      </c>
      <c r="O1725">
        <v>-0.99779019999999996</v>
      </c>
      <c r="P1725">
        <v>0.2127761</v>
      </c>
      <c r="Q1725">
        <v>1.015834E-2</v>
      </c>
      <c r="R1725">
        <v>-0.97704820000000003</v>
      </c>
      <c r="S1725">
        <v>3.6621090000000002E-3</v>
      </c>
      <c r="T1725">
        <v>-0.22766400000000001</v>
      </c>
      <c r="U1725">
        <v>-3.0724640000000001</v>
      </c>
      <c r="V1725">
        <v>-0.14880270000000001</v>
      </c>
      <c r="W1725">
        <v>2.3694509999999998E-2</v>
      </c>
      <c r="X1725">
        <v>0.98858299999999999</v>
      </c>
      <c r="Y1725">
        <v>6.3834399999999999E-2</v>
      </c>
      <c r="Z1725">
        <v>7.3585869999999998E-2</v>
      </c>
      <c r="AA1725">
        <v>0.99524380000000001</v>
      </c>
      <c r="AB1725">
        <v>38</v>
      </c>
      <c r="AC1725">
        <v>-2.46000000000208E-2</v>
      </c>
      <c r="AD1725">
        <v>-6.9686000000000095E-2</v>
      </c>
      <c r="AE1725">
        <v>-0.55269999999998698</v>
      </c>
      <c r="AF1725">
        <v>5.95403038369531E-2</v>
      </c>
      <c r="AG1725">
        <v>-6.9686000000000095E-2</v>
      </c>
      <c r="AH1725">
        <v>0.54134228116466399</v>
      </c>
      <c r="AI1725">
        <v>97.2917468251012</v>
      </c>
      <c r="AJ1725">
        <v>83.723469832506794</v>
      </c>
      <c r="AK1725">
        <v>0.54904703965467205</v>
      </c>
      <c r="AL1725">
        <v>88.642277529251402</v>
      </c>
      <c r="AM1725">
        <v>98.559968843107299</v>
      </c>
      <c r="AN1725">
        <v>1.00000001061021</v>
      </c>
    </row>
    <row r="1726" spans="1:40" x14ac:dyDescent="0.3">
      <c r="A1726" t="str">
        <f>"20200111153906825"</f>
        <v>20200111153906825</v>
      </c>
      <c r="B1726" t="str">
        <f>"1578728346822350"</f>
        <v>1578728346822350</v>
      </c>
      <c r="C1726" t="s">
        <v>40</v>
      </c>
      <c r="D1726">
        <v>5.3615370000000002</v>
      </c>
      <c r="E1726">
        <v>0.58038000000000001</v>
      </c>
      <c r="F1726" t="s">
        <v>41</v>
      </c>
      <c r="G1726">
        <v>-491.23790000000002</v>
      </c>
      <c r="H1726">
        <v>1.038227</v>
      </c>
      <c r="I1726">
        <v>245.73220000000001</v>
      </c>
      <c r="J1726">
        <v>-491.21460000000002</v>
      </c>
      <c r="K1726">
        <v>1.1042670000000001</v>
      </c>
      <c r="L1726">
        <v>246.27780000000001</v>
      </c>
      <c r="M1726">
        <v>6.469018E-2</v>
      </c>
      <c r="N1726">
        <v>0</v>
      </c>
      <c r="O1726">
        <v>-0.99781059999999999</v>
      </c>
      <c r="P1726">
        <v>0.21260380000000001</v>
      </c>
      <c r="Q1726">
        <v>9.7349359999999996E-3</v>
      </c>
      <c r="R1726">
        <v>-0.97709049999999997</v>
      </c>
      <c r="S1726">
        <v>-9.1552729999999996E-4</v>
      </c>
      <c r="T1726">
        <v>-0.227663</v>
      </c>
      <c r="U1726">
        <v>-3.0730740000000001</v>
      </c>
      <c r="V1726">
        <v>-0.1489434</v>
      </c>
      <c r="W1726">
        <v>2.335462E-2</v>
      </c>
      <c r="X1726">
        <v>0.9885699</v>
      </c>
      <c r="Y1726">
        <v>6.4992579999999994E-2</v>
      </c>
      <c r="Z1726">
        <v>7.3570629999999998E-2</v>
      </c>
      <c r="AA1726">
        <v>0.99517</v>
      </c>
      <c r="AB1726">
        <v>38</v>
      </c>
      <c r="AC1726">
        <v>-2.3300000000006E-2</v>
      </c>
      <c r="AD1726">
        <v>-6.6040000000000099E-2</v>
      </c>
      <c r="AE1726">
        <v>-0.54560000000000697</v>
      </c>
      <c r="AF1726">
        <v>5.7705585998508203E-2</v>
      </c>
      <c r="AG1726">
        <v>-6.6040000000000099E-2</v>
      </c>
      <c r="AH1726">
        <v>0.53512375188095895</v>
      </c>
      <c r="AI1726">
        <v>96.995190654689694</v>
      </c>
      <c r="AJ1726">
        <v>83.845237891677499</v>
      </c>
      <c r="AK1726">
        <v>0.54226252505828398</v>
      </c>
      <c r="AL1726">
        <v>88.661757182884799</v>
      </c>
      <c r="AM1726">
        <v>98.568054483219598</v>
      </c>
      <c r="AN1726">
        <v>1.0000000109324501</v>
      </c>
    </row>
    <row r="1727" spans="1:40" x14ac:dyDescent="0.3">
      <c r="A1727" t="str">
        <f>"20200111153906847"</f>
        <v>20200111153906847</v>
      </c>
      <c r="B1727" t="str">
        <f>"1578728346842846"</f>
        <v>1578728346842846</v>
      </c>
      <c r="C1727" t="s">
        <v>40</v>
      </c>
      <c r="D1727">
        <v>5.3767110000000002</v>
      </c>
      <c r="E1727">
        <v>0.58085980000000004</v>
      </c>
      <c r="F1727" t="s">
        <v>41</v>
      </c>
      <c r="G1727">
        <v>-491.21629999999999</v>
      </c>
      <c r="H1727">
        <v>1.0384530000000001</v>
      </c>
      <c r="I1727">
        <v>245.39340000000001</v>
      </c>
      <c r="J1727">
        <v>-491.19049999999999</v>
      </c>
      <c r="K1727">
        <v>1.1041989999999999</v>
      </c>
      <c r="L1727">
        <v>245.9032</v>
      </c>
      <c r="M1727">
        <v>6.436016E-2</v>
      </c>
      <c r="N1727">
        <v>0</v>
      </c>
      <c r="O1727">
        <v>-0.99783120000000003</v>
      </c>
      <c r="P1727">
        <v>0.21210609999999999</v>
      </c>
      <c r="Q1727">
        <v>9.3642640000000006E-3</v>
      </c>
      <c r="R1727">
        <v>-0.97720209999999996</v>
      </c>
      <c r="S1727">
        <v>-5.3100589999999998E-3</v>
      </c>
      <c r="T1727">
        <v>-0.2288123</v>
      </c>
      <c r="U1727">
        <v>-3.0737760000000001</v>
      </c>
      <c r="V1727">
        <v>-0.14876239999999999</v>
      </c>
      <c r="W1727">
        <v>2.3055719999999998E-2</v>
      </c>
      <c r="X1727">
        <v>0.98860409999999999</v>
      </c>
      <c r="Y1727">
        <v>6.6085210000000005E-2</v>
      </c>
      <c r="Z1727">
        <v>7.3922849999999998E-2</v>
      </c>
      <c r="AA1727">
        <v>0.99507190000000001</v>
      </c>
      <c r="AB1727">
        <v>38</v>
      </c>
      <c r="AC1727">
        <v>-2.5800000000003799E-2</v>
      </c>
      <c r="AD1727">
        <v>-6.5745999999999805E-2</v>
      </c>
      <c r="AE1727">
        <v>-0.50979999999998404</v>
      </c>
      <c r="AF1727">
        <v>5.7604813859979301E-2</v>
      </c>
      <c r="AG1727">
        <v>-6.5745999999999805E-2</v>
      </c>
      <c r="AH1727">
        <v>0.49880733193881399</v>
      </c>
      <c r="AI1727">
        <v>97.459652362998</v>
      </c>
      <c r="AJ1727">
        <v>83.412373794405397</v>
      </c>
      <c r="AK1727">
        <v>0.50640853615609704</v>
      </c>
      <c r="AL1727">
        <v>88.678887413236495</v>
      </c>
      <c r="AM1727">
        <v>98.557504944963398</v>
      </c>
      <c r="AN1727">
        <v>0.99999994220764199</v>
      </c>
    </row>
    <row r="1728" spans="1:40" x14ac:dyDescent="0.3">
      <c r="A1728" t="str">
        <f>"20200111153906870"</f>
        <v>20200111153906870</v>
      </c>
      <c r="B1728" t="str">
        <f>"1578728346862366"</f>
        <v>1578728346862366</v>
      </c>
      <c r="C1728" t="s">
        <v>40</v>
      </c>
      <c r="D1728">
        <v>5.3471099999999998</v>
      </c>
      <c r="E1728">
        <v>0.58128480000000005</v>
      </c>
      <c r="F1728" t="s">
        <v>41</v>
      </c>
      <c r="G1728">
        <v>-491.19380000000001</v>
      </c>
      <c r="H1728">
        <v>1.040924</v>
      </c>
      <c r="I1728">
        <v>245.0538</v>
      </c>
      <c r="J1728">
        <v>-491.16539999999998</v>
      </c>
      <c r="K1728">
        <v>1.1041589999999999</v>
      </c>
      <c r="L1728">
        <v>245.51140000000001</v>
      </c>
      <c r="M1728">
        <v>6.4056730000000006E-2</v>
      </c>
      <c r="N1728">
        <v>0</v>
      </c>
      <c r="O1728">
        <v>-0.99785009999999996</v>
      </c>
      <c r="P1728">
        <v>0.2125292</v>
      </c>
      <c r="Q1728">
        <v>9.1501329999999995E-3</v>
      </c>
      <c r="R1728">
        <v>-0.97711190000000003</v>
      </c>
      <c r="S1728">
        <v>-1.1108399999999999E-2</v>
      </c>
      <c r="T1728">
        <v>-0.22918369999999999</v>
      </c>
      <c r="U1728">
        <v>-3.074646</v>
      </c>
      <c r="V1728">
        <v>-0.14948800000000001</v>
      </c>
      <c r="W1728">
        <v>2.28965E-2</v>
      </c>
      <c r="X1728">
        <v>0.9884984</v>
      </c>
      <c r="Y1728">
        <v>6.7657780000000001E-2</v>
      </c>
      <c r="Z1728">
        <v>7.4019390000000004E-2</v>
      </c>
      <c r="AA1728">
        <v>0.99495909999999999</v>
      </c>
      <c r="AB1728">
        <v>38</v>
      </c>
      <c r="AC1728">
        <v>-2.8400000000033201E-2</v>
      </c>
      <c r="AD1728">
        <v>-6.3235000000000097E-2</v>
      </c>
      <c r="AE1728">
        <v>-0.457600000000013</v>
      </c>
      <c r="AF1728">
        <v>5.6580517992523699E-2</v>
      </c>
      <c r="AG1728">
        <v>-6.3235000000000097E-2</v>
      </c>
      <c r="AH1728">
        <v>0.44634983819900498</v>
      </c>
      <c r="AI1728">
        <v>98.000328334027301</v>
      </c>
      <c r="AJ1728">
        <v>82.775562893094104</v>
      </c>
      <c r="AK1728">
        <v>0.45434370062935903</v>
      </c>
      <c r="AL1728">
        <v>88.688012531624494</v>
      </c>
      <c r="AM1728">
        <v>98.599528111572994</v>
      </c>
      <c r="AN1728">
        <v>0.99999999932940498</v>
      </c>
    </row>
    <row r="1729" spans="1:40" x14ac:dyDescent="0.3">
      <c r="A1729" t="str">
        <f>"20200111153906892"</f>
        <v>20200111153906892</v>
      </c>
      <c r="B1729" t="str">
        <f>"1578728346882865"</f>
        <v>1578728346882865</v>
      </c>
      <c r="C1729" t="s">
        <v>40</v>
      </c>
      <c r="D1729">
        <v>5.3465009999999999</v>
      </c>
      <c r="E1729">
        <v>0.58175290000000002</v>
      </c>
      <c r="F1729" t="s">
        <v>41</v>
      </c>
      <c r="G1729">
        <v>-491.16899999999998</v>
      </c>
      <c r="H1729">
        <v>1.044689</v>
      </c>
      <c r="I1729">
        <v>244.7133</v>
      </c>
      <c r="J1729">
        <v>-491.14139999999998</v>
      </c>
      <c r="K1729">
        <v>1.1041570000000001</v>
      </c>
      <c r="L1729">
        <v>245.13419999999999</v>
      </c>
      <c r="M1729">
        <v>6.3824279999999997E-2</v>
      </c>
      <c r="N1729">
        <v>0</v>
      </c>
      <c r="O1729">
        <v>-0.99786470000000005</v>
      </c>
      <c r="P1729">
        <v>0.21427959999999999</v>
      </c>
      <c r="Q1729">
        <v>8.7298319999999999E-3</v>
      </c>
      <c r="R1729">
        <v>-0.97673359999999998</v>
      </c>
      <c r="S1729">
        <v>-1.3916019999999999E-2</v>
      </c>
      <c r="T1729">
        <v>-0.2292063</v>
      </c>
      <c r="U1729">
        <v>-3.0754389999999998</v>
      </c>
      <c r="V1729">
        <v>-0.1514885</v>
      </c>
      <c r="W1729">
        <v>2.2509410000000001E-2</v>
      </c>
      <c r="X1729">
        <v>0.98820269999999999</v>
      </c>
      <c r="Y1729">
        <v>6.8332749999999998E-2</v>
      </c>
      <c r="Z1729">
        <v>7.4007470000000006E-2</v>
      </c>
      <c r="AA1729">
        <v>0.99491379999999996</v>
      </c>
      <c r="AB1729">
        <v>38</v>
      </c>
      <c r="AC1729">
        <v>-2.7600000000063501E-2</v>
      </c>
      <c r="AD1729">
        <v>-5.9468E-2</v>
      </c>
      <c r="AE1729">
        <v>-0.42089999999998801</v>
      </c>
      <c r="AF1729">
        <v>5.3349527188547699E-2</v>
      </c>
      <c r="AG1729">
        <v>-5.9468E-2</v>
      </c>
      <c r="AH1729">
        <v>0.41012795286827203</v>
      </c>
      <c r="AI1729">
        <v>98.1823210586155</v>
      </c>
      <c r="AJ1729">
        <v>82.588569018502596</v>
      </c>
      <c r="AK1729">
        <v>0.41783675376773699</v>
      </c>
      <c r="AL1729">
        <v>88.7101968838153</v>
      </c>
      <c r="AM1729">
        <v>98.715422499813201</v>
      </c>
      <c r="AN1729">
        <v>1.0000000077290401</v>
      </c>
    </row>
    <row r="1730" spans="1:40" x14ac:dyDescent="0.3">
      <c r="A1730" t="str">
        <f>"20200111153906915"</f>
        <v>20200111153906915</v>
      </c>
      <c r="B1730" t="str">
        <f>"1578728346902381"</f>
        <v>1578728346902381</v>
      </c>
      <c r="C1730" t="s">
        <v>40</v>
      </c>
      <c r="D1730">
        <v>5.3066309999999897</v>
      </c>
      <c r="E1730">
        <v>0.58179099999999995</v>
      </c>
      <c r="F1730" t="s">
        <v>41</v>
      </c>
      <c r="G1730">
        <v>-491.14460000000003</v>
      </c>
      <c r="H1730">
        <v>1.0474889999999999</v>
      </c>
      <c r="I1730">
        <v>244.37299999999999</v>
      </c>
      <c r="J1730">
        <v>-491.11799999999999</v>
      </c>
      <c r="K1730">
        <v>1.104187</v>
      </c>
      <c r="L1730">
        <v>244.7672</v>
      </c>
      <c r="M1730">
        <v>6.3661679999999998E-2</v>
      </c>
      <c r="N1730">
        <v>0</v>
      </c>
      <c r="O1730">
        <v>-0.9978747</v>
      </c>
      <c r="P1730">
        <v>0.216616</v>
      </c>
      <c r="Q1730">
        <v>8.7867440000000008E-3</v>
      </c>
      <c r="R1730">
        <v>-0.97621729999999995</v>
      </c>
      <c r="S1730">
        <v>-1.2207030000000001E-2</v>
      </c>
      <c r="T1730">
        <v>-0.22915430000000001</v>
      </c>
      <c r="U1730">
        <v>-3.0761569999999998</v>
      </c>
      <c r="V1730">
        <v>-0.15401479999999901</v>
      </c>
      <c r="W1730">
        <v>2.2582339999999999E-2</v>
      </c>
      <c r="X1730">
        <v>0.98781039999999998</v>
      </c>
      <c r="Y1730">
        <v>6.7616419999999997E-2</v>
      </c>
      <c r="Z1730">
        <v>7.3976689999999998E-2</v>
      </c>
      <c r="AA1730">
        <v>0.99496510000000005</v>
      </c>
      <c r="AB1730">
        <v>38</v>
      </c>
      <c r="AC1730">
        <v>-2.6599999999973499E-2</v>
      </c>
      <c r="AD1730">
        <v>-5.6698000000000102E-2</v>
      </c>
      <c r="AE1730">
        <v>-0.39420000000001199</v>
      </c>
      <c r="AF1730">
        <v>5.0601825742342399E-2</v>
      </c>
      <c r="AG1730">
        <v>-5.6698000000000102E-2</v>
      </c>
      <c r="AH1730">
        <v>0.38380283435225598</v>
      </c>
      <c r="AI1730">
        <v>98.332268599066296</v>
      </c>
      <c r="AJ1730">
        <v>82.489255296881694</v>
      </c>
      <c r="AK1730">
        <v>0.39125416755516301</v>
      </c>
      <c r="AL1730">
        <v>88.706017170067994</v>
      </c>
      <c r="AM1730">
        <v>98.861940882294306</v>
      </c>
      <c r="AN1730">
        <v>0.99999995352353599</v>
      </c>
    </row>
    <row r="1731" spans="1:40" x14ac:dyDescent="0.3">
      <c r="A1731" t="str">
        <f>"20200111153906938"</f>
        <v>20200111153906938</v>
      </c>
      <c r="B1731" t="str">
        <f>"1578728346932638"</f>
        <v>1578728346932638</v>
      </c>
      <c r="C1731" t="s">
        <v>40</v>
      </c>
      <c r="D1731">
        <v>5.1810210000000003</v>
      </c>
      <c r="E1731">
        <v>0.49678729999999899</v>
      </c>
      <c r="F1731" t="s">
        <v>41</v>
      </c>
      <c r="G1731">
        <v>-491.1191</v>
      </c>
      <c r="H1731">
        <v>1.049364</v>
      </c>
      <c r="I1731">
        <v>244.03380000000001</v>
      </c>
      <c r="J1731">
        <v>-491.09339999999997</v>
      </c>
      <c r="K1731">
        <v>1.104239</v>
      </c>
      <c r="L1731">
        <v>244.37979999999999</v>
      </c>
      <c r="M1731">
        <v>6.3577049999999996E-2</v>
      </c>
      <c r="N1731">
        <v>0</v>
      </c>
      <c r="O1731">
        <v>-0.99787990000000004</v>
      </c>
      <c r="P1731">
        <v>0.2179489</v>
      </c>
      <c r="Q1731">
        <v>1.129723E-2</v>
      </c>
      <c r="R1731">
        <v>-0.97589519999999996</v>
      </c>
      <c r="S1731">
        <v>-4.8217770000000002E-3</v>
      </c>
      <c r="T1731">
        <v>-0.22998250000000001</v>
      </c>
      <c r="U1731">
        <v>-3.0762480000000001</v>
      </c>
      <c r="V1731">
        <v>-0.15545039999999999</v>
      </c>
      <c r="W1731">
        <v>2.5098849999999999E-2</v>
      </c>
      <c r="X1731">
        <v>0.98752479999999998</v>
      </c>
      <c r="Y1731">
        <v>6.5142859999999997E-2</v>
      </c>
      <c r="Z1731">
        <v>7.4247359999999998E-2</v>
      </c>
      <c r="AA1731">
        <v>0.99510989999999999</v>
      </c>
      <c r="AB1731">
        <v>38</v>
      </c>
      <c r="AC1731">
        <v>-2.5700000000028901E-2</v>
      </c>
      <c r="AD1731">
        <v>-5.4875E-2</v>
      </c>
      <c r="AE1731">
        <v>-0.34599999999997499</v>
      </c>
      <c r="AF1731">
        <v>4.64849473916292E-2</v>
      </c>
      <c r="AG1731">
        <v>-5.4875E-2</v>
      </c>
      <c r="AH1731">
        <v>0.33527866589274702</v>
      </c>
      <c r="AI1731">
        <v>99.208620381284803</v>
      </c>
      <c r="AJ1731">
        <v>82.106507404690205</v>
      </c>
      <c r="AK1731">
        <v>0.34290508856216001</v>
      </c>
      <c r="AL1731">
        <v>88.561790803892293</v>
      </c>
      <c r="AM1731">
        <v>98.945760117153895</v>
      </c>
      <c r="AN1731">
        <v>1.00000000487326</v>
      </c>
    </row>
    <row r="1732" spans="1:40" x14ac:dyDescent="0.3">
      <c r="A1732" t="str">
        <f>"20200111153906959"</f>
        <v>20200111153906959</v>
      </c>
      <c r="B1732" t="str">
        <f>"1578728346952157"</f>
        <v>1578728346952157</v>
      </c>
      <c r="C1732" t="s">
        <v>40</v>
      </c>
      <c r="D1732">
        <v>5.2220469999999999</v>
      </c>
      <c r="E1732">
        <v>0.41432639999999998</v>
      </c>
      <c r="F1732" t="s">
        <v>42</v>
      </c>
      <c r="G1732">
        <v>-488.05689999999998</v>
      </c>
      <c r="H1732" s="1">
        <v>-9.5710560000000011E-7</v>
      </c>
      <c r="I1732">
        <v>230.94130000000001</v>
      </c>
      <c r="J1732">
        <v>-491.06920000000002</v>
      </c>
      <c r="K1732">
        <v>1.1043160000000001</v>
      </c>
      <c r="L1732">
        <v>244.0009</v>
      </c>
      <c r="M1732">
        <v>6.359977E-2</v>
      </c>
      <c r="N1732">
        <v>0</v>
      </c>
      <c r="O1732">
        <v>-0.99787809999999999</v>
      </c>
      <c r="P1732">
        <v>0.2195676</v>
      </c>
      <c r="Q1732">
        <v>1.307377E-2</v>
      </c>
      <c r="R1732">
        <v>-0.97550990000000004</v>
      </c>
      <c r="S1732">
        <v>0.6618347</v>
      </c>
      <c r="T1732">
        <v>-0.2406856</v>
      </c>
      <c r="U1732">
        <v>-2.9291079999999998</v>
      </c>
      <c r="V1732">
        <v>-0.15707179999999901</v>
      </c>
      <c r="W1732">
        <v>2.686875E-2</v>
      </c>
      <c r="X1732">
        <v>0.98722160000000003</v>
      </c>
      <c r="Y1732">
        <v>-0.1571979</v>
      </c>
      <c r="Z1732">
        <v>8.0134880000000006E-2</v>
      </c>
      <c r="AA1732">
        <v>0.98431049999999998</v>
      </c>
      <c r="AB1732">
        <v>38</v>
      </c>
      <c r="AC1732">
        <v>3.01230000000003</v>
      </c>
      <c r="AD1732">
        <v>-1.1043169571056</v>
      </c>
      <c r="AE1732">
        <v>-13.0595999999999</v>
      </c>
      <c r="AF1732">
        <v>-2.1608616591537402</v>
      </c>
      <c r="AG1732">
        <v>-1.1043169571056</v>
      </c>
      <c r="AH1732">
        <v>13.1355762701362</v>
      </c>
      <c r="AI1732">
        <v>94.742154564795101</v>
      </c>
      <c r="AJ1732">
        <v>99.341746347213501</v>
      </c>
      <c r="AK1732">
        <v>13.357851735976</v>
      </c>
      <c r="AL1732">
        <v>88.460348708007103</v>
      </c>
      <c r="AM1732">
        <v>99.040264976291098</v>
      </c>
      <c r="AN1732">
        <v>0.99999998379418098</v>
      </c>
    </row>
    <row r="1733" spans="1:40" x14ac:dyDescent="0.3">
      <c r="A1733" t="str">
        <f>"20200111153906983"</f>
        <v>20200111153906983</v>
      </c>
      <c r="B1733" t="str">
        <f>"1578728346972653"</f>
        <v>1578728346972653</v>
      </c>
      <c r="C1733" t="s">
        <v>40</v>
      </c>
      <c r="D1733">
        <v>5.0149210000000002</v>
      </c>
      <c r="E1733">
        <v>0.41576540000000001</v>
      </c>
      <c r="F1733" t="s">
        <v>53</v>
      </c>
      <c r="G1733">
        <v>-483.72089999999997</v>
      </c>
      <c r="H1733" s="1">
        <v>4.6031619999999996E-6</v>
      </c>
      <c r="I1733">
        <v>228.4213</v>
      </c>
      <c r="J1733">
        <v>-491.04469999999998</v>
      </c>
      <c r="K1733">
        <v>1.1044020000000001</v>
      </c>
      <c r="L1733">
        <v>243.61859999999999</v>
      </c>
      <c r="M1733">
        <v>6.3733869999999998E-2</v>
      </c>
      <c r="N1733">
        <v>0</v>
      </c>
      <c r="O1733">
        <v>-0.99786920000000001</v>
      </c>
      <c r="P1733">
        <v>0.2226129</v>
      </c>
      <c r="Q1733">
        <v>1.2857850000000001E-2</v>
      </c>
      <c r="R1733">
        <v>-0.97482199999999997</v>
      </c>
      <c r="S1733">
        <v>1.3124389999999999</v>
      </c>
      <c r="T1733">
        <v>-0.19723460000000001</v>
      </c>
      <c r="U1733">
        <v>-2.782578</v>
      </c>
      <c r="V1733">
        <v>-0.16002649999999999</v>
      </c>
      <c r="W1733">
        <v>2.6633750000000001E-2</v>
      </c>
      <c r="X1733">
        <v>0.98675330000000006</v>
      </c>
      <c r="Y1733">
        <v>-0.36718679999999998</v>
      </c>
      <c r="Z1733">
        <v>6.4624319999999999E-2</v>
      </c>
      <c r="AA1733">
        <v>0.92789949999999999</v>
      </c>
      <c r="AB1733">
        <v>38</v>
      </c>
      <c r="AC1733">
        <v>7.3238000000000003</v>
      </c>
      <c r="AD1733">
        <v>-1.1043973968379901</v>
      </c>
      <c r="AE1733">
        <v>-15.197299999999901</v>
      </c>
      <c r="AF1733">
        <v>-6.3131736937984</v>
      </c>
      <c r="AG1733">
        <v>-1.1043973968379901</v>
      </c>
      <c r="AH1733">
        <v>15.566503044056301</v>
      </c>
      <c r="AI1733">
        <v>93.761545603929505</v>
      </c>
      <c r="AJ1733">
        <v>112.075578291075</v>
      </c>
      <c r="AK1733">
        <v>16.8342470196568</v>
      </c>
      <c r="AL1733">
        <v>88.473817994706295</v>
      </c>
      <c r="AM1733">
        <v>99.211731001550902</v>
      </c>
      <c r="AN1733">
        <v>0.99999995620110005</v>
      </c>
    </row>
    <row r="1734" spans="1:40" x14ac:dyDescent="0.3">
      <c r="A1734" t="str">
        <f>"20200111153907004"</f>
        <v>20200111153907004</v>
      </c>
      <c r="B1734" t="str">
        <f>"1578728347002910"</f>
        <v>1578728347002910</v>
      </c>
      <c r="C1734" t="s">
        <v>40</v>
      </c>
      <c r="D1734">
        <v>4.9623229999999996</v>
      </c>
      <c r="E1734">
        <v>0.41778670000000001</v>
      </c>
      <c r="F1734" t="s">
        <v>53</v>
      </c>
      <c r="G1734">
        <v>-484.11489999999998</v>
      </c>
      <c r="H1734" s="1">
        <v>4.8548690000000001E-6</v>
      </c>
      <c r="I1734">
        <v>228.8954</v>
      </c>
      <c r="J1734">
        <v>-491.02120000000002</v>
      </c>
      <c r="K1734">
        <v>1.1045020000000001</v>
      </c>
      <c r="L1734">
        <v>243.2535</v>
      </c>
      <c r="M1734">
        <v>6.4006889999999997E-2</v>
      </c>
      <c r="N1734">
        <v>0</v>
      </c>
      <c r="O1734">
        <v>-0.9978515</v>
      </c>
      <c r="P1734">
        <v>0.22602220000000001</v>
      </c>
      <c r="Q1734">
        <v>1.1647289999999999E-2</v>
      </c>
      <c r="R1734">
        <v>-0.97405249999999999</v>
      </c>
      <c r="S1734">
        <v>1.3090820000000001</v>
      </c>
      <c r="T1734">
        <v>-0.2086267</v>
      </c>
      <c r="U1734">
        <v>-2.7812960000000002</v>
      </c>
      <c r="V1734">
        <v>-0.163214</v>
      </c>
      <c r="W1734">
        <v>2.5390579999999999E-2</v>
      </c>
      <c r="X1734">
        <v>0.98626389999999997</v>
      </c>
      <c r="Y1734">
        <v>-0.36607400000000001</v>
      </c>
      <c r="Z1734">
        <v>6.8397470000000002E-2</v>
      </c>
      <c r="AA1734">
        <v>0.92806880000000003</v>
      </c>
      <c r="AB1734">
        <v>38</v>
      </c>
      <c r="AC1734">
        <v>6.9063000000000399</v>
      </c>
      <c r="AD1734">
        <v>-1.1044971451309999</v>
      </c>
      <c r="AE1734">
        <v>-14.3581</v>
      </c>
      <c r="AF1734">
        <v>-5.9444616171723297</v>
      </c>
      <c r="AG1734">
        <v>-1.1044971451309999</v>
      </c>
      <c r="AH1734">
        <v>14.700103359222</v>
      </c>
      <c r="AI1734">
        <v>93.984538800660701</v>
      </c>
      <c r="AJ1734">
        <v>112.017536461652</v>
      </c>
      <c r="AK1734">
        <v>15.894954439489499</v>
      </c>
      <c r="AL1734">
        <v>88.545070549827699</v>
      </c>
      <c r="AM1734">
        <v>99.396554742103802</v>
      </c>
      <c r="AN1734">
        <v>0.99999998589597305</v>
      </c>
    </row>
    <row r="1735" spans="1:40" x14ac:dyDescent="0.3">
      <c r="A1735" t="str">
        <f>"20200111153907026"</f>
        <v>20200111153907026</v>
      </c>
      <c r="B1735" t="str">
        <f>"1578728347022430"</f>
        <v>1578728347022430</v>
      </c>
      <c r="C1735" t="s">
        <v>40</v>
      </c>
      <c r="D1735">
        <v>4.9666880000000004</v>
      </c>
      <c r="E1735">
        <v>0.4188848</v>
      </c>
      <c r="F1735" t="s">
        <v>53</v>
      </c>
      <c r="G1735">
        <v>-484.55090000000001</v>
      </c>
      <c r="H1735" s="1">
        <v>5.1424010000000003E-6</v>
      </c>
      <c r="I1735">
        <v>229.44909999999999</v>
      </c>
      <c r="J1735">
        <v>-490.99770000000001</v>
      </c>
      <c r="K1735">
        <v>1.104644</v>
      </c>
      <c r="L1735">
        <v>242.8912</v>
      </c>
      <c r="M1735">
        <v>6.446528E-2</v>
      </c>
      <c r="N1735">
        <v>0</v>
      </c>
      <c r="O1735">
        <v>-0.99782190000000004</v>
      </c>
      <c r="P1735">
        <v>0.2285519</v>
      </c>
      <c r="Q1735">
        <v>1.073965E-2</v>
      </c>
      <c r="R1735">
        <v>-0.97347269999999997</v>
      </c>
      <c r="S1735">
        <v>1.303131</v>
      </c>
      <c r="T1735">
        <v>-0.22244620000000001</v>
      </c>
      <c r="U1735">
        <v>-2.7802120000000001</v>
      </c>
      <c r="V1735">
        <v>-0.16533110000000001</v>
      </c>
      <c r="W1735">
        <v>2.443387E-2</v>
      </c>
      <c r="X1735">
        <v>0.98593540000000002</v>
      </c>
      <c r="Y1735">
        <v>-0.36402010000000001</v>
      </c>
      <c r="Z1735">
        <v>7.2987209999999997E-2</v>
      </c>
      <c r="AA1735">
        <v>0.92852690000000004</v>
      </c>
      <c r="AB1735">
        <v>38</v>
      </c>
      <c r="AC1735">
        <v>6.4467999999999899</v>
      </c>
      <c r="AD1735">
        <v>-1.104638857599</v>
      </c>
      <c r="AE1735">
        <v>-13.4421</v>
      </c>
      <c r="AF1735">
        <v>-5.5363578870515999</v>
      </c>
      <c r="AG1735">
        <v>-1.104638857599</v>
      </c>
      <c r="AH1735">
        <v>13.7542546912148</v>
      </c>
      <c r="AI1735">
        <v>94.260858084479096</v>
      </c>
      <c r="AJ1735">
        <v>111.925754477247</v>
      </c>
      <c r="AK1735">
        <v>14.867784225298699</v>
      </c>
      <c r="AL1735">
        <v>88.599903035062894</v>
      </c>
      <c r="AM1735">
        <v>99.519337719935507</v>
      </c>
      <c r="AN1735">
        <v>0.99999999980177301</v>
      </c>
    </row>
    <row r="1736" spans="1:40" x14ac:dyDescent="0.3">
      <c r="A1736" t="str">
        <f>"20200111153907048"</f>
        <v>20200111153907048</v>
      </c>
      <c r="B1736" t="str">
        <f>"1578728347041950"</f>
        <v>1578728347041950</v>
      </c>
      <c r="C1736" t="s">
        <v>40</v>
      </c>
      <c r="D1736">
        <v>4.9700839999999999</v>
      </c>
      <c r="E1736">
        <v>0.41975770000000001</v>
      </c>
      <c r="F1736" t="s">
        <v>42</v>
      </c>
      <c r="G1736">
        <v>-484.81920000000002</v>
      </c>
      <c r="H1736" s="1">
        <v>-1.395875E-6</v>
      </c>
      <c r="I1736">
        <v>229.69909999999999</v>
      </c>
      <c r="J1736">
        <v>-490.9726</v>
      </c>
      <c r="K1736">
        <v>1.104843</v>
      </c>
      <c r="L1736">
        <v>242.51259999999999</v>
      </c>
      <c r="M1736">
        <v>6.5201800000000004E-2</v>
      </c>
      <c r="N1736">
        <v>0</v>
      </c>
      <c r="O1736">
        <v>-0.99777400000000005</v>
      </c>
      <c r="P1736">
        <v>0.22981170000000001</v>
      </c>
      <c r="Q1736">
        <v>1.1470589999999999E-2</v>
      </c>
      <c r="R1736">
        <v>-0.97316769999999997</v>
      </c>
      <c r="S1736">
        <v>1.3014220000000001</v>
      </c>
      <c r="T1736">
        <v>-0.23267940000000001</v>
      </c>
      <c r="U1736">
        <v>-2.7787480000000002</v>
      </c>
      <c r="V1736">
        <v>-0.1658925</v>
      </c>
      <c r="W1736">
        <v>2.5093609999999999E-2</v>
      </c>
      <c r="X1736">
        <v>0.98582449999999999</v>
      </c>
      <c r="Y1736">
        <v>-0.36294510000000002</v>
      </c>
      <c r="Z1736">
        <v>7.6380980000000001E-2</v>
      </c>
      <c r="AA1736">
        <v>0.92867480000000002</v>
      </c>
      <c r="AB1736">
        <v>38</v>
      </c>
      <c r="AC1736">
        <v>6.1533999999999702</v>
      </c>
      <c r="AD1736">
        <v>-1.1048443958750001</v>
      </c>
      <c r="AE1736">
        <v>-12.813499999999999</v>
      </c>
      <c r="AF1736">
        <v>-5.2729024301666199</v>
      </c>
      <c r="AG1736">
        <v>-1.1048443958750001</v>
      </c>
      <c r="AH1736">
        <v>13.1082874077697</v>
      </c>
      <c r="AI1736">
        <v>94.471232257385793</v>
      </c>
      <c r="AJ1736">
        <v>111.91281021599001</v>
      </c>
      <c r="AK1736">
        <v>14.1722044841953</v>
      </c>
      <c r="AL1736">
        <v>88.562091089442504</v>
      </c>
      <c r="AM1736">
        <v>99.552121812098804</v>
      </c>
      <c r="AN1736">
        <v>0.99999997780966499</v>
      </c>
    </row>
    <row r="1737" spans="1:40" x14ac:dyDescent="0.3">
      <c r="A1737" t="str">
        <f>"20200111153907072"</f>
        <v>20200111153907072</v>
      </c>
      <c r="B1737" t="str">
        <f>"1578728347062446"</f>
        <v>1578728347062446</v>
      </c>
      <c r="C1737" t="s">
        <v>40</v>
      </c>
      <c r="D1737">
        <v>5.0067779999999997</v>
      </c>
      <c r="E1737">
        <v>0.4202612</v>
      </c>
      <c r="F1737" t="s">
        <v>53</v>
      </c>
      <c r="G1737">
        <v>-484.89269999999999</v>
      </c>
      <c r="H1737" s="1">
        <v>5.2491049999999998E-6</v>
      </c>
      <c r="I1737">
        <v>229.4999</v>
      </c>
      <c r="J1737">
        <v>-490.94600000000003</v>
      </c>
      <c r="K1737">
        <v>1.1051120000000001</v>
      </c>
      <c r="L1737">
        <v>242.12049999999999</v>
      </c>
      <c r="M1737">
        <v>6.6317319999999999E-2</v>
      </c>
      <c r="N1737">
        <v>0</v>
      </c>
      <c r="O1737">
        <v>-0.99770020000000004</v>
      </c>
      <c r="P1737">
        <v>0.2321503</v>
      </c>
      <c r="Q1737">
        <v>1.2453870000000001E-2</v>
      </c>
      <c r="R1737">
        <v>-0.97260020000000003</v>
      </c>
      <c r="S1737">
        <v>1.29837</v>
      </c>
      <c r="T1737">
        <v>-0.2359415</v>
      </c>
      <c r="U1737">
        <v>-2.7789000000000001</v>
      </c>
      <c r="V1737">
        <v>-0.16717939999999901</v>
      </c>
      <c r="W1737">
        <v>2.5973090000000001E-2</v>
      </c>
      <c r="X1737">
        <v>0.98558429999999997</v>
      </c>
      <c r="Y1737">
        <v>-0.36101090000000002</v>
      </c>
      <c r="Z1737">
        <v>7.7479629999999994E-2</v>
      </c>
      <c r="AA1737">
        <v>0.92933739999999998</v>
      </c>
      <c r="AB1737">
        <v>38</v>
      </c>
      <c r="AC1737">
        <v>6.0532999999999699</v>
      </c>
      <c r="AD1737">
        <v>-1.1051067508949901</v>
      </c>
      <c r="AE1737">
        <v>-12.6205999999999</v>
      </c>
      <c r="AF1737">
        <v>-5.1706939807186698</v>
      </c>
      <c r="AG1737">
        <v>-1.1051067508949901</v>
      </c>
      <c r="AH1737">
        <v>12.9137924965189</v>
      </c>
      <c r="AI1737">
        <v>94.542268843409502</v>
      </c>
      <c r="AJ1737">
        <v>111.821207766029</v>
      </c>
      <c r="AK1737">
        <v>13.954331722309799</v>
      </c>
      <c r="AL1737">
        <v>88.511684167827198</v>
      </c>
      <c r="AM1737">
        <v>99.627142570753605</v>
      </c>
      <c r="AN1737">
        <v>0.99999998279749802</v>
      </c>
    </row>
    <row r="1738" spans="1:40" x14ac:dyDescent="0.3">
      <c r="A1738" t="str">
        <f>"20200111153907093"</f>
        <v>20200111153907093</v>
      </c>
      <c r="B1738" t="str">
        <f>"1578728347082942"</f>
        <v>1578728347082942</v>
      </c>
      <c r="C1738" t="s">
        <v>40</v>
      </c>
      <c r="D1738">
        <v>4.9900469999999997</v>
      </c>
      <c r="E1738">
        <v>0.42044419999999999</v>
      </c>
      <c r="F1738" t="s">
        <v>53</v>
      </c>
      <c r="G1738">
        <v>-484.81630000000001</v>
      </c>
      <c r="H1738" s="1">
        <v>5.0876719999999997E-6</v>
      </c>
      <c r="I1738">
        <v>229.0444</v>
      </c>
      <c r="J1738">
        <v>-490.92090000000002</v>
      </c>
      <c r="K1738">
        <v>1.1054139999999999</v>
      </c>
      <c r="L1738">
        <v>241.76079999999999</v>
      </c>
      <c r="M1738">
        <v>6.7742280000000002E-2</v>
      </c>
      <c r="N1738">
        <v>0</v>
      </c>
      <c r="O1738">
        <v>-0.99760439999999995</v>
      </c>
      <c r="P1738">
        <v>0.23616180000000001</v>
      </c>
      <c r="Q1738">
        <v>1.1742829999999999E-2</v>
      </c>
      <c r="R1738">
        <v>-0.97164309999999998</v>
      </c>
      <c r="S1738">
        <v>1.3016970000000001</v>
      </c>
      <c r="T1738">
        <v>-0.23467959999999999</v>
      </c>
      <c r="U1738">
        <v>-2.7768099999999998</v>
      </c>
      <c r="V1738">
        <v>-0.16985600000000001</v>
      </c>
      <c r="W1738">
        <v>2.5135560000000001E-2</v>
      </c>
      <c r="X1738">
        <v>0.98514829999999998</v>
      </c>
      <c r="Y1738">
        <v>-0.36087380000000002</v>
      </c>
      <c r="Z1738">
        <v>7.7092369999999993E-2</v>
      </c>
      <c r="AA1738">
        <v>0.92942290000000005</v>
      </c>
      <c r="AB1738">
        <v>38</v>
      </c>
      <c r="AC1738">
        <v>6.1045999999999996</v>
      </c>
      <c r="AD1738">
        <v>-1.105408912328</v>
      </c>
      <c r="AE1738">
        <v>-12.716399999999901</v>
      </c>
      <c r="AF1738">
        <v>-5.1971349831154203</v>
      </c>
      <c r="AG1738">
        <v>-1.105408912328</v>
      </c>
      <c r="AH1738">
        <v>13.020799886539599</v>
      </c>
      <c r="AI1738">
        <v>94.508269946102004</v>
      </c>
      <c r="AJ1738">
        <v>111.758968013928</v>
      </c>
      <c r="AK1738">
        <v>14.063192048090899</v>
      </c>
      <c r="AL1738">
        <v>88.559686826719599</v>
      </c>
      <c r="AM1738">
        <v>99.782567709232794</v>
      </c>
      <c r="AN1738">
        <v>1.0000000150527</v>
      </c>
    </row>
    <row r="1739" spans="1:40" x14ac:dyDescent="0.3">
      <c r="A1739" t="str">
        <f>"20200111153907127"</f>
        <v>20200111153907127</v>
      </c>
      <c r="B1739" t="str">
        <f>"1578728347121982"</f>
        <v>1578728347121982</v>
      </c>
      <c r="C1739" t="s">
        <v>40</v>
      </c>
      <c r="D1739">
        <v>5.0739869999999998</v>
      </c>
      <c r="E1739">
        <v>0.42073650000000001</v>
      </c>
      <c r="F1739" t="s">
        <v>53</v>
      </c>
      <c r="G1739">
        <v>-484.85879999999997</v>
      </c>
      <c r="H1739" s="1">
        <v>5.0699229999999999E-6</v>
      </c>
      <c r="I1739">
        <v>228.95060000000001</v>
      </c>
      <c r="J1739">
        <v>-490.88040000000001</v>
      </c>
      <c r="K1739">
        <v>1.10599</v>
      </c>
      <c r="L1739">
        <v>241.20840000000001</v>
      </c>
      <c r="M1739">
        <v>7.0862629999999996E-2</v>
      </c>
      <c r="N1739">
        <v>0</v>
      </c>
      <c r="O1739">
        <v>-0.99738709999999997</v>
      </c>
      <c r="P1739">
        <v>0.23872989999999999</v>
      </c>
      <c r="Q1739">
        <v>1.1864950000000001E-2</v>
      </c>
      <c r="R1739">
        <v>-0.97101349999999997</v>
      </c>
      <c r="S1739">
        <v>1.311615</v>
      </c>
      <c r="T1739">
        <v>-0.23917070000000001</v>
      </c>
      <c r="U1739">
        <v>-2.771652</v>
      </c>
      <c r="V1739">
        <v>-0.16941439999999999</v>
      </c>
      <c r="W1739">
        <v>2.504499E-2</v>
      </c>
      <c r="X1739">
        <v>0.98522659999999995</v>
      </c>
      <c r="Y1739">
        <v>-0.36129319999999998</v>
      </c>
      <c r="Z1739">
        <v>7.8600020000000007E-2</v>
      </c>
      <c r="AA1739">
        <v>0.92913369999999995</v>
      </c>
      <c r="AB1739">
        <v>38</v>
      </c>
      <c r="AC1739">
        <v>6.0216000000000296</v>
      </c>
      <c r="AD1739">
        <v>-1.1059849300769999</v>
      </c>
      <c r="AE1739">
        <v>-12.2578</v>
      </c>
      <c r="AF1739">
        <v>-5.10427831385043</v>
      </c>
      <c r="AG1739">
        <v>-1.1059849300769999</v>
      </c>
      <c r="AH1739">
        <v>12.5712816558489</v>
      </c>
      <c r="AI1739">
        <v>94.660115522737598</v>
      </c>
      <c r="AJ1739">
        <v>112.098474787802</v>
      </c>
      <c r="AK1739">
        <v>13.613007832271499</v>
      </c>
      <c r="AL1739">
        <v>88.5648776776045</v>
      </c>
      <c r="AM1739">
        <v>99.756863467251193</v>
      </c>
      <c r="AN1739">
        <v>0.99999997189950895</v>
      </c>
    </row>
    <row r="1740" spans="1:40" x14ac:dyDescent="0.3">
      <c r="A1740" t="str">
        <f>"20200111153907150"</f>
        <v>20200111153907150</v>
      </c>
      <c r="B1740" t="str">
        <f>"1578728347142478"</f>
        <v>1578728347142478</v>
      </c>
      <c r="C1740" t="s">
        <v>40</v>
      </c>
      <c r="D1740">
        <v>5.1865459999999999</v>
      </c>
      <c r="E1740">
        <v>0.3872873</v>
      </c>
      <c r="F1740" t="s">
        <v>53</v>
      </c>
      <c r="G1740">
        <v>-484.81130000000002</v>
      </c>
      <c r="H1740" s="1">
        <v>4.9036940000000004E-6</v>
      </c>
      <c r="I1740">
        <v>228.45480000000001</v>
      </c>
      <c r="J1740">
        <v>-490.851</v>
      </c>
      <c r="K1740">
        <v>1.1064020000000001</v>
      </c>
      <c r="L1740">
        <v>240.8295</v>
      </c>
      <c r="M1740">
        <v>7.357284E-2</v>
      </c>
      <c r="N1740">
        <v>0</v>
      </c>
      <c r="O1740">
        <v>-0.99719049999999998</v>
      </c>
      <c r="P1740">
        <v>0.2393652</v>
      </c>
      <c r="Q1740">
        <v>1.057522E-2</v>
      </c>
      <c r="R1740">
        <v>-0.97087219999999996</v>
      </c>
      <c r="S1740">
        <v>1.317474</v>
      </c>
      <c r="T1740">
        <v>-0.24008940000000001</v>
      </c>
      <c r="U1740">
        <v>-2.76857</v>
      </c>
      <c r="V1740">
        <v>-0.16739879999999999</v>
      </c>
      <c r="W1740">
        <v>2.3617760000000002E-2</v>
      </c>
      <c r="X1740">
        <v>0.98560630000000005</v>
      </c>
      <c r="Y1740">
        <v>-0.36075380000000001</v>
      </c>
      <c r="Z1740">
        <v>7.892971E-2</v>
      </c>
      <c r="AA1740">
        <v>0.92931520000000001</v>
      </c>
      <c r="AB1740">
        <v>38</v>
      </c>
      <c r="AC1740">
        <v>6.0396999999999803</v>
      </c>
      <c r="AD1740">
        <v>-1.1063970963059999</v>
      </c>
      <c r="AE1740">
        <v>-12.374699999999899</v>
      </c>
      <c r="AF1740">
        <v>-5.0800001264652099</v>
      </c>
      <c r="AG1740">
        <v>-1.1063970963059999</v>
      </c>
      <c r="AH1740">
        <v>12.703544849233401</v>
      </c>
      <c r="AI1740">
        <v>94.623303755642397</v>
      </c>
      <c r="AJ1740">
        <v>111.795896645502</v>
      </c>
      <c r="AK1740">
        <v>13.7262728938371</v>
      </c>
      <c r="AL1740">
        <v>88.646676153171896</v>
      </c>
      <c r="AM1740">
        <v>99.639328828483599</v>
      </c>
      <c r="AN1740">
        <v>0.99999996771427302</v>
      </c>
    </row>
    <row r="1741" spans="1:40" x14ac:dyDescent="0.3">
      <c r="A1741" t="str">
        <f>"20200111153907172"</f>
        <v>20200111153907172</v>
      </c>
      <c r="B1741" t="str">
        <f>"1578728347162974"</f>
        <v>1578728347162974</v>
      </c>
      <c r="C1741" t="s">
        <v>40</v>
      </c>
      <c r="D1741">
        <v>5.1599110000000001</v>
      </c>
      <c r="E1741">
        <v>0.38352330000000001</v>
      </c>
      <c r="F1741" t="s">
        <v>41</v>
      </c>
      <c r="G1741">
        <v>-490.34609999999998</v>
      </c>
      <c r="H1741">
        <v>1.0448839999999999</v>
      </c>
      <c r="I1741">
        <v>239.96709999999999</v>
      </c>
      <c r="J1741">
        <v>-490.82</v>
      </c>
      <c r="K1741">
        <v>1.1068150000000001</v>
      </c>
      <c r="L1741">
        <v>240.44810000000001</v>
      </c>
      <c r="M1741">
        <v>7.6773229999999998E-2</v>
      </c>
      <c r="N1741">
        <v>0</v>
      </c>
      <c r="O1741">
        <v>-0.99694910000000003</v>
      </c>
      <c r="P1741">
        <v>0.24336289999999999</v>
      </c>
      <c r="Q1741">
        <v>8.6425649999999996E-3</v>
      </c>
      <c r="R1741">
        <v>-0.9698968</v>
      </c>
      <c r="S1741">
        <v>1.5817570000000001</v>
      </c>
      <c r="T1741">
        <v>-0.19275999999999999</v>
      </c>
      <c r="U1741">
        <v>-2.702118</v>
      </c>
      <c r="V1741">
        <v>-0.16830619999999999</v>
      </c>
      <c r="W1741">
        <v>2.1528309999999998E-2</v>
      </c>
      <c r="X1741">
        <v>0.98549969999999998</v>
      </c>
      <c r="Y1741">
        <v>-0.43645319999999999</v>
      </c>
      <c r="Z1741">
        <v>6.2352089999999999E-2</v>
      </c>
      <c r="AA1741">
        <v>0.89756389999999997</v>
      </c>
      <c r="AB1741">
        <v>37</v>
      </c>
      <c r="AC1741">
        <v>0.47390000000001398</v>
      </c>
      <c r="AD1741">
        <v>-6.1930999999999903E-2</v>
      </c>
      <c r="AE1741">
        <v>-0.48100000000002302</v>
      </c>
      <c r="AF1741">
        <v>-0.43193595265762602</v>
      </c>
      <c r="AG1741">
        <v>-6.1930999999999903E-2</v>
      </c>
      <c r="AH1741">
        <v>0.51166235341847</v>
      </c>
      <c r="AI1741">
        <v>95.2842103802422</v>
      </c>
      <c r="AJ1741">
        <v>130.17044225927199</v>
      </c>
      <c r="AK1741">
        <v>0.67246002101610403</v>
      </c>
      <c r="AL1741">
        <v>88.766423461220796</v>
      </c>
      <c r="AM1741">
        <v>99.691619822114205</v>
      </c>
      <c r="AN1741">
        <v>1.0000000518949901</v>
      </c>
    </row>
    <row r="1742" spans="1:40" x14ac:dyDescent="0.3">
      <c r="A1742" t="str">
        <f>"20200111153907195"</f>
        <v>20200111153907195</v>
      </c>
      <c r="B1742" t="str">
        <f>"1578728347192253"</f>
        <v>1578728347192253</v>
      </c>
      <c r="C1742" t="s">
        <v>40</v>
      </c>
      <c r="D1742">
        <v>5.1158720000000004</v>
      </c>
      <c r="E1742">
        <v>0.38240449999999998</v>
      </c>
      <c r="F1742" t="s">
        <v>53</v>
      </c>
      <c r="G1742">
        <v>-483.37349999999998</v>
      </c>
      <c r="H1742" s="1">
        <v>4.4063940000000001E-6</v>
      </c>
      <c r="I1742">
        <v>228.08449999999999</v>
      </c>
      <c r="J1742">
        <v>-490.7885</v>
      </c>
      <c r="K1742">
        <v>1.107227</v>
      </c>
      <c r="L1742">
        <v>240.0805</v>
      </c>
      <c r="M1742">
        <v>8.0333840000000004E-2</v>
      </c>
      <c r="N1742">
        <v>0</v>
      </c>
      <c r="O1742">
        <v>-0.99666829999999995</v>
      </c>
      <c r="P1742">
        <v>0.2496485</v>
      </c>
      <c r="Q1742">
        <v>7.2819729999999997E-3</v>
      </c>
      <c r="R1742">
        <v>-0.96830930000000004</v>
      </c>
      <c r="S1742">
        <v>1.619507</v>
      </c>
      <c r="T1742">
        <v>-0.2407155</v>
      </c>
      <c r="U1742">
        <v>-2.688904</v>
      </c>
      <c r="V1742">
        <v>-0.1711887</v>
      </c>
      <c r="W1742">
        <v>1.999418E-2</v>
      </c>
      <c r="X1742">
        <v>0.98503540000000001</v>
      </c>
      <c r="Y1742">
        <v>-0.44389689999999998</v>
      </c>
      <c r="Z1742">
        <v>7.7656520000000007E-2</v>
      </c>
      <c r="AA1742">
        <v>0.89270659999999902</v>
      </c>
      <c r="AB1742">
        <v>37</v>
      </c>
      <c r="AC1742">
        <v>7.4150000000000098</v>
      </c>
      <c r="AD1742">
        <v>-1.1072225936059901</v>
      </c>
      <c r="AE1742">
        <v>-11.996</v>
      </c>
      <c r="AF1742">
        <v>-6.38787443095406</v>
      </c>
      <c r="AG1742">
        <v>-1.1072225936059901</v>
      </c>
      <c r="AH1742">
        <v>12.476053176530399</v>
      </c>
      <c r="AI1742">
        <v>94.5167188178592</v>
      </c>
      <c r="AJ1742">
        <v>117.112938383627</v>
      </c>
      <c r="AK1742">
        <v>14.0599709985846</v>
      </c>
      <c r="AL1742">
        <v>88.854341574138203</v>
      </c>
      <c r="AM1742">
        <v>99.858929898847094</v>
      </c>
      <c r="AN1742">
        <v>1.00000003874736</v>
      </c>
    </row>
    <row r="1743" spans="1:40" x14ac:dyDescent="0.3">
      <c r="A1743" t="str">
        <f>"20200111153907215"</f>
        <v>20200111153907215</v>
      </c>
      <c r="B1743" t="str">
        <f>"1578728347212750"</f>
        <v>1578728347212750</v>
      </c>
      <c r="C1743" t="s">
        <v>40</v>
      </c>
      <c r="D1743">
        <v>5.1168269999999998</v>
      </c>
      <c r="E1743">
        <v>0.38210549999999999</v>
      </c>
      <c r="F1743" t="s">
        <v>53</v>
      </c>
      <c r="G1743">
        <v>-483.96050000000002</v>
      </c>
      <c r="H1743" s="1">
        <v>4.834546E-6</v>
      </c>
      <c r="I1743">
        <v>228.9624</v>
      </c>
      <c r="J1743">
        <v>-490.75729999999999</v>
      </c>
      <c r="K1743">
        <v>1.1076319999999999</v>
      </c>
      <c r="L1743">
        <v>239.73390000000001</v>
      </c>
      <c r="M1743">
        <v>8.4132999999999999E-2</v>
      </c>
      <c r="N1743">
        <v>0</v>
      </c>
      <c r="O1743">
        <v>-0.99635450000000003</v>
      </c>
      <c r="P1743">
        <v>0.25728709999999999</v>
      </c>
      <c r="Q1743">
        <v>9.1514549999999993E-3</v>
      </c>
      <c r="R1743">
        <v>-0.96629180000000003</v>
      </c>
      <c r="S1743">
        <v>1.643707</v>
      </c>
      <c r="T1743">
        <v>-0.26653900000000003</v>
      </c>
      <c r="U1743">
        <v>-2.6764220000000001</v>
      </c>
      <c r="V1743">
        <v>-0.1752454</v>
      </c>
      <c r="W1743">
        <v>2.1680870000000001E-2</v>
      </c>
      <c r="X1743">
        <v>0.98428599999999999</v>
      </c>
      <c r="Y1743">
        <v>-0.44784689999999999</v>
      </c>
      <c r="Z1743">
        <v>8.5945129999999995E-2</v>
      </c>
      <c r="AA1743">
        <v>0.88997000000000004</v>
      </c>
      <c r="AB1743">
        <v>37</v>
      </c>
      <c r="AC1743">
        <v>6.7967999999999602</v>
      </c>
      <c r="AD1743">
        <v>-1.107627165454</v>
      </c>
      <c r="AE1743">
        <v>-10.7715</v>
      </c>
      <c r="AF1743">
        <v>-5.82233569453585</v>
      </c>
      <c r="AG1743">
        <v>-1.107627165454</v>
      </c>
      <c r="AH1743">
        <v>11.2203382452985</v>
      </c>
      <c r="AI1743">
        <v>95.007559140701701</v>
      </c>
      <c r="AJ1743">
        <v>117.425209731915</v>
      </c>
      <c r="AK1743">
        <v>12.689461029390699</v>
      </c>
      <c r="AL1743">
        <v>88.757680275183802</v>
      </c>
      <c r="AM1743">
        <v>100.095337331712</v>
      </c>
      <c r="AN1743">
        <v>0.99999997007055796</v>
      </c>
    </row>
    <row r="1744" spans="1:40" x14ac:dyDescent="0.3">
      <c r="A1744" t="str">
        <f>"20200111153907239"</f>
        <v>20200111153907239</v>
      </c>
      <c r="B1744" t="str">
        <f>"1578728347232270"</f>
        <v>1578728347232270</v>
      </c>
      <c r="C1744" t="s">
        <v>40</v>
      </c>
      <c r="D1744">
        <v>5.1076480000000002</v>
      </c>
      <c r="E1744">
        <v>0.3813339</v>
      </c>
      <c r="F1744" t="s">
        <v>41</v>
      </c>
      <c r="G1744">
        <v>-490.1481</v>
      </c>
      <c r="H1744">
        <v>1.008697</v>
      </c>
      <c r="I1744">
        <v>238.76050000000001</v>
      </c>
      <c r="J1744">
        <v>-490.72070000000002</v>
      </c>
      <c r="K1744">
        <v>1.10807099999999</v>
      </c>
      <c r="L1744">
        <v>239.35140000000001</v>
      </c>
      <c r="M1744">
        <v>8.8776419999999995E-2</v>
      </c>
      <c r="N1744">
        <v>0</v>
      </c>
      <c r="O1744">
        <v>-0.99595109999999998</v>
      </c>
      <c r="P1744">
        <v>0.26658789999999999</v>
      </c>
      <c r="Q1744">
        <v>1.4057439999999999E-2</v>
      </c>
      <c r="R1744">
        <v>-0.96370820000000001</v>
      </c>
      <c r="S1744">
        <v>1.666779</v>
      </c>
      <c r="T1744">
        <v>-0.2706923</v>
      </c>
      <c r="U1744">
        <v>-2.6634370000000001</v>
      </c>
      <c r="V1744">
        <v>-0.18021380000000001</v>
      </c>
      <c r="W1744">
        <v>2.6372070000000001E-2</v>
      </c>
      <c r="X1744">
        <v>0.98327390000000003</v>
      </c>
      <c r="Y1744">
        <v>-0.45111129999999999</v>
      </c>
      <c r="Z1744">
        <v>8.7318580000000007E-2</v>
      </c>
      <c r="AA1744">
        <v>0.88818580000000003</v>
      </c>
      <c r="AB1744">
        <v>37</v>
      </c>
      <c r="AC1744">
        <v>0.57260000000002198</v>
      </c>
      <c r="AD1744">
        <v>-9.9373999999999796E-2</v>
      </c>
      <c r="AE1744">
        <v>-0.59090000000000398</v>
      </c>
      <c r="AF1744">
        <v>-0.51043032144944001</v>
      </c>
      <c r="AG1744">
        <v>-9.9373999999999796E-2</v>
      </c>
      <c r="AH1744">
        <v>0.63021261313084198</v>
      </c>
      <c r="AI1744">
        <v>96.985855301719496</v>
      </c>
      <c r="AJ1744">
        <v>129.00517255531099</v>
      </c>
      <c r="AK1744">
        <v>0.817057062071055</v>
      </c>
      <c r="AL1744">
        <v>88.488816536612703</v>
      </c>
      <c r="AM1744">
        <v>100.385865277563</v>
      </c>
      <c r="AN1744">
        <v>1.0000000311038599</v>
      </c>
    </row>
    <row r="1745" spans="1:40" x14ac:dyDescent="0.3">
      <c r="A1745" t="str">
        <f>"20200111153907261"</f>
        <v>20200111153907261</v>
      </c>
      <c r="B1745" t="str">
        <f>"1578728347252766"</f>
        <v>1578728347252766</v>
      </c>
      <c r="C1745" t="s">
        <v>40</v>
      </c>
      <c r="D1745">
        <v>5.1128749999999998</v>
      </c>
      <c r="E1745">
        <v>0.38080809999999998</v>
      </c>
      <c r="F1745" t="s">
        <v>41</v>
      </c>
      <c r="G1745">
        <v>-490.12819999999999</v>
      </c>
      <c r="H1745">
        <v>1.0176989999999999</v>
      </c>
      <c r="I1745">
        <v>238.42779999999999</v>
      </c>
      <c r="J1745">
        <v>-490.68279999999999</v>
      </c>
      <c r="K1745">
        <v>1.108474</v>
      </c>
      <c r="L1745">
        <v>238.97620000000001</v>
      </c>
      <c r="M1745">
        <v>9.3692769999999995E-2</v>
      </c>
      <c r="N1745">
        <v>0</v>
      </c>
      <c r="O1745">
        <v>-0.9955003</v>
      </c>
      <c r="P1745">
        <v>0.27653290000000003</v>
      </c>
      <c r="Q1745">
        <v>1.798075E-2</v>
      </c>
      <c r="R1745">
        <v>-0.96083620000000003</v>
      </c>
      <c r="S1745">
        <v>1.6987300000000001</v>
      </c>
      <c r="T1745">
        <v>-0.25898769999999999</v>
      </c>
      <c r="U1745">
        <v>-2.6468660000000002</v>
      </c>
      <c r="V1745">
        <v>-0.1855887</v>
      </c>
      <c r="W1745">
        <v>3.0080369999999999E-2</v>
      </c>
      <c r="X1745">
        <v>0.98216700000000001</v>
      </c>
      <c r="Y1745">
        <v>-0.45700540000000001</v>
      </c>
      <c r="Z1745">
        <v>8.3573129999999995E-2</v>
      </c>
      <c r="AA1745">
        <v>0.88552900000000001</v>
      </c>
      <c r="AB1745">
        <v>37</v>
      </c>
      <c r="AC1745">
        <v>0.55459999999999299</v>
      </c>
      <c r="AD1745">
        <v>-9.0774999999999995E-2</v>
      </c>
      <c r="AE1745">
        <v>-0.54840000000001499</v>
      </c>
      <c r="AF1745">
        <v>-0.49408101948337801</v>
      </c>
      <c r="AG1745">
        <v>-9.0774999999999995E-2</v>
      </c>
      <c r="AH1745">
        <v>0.589963023397583</v>
      </c>
      <c r="AI1745">
        <v>96.727635241442002</v>
      </c>
      <c r="AJ1745">
        <v>129.945431171964</v>
      </c>
      <c r="AK1745">
        <v>0.77486290620673803</v>
      </c>
      <c r="AL1745">
        <v>88.276261746892501</v>
      </c>
      <c r="AM1745">
        <v>100.700355903698</v>
      </c>
      <c r="AN1745">
        <v>1.00000000505801</v>
      </c>
    </row>
    <row r="1746" spans="1:40" x14ac:dyDescent="0.3">
      <c r="A1746" t="str">
        <f>"20200111153907283"</f>
        <v>20200111153907283</v>
      </c>
      <c r="B1746" t="str">
        <f>"1578728347272289"</f>
        <v>1578728347272289</v>
      </c>
      <c r="C1746" t="s">
        <v>40</v>
      </c>
      <c r="D1746">
        <v>5.1151739999999997</v>
      </c>
      <c r="E1746">
        <v>0.38031749999999998</v>
      </c>
      <c r="F1746" t="s">
        <v>41</v>
      </c>
      <c r="G1746">
        <v>-490.10390000000001</v>
      </c>
      <c r="H1746">
        <v>1.024913</v>
      </c>
      <c r="I1746">
        <v>238.0966</v>
      </c>
      <c r="J1746">
        <v>-490.6431</v>
      </c>
      <c r="K1746">
        <v>1.1088480000000001</v>
      </c>
      <c r="L1746">
        <v>238.60329999999999</v>
      </c>
      <c r="M1746">
        <v>9.8929119999999995E-2</v>
      </c>
      <c r="N1746">
        <v>0</v>
      </c>
      <c r="O1746">
        <v>-0.99499340000000003</v>
      </c>
      <c r="P1746">
        <v>0.28584660000000001</v>
      </c>
      <c r="Q1746">
        <v>1.999776E-2</v>
      </c>
      <c r="R1746">
        <v>-0.95806659999999999</v>
      </c>
      <c r="S1746">
        <v>1.73019399999999</v>
      </c>
      <c r="T1746">
        <v>-0.2497376</v>
      </c>
      <c r="U1746">
        <v>-2.6289980000000002</v>
      </c>
      <c r="V1746">
        <v>-0.1900066</v>
      </c>
      <c r="W1746">
        <v>3.1893390000000001E-2</v>
      </c>
      <c r="X1746">
        <v>0.98126469999999999</v>
      </c>
      <c r="Y1746">
        <v>-0.4626208</v>
      </c>
      <c r="Z1746">
        <v>8.063853E-2</v>
      </c>
      <c r="AA1746">
        <v>0.88288129999999998</v>
      </c>
      <c r="AB1746">
        <v>37</v>
      </c>
      <c r="AC1746">
        <v>0.53919999999999302</v>
      </c>
      <c r="AD1746">
        <v>-8.3934999999999996E-2</v>
      </c>
      <c r="AE1746">
        <v>-0.50669999999999504</v>
      </c>
      <c r="AF1746">
        <v>-0.480242147171067</v>
      </c>
      <c r="AG1746">
        <v>-8.3934999999999996E-2</v>
      </c>
      <c r="AH1746">
        <v>0.55047817500106999</v>
      </c>
      <c r="AI1746">
        <v>96.554410671023504</v>
      </c>
      <c r="AJ1746">
        <v>131.10173929443701</v>
      </c>
      <c r="AK1746">
        <v>0.73532565934896199</v>
      </c>
      <c r="AL1746">
        <v>88.172333521015602</v>
      </c>
      <c r="AM1746">
        <v>100.95881271507299</v>
      </c>
      <c r="AN1746">
        <v>1.0000000539176599</v>
      </c>
    </row>
    <row r="1747" spans="1:40" x14ac:dyDescent="0.3">
      <c r="A1747" t="str">
        <f>"20200111153907305"</f>
        <v>20200111153907305</v>
      </c>
      <c r="B1747" t="str">
        <f>"1578728347302543"</f>
        <v>1578728347302543</v>
      </c>
      <c r="C1747" t="s">
        <v>40</v>
      </c>
      <c r="D1747">
        <v>5.0894529999999998</v>
      </c>
      <c r="E1747">
        <v>0.38014799999999999</v>
      </c>
      <c r="F1747" t="s">
        <v>41</v>
      </c>
      <c r="G1747">
        <v>-490.07889999999998</v>
      </c>
      <c r="H1747">
        <v>1.0299370000000001</v>
      </c>
      <c r="I1747">
        <v>237.76560000000001</v>
      </c>
      <c r="J1747">
        <v>-490.60329999999999</v>
      </c>
      <c r="K1747">
        <v>1.1091879999999901</v>
      </c>
      <c r="L1747">
        <v>238.25040000000001</v>
      </c>
      <c r="M1747">
        <v>0.1042275</v>
      </c>
      <c r="N1747">
        <v>0</v>
      </c>
      <c r="O1747">
        <v>-0.994452</v>
      </c>
      <c r="P1747">
        <v>0.2935353</v>
      </c>
      <c r="Q1747">
        <v>2.1045810000000002E-2</v>
      </c>
      <c r="R1747">
        <v>-0.95571700000000004</v>
      </c>
      <c r="S1747">
        <v>1.7600100000000001</v>
      </c>
      <c r="T1747">
        <v>-0.24596199999999999</v>
      </c>
      <c r="U1747">
        <v>-2.6112980000000001</v>
      </c>
      <c r="V1747">
        <v>-0.19270490000000001</v>
      </c>
      <c r="W1747">
        <v>3.2764599999999998E-2</v>
      </c>
      <c r="X1747">
        <v>0.98070959999999996</v>
      </c>
      <c r="Y1747">
        <v>-0.46766000000000002</v>
      </c>
      <c r="Z1747">
        <v>7.9465659999999994E-2</v>
      </c>
      <c r="AA1747">
        <v>0.88032909999999998</v>
      </c>
      <c r="AB1747">
        <v>37</v>
      </c>
      <c r="AC1747">
        <v>0.52440000000001397</v>
      </c>
      <c r="AD1747">
        <v>-7.9250999999999697E-2</v>
      </c>
      <c r="AE1747">
        <v>-0.484800000000007</v>
      </c>
      <c r="AF1747">
        <v>-0.46527899624570901</v>
      </c>
      <c r="AG1747">
        <v>-7.9250999999999697E-2</v>
      </c>
      <c r="AH1747">
        <v>0.53029114030105695</v>
      </c>
      <c r="AI1747">
        <v>96.409579575591394</v>
      </c>
      <c r="AJ1747">
        <v>131.26380890357299</v>
      </c>
      <c r="AK1747">
        <v>0.70991123306383097</v>
      </c>
      <c r="AL1747">
        <v>88.122390674766393</v>
      </c>
      <c r="AM1747">
        <v>101.116725820477</v>
      </c>
      <c r="AN1747">
        <v>1.0000000085146601</v>
      </c>
    </row>
    <row r="1748" spans="1:40" x14ac:dyDescent="0.3">
      <c r="A1748" t="str">
        <f>"20200111153907334"</f>
        <v>20200111153907334</v>
      </c>
      <c r="B1748" t="str">
        <f>"1578728347322062"</f>
        <v>1578728347322062</v>
      </c>
      <c r="C1748" t="s">
        <v>40</v>
      </c>
      <c r="D1748">
        <v>5.1151369999999998</v>
      </c>
      <c r="E1748">
        <v>0.3800403</v>
      </c>
      <c r="F1748" t="s">
        <v>41</v>
      </c>
      <c r="G1748">
        <v>-490.04539999999997</v>
      </c>
      <c r="H1748">
        <v>1.0318309999999999</v>
      </c>
      <c r="I1748">
        <v>237.4375</v>
      </c>
      <c r="J1748">
        <v>-490.54739999999998</v>
      </c>
      <c r="K1748">
        <v>1.109642</v>
      </c>
      <c r="L1748">
        <v>237.78200000000001</v>
      </c>
      <c r="M1748">
        <v>0.1117879</v>
      </c>
      <c r="N1748">
        <v>0</v>
      </c>
      <c r="O1748">
        <v>-0.99363020000000002</v>
      </c>
      <c r="P1748">
        <v>0.30243750000000003</v>
      </c>
      <c r="Q1748">
        <v>2.1262380000000001E-2</v>
      </c>
      <c r="R1748">
        <v>-0.95293220000000001</v>
      </c>
      <c r="S1748">
        <v>1.7825930000000001</v>
      </c>
      <c r="T1748">
        <v>-0.24712529999999999</v>
      </c>
      <c r="U1748">
        <v>-2.596924</v>
      </c>
      <c r="V1748">
        <v>-0.19443579999999999</v>
      </c>
      <c r="W1748">
        <v>3.2761739999999998E-2</v>
      </c>
      <c r="X1748">
        <v>0.98036800000000002</v>
      </c>
      <c r="Y1748">
        <v>-0.46840320000000002</v>
      </c>
      <c r="Z1748">
        <v>7.9905669999999998E-2</v>
      </c>
      <c r="AA1748">
        <v>0.87989399999999995</v>
      </c>
      <c r="AB1748">
        <v>37</v>
      </c>
      <c r="AC1748">
        <v>0.50200000000000899</v>
      </c>
      <c r="AD1748">
        <v>-7.7811000000000005E-2</v>
      </c>
      <c r="AE1748">
        <v>-0.34450000000001002</v>
      </c>
      <c r="AF1748">
        <v>-0.45293996722226698</v>
      </c>
      <c r="AG1748">
        <v>-7.7811000000000005E-2</v>
      </c>
      <c r="AH1748">
        <v>0.39205978646567802</v>
      </c>
      <c r="AI1748">
        <v>97.400704668414406</v>
      </c>
      <c r="AJ1748">
        <v>139.12090132352299</v>
      </c>
      <c r="AK1748">
        <v>0.60408612117132898</v>
      </c>
      <c r="AL1748">
        <v>88.122554638409198</v>
      </c>
      <c r="AM1748">
        <v>101.217866276462</v>
      </c>
      <c r="AN1748">
        <v>1.00000001367673</v>
      </c>
    </row>
    <row r="1749" spans="1:40" x14ac:dyDescent="0.3">
      <c r="A1749" t="str">
        <f>"20200111153907350"</f>
        <v>20200111153907350</v>
      </c>
      <c r="B1749" t="str">
        <f>"1578728347342090"</f>
        <v>1578728347342090</v>
      </c>
      <c r="C1749" t="s">
        <v>40</v>
      </c>
      <c r="D1749">
        <v>5.1135970000000004</v>
      </c>
      <c r="E1749">
        <v>0.38007030000000003</v>
      </c>
      <c r="F1749" t="s">
        <v>41</v>
      </c>
      <c r="G1749">
        <v>-490.0258</v>
      </c>
      <c r="H1749">
        <v>1.0379339999999999</v>
      </c>
      <c r="I1749">
        <v>237.03739999999999</v>
      </c>
      <c r="J1749">
        <v>-490.51209999999998</v>
      </c>
      <c r="K1749">
        <v>1.1099209999999999</v>
      </c>
      <c r="L1749">
        <v>237.50559999999999</v>
      </c>
      <c r="M1749">
        <v>0.11661779999999999</v>
      </c>
      <c r="N1749">
        <v>0</v>
      </c>
      <c r="O1749">
        <v>-0.99307469999999998</v>
      </c>
      <c r="P1749">
        <v>0.30854310000000001</v>
      </c>
      <c r="Q1749">
        <v>1.9546939999999999E-2</v>
      </c>
      <c r="R1749">
        <v>-0.95100969999999996</v>
      </c>
      <c r="S1749">
        <v>1.8080750000000001</v>
      </c>
      <c r="T1749">
        <v>-0.2484529</v>
      </c>
      <c r="U1749">
        <v>-2.5799259999999999</v>
      </c>
      <c r="V1749">
        <v>-0.19595389999999999</v>
      </c>
      <c r="W1749">
        <v>3.0901109999999999E-2</v>
      </c>
      <c r="X1749">
        <v>0.9801261</v>
      </c>
      <c r="Y1749">
        <v>-0.47263899999999998</v>
      </c>
      <c r="Z1749">
        <v>8.0392850000000002E-2</v>
      </c>
      <c r="AA1749">
        <v>0.87758159999999896</v>
      </c>
      <c r="AB1749">
        <v>37</v>
      </c>
      <c r="AC1749">
        <v>0.48629999999997098</v>
      </c>
      <c r="AD1749">
        <v>-7.1986999999999995E-2</v>
      </c>
      <c r="AE1749">
        <v>-0.46819999999999601</v>
      </c>
      <c r="AF1749">
        <v>-0.42355860567498699</v>
      </c>
      <c r="AG1749">
        <v>-7.1986999999999995E-2</v>
      </c>
      <c r="AH1749">
        <v>0.51585553111958904</v>
      </c>
      <c r="AI1749">
        <v>96.155638207857706</v>
      </c>
      <c r="AJ1749">
        <v>129.38872985182499</v>
      </c>
      <c r="AK1749">
        <v>0.67133519913453998</v>
      </c>
      <c r="AL1749">
        <v>88.229214907868894</v>
      </c>
      <c r="AM1749">
        <v>101.305923578387</v>
      </c>
      <c r="AN1749">
        <v>0.99999999071282597</v>
      </c>
    </row>
    <row r="1750" spans="1:40" x14ac:dyDescent="0.3">
      <c r="A1750" t="str">
        <f>"20200111153907374"</f>
        <v>20200111153907374</v>
      </c>
      <c r="B1750" t="str">
        <f>"1578728347362585"</f>
        <v>1578728347362585</v>
      </c>
      <c r="C1750" t="s">
        <v>40</v>
      </c>
      <c r="D1750">
        <v>5.0833719999999998</v>
      </c>
      <c r="E1750">
        <v>0.38003819999999999</v>
      </c>
      <c r="F1750" t="s">
        <v>41</v>
      </c>
      <c r="G1750">
        <v>-489.9939</v>
      </c>
      <c r="H1750">
        <v>1.036764</v>
      </c>
      <c r="I1750">
        <v>236.77600000000001</v>
      </c>
      <c r="J1750">
        <v>-490.46199999999999</v>
      </c>
      <c r="K1750">
        <v>1.1103379999999901</v>
      </c>
      <c r="L1750">
        <v>237.13030000000001</v>
      </c>
      <c r="M1750">
        <v>0.1235652</v>
      </c>
      <c r="N1750">
        <v>0</v>
      </c>
      <c r="O1750">
        <v>-0.9922337</v>
      </c>
      <c r="P1750">
        <v>0.31762750000000001</v>
      </c>
      <c r="Q1750">
        <v>1.6431970000000001E-2</v>
      </c>
      <c r="R1750">
        <v>-0.94807330000000001</v>
      </c>
      <c r="S1750">
        <v>1.824219</v>
      </c>
      <c r="T1750">
        <v>-0.25751479999999999</v>
      </c>
      <c r="U1750">
        <v>-2.567993</v>
      </c>
      <c r="V1750">
        <v>-0.19845280000000001</v>
      </c>
      <c r="W1750">
        <v>2.75661E-2</v>
      </c>
      <c r="X1750">
        <v>0.97972269999999995</v>
      </c>
      <c r="Y1750">
        <v>-0.47192689999999998</v>
      </c>
      <c r="Z1750">
        <v>8.3388019999999993E-2</v>
      </c>
      <c r="AA1750">
        <v>0.8776853</v>
      </c>
      <c r="AB1750">
        <v>37</v>
      </c>
      <c r="AC1750">
        <v>0.46809999999999202</v>
      </c>
      <c r="AD1750">
        <v>-7.3573999999999806E-2</v>
      </c>
      <c r="AE1750">
        <v>-0.35430000000002299</v>
      </c>
      <c r="AF1750">
        <v>-0.41422242172782597</v>
      </c>
      <c r="AG1750">
        <v>-7.3573999999999806E-2</v>
      </c>
      <c r="AH1750">
        <v>0.403099791147839</v>
      </c>
      <c r="AI1750">
        <v>97.254359631364196</v>
      </c>
      <c r="AJ1750">
        <v>135.77966858526599</v>
      </c>
      <c r="AK1750">
        <v>0.58265151657015002</v>
      </c>
      <c r="AL1750">
        <v>88.420378691253802</v>
      </c>
      <c r="AM1750">
        <v>101.450908099458</v>
      </c>
      <c r="AN1750">
        <v>0.99999998629616904</v>
      </c>
    </row>
    <row r="1751" spans="1:40" x14ac:dyDescent="0.3">
      <c r="A1751" t="str">
        <f>"20200111153907395"</f>
        <v>20200111153907395</v>
      </c>
      <c r="B1751" t="str">
        <f>"1578728347392841"</f>
        <v>1578728347392841</v>
      </c>
      <c r="C1751" t="s">
        <v>40</v>
      </c>
      <c r="D1751">
        <v>5.027012</v>
      </c>
      <c r="E1751">
        <v>0.38000610000000001</v>
      </c>
      <c r="F1751" t="s">
        <v>41</v>
      </c>
      <c r="G1751">
        <v>-489.93579999999997</v>
      </c>
      <c r="H1751">
        <v>1.033304</v>
      </c>
      <c r="I1751">
        <v>236.40369999999999</v>
      </c>
      <c r="J1751">
        <v>-490.41210000000001</v>
      </c>
      <c r="K1751">
        <v>1.1107590000000001</v>
      </c>
      <c r="L1751">
        <v>236.77860000000001</v>
      </c>
      <c r="M1751">
        <v>0.13058069999999999</v>
      </c>
      <c r="N1751">
        <v>0</v>
      </c>
      <c r="O1751">
        <v>-0.99133419999999906</v>
      </c>
      <c r="P1751">
        <v>0.32592969999999999</v>
      </c>
      <c r="Q1751">
        <v>1.2480379999999999E-2</v>
      </c>
      <c r="R1751">
        <v>-0.94531169999999998</v>
      </c>
      <c r="S1751">
        <v>1.8483890000000001</v>
      </c>
      <c r="T1751">
        <v>-0.27028790000000003</v>
      </c>
      <c r="U1751">
        <v>-2.549744</v>
      </c>
      <c r="V1751">
        <v>-0.20007530000000001</v>
      </c>
      <c r="W1751">
        <v>2.341087E-2</v>
      </c>
      <c r="X1751">
        <v>0.97950079999999995</v>
      </c>
      <c r="Y1751">
        <v>-0.47392190000000001</v>
      </c>
      <c r="Z1751">
        <v>8.7603559999999997E-2</v>
      </c>
      <c r="AA1751">
        <v>0.87619840000000004</v>
      </c>
      <c r="AB1751">
        <v>37</v>
      </c>
      <c r="AC1751">
        <v>0.47630000000003703</v>
      </c>
      <c r="AD1751">
        <v>-7.7454999999999996E-2</v>
      </c>
      <c r="AE1751">
        <v>-0.37490000000002499</v>
      </c>
      <c r="AF1751">
        <v>-0.41646102238947402</v>
      </c>
      <c r="AG1751">
        <v>-7.7454999999999996E-2</v>
      </c>
      <c r="AH1751">
        <v>0.42692033227041598</v>
      </c>
      <c r="AI1751">
        <v>97.399557439695101</v>
      </c>
      <c r="AJ1751">
        <v>134.28947493396399</v>
      </c>
      <c r="AK1751">
        <v>0.60141502334126096</v>
      </c>
      <c r="AL1751">
        <v>88.658533407083297</v>
      </c>
      <c r="AM1751">
        <v>101.54456988672</v>
      </c>
      <c r="AN1751">
        <v>1.0000000058524401</v>
      </c>
    </row>
    <row r="1752" spans="1:40" x14ac:dyDescent="0.3">
      <c r="A1752" t="str">
        <f>"20200111153907420"</f>
        <v>20200111153907420</v>
      </c>
      <c r="B1752" t="str">
        <f>"1578728347412362"</f>
        <v>1578728347412362</v>
      </c>
      <c r="C1752" t="s">
        <v>40</v>
      </c>
      <c r="D1752">
        <v>5.0611819999999996</v>
      </c>
      <c r="E1752">
        <v>0.38000279999999997</v>
      </c>
      <c r="F1752" t="s">
        <v>41</v>
      </c>
      <c r="G1752">
        <v>-489.72789999999998</v>
      </c>
      <c r="H1752">
        <v>1.005709</v>
      </c>
      <c r="I1752">
        <v>235.85159999999999</v>
      </c>
      <c r="J1752">
        <v>-490.35120000000001</v>
      </c>
      <c r="K1752">
        <v>1.1112679999999999</v>
      </c>
      <c r="L1752">
        <v>236.37710000000001</v>
      </c>
      <c r="M1752">
        <v>0.13922000000000001</v>
      </c>
      <c r="N1752">
        <v>0</v>
      </c>
      <c r="O1752">
        <v>-0.99015690000000001</v>
      </c>
      <c r="P1752">
        <v>0.3350127</v>
      </c>
      <c r="Q1752">
        <v>1.014465E-2</v>
      </c>
      <c r="R1752">
        <v>-0.94215910000000003</v>
      </c>
      <c r="S1752">
        <v>1.870331</v>
      </c>
      <c r="T1752">
        <v>-0.28694760000000002</v>
      </c>
      <c r="U1752">
        <v>-2.532486</v>
      </c>
      <c r="V1752">
        <v>-0.20094870000000001</v>
      </c>
      <c r="W1752">
        <v>2.0856599999999999E-2</v>
      </c>
      <c r="X1752">
        <v>0.97937969999999996</v>
      </c>
      <c r="Y1752">
        <v>-0.47372219999999998</v>
      </c>
      <c r="Z1752">
        <v>9.3080070000000001E-2</v>
      </c>
      <c r="AA1752">
        <v>0.87574159999999901</v>
      </c>
      <c r="AB1752">
        <v>37</v>
      </c>
      <c r="AC1752">
        <v>0.62330000000002805</v>
      </c>
      <c r="AD1752">
        <v>-0.105558999999999</v>
      </c>
      <c r="AE1752">
        <v>-0.52550000000002195</v>
      </c>
      <c r="AF1752">
        <v>-0.53509040392024798</v>
      </c>
      <c r="AG1752">
        <v>-0.105558999999999</v>
      </c>
      <c r="AH1752">
        <v>0.59715503594361696</v>
      </c>
      <c r="AI1752">
        <v>97.499813724692899</v>
      </c>
      <c r="AJ1752">
        <v>131.86244157696899</v>
      </c>
      <c r="AK1752">
        <v>0.80873888233555202</v>
      </c>
      <c r="AL1752">
        <v>88.804918176141399</v>
      </c>
      <c r="AM1752">
        <v>101.594999217717</v>
      </c>
      <c r="AN1752">
        <v>0.99999998728366901</v>
      </c>
    </row>
    <row r="1753" spans="1:40" x14ac:dyDescent="0.3">
      <c r="A1753" t="str">
        <f>"20200111153907441"</f>
        <v>20200111153907441</v>
      </c>
      <c r="B1753" t="str">
        <f>"1578728347432858"</f>
        <v>1578728347432858</v>
      </c>
      <c r="C1753" t="s">
        <v>40</v>
      </c>
      <c r="D1753">
        <v>5.0535399999999999</v>
      </c>
      <c r="E1753">
        <v>0.38002259999999999</v>
      </c>
      <c r="F1753" t="s">
        <v>41</v>
      </c>
      <c r="G1753">
        <v>-489.70510000000002</v>
      </c>
      <c r="H1753">
        <v>1.0108509999999999</v>
      </c>
      <c r="I1753">
        <v>235.5204</v>
      </c>
      <c r="J1753">
        <v>-490.29629999999997</v>
      </c>
      <c r="K1753">
        <v>1.111683</v>
      </c>
      <c r="L1753">
        <v>236.03579999999999</v>
      </c>
      <c r="M1753">
        <v>0.14700529999999901</v>
      </c>
      <c r="N1753">
        <v>0</v>
      </c>
      <c r="O1753">
        <v>-0.98903050000000003</v>
      </c>
      <c r="P1753">
        <v>0.34233019999999997</v>
      </c>
      <c r="Q1753">
        <v>9.8199359999999996E-3</v>
      </c>
      <c r="R1753">
        <v>-0.93952860000000005</v>
      </c>
      <c r="S1753">
        <v>1.895081</v>
      </c>
      <c r="T1753">
        <v>-0.29458410000000002</v>
      </c>
      <c r="U1753">
        <v>-2.5134889999999999</v>
      </c>
      <c r="V1753">
        <v>-0.20087650000000001</v>
      </c>
      <c r="W1753">
        <v>2.037129E-2</v>
      </c>
      <c r="X1753">
        <v>0.97940470000000002</v>
      </c>
      <c r="Y1753">
        <v>-0.47533589999999998</v>
      </c>
      <c r="Z1753">
        <v>9.5641710000000005E-2</v>
      </c>
      <c r="AA1753">
        <v>0.87459050000000005</v>
      </c>
      <c r="AB1753">
        <v>37</v>
      </c>
      <c r="AC1753">
        <v>0.59119999999995798</v>
      </c>
      <c r="AD1753">
        <v>-0.100832</v>
      </c>
      <c r="AE1753">
        <v>-0.51539999999999897</v>
      </c>
      <c r="AF1753">
        <v>-0.50072542644596896</v>
      </c>
      <c r="AG1753">
        <v>-0.100832</v>
      </c>
      <c r="AH1753">
        <v>0.58701592377204803</v>
      </c>
      <c r="AI1753">
        <v>97.445499342634207</v>
      </c>
      <c r="AJ1753">
        <v>130.46422607201799</v>
      </c>
      <c r="AK1753">
        <v>0.77812642910740903</v>
      </c>
      <c r="AL1753">
        <v>88.832730271856704</v>
      </c>
      <c r="AM1753">
        <v>101.59065808058099</v>
      </c>
      <c r="AN1753">
        <v>0.99999996204530095</v>
      </c>
    </row>
    <row r="1754" spans="1:40" x14ac:dyDescent="0.3">
      <c r="A1754" t="str">
        <f>"20200111153907463"</f>
        <v>20200111153907463</v>
      </c>
      <c r="B1754" t="str">
        <f>"1578728347452884"</f>
        <v>1578728347452884</v>
      </c>
      <c r="C1754" t="s">
        <v>40</v>
      </c>
      <c r="D1754">
        <v>5.0518769999999904</v>
      </c>
      <c r="E1754">
        <v>0.38002380000000002</v>
      </c>
      <c r="F1754" t="s">
        <v>41</v>
      </c>
      <c r="G1754">
        <v>-489.65539999999999</v>
      </c>
      <c r="H1754">
        <v>1.0126360000000001</v>
      </c>
      <c r="I1754">
        <v>235.19890000000001</v>
      </c>
      <c r="J1754">
        <v>-490.23669999999998</v>
      </c>
      <c r="K1754">
        <v>1.1121160000000001</v>
      </c>
      <c r="L1754">
        <v>235.6849</v>
      </c>
      <c r="M1754">
        <v>0.15547659999999999</v>
      </c>
      <c r="N1754">
        <v>0</v>
      </c>
      <c r="O1754">
        <v>-0.98773339999999998</v>
      </c>
      <c r="P1754">
        <v>0.35015279999999999</v>
      </c>
      <c r="Q1754">
        <v>1.059206E-2</v>
      </c>
      <c r="R1754">
        <v>-0.93663289999999999</v>
      </c>
      <c r="S1754">
        <v>1.914642</v>
      </c>
      <c r="T1754">
        <v>-0.29565380000000002</v>
      </c>
      <c r="U1754">
        <v>-2.4985659999999998</v>
      </c>
      <c r="V1754">
        <v>-0.20068810000000001</v>
      </c>
      <c r="W1754">
        <v>2.0985319999999998E-2</v>
      </c>
      <c r="X1754">
        <v>0.97943040000000003</v>
      </c>
      <c r="Y1754">
        <v>-0.47461779999999998</v>
      </c>
      <c r="Z1754">
        <v>9.6061350000000004E-2</v>
      </c>
      <c r="AA1754">
        <v>0.8749344</v>
      </c>
      <c r="AB1754">
        <v>37</v>
      </c>
      <c r="AC1754">
        <v>0.58129999999999804</v>
      </c>
      <c r="AD1754">
        <v>-9.9479999999999805E-2</v>
      </c>
      <c r="AE1754">
        <v>-0.48599999999999</v>
      </c>
      <c r="AF1754">
        <v>-0.49020999901086199</v>
      </c>
      <c r="AG1754">
        <v>-9.9479999999999805E-2</v>
      </c>
      <c r="AH1754">
        <v>0.56080973545607304</v>
      </c>
      <c r="AI1754">
        <v>97.607158998442301</v>
      </c>
      <c r="AJ1754">
        <v>131.157066110671</v>
      </c>
      <c r="AK1754">
        <v>0.75147167139722604</v>
      </c>
      <c r="AL1754">
        <v>88.7975414674288</v>
      </c>
      <c r="AM1754">
        <v>101.57978543071</v>
      </c>
      <c r="AN1754">
        <v>1.0000000027906299</v>
      </c>
    </row>
    <row r="1755" spans="1:40" x14ac:dyDescent="0.3">
      <c r="A1755" t="str">
        <f>"20200111153907486"</f>
        <v>20200111153907486</v>
      </c>
      <c r="B1755" t="str">
        <f>"1578728347482164"</f>
        <v>1578728347482164</v>
      </c>
      <c r="C1755" t="s">
        <v>40</v>
      </c>
      <c r="D1755">
        <v>5.0297510000000001</v>
      </c>
      <c r="E1755">
        <v>0.38004450000000001</v>
      </c>
      <c r="F1755" t="s">
        <v>41</v>
      </c>
      <c r="G1755">
        <v>-489.60669999999999</v>
      </c>
      <c r="H1755">
        <v>1.0161610000000001</v>
      </c>
      <c r="I1755">
        <v>234.87700000000001</v>
      </c>
      <c r="J1755">
        <v>-490.17200000000003</v>
      </c>
      <c r="K1755">
        <v>1.112579</v>
      </c>
      <c r="L1755">
        <v>235.32570000000001</v>
      </c>
      <c r="M1755">
        <v>0.1646628</v>
      </c>
      <c r="N1755">
        <v>0</v>
      </c>
      <c r="O1755">
        <v>-0.98624279999999998</v>
      </c>
      <c r="P1755">
        <v>0.35825400000000002</v>
      </c>
      <c r="Q1755">
        <v>1.270487E-2</v>
      </c>
      <c r="R1755">
        <v>-0.93353779999999997</v>
      </c>
      <c r="S1755">
        <v>1.93573</v>
      </c>
      <c r="T1755">
        <v>-0.29485319999999998</v>
      </c>
      <c r="U1755">
        <v>-2.4826350000000001</v>
      </c>
      <c r="V1755">
        <v>-0.20012740000000001</v>
      </c>
      <c r="W1755">
        <v>2.29456E-2</v>
      </c>
      <c r="X1755">
        <v>0.97950119999999896</v>
      </c>
      <c r="Y1755">
        <v>-0.4737942</v>
      </c>
      <c r="Z1755">
        <v>9.5865510000000001E-2</v>
      </c>
      <c r="AA1755">
        <v>0.87540219999999902</v>
      </c>
      <c r="AB1755">
        <v>37</v>
      </c>
      <c r="AC1755">
        <v>0.56529999999997904</v>
      </c>
      <c r="AD1755">
        <v>-9.6417999999999796E-2</v>
      </c>
      <c r="AE1755">
        <v>-0.44870000000000199</v>
      </c>
      <c r="AF1755">
        <v>-0.47520890471317201</v>
      </c>
      <c r="AG1755">
        <v>-9.6417999999999796E-2</v>
      </c>
      <c r="AH1755">
        <v>0.52627518493879999</v>
      </c>
      <c r="AI1755">
        <v>97.743412229629399</v>
      </c>
      <c r="AJ1755">
        <v>132.08098160955001</v>
      </c>
      <c r="AK1755">
        <v>0.71560149812941398</v>
      </c>
      <c r="AL1755">
        <v>88.685198621458696</v>
      </c>
      <c r="AM1755">
        <v>101.547490788302</v>
      </c>
      <c r="AN1755">
        <v>1.0000000387957699</v>
      </c>
    </row>
    <row r="1756" spans="1:40" x14ac:dyDescent="0.3">
      <c r="A1756" t="str">
        <f>"20200111153907510"</f>
        <v>20200111153907510</v>
      </c>
      <c r="B1756" t="str">
        <f>"1578728347502660"</f>
        <v>1578728347502660</v>
      </c>
      <c r="C1756" t="s">
        <v>40</v>
      </c>
      <c r="D1756">
        <v>5.0525510000000002</v>
      </c>
      <c r="E1756">
        <v>0.38005139999999998</v>
      </c>
      <c r="F1756" t="s">
        <v>41</v>
      </c>
      <c r="G1756">
        <v>-489.55970000000002</v>
      </c>
      <c r="H1756">
        <v>1.022017</v>
      </c>
      <c r="I1756">
        <v>234.55420000000001</v>
      </c>
      <c r="J1756">
        <v>-490.09789999999998</v>
      </c>
      <c r="K1756">
        <v>1.1130869999999999</v>
      </c>
      <c r="L1756">
        <v>234.93729999999999</v>
      </c>
      <c r="M1756">
        <v>0.17517750000000001</v>
      </c>
      <c r="N1756">
        <v>0</v>
      </c>
      <c r="O1756">
        <v>-0.98442879999999999</v>
      </c>
      <c r="P1756">
        <v>0.36737629999999999</v>
      </c>
      <c r="Q1756">
        <v>1.561647E-2</v>
      </c>
      <c r="R1756">
        <v>-0.92994169999999998</v>
      </c>
      <c r="S1756">
        <v>1.9580379999999999</v>
      </c>
      <c r="T1756">
        <v>-0.28943780000000002</v>
      </c>
      <c r="U1756">
        <v>-2.4661249999999999</v>
      </c>
      <c r="V1756">
        <v>-0.1993625</v>
      </c>
      <c r="W1756">
        <v>2.5698990000000001E-2</v>
      </c>
      <c r="X1756">
        <v>0.97958869999999998</v>
      </c>
      <c r="Y1756">
        <v>-0.47222399999999998</v>
      </c>
      <c r="Z1756">
        <v>9.4157519999999995E-2</v>
      </c>
      <c r="AA1756">
        <v>0.87643530000000003</v>
      </c>
      <c r="AB1756">
        <v>37</v>
      </c>
      <c r="AC1756">
        <v>0.53819999999996004</v>
      </c>
      <c r="AD1756">
        <v>-9.1070000000000206E-2</v>
      </c>
      <c r="AE1756">
        <v>-0.38309999999998401</v>
      </c>
      <c r="AF1756">
        <v>-0.454128140398116</v>
      </c>
      <c r="AG1756">
        <v>-9.1070000000000206E-2</v>
      </c>
      <c r="AH1756">
        <v>0.46267280920801801</v>
      </c>
      <c r="AI1756">
        <v>97.996253319715805</v>
      </c>
      <c r="AJ1756">
        <v>134.466013548917</v>
      </c>
      <c r="AK1756">
        <v>0.65466956640880303</v>
      </c>
      <c r="AL1756">
        <v>88.527394111814601</v>
      </c>
      <c r="AM1756">
        <v>101.50353421018499</v>
      </c>
      <c r="AN1756">
        <v>0.99999993283047695</v>
      </c>
    </row>
    <row r="1757" spans="1:40" x14ac:dyDescent="0.3">
      <c r="A1757" t="str">
        <f>"20200111153907533"</f>
        <v>20200111153907533</v>
      </c>
      <c r="B1757" t="str">
        <f>"1578728347522180"</f>
        <v>1578728347522180</v>
      </c>
      <c r="C1757" t="s">
        <v>40</v>
      </c>
      <c r="D1757">
        <v>5.0379250000000004</v>
      </c>
      <c r="E1757">
        <v>0.38000010000000001</v>
      </c>
      <c r="F1757" t="s">
        <v>41</v>
      </c>
      <c r="G1757">
        <v>-489.52249999999998</v>
      </c>
      <c r="H1757">
        <v>1.031685</v>
      </c>
      <c r="I1757">
        <v>234.22720000000001</v>
      </c>
      <c r="J1757">
        <v>-490.02170000000001</v>
      </c>
      <c r="K1757">
        <v>1.113588</v>
      </c>
      <c r="L1757">
        <v>234.5617</v>
      </c>
      <c r="M1757">
        <v>0.18592690000000001</v>
      </c>
      <c r="N1757">
        <v>0</v>
      </c>
      <c r="O1757">
        <v>-0.98245400000000005</v>
      </c>
      <c r="P1757">
        <v>0.37672480000000003</v>
      </c>
      <c r="Q1757">
        <v>1.8921190000000001E-2</v>
      </c>
      <c r="R1757">
        <v>-0.92613199999999996</v>
      </c>
      <c r="S1757">
        <v>1.9826349999999999</v>
      </c>
      <c r="T1757">
        <v>-0.28054689999999999</v>
      </c>
      <c r="U1757">
        <v>-2.447479</v>
      </c>
      <c r="V1757">
        <v>-0.19864000000000001</v>
      </c>
      <c r="W1757">
        <v>2.8854009999999999E-2</v>
      </c>
      <c r="X1757">
        <v>0.97964770000000001</v>
      </c>
      <c r="Y1757">
        <v>-0.47135519999999997</v>
      </c>
      <c r="Z1757">
        <v>9.1320079999999998E-2</v>
      </c>
      <c r="AA1757">
        <v>0.87720290000000001</v>
      </c>
      <c r="AB1757">
        <v>37</v>
      </c>
      <c r="AC1757">
        <v>0.49920000000003001</v>
      </c>
      <c r="AD1757">
        <v>-8.1903000000000004E-2</v>
      </c>
      <c r="AE1757">
        <v>-0.33449999999999103</v>
      </c>
      <c r="AF1757">
        <v>-0.420483152125527</v>
      </c>
      <c r="AG1757">
        <v>-8.1903000000000004E-2</v>
      </c>
      <c r="AH1757">
        <v>0.413803590673477</v>
      </c>
      <c r="AI1757">
        <v>97.903892382161004</v>
      </c>
      <c r="AJ1757">
        <v>135.45871818823801</v>
      </c>
      <c r="AK1757">
        <v>0.59560691255616005</v>
      </c>
      <c r="AL1757">
        <v>88.3465575370479</v>
      </c>
      <c r="AM1757">
        <v>101.462278221085</v>
      </c>
      <c r="AN1757">
        <v>1.0000000098041799</v>
      </c>
    </row>
    <row r="1758" spans="1:40" x14ac:dyDescent="0.3">
      <c r="A1758" t="str">
        <f>"20200111153907553"</f>
        <v>20200111153907553</v>
      </c>
      <c r="B1758" t="str">
        <f>"1578728347542207"</f>
        <v>1578728347542207</v>
      </c>
      <c r="C1758" t="s">
        <v>40</v>
      </c>
      <c r="D1758">
        <v>5.0102419999999999</v>
      </c>
      <c r="E1758">
        <v>0.38001629999999997</v>
      </c>
      <c r="F1758" t="s">
        <v>41</v>
      </c>
      <c r="G1758">
        <v>-489.45370000000003</v>
      </c>
      <c r="H1758">
        <v>1.0366059999999999</v>
      </c>
      <c r="I1758">
        <v>233.87479999999999</v>
      </c>
      <c r="J1758">
        <v>-489.9529</v>
      </c>
      <c r="K1758">
        <v>1.114015</v>
      </c>
      <c r="L1758">
        <v>234.24180000000001</v>
      </c>
      <c r="M1758">
        <v>0.19556660000000001</v>
      </c>
      <c r="N1758">
        <v>0</v>
      </c>
      <c r="O1758">
        <v>-0.98057969999999905</v>
      </c>
      <c r="P1758">
        <v>0.38624550000000002</v>
      </c>
      <c r="Q1758">
        <v>2.1237590000000001E-2</v>
      </c>
      <c r="R1758">
        <v>-0.92215170000000002</v>
      </c>
      <c r="S1758">
        <v>2.0083920000000002</v>
      </c>
      <c r="T1758">
        <v>-0.27207799999999999</v>
      </c>
      <c r="U1758">
        <v>-2.427902</v>
      </c>
      <c r="V1758">
        <v>-0.1992063</v>
      </c>
      <c r="W1758">
        <v>3.101549E-2</v>
      </c>
      <c r="X1758">
        <v>0.97946659999999997</v>
      </c>
      <c r="Y1758">
        <v>-0.47186430000000001</v>
      </c>
      <c r="Z1758">
        <v>8.8603489999999993E-2</v>
      </c>
      <c r="AA1758">
        <v>0.87720779999999998</v>
      </c>
      <c r="AB1758">
        <v>37</v>
      </c>
      <c r="AC1758">
        <v>0.499199999999973</v>
      </c>
      <c r="AD1758">
        <v>-7.7409000000000006E-2</v>
      </c>
      <c r="AE1758">
        <v>-0.36700000000001798</v>
      </c>
      <c r="AF1758">
        <v>-0.41135691674545699</v>
      </c>
      <c r="AG1758">
        <v>-7.7409000000000006E-2</v>
      </c>
      <c r="AH1758">
        <v>0.45051713402440902</v>
      </c>
      <c r="AI1758">
        <v>97.231407323555302</v>
      </c>
      <c r="AJ1758">
        <v>132.398491025032</v>
      </c>
      <c r="AK1758">
        <v>0.61495719711610497</v>
      </c>
      <c r="AL1758">
        <v>88.222658229056293</v>
      </c>
      <c r="AM1758">
        <v>101.496155999461</v>
      </c>
      <c r="AN1758">
        <v>0.99999996554759396</v>
      </c>
    </row>
    <row r="1759" spans="1:40" x14ac:dyDescent="0.3">
      <c r="A1759" t="str">
        <f>"20200111153907579"</f>
        <v>20200111153907579</v>
      </c>
      <c r="B1759" t="str">
        <f>"1578728347572463"</f>
        <v>1578728347572463</v>
      </c>
      <c r="C1759" t="s">
        <v>40</v>
      </c>
      <c r="D1759">
        <v>5.0030260000000002</v>
      </c>
      <c r="E1759">
        <v>0.37994349999999999</v>
      </c>
      <c r="F1759" t="s">
        <v>41</v>
      </c>
      <c r="G1759">
        <v>-489.37799999999999</v>
      </c>
      <c r="H1759">
        <v>1.038238</v>
      </c>
      <c r="I1759">
        <v>233.56110000000001</v>
      </c>
      <c r="J1759">
        <v>-489.86110000000002</v>
      </c>
      <c r="K1759">
        <v>1.1145389999999999</v>
      </c>
      <c r="L1759">
        <v>233.8399</v>
      </c>
      <c r="M1759">
        <v>0.2082985</v>
      </c>
      <c r="N1759">
        <v>0</v>
      </c>
      <c r="O1759">
        <v>-0.97795310000000002</v>
      </c>
      <c r="P1759">
        <v>0.40003650000000002</v>
      </c>
      <c r="Q1759">
        <v>2.2327699999999999E-2</v>
      </c>
      <c r="R1759">
        <v>-0.91622740000000003</v>
      </c>
      <c r="S1759">
        <v>2.033417</v>
      </c>
      <c r="T1759">
        <v>-0.2680379</v>
      </c>
      <c r="U1759">
        <v>-2.4076840000000002</v>
      </c>
      <c r="V1759">
        <v>-0.20124040000000001</v>
      </c>
      <c r="W1759">
        <v>3.1880039999999998E-2</v>
      </c>
      <c r="X1759">
        <v>0.97902299999999998</v>
      </c>
      <c r="Y1759">
        <v>-0.4694412</v>
      </c>
      <c r="Z1759">
        <v>8.7305850000000004E-2</v>
      </c>
      <c r="AA1759">
        <v>0.8786368</v>
      </c>
      <c r="AB1759">
        <v>37</v>
      </c>
      <c r="AC1759">
        <v>0.48309999999997899</v>
      </c>
      <c r="AD1759">
        <v>-7.6300999999999897E-2</v>
      </c>
      <c r="AE1759">
        <v>-0.278799999999989</v>
      </c>
      <c r="AF1759">
        <v>-0.40680846257957498</v>
      </c>
      <c r="AG1759">
        <v>-7.6300999999999897E-2</v>
      </c>
      <c r="AH1759">
        <v>0.36646568872617302</v>
      </c>
      <c r="AI1759">
        <v>97.933342690516298</v>
      </c>
      <c r="AJ1759">
        <v>137.986491827707</v>
      </c>
      <c r="AK1759">
        <v>0.55282191421913196</v>
      </c>
      <c r="AL1759">
        <v>88.173098774280703</v>
      </c>
      <c r="AM1759">
        <v>101.61548950569301</v>
      </c>
      <c r="AN1759">
        <v>1.0000000350357801</v>
      </c>
    </row>
    <row r="1760" spans="1:40" x14ac:dyDescent="0.3">
      <c r="A1760" t="str">
        <f>"20200111153907598"</f>
        <v>20200111153907598</v>
      </c>
      <c r="B1760" t="str">
        <f>"1578728347591983"</f>
        <v>1578728347591983</v>
      </c>
      <c r="C1760" t="s">
        <v>40</v>
      </c>
      <c r="D1760">
        <v>4.9547109999999996</v>
      </c>
      <c r="E1760">
        <v>0.37989790000000001</v>
      </c>
      <c r="F1760" t="s">
        <v>41</v>
      </c>
      <c r="G1760">
        <v>-489.1447</v>
      </c>
      <c r="H1760">
        <v>1.020823</v>
      </c>
      <c r="I1760">
        <v>233.01660000000001</v>
      </c>
      <c r="J1760">
        <v>-489.78640000000001</v>
      </c>
      <c r="K1760">
        <v>1.114922</v>
      </c>
      <c r="L1760">
        <v>233.53</v>
      </c>
      <c r="M1760">
        <v>0.2185329</v>
      </c>
      <c r="N1760">
        <v>0</v>
      </c>
      <c r="O1760">
        <v>-0.97571600000000003</v>
      </c>
      <c r="P1760">
        <v>0.41111720000000002</v>
      </c>
      <c r="Q1760">
        <v>2.199164E-2</v>
      </c>
      <c r="R1760">
        <v>-0.91131719999999905</v>
      </c>
      <c r="S1760">
        <v>2.0689389999999999</v>
      </c>
      <c r="T1760">
        <v>-0.27061170000000001</v>
      </c>
      <c r="U1760">
        <v>-2.3775629999999999</v>
      </c>
      <c r="V1760">
        <v>-0.20287640000000001</v>
      </c>
      <c r="W1760">
        <v>3.1372949999999997E-2</v>
      </c>
      <c r="X1760">
        <v>0.97870170000000001</v>
      </c>
      <c r="Y1760">
        <v>-0.47312939999999998</v>
      </c>
      <c r="Z1760">
        <v>8.8201459999999995E-2</v>
      </c>
      <c r="AA1760">
        <v>0.87656659999999997</v>
      </c>
      <c r="AB1760">
        <v>37</v>
      </c>
      <c r="AC1760">
        <v>0.64170000000001404</v>
      </c>
      <c r="AD1760">
        <v>-9.4098999999999905E-2</v>
      </c>
      <c r="AE1760">
        <v>-0.51339999999998998</v>
      </c>
      <c r="AF1760">
        <v>-0.50732756397732603</v>
      </c>
      <c r="AG1760">
        <v>-9.4098999999999905E-2</v>
      </c>
      <c r="AH1760">
        <v>0.63293778352581898</v>
      </c>
      <c r="AI1760">
        <v>96.616992782476103</v>
      </c>
      <c r="AJ1760">
        <v>128.71371399785801</v>
      </c>
      <c r="AK1760">
        <v>0.81660646384090296</v>
      </c>
      <c r="AL1760">
        <v>88.202167470619599</v>
      </c>
      <c r="AM1760">
        <v>101.71105939861999</v>
      </c>
      <c r="AN1760">
        <v>1.0000000566257701</v>
      </c>
    </row>
    <row r="1761" spans="1:40" x14ac:dyDescent="0.3">
      <c r="A1761" t="str">
        <f>"20200111153907622"</f>
        <v>20200111153907622</v>
      </c>
      <c r="B1761" t="str">
        <f>"1578728347612480"</f>
        <v>1578728347612480</v>
      </c>
      <c r="C1761" t="s">
        <v>40</v>
      </c>
      <c r="D1761">
        <v>4.8698489999999897</v>
      </c>
      <c r="E1761">
        <v>0.37981120000000002</v>
      </c>
      <c r="F1761" t="s">
        <v>41</v>
      </c>
      <c r="G1761">
        <v>-489.05709999999999</v>
      </c>
      <c r="H1761">
        <v>1.0193380000000001</v>
      </c>
      <c r="I1761">
        <v>232.71180000000001</v>
      </c>
      <c r="J1761">
        <v>-489.69450000000001</v>
      </c>
      <c r="K1761">
        <v>1.115329</v>
      </c>
      <c r="L1761">
        <v>233.16839999999999</v>
      </c>
      <c r="M1761">
        <v>0.23091200000000001</v>
      </c>
      <c r="N1761">
        <v>0</v>
      </c>
      <c r="O1761">
        <v>-0.97285960000000005</v>
      </c>
      <c r="P1761">
        <v>0.42417440000000001</v>
      </c>
      <c r="Q1761">
        <v>1.984729E-2</v>
      </c>
      <c r="R1761">
        <v>-0.90536329999999998</v>
      </c>
      <c r="S1761">
        <v>2.0974119999999998</v>
      </c>
      <c r="T1761">
        <v>-0.274810099999999</v>
      </c>
      <c r="U1761">
        <v>-2.3523559999999999</v>
      </c>
      <c r="V1761">
        <v>-0.20447580000000001</v>
      </c>
      <c r="W1761">
        <v>2.904895E-2</v>
      </c>
      <c r="X1761">
        <v>0.97844050000000005</v>
      </c>
      <c r="Y1761">
        <v>-0.47244259999999899</v>
      </c>
      <c r="Z1761">
        <v>8.9578809999999995E-2</v>
      </c>
      <c r="AA1761">
        <v>0.87679739999999995</v>
      </c>
      <c r="AB1761">
        <v>37</v>
      </c>
      <c r="AC1761">
        <v>0.63740000000001296</v>
      </c>
      <c r="AD1761">
        <v>-9.5991000000000104E-2</v>
      </c>
      <c r="AE1761">
        <v>-0.45659999999998002</v>
      </c>
      <c r="AF1761">
        <v>-0.50712296683932601</v>
      </c>
      <c r="AG1761">
        <v>-9.5991000000000104E-2</v>
      </c>
      <c r="AH1761">
        <v>0.58272314604222197</v>
      </c>
      <c r="AI1761">
        <v>97.083372572113305</v>
      </c>
      <c r="AJ1761">
        <v>131.031876920211</v>
      </c>
      <c r="AK1761">
        <v>0.77843062665228202</v>
      </c>
      <c r="AL1761">
        <v>88.335383602913097</v>
      </c>
      <c r="AM1761">
        <v>101.803867561663</v>
      </c>
      <c r="AN1761">
        <v>1.0000000031609899</v>
      </c>
    </row>
    <row r="1762" spans="1:40" x14ac:dyDescent="0.3">
      <c r="A1762" t="str">
        <f>"20200111153907643"</f>
        <v>20200111153907643</v>
      </c>
      <c r="B1762" t="str">
        <f>"1578728347631999"</f>
        <v>1578728347631999</v>
      </c>
      <c r="C1762" t="s">
        <v>40</v>
      </c>
      <c r="D1762">
        <v>4.8551799999999998</v>
      </c>
      <c r="E1762">
        <v>0.37980799999999998</v>
      </c>
      <c r="F1762" t="s">
        <v>41</v>
      </c>
      <c r="G1762">
        <v>-488.98750000000001</v>
      </c>
      <c r="H1762">
        <v>1.0216750000000001</v>
      </c>
      <c r="I1762">
        <v>232.39840000000001</v>
      </c>
      <c r="J1762">
        <v>-489.60419999999999</v>
      </c>
      <c r="K1762">
        <v>1.115683</v>
      </c>
      <c r="L1762">
        <v>232.8312</v>
      </c>
      <c r="M1762">
        <v>0.24285019999999999</v>
      </c>
      <c r="N1762">
        <v>0</v>
      </c>
      <c r="O1762">
        <v>-0.969947</v>
      </c>
      <c r="P1762">
        <v>0.43688630000000001</v>
      </c>
      <c r="Q1762">
        <v>1.8238790000000001E-2</v>
      </c>
      <c r="R1762">
        <v>-0.89933189999999996</v>
      </c>
      <c r="S1762">
        <v>2.1314090000000001</v>
      </c>
      <c r="T1762">
        <v>-0.28230309999999997</v>
      </c>
      <c r="U1762">
        <v>-2.321167</v>
      </c>
      <c r="V1762">
        <v>-0.2062107</v>
      </c>
      <c r="W1762">
        <v>2.7271050000000002E-2</v>
      </c>
      <c r="X1762">
        <v>0.97812750000000004</v>
      </c>
      <c r="Y1762">
        <v>-0.47430450000000002</v>
      </c>
      <c r="Z1762">
        <v>9.2046589999999998E-2</v>
      </c>
      <c r="AA1762">
        <v>0.87553570000000003</v>
      </c>
      <c r="AB1762">
        <v>37</v>
      </c>
      <c r="AC1762">
        <v>0.61669999999998004</v>
      </c>
      <c r="AD1762">
        <v>-9.40079999999998E-2</v>
      </c>
      <c r="AE1762">
        <v>-0.43279999999998597</v>
      </c>
      <c r="AF1762">
        <v>-0.485556985207868</v>
      </c>
      <c r="AG1762">
        <v>-9.40079999999998E-2</v>
      </c>
      <c r="AH1762">
        <v>0.56089081318563005</v>
      </c>
      <c r="AI1762">
        <v>97.221939545483806</v>
      </c>
      <c r="AJ1762">
        <v>130.88237752288899</v>
      </c>
      <c r="AK1762">
        <v>0.74779782980708898</v>
      </c>
      <c r="AL1762">
        <v>88.437290166691795</v>
      </c>
      <c r="AM1762">
        <v>101.904874155608</v>
      </c>
      <c r="AN1762">
        <v>0.99999998460942097</v>
      </c>
    </row>
    <row r="1763" spans="1:40" x14ac:dyDescent="0.3">
      <c r="A1763" t="str">
        <f>"20200111153907672"</f>
        <v>20200111153907672</v>
      </c>
      <c r="B1763" t="str">
        <f>"1578728347662763"</f>
        <v>1578728347662763</v>
      </c>
      <c r="C1763" t="s">
        <v>40</v>
      </c>
      <c r="D1763">
        <v>4.7720039999999999</v>
      </c>
      <c r="E1763">
        <v>0.37976300000000002</v>
      </c>
      <c r="F1763" t="s">
        <v>41</v>
      </c>
      <c r="G1763">
        <v>-488.90519999999998</v>
      </c>
      <c r="H1763">
        <v>1.022076</v>
      </c>
      <c r="I1763">
        <v>232.0907</v>
      </c>
      <c r="J1763">
        <v>-489.48140000000001</v>
      </c>
      <c r="K1763">
        <v>1.1161160000000001</v>
      </c>
      <c r="L1763">
        <v>232.39760000000001</v>
      </c>
      <c r="M1763">
        <v>0.2587256</v>
      </c>
      <c r="N1763">
        <v>0</v>
      </c>
      <c r="O1763">
        <v>-0.96583220000000003</v>
      </c>
      <c r="P1763">
        <v>0.452343</v>
      </c>
      <c r="Q1763">
        <v>1.719043E-2</v>
      </c>
      <c r="R1763">
        <v>-0.89167850000000004</v>
      </c>
      <c r="S1763">
        <v>2.1636660000000001</v>
      </c>
      <c r="T1763">
        <v>-0.28954150000000001</v>
      </c>
      <c r="U1763">
        <v>-2.2906040000000001</v>
      </c>
      <c r="V1763">
        <v>-0.2070476</v>
      </c>
      <c r="W1763">
        <v>2.6055080000000001E-2</v>
      </c>
      <c r="X1763">
        <v>0.97798390000000002</v>
      </c>
      <c r="Y1763">
        <v>-0.4720762</v>
      </c>
      <c r="Z1763">
        <v>9.4360780000000005E-2</v>
      </c>
      <c r="AA1763">
        <v>0.87649310000000002</v>
      </c>
      <c r="AB1763">
        <v>37</v>
      </c>
      <c r="AC1763">
        <v>0.57620000000002802</v>
      </c>
      <c r="AD1763">
        <v>-9.4039999999999901E-2</v>
      </c>
      <c r="AE1763">
        <v>-0.306900000000013</v>
      </c>
      <c r="AF1763">
        <v>-0.46746443754940098</v>
      </c>
      <c r="AG1763">
        <v>-9.4039999999999901E-2</v>
      </c>
      <c r="AH1763">
        <v>0.43648558973215601</v>
      </c>
      <c r="AI1763">
        <v>98.3646940878197</v>
      </c>
      <c r="AJ1763">
        <v>136.96278864119401</v>
      </c>
      <c r="AK1763">
        <v>0.64644117444451599</v>
      </c>
      <c r="AL1763">
        <v>88.506984985236102</v>
      </c>
      <c r="AM1763">
        <v>101.953507420028</v>
      </c>
      <c r="AN1763">
        <v>1.00000004225938</v>
      </c>
    </row>
    <row r="1764" spans="1:40" x14ac:dyDescent="0.3">
      <c r="A1764" t="str">
        <f>"20200111153907703"</f>
        <v>20200111153907703</v>
      </c>
      <c r="B1764" t="str">
        <f>"1578728347692043"</f>
        <v>1578728347692043</v>
      </c>
      <c r="C1764" t="s">
        <v>40</v>
      </c>
      <c r="D1764">
        <v>4.7505769999999998</v>
      </c>
      <c r="E1764">
        <v>0.379915</v>
      </c>
      <c r="F1764" t="s">
        <v>41</v>
      </c>
      <c r="G1764">
        <v>-488.86079999999998</v>
      </c>
      <c r="H1764">
        <v>1.033247</v>
      </c>
      <c r="I1764">
        <v>231.76310000000001</v>
      </c>
      <c r="J1764">
        <v>-489.33609999999999</v>
      </c>
      <c r="K1764">
        <v>1.116574</v>
      </c>
      <c r="L1764">
        <v>231.91980000000001</v>
      </c>
      <c r="M1764">
        <v>0.27694829999999998</v>
      </c>
      <c r="N1764">
        <v>0</v>
      </c>
      <c r="O1764">
        <v>-0.96076379999999995</v>
      </c>
      <c r="P1764">
        <v>0.46906340000000002</v>
      </c>
      <c r="Q1764">
        <v>1.6666569999999999E-2</v>
      </c>
      <c r="R1764">
        <v>-0.88300719999999999</v>
      </c>
      <c r="S1764">
        <v>2.203217</v>
      </c>
      <c r="T1764">
        <v>-0.29421350000000002</v>
      </c>
      <c r="U1764">
        <v>-2.2524259999999998</v>
      </c>
      <c r="V1764">
        <v>-0.20699000000000001</v>
      </c>
      <c r="W1764">
        <v>2.5393450000000001E-2</v>
      </c>
      <c r="X1764">
        <v>0.97801349999999998</v>
      </c>
      <c r="Y1764">
        <v>-0.47061239999999999</v>
      </c>
      <c r="Z1764">
        <v>9.5809420000000006E-2</v>
      </c>
      <c r="AA1764">
        <v>0.87712279999999998</v>
      </c>
      <c r="AB1764">
        <v>37</v>
      </c>
      <c r="AC1764">
        <v>0.475300000000004</v>
      </c>
      <c r="AD1764">
        <v>-8.3326999999999901E-2</v>
      </c>
      <c r="AE1764">
        <v>-0.15670000000000001</v>
      </c>
      <c r="AF1764">
        <v>-0.40215281851157503</v>
      </c>
      <c r="AG1764">
        <v>-8.3326999999999901E-2</v>
      </c>
      <c r="AH1764">
        <v>0.27460542247859099</v>
      </c>
      <c r="AI1764">
        <v>99.710120076139205</v>
      </c>
      <c r="AJ1764">
        <v>145.673234684091</v>
      </c>
      <c r="AK1764">
        <v>0.49404292973429897</v>
      </c>
      <c r="AL1764">
        <v>88.544906146530494</v>
      </c>
      <c r="AM1764">
        <v>101.949926328226</v>
      </c>
      <c r="AN1764">
        <v>1.00000004679257</v>
      </c>
    </row>
    <row r="1765" spans="1:40" x14ac:dyDescent="0.3">
      <c r="A1765" t="str">
        <f>"20200111153907734"</f>
        <v>20200111153907734</v>
      </c>
      <c r="B1765" t="str">
        <f>"1578728347722300"</f>
        <v>1578728347722300</v>
      </c>
      <c r="C1765" t="s">
        <v>40</v>
      </c>
      <c r="D1765">
        <v>4.7665559999999996</v>
      </c>
      <c r="E1765">
        <v>0.3801002</v>
      </c>
      <c r="F1765" t="s">
        <v>41</v>
      </c>
      <c r="G1765">
        <v>-488.601</v>
      </c>
      <c r="H1765">
        <v>1.019763</v>
      </c>
      <c r="I1765">
        <v>231.1961</v>
      </c>
      <c r="J1765">
        <v>-489.18009999999998</v>
      </c>
      <c r="K1765">
        <v>1.11703</v>
      </c>
      <c r="L1765">
        <v>231.43879999999999</v>
      </c>
      <c r="M1765">
        <v>0.2959369</v>
      </c>
      <c r="N1765">
        <v>0</v>
      </c>
      <c r="O1765">
        <v>-0.95508400000000004</v>
      </c>
      <c r="P1765">
        <v>0.48531459999999998</v>
      </c>
      <c r="Q1765">
        <v>1.7563579999999999E-2</v>
      </c>
      <c r="R1765">
        <v>-0.87416319999999903</v>
      </c>
      <c r="S1765">
        <v>2.2445979999999999</v>
      </c>
      <c r="T1765">
        <v>-0.29568329999999998</v>
      </c>
      <c r="U1765">
        <v>-2.2107389999999998</v>
      </c>
      <c r="V1765">
        <v>-0.20575760000000001</v>
      </c>
      <c r="W1765">
        <v>2.6205220000000001E-2</v>
      </c>
      <c r="X1765">
        <v>0.97825209999999996</v>
      </c>
      <c r="Y1765">
        <v>-0.46946850000000001</v>
      </c>
      <c r="Z1765">
        <v>9.6191550000000001E-2</v>
      </c>
      <c r="AA1765">
        <v>0.87769379999999997</v>
      </c>
      <c r="AB1765">
        <v>36</v>
      </c>
      <c r="AC1765">
        <v>0.57909999999998196</v>
      </c>
      <c r="AD1765">
        <v>-9.7267000000000006E-2</v>
      </c>
      <c r="AE1765">
        <v>-0.24269999999998501</v>
      </c>
      <c r="AF1765">
        <v>-0.47004264853258798</v>
      </c>
      <c r="AG1765">
        <v>-9.7267000000000006E-2</v>
      </c>
      <c r="AH1765">
        <v>0.39377429772116102</v>
      </c>
      <c r="AI1765">
        <v>99.013464687244706</v>
      </c>
      <c r="AJ1765">
        <v>140.04568976928701</v>
      </c>
      <c r="AK1765">
        <v>0.62085357232951799</v>
      </c>
      <c r="AL1765">
        <v>88.498379651563098</v>
      </c>
      <c r="AM1765">
        <v>101.877989886004</v>
      </c>
      <c r="AN1765">
        <v>1.0000000373336999</v>
      </c>
    </row>
    <row r="1766" spans="1:40" x14ac:dyDescent="0.3">
      <c r="A1766" t="str">
        <f>"20200111153907757"</f>
        <v>20200111153907757</v>
      </c>
      <c r="B1766" t="str">
        <f>"1578728347752089"</f>
        <v>1578728347752089</v>
      </c>
      <c r="C1766" t="s">
        <v>40</v>
      </c>
      <c r="D1766">
        <v>4.7404580000000003</v>
      </c>
      <c r="E1766">
        <v>0.38028390000000001</v>
      </c>
      <c r="F1766" t="s">
        <v>41</v>
      </c>
      <c r="G1766">
        <v>-488.54050000000001</v>
      </c>
      <c r="H1766">
        <v>1.034764</v>
      </c>
      <c r="I1766">
        <v>230.8312</v>
      </c>
      <c r="J1766">
        <v>-489.06330000000003</v>
      </c>
      <c r="K1766">
        <v>1.1173329999999999</v>
      </c>
      <c r="L1766">
        <v>231.10040000000001</v>
      </c>
      <c r="M1766">
        <v>0.30970760000000003</v>
      </c>
      <c r="N1766">
        <v>0</v>
      </c>
      <c r="O1766">
        <v>-0.95070670000000002</v>
      </c>
      <c r="P1766">
        <v>0.49692799999999998</v>
      </c>
      <c r="Q1766">
        <v>1.8828000000000001E-2</v>
      </c>
      <c r="R1766">
        <v>-0.86758760000000001</v>
      </c>
      <c r="S1766">
        <v>2.2842410000000002</v>
      </c>
      <c r="T1766">
        <v>-0.29378189999999998</v>
      </c>
      <c r="U1766">
        <v>-2.1696170000000001</v>
      </c>
      <c r="V1766">
        <v>-0.20473569999999999</v>
      </c>
      <c r="W1766">
        <v>2.7427400000000001E-2</v>
      </c>
      <c r="X1766">
        <v>0.978433</v>
      </c>
      <c r="Y1766">
        <v>-0.47268060000000001</v>
      </c>
      <c r="Z1766">
        <v>9.5551860000000002E-2</v>
      </c>
      <c r="AA1766">
        <v>0.87603819999999999</v>
      </c>
      <c r="AB1766">
        <v>36</v>
      </c>
      <c r="AC1766">
        <v>0.52280000000001703</v>
      </c>
      <c r="AD1766">
        <v>-8.2568999999999795E-2</v>
      </c>
      <c r="AE1766">
        <v>-0.26920000000001199</v>
      </c>
      <c r="AF1766">
        <v>-0.40570641062381702</v>
      </c>
      <c r="AG1766">
        <v>-8.2568999999999795E-2</v>
      </c>
      <c r="AH1766">
        <v>0.40981510142308603</v>
      </c>
      <c r="AI1766">
        <v>98.148391539825397</v>
      </c>
      <c r="AJ1766">
        <v>134.711339741628</v>
      </c>
      <c r="AK1766">
        <v>0.58254935304802702</v>
      </c>
      <c r="AL1766">
        <v>88.428328725686498</v>
      </c>
      <c r="AM1766">
        <v>101.818537262059</v>
      </c>
      <c r="AN1766">
        <v>1.00000005230712</v>
      </c>
    </row>
    <row r="1767" spans="1:40" x14ac:dyDescent="0.3">
      <c r="A1767" t="str">
        <f>"20200111153907778"</f>
        <v>20200111153907778</v>
      </c>
      <c r="B1767" t="str">
        <f>"1578728347772585"</f>
        <v>1578728347772585</v>
      </c>
      <c r="C1767" t="s">
        <v>40</v>
      </c>
      <c r="D1767">
        <v>4.7276920000000002</v>
      </c>
      <c r="E1767">
        <v>0.38034010000000001</v>
      </c>
      <c r="F1767" t="s">
        <v>41</v>
      </c>
      <c r="G1767">
        <v>-488.23719999999997</v>
      </c>
      <c r="H1767">
        <v>1.012939</v>
      </c>
      <c r="I1767">
        <v>230.33539999999999</v>
      </c>
      <c r="J1767">
        <v>-488.94560000000001</v>
      </c>
      <c r="K1767">
        <v>1.117604</v>
      </c>
      <c r="L1767">
        <v>230.77529999999999</v>
      </c>
      <c r="M1767">
        <v>0.32322489999999998</v>
      </c>
      <c r="N1767">
        <v>0</v>
      </c>
      <c r="O1767">
        <v>-0.94619540000000002</v>
      </c>
      <c r="P1767">
        <v>0.50847050000000005</v>
      </c>
      <c r="Q1767">
        <v>2.0518209999999999E-2</v>
      </c>
      <c r="R1767">
        <v>-0.86083529999999997</v>
      </c>
      <c r="S1767">
        <v>2.3120120000000002</v>
      </c>
      <c r="T1767">
        <v>-0.2920102</v>
      </c>
      <c r="U1767">
        <v>-2.139923</v>
      </c>
      <c r="V1767">
        <v>-0.20394699999999999</v>
      </c>
      <c r="W1767">
        <v>2.907612E-2</v>
      </c>
      <c r="X1767">
        <v>0.97855000000000003</v>
      </c>
      <c r="Y1767">
        <v>-0.47149020000000003</v>
      </c>
      <c r="Z1767">
        <v>9.4859949999999998E-2</v>
      </c>
      <c r="AA1767">
        <v>0.87675460000000005</v>
      </c>
      <c r="AB1767">
        <v>36</v>
      </c>
      <c r="AC1767">
        <v>0.70840000000004</v>
      </c>
      <c r="AD1767">
        <v>-0.10466499999999999</v>
      </c>
      <c r="AE1767">
        <v>-0.43989999999999402</v>
      </c>
      <c r="AF1767">
        <v>-0.51996969887032296</v>
      </c>
      <c r="AG1767">
        <v>-0.10466499999999999</v>
      </c>
      <c r="AH1767">
        <v>0.63527289552329702</v>
      </c>
      <c r="AI1767">
        <v>97.265687866399503</v>
      </c>
      <c r="AJ1767">
        <v>129.300262414907</v>
      </c>
      <c r="AK1767">
        <v>0.82758377325491805</v>
      </c>
      <c r="AL1767">
        <v>88.333826131861102</v>
      </c>
      <c r="AM1767">
        <v>101.772913757658</v>
      </c>
      <c r="AN1767">
        <v>0.99999995103162598</v>
      </c>
    </row>
    <row r="1768" spans="1:40" x14ac:dyDescent="0.3">
      <c r="A1768" t="str">
        <f>"20200111153907801"</f>
        <v>20200111153907801</v>
      </c>
      <c r="B1768" t="str">
        <f>"1578728347792105"</f>
        <v>1578728347792105</v>
      </c>
      <c r="C1768" t="s">
        <v>40</v>
      </c>
      <c r="D1768">
        <v>4.7538349999999996</v>
      </c>
      <c r="E1768">
        <v>0.38465389999999999</v>
      </c>
      <c r="F1768" t="s">
        <v>41</v>
      </c>
      <c r="G1768">
        <v>-488.13010000000003</v>
      </c>
      <c r="H1768">
        <v>1.0172570000000001</v>
      </c>
      <c r="I1768">
        <v>230.0401</v>
      </c>
      <c r="J1768">
        <v>-488.81450000000001</v>
      </c>
      <c r="K1768">
        <v>1.1178729999999999</v>
      </c>
      <c r="L1768">
        <v>230.42930000000001</v>
      </c>
      <c r="M1768">
        <v>0.33789400000000003</v>
      </c>
      <c r="N1768">
        <v>0</v>
      </c>
      <c r="O1768">
        <v>-0.94105510000000003</v>
      </c>
      <c r="P1768">
        <v>0.52148309999999998</v>
      </c>
      <c r="Q1768">
        <v>2.1729350000000001E-2</v>
      </c>
      <c r="R1768">
        <v>-0.85298510000000005</v>
      </c>
      <c r="S1768">
        <v>2.3399960000000002</v>
      </c>
      <c r="T1768">
        <v>-0.28797519999999999</v>
      </c>
      <c r="U1768">
        <v>-2.1096650000000001</v>
      </c>
      <c r="V1768">
        <v>-0.20366699999999999</v>
      </c>
      <c r="W1768">
        <v>3.0233369999999999E-2</v>
      </c>
      <c r="X1768">
        <v>0.97857329999999998</v>
      </c>
      <c r="Y1768">
        <v>-0.46937069999999997</v>
      </c>
      <c r="Z1768">
        <v>9.3381690000000003E-2</v>
      </c>
      <c r="AA1768">
        <v>0.87804959999999899</v>
      </c>
      <c r="AB1768">
        <v>36</v>
      </c>
      <c r="AC1768">
        <v>0.68439999999998202</v>
      </c>
      <c r="AD1768">
        <v>-0.100615999999999</v>
      </c>
      <c r="AE1768">
        <v>-0.38920000000001598</v>
      </c>
      <c r="AF1768">
        <v>-0.50437483222328205</v>
      </c>
      <c r="AG1768">
        <v>-0.100615999999999</v>
      </c>
      <c r="AH1768">
        <v>0.58798323576621603</v>
      </c>
      <c r="AI1768">
        <v>97.400257770746094</v>
      </c>
      <c r="AJ1768">
        <v>130.623150478837</v>
      </c>
      <c r="AK1768">
        <v>0.78117977212570799</v>
      </c>
      <c r="AL1768">
        <v>88.267491501085004</v>
      </c>
      <c r="AM1768">
        <v>101.756928726707</v>
      </c>
      <c r="AN1768">
        <v>1.00000000351172</v>
      </c>
    </row>
    <row r="1769" spans="1:40" x14ac:dyDescent="0.3">
      <c r="A1769" t="str">
        <f>"20200111153907822"</f>
        <v>20200111153907822</v>
      </c>
      <c r="B1769" t="str">
        <f>"1578728347812601"</f>
        <v>1578728347812601</v>
      </c>
      <c r="C1769" t="s">
        <v>40</v>
      </c>
      <c r="D1769">
        <v>4.7063600000000001</v>
      </c>
      <c r="E1769">
        <v>0.38477919999999999</v>
      </c>
      <c r="F1769" t="s">
        <v>41</v>
      </c>
      <c r="G1769">
        <v>-488.03820000000002</v>
      </c>
      <c r="H1769">
        <v>1.0112030000000001</v>
      </c>
      <c r="I1769">
        <v>229.7347</v>
      </c>
      <c r="J1769">
        <v>-488.69349999999997</v>
      </c>
      <c r="K1769">
        <v>1.1180950000000001</v>
      </c>
      <c r="L1769">
        <v>230.12350000000001</v>
      </c>
      <c r="M1769">
        <v>0.35107870000000002</v>
      </c>
      <c r="N1769">
        <v>0</v>
      </c>
      <c r="O1769">
        <v>-0.93621560000000004</v>
      </c>
      <c r="P1769">
        <v>0.53326609999999997</v>
      </c>
      <c r="Q1769">
        <v>2.2280500000000002E-2</v>
      </c>
      <c r="R1769">
        <v>-0.84565449999999998</v>
      </c>
      <c r="S1769">
        <v>2.3411249999999999</v>
      </c>
      <c r="T1769">
        <v>-0.32155450000000002</v>
      </c>
      <c r="U1769">
        <v>-2.0939329999999998</v>
      </c>
      <c r="V1769">
        <v>-0.20353930000000001</v>
      </c>
      <c r="W1769">
        <v>3.0739059999999999E-2</v>
      </c>
      <c r="X1769">
        <v>0.97858409999999996</v>
      </c>
      <c r="Y1769">
        <v>-0.45960079999999998</v>
      </c>
      <c r="Z1769">
        <v>0.104129399999999</v>
      </c>
      <c r="AA1769">
        <v>0.88200009999999995</v>
      </c>
      <c r="AB1769">
        <v>36</v>
      </c>
      <c r="AC1769">
        <v>0.65529999999995403</v>
      </c>
      <c r="AD1769">
        <v>-0.106892</v>
      </c>
      <c r="AE1769">
        <v>-0.38880000000000298</v>
      </c>
      <c r="AF1769">
        <v>-0.46785354174754501</v>
      </c>
      <c r="AG1769">
        <v>-0.106892</v>
      </c>
      <c r="AH1769">
        <v>0.58266809113678497</v>
      </c>
      <c r="AI1769">
        <v>98.140725643077204</v>
      </c>
      <c r="AJ1769">
        <v>128.76273441324901</v>
      </c>
      <c r="AK1769">
        <v>0.75486087500857202</v>
      </c>
      <c r="AL1769">
        <v>88.238504098183398</v>
      </c>
      <c r="AM1769">
        <v>101.74963602132399</v>
      </c>
      <c r="AN1769">
        <v>0.99999998861349104</v>
      </c>
    </row>
    <row r="1770" spans="1:40" x14ac:dyDescent="0.3">
      <c r="A1770" t="str">
        <f>"20200111153907845"</f>
        <v>20200111153907845</v>
      </c>
      <c r="B1770" t="str">
        <f>"1578728347842391"</f>
        <v>1578728347842391</v>
      </c>
      <c r="C1770" t="s">
        <v>40</v>
      </c>
      <c r="D1770">
        <v>4.7470470000000002</v>
      </c>
      <c r="E1770">
        <v>0.38485330000000001</v>
      </c>
      <c r="F1770" t="s">
        <v>41</v>
      </c>
      <c r="G1770">
        <v>-487.91669999999999</v>
      </c>
      <c r="H1770">
        <v>1.013676</v>
      </c>
      <c r="I1770">
        <v>229.44730000000001</v>
      </c>
      <c r="J1770">
        <v>-488.5564</v>
      </c>
      <c r="K1770">
        <v>1.1183209999999999</v>
      </c>
      <c r="L1770">
        <v>229.79169999999999</v>
      </c>
      <c r="M1770">
        <v>0.36560189999999998</v>
      </c>
      <c r="N1770">
        <v>0</v>
      </c>
      <c r="O1770">
        <v>-0.93063859999999998</v>
      </c>
      <c r="P1770">
        <v>0.54679009999999995</v>
      </c>
      <c r="Q1770">
        <v>2.2938719999999999E-2</v>
      </c>
      <c r="R1770">
        <v>-0.83695549999999996</v>
      </c>
      <c r="S1770">
        <v>2.368805</v>
      </c>
      <c r="T1770">
        <v>-0.3184379</v>
      </c>
      <c r="U1770">
        <v>-2.0622099999999999</v>
      </c>
      <c r="V1770">
        <v>-0.20409269999999999</v>
      </c>
      <c r="W1770">
        <v>3.1328149999999999E-2</v>
      </c>
      <c r="X1770">
        <v>0.97845020000000005</v>
      </c>
      <c r="Y1770">
        <v>-0.45771909999999999</v>
      </c>
      <c r="Z1770">
        <v>0.1028934</v>
      </c>
      <c r="AA1770">
        <v>0.88312299999999999</v>
      </c>
      <c r="AB1770">
        <v>36</v>
      </c>
      <c r="AC1770">
        <v>0.63970000000000404</v>
      </c>
      <c r="AD1770">
        <v>-0.104644999999999</v>
      </c>
      <c r="AE1770">
        <v>-0.344399999999978</v>
      </c>
      <c r="AF1770">
        <v>-0.459932225462029</v>
      </c>
      <c r="AG1770">
        <v>-0.104644999999999</v>
      </c>
      <c r="AH1770">
        <v>0.54318673428749598</v>
      </c>
      <c r="AI1770">
        <v>98.363974206518705</v>
      </c>
      <c r="AJ1770">
        <v>130.25557331387199</v>
      </c>
      <c r="AK1770">
        <v>0.71940256904557198</v>
      </c>
      <c r="AL1770">
        <v>88.204735551249598</v>
      </c>
      <c r="AM1770">
        <v>101.78225741641501</v>
      </c>
      <c r="AN1770">
        <v>1.00000003852787</v>
      </c>
    </row>
    <row r="1771" spans="1:40" x14ac:dyDescent="0.3">
      <c r="A1771" t="str">
        <f>"20200111153907867"</f>
        <v>20200111153907867</v>
      </c>
      <c r="B1771" t="str">
        <f>"1578728347862884"</f>
        <v>1578728347862884</v>
      </c>
      <c r="C1771" t="s">
        <v>40</v>
      </c>
      <c r="D1771">
        <v>4.7964010000000004</v>
      </c>
      <c r="E1771">
        <v>0.38506420000000002</v>
      </c>
      <c r="F1771" t="s">
        <v>41</v>
      </c>
      <c r="G1771">
        <v>-487.80130000000003</v>
      </c>
      <c r="H1771">
        <v>1.018556</v>
      </c>
      <c r="I1771">
        <v>229.1551</v>
      </c>
      <c r="J1771">
        <v>-488.41640000000001</v>
      </c>
      <c r="K1771">
        <v>1.1185149999999999</v>
      </c>
      <c r="L1771">
        <v>229.46729999999999</v>
      </c>
      <c r="M1771">
        <v>0.38000820000000002</v>
      </c>
      <c r="N1771">
        <v>0</v>
      </c>
      <c r="O1771">
        <v>-0.92484869999999997</v>
      </c>
      <c r="P1771">
        <v>0.56146030000000002</v>
      </c>
      <c r="Q1771">
        <v>2.3667980000000002E-2</v>
      </c>
      <c r="R1771">
        <v>-0.82716529999999999</v>
      </c>
      <c r="S1771">
        <v>2.4015810000000002</v>
      </c>
      <c r="T1771">
        <v>-0.31720320000000002</v>
      </c>
      <c r="U1771">
        <v>-2.0241549999999999</v>
      </c>
      <c r="V1771">
        <v>-0.20619950000000001</v>
      </c>
      <c r="W1771">
        <v>3.1935329999999998E-2</v>
      </c>
      <c r="X1771">
        <v>0.97798870000000004</v>
      </c>
      <c r="Y1771">
        <v>-0.4580998</v>
      </c>
      <c r="Z1771">
        <v>0.1022753</v>
      </c>
      <c r="AA1771">
        <v>0.88299729999999998</v>
      </c>
      <c r="AB1771">
        <v>36</v>
      </c>
      <c r="AC1771">
        <v>0.61509999999998399</v>
      </c>
      <c r="AD1771">
        <v>-9.9958999999999895E-2</v>
      </c>
      <c r="AE1771">
        <v>-0.31219999999998999</v>
      </c>
      <c r="AF1771">
        <v>-0.44103054630535099</v>
      </c>
      <c r="AG1771">
        <v>-9.9958999999999895E-2</v>
      </c>
      <c r="AH1771">
        <v>0.51179839012110195</v>
      </c>
      <c r="AI1771">
        <v>98.416097314148203</v>
      </c>
      <c r="AJ1771">
        <v>130.752366814986</v>
      </c>
      <c r="AK1771">
        <v>0.68296217800545</v>
      </c>
      <c r="AL1771">
        <v>88.169929209490604</v>
      </c>
      <c r="AM1771">
        <v>101.905887294528</v>
      </c>
      <c r="AN1771">
        <v>0.99999999821507402</v>
      </c>
    </row>
    <row r="1772" spans="1:40" x14ac:dyDescent="0.3">
      <c r="A1772" t="str">
        <f>"20200111153907889"</f>
        <v>20200111153907889</v>
      </c>
      <c r="B1772" t="str">
        <f>"1578728347882405"</f>
        <v>1578728347882405</v>
      </c>
      <c r="C1772" t="s">
        <v>40</v>
      </c>
      <c r="D1772">
        <v>4.7230449999999999</v>
      </c>
      <c r="E1772">
        <v>0.38515739999999998</v>
      </c>
      <c r="F1772" t="s">
        <v>41</v>
      </c>
      <c r="G1772">
        <v>-487.67919999999998</v>
      </c>
      <c r="H1772">
        <v>1.0218510000000001</v>
      </c>
      <c r="I1772">
        <v>228.86680000000001</v>
      </c>
      <c r="J1772">
        <v>-488.2783</v>
      </c>
      <c r="K1772">
        <v>1.1186670000000001</v>
      </c>
      <c r="L1772">
        <v>229.1601</v>
      </c>
      <c r="M1772">
        <v>0.39380530000000002</v>
      </c>
      <c r="N1772">
        <v>0</v>
      </c>
      <c r="O1772">
        <v>-0.91905780000000004</v>
      </c>
      <c r="P1772">
        <v>0.57788099999999998</v>
      </c>
      <c r="Q1772">
        <v>2.38505E-2</v>
      </c>
      <c r="R1772">
        <v>-0.81577279999999996</v>
      </c>
      <c r="S1772">
        <v>2.4348139999999998</v>
      </c>
      <c r="T1772">
        <v>-0.31927620000000001</v>
      </c>
      <c r="U1772">
        <v>-1.9832920000000001</v>
      </c>
      <c r="V1772">
        <v>-0.2111324</v>
      </c>
      <c r="W1772">
        <v>3.1892909999999997E-2</v>
      </c>
      <c r="X1772">
        <v>0.97693700000000006</v>
      </c>
      <c r="Y1772">
        <v>-0.45957769999999998</v>
      </c>
      <c r="Z1772">
        <v>0.10274560000000001</v>
      </c>
      <c r="AA1772">
        <v>0.88217440000000003</v>
      </c>
      <c r="AB1772">
        <v>36</v>
      </c>
      <c r="AC1772">
        <v>0.59910000000002095</v>
      </c>
      <c r="AD1772">
        <v>-9.6815999999999999E-2</v>
      </c>
      <c r="AE1772">
        <v>-0.29329999999998702</v>
      </c>
      <c r="AF1772">
        <v>-0.426180831092833</v>
      </c>
      <c r="AG1772">
        <v>-9.6815999999999999E-2</v>
      </c>
      <c r="AH1772">
        <v>0.495121293268518</v>
      </c>
      <c r="AI1772">
        <v>98.429863590614602</v>
      </c>
      <c r="AJ1772">
        <v>130.72056820279099</v>
      </c>
      <c r="AK1772">
        <v>0.66041542508853301</v>
      </c>
      <c r="AL1772">
        <v>88.1723608927105</v>
      </c>
      <c r="AM1772">
        <v>102.195021379404</v>
      </c>
      <c r="AN1772">
        <v>0.99999997500351301</v>
      </c>
    </row>
    <row r="1773" spans="1:40" x14ac:dyDescent="0.3">
      <c r="A1773" t="str">
        <f>"20200111153907911"</f>
        <v>20200111153907911</v>
      </c>
      <c r="B1773" t="str">
        <f>"1578728347902900"</f>
        <v>1578728347902900</v>
      </c>
      <c r="C1773" t="s">
        <v>40</v>
      </c>
      <c r="D1773">
        <v>4.7852639999999997</v>
      </c>
      <c r="E1773">
        <v>0.38566679999999998</v>
      </c>
      <c r="F1773" t="s">
        <v>41</v>
      </c>
      <c r="G1773">
        <v>-487.54539999999997</v>
      </c>
      <c r="H1773">
        <v>1.0223690000000001</v>
      </c>
      <c r="I1773">
        <v>228.58609999999999</v>
      </c>
      <c r="J1773">
        <v>-488.12369999999999</v>
      </c>
      <c r="K1773">
        <v>1.118803</v>
      </c>
      <c r="L1773">
        <v>228.83</v>
      </c>
      <c r="M1773">
        <v>0.40878039999999999</v>
      </c>
      <c r="N1773">
        <v>0</v>
      </c>
      <c r="O1773">
        <v>-0.91249480000000005</v>
      </c>
      <c r="P1773">
        <v>0.59528349999999997</v>
      </c>
      <c r="Q1773">
        <v>2.1761719999999998E-2</v>
      </c>
      <c r="R1773">
        <v>-0.80322130000000003</v>
      </c>
      <c r="S1773">
        <v>2.472229</v>
      </c>
      <c r="T1773">
        <v>-0.32474639999999999</v>
      </c>
      <c r="U1773">
        <v>-1.93573</v>
      </c>
      <c r="V1773">
        <v>-0.21607180000000001</v>
      </c>
      <c r="W1773">
        <v>2.9576580000000002E-2</v>
      </c>
      <c r="X1773">
        <v>0.97592939999999995</v>
      </c>
      <c r="Y1773">
        <v>-0.46193339999999999</v>
      </c>
      <c r="Z1773">
        <v>0.104268899999999</v>
      </c>
      <c r="AA1773">
        <v>0.8807642</v>
      </c>
      <c r="AB1773">
        <v>36</v>
      </c>
      <c r="AC1773">
        <v>0.57830000000001203</v>
      </c>
      <c r="AD1773">
        <v>-9.6433999999999895E-2</v>
      </c>
      <c r="AE1773">
        <v>-0.24390000000002399</v>
      </c>
      <c r="AF1773">
        <v>-0.418175914630386</v>
      </c>
      <c r="AG1773">
        <v>-9.6433999999999895E-2</v>
      </c>
      <c r="AH1773">
        <v>0.44842664607133398</v>
      </c>
      <c r="AI1773">
        <v>98.938000601896405</v>
      </c>
      <c r="AJ1773">
        <v>133.000772398599</v>
      </c>
      <c r="AK1773">
        <v>0.62069079970605801</v>
      </c>
      <c r="AL1773">
        <v>88.305139621026797</v>
      </c>
      <c r="AM1773">
        <v>102.48396466349701</v>
      </c>
      <c r="AN1773">
        <v>0.99999999531204797</v>
      </c>
    </row>
    <row r="1774" spans="1:40" x14ac:dyDescent="0.3">
      <c r="A1774" t="str">
        <f>"20200111153907934"</f>
        <v>20200111153907934</v>
      </c>
      <c r="B1774" t="str">
        <f>"1578728347922420"</f>
        <v>1578728347922420</v>
      </c>
      <c r="C1774" t="s">
        <v>40</v>
      </c>
      <c r="D1774">
        <v>4.7853620000000001</v>
      </c>
      <c r="E1774">
        <v>0.38625989999999999</v>
      </c>
      <c r="F1774" t="s">
        <v>41</v>
      </c>
      <c r="G1774">
        <v>-487.41739999999999</v>
      </c>
      <c r="H1774">
        <v>1.024305</v>
      </c>
      <c r="I1774">
        <v>228.29939999999999</v>
      </c>
      <c r="J1774">
        <v>-487.97</v>
      </c>
      <c r="K1774">
        <v>1.118916</v>
      </c>
      <c r="L1774">
        <v>228.51490000000001</v>
      </c>
      <c r="M1774">
        <v>0.4232011</v>
      </c>
      <c r="N1774">
        <v>0</v>
      </c>
      <c r="O1774">
        <v>-0.90589589999999998</v>
      </c>
      <c r="P1774">
        <v>0.61132690000000001</v>
      </c>
      <c r="Q1774">
        <v>1.924462E-2</v>
      </c>
      <c r="R1774">
        <v>-0.79114430000000002</v>
      </c>
      <c r="S1774">
        <v>2.5087890000000002</v>
      </c>
      <c r="T1774">
        <v>-0.33562509999999901</v>
      </c>
      <c r="U1774">
        <v>-1.8847959999999999</v>
      </c>
      <c r="V1774">
        <v>-0.22012329999999999</v>
      </c>
      <c r="W1774">
        <v>2.68697E-2</v>
      </c>
      <c r="X1774">
        <v>0.97510189999999997</v>
      </c>
      <c r="Y1774">
        <v>-0.46515849999999997</v>
      </c>
      <c r="Z1774">
        <v>0.1075629</v>
      </c>
      <c r="AA1774">
        <v>0.87866819999999901</v>
      </c>
      <c r="AB1774">
        <v>36</v>
      </c>
      <c r="AC1774">
        <v>0.55260000000003995</v>
      </c>
      <c r="AD1774">
        <v>-9.4611000000000001E-2</v>
      </c>
      <c r="AE1774">
        <v>-0.21550000000002001</v>
      </c>
      <c r="AF1774">
        <v>-0.39929072892068102</v>
      </c>
      <c r="AG1774">
        <v>-9.4611000000000001E-2</v>
      </c>
      <c r="AH1774">
        <v>0.418488032004045</v>
      </c>
      <c r="AI1774">
        <v>99.289553221096895</v>
      </c>
      <c r="AJ1774">
        <v>133.65523229756499</v>
      </c>
      <c r="AK1774">
        <v>0.58610285825410102</v>
      </c>
      <c r="AL1774">
        <v>88.460294254104198</v>
      </c>
      <c r="AM1774">
        <v>102.720945246192</v>
      </c>
      <c r="AN1774">
        <v>0.99999998168229398</v>
      </c>
    </row>
    <row r="1775" spans="1:40" x14ac:dyDescent="0.3">
      <c r="A1775" t="str">
        <f>"20200111153907957"</f>
        <v>20200111153907957</v>
      </c>
      <c r="B1775" t="str">
        <f>"1578728347952207"</f>
        <v>1578728347952207</v>
      </c>
      <c r="C1775" t="s">
        <v>40</v>
      </c>
      <c r="D1775">
        <v>4.8891999999999998</v>
      </c>
      <c r="E1775">
        <v>0.39184940000000001</v>
      </c>
      <c r="F1775" t="s">
        <v>41</v>
      </c>
      <c r="G1775">
        <v>-487.24869999999999</v>
      </c>
      <c r="H1775">
        <v>1.0208710000000001</v>
      </c>
      <c r="I1775">
        <v>227.99350000000001</v>
      </c>
      <c r="J1775">
        <v>-487.80869999999999</v>
      </c>
      <c r="K1775">
        <v>1.1190199999999999</v>
      </c>
      <c r="L1775">
        <v>228.19810000000001</v>
      </c>
      <c r="M1775">
        <v>0.43781969999999998</v>
      </c>
      <c r="N1775">
        <v>0</v>
      </c>
      <c r="O1775">
        <v>-0.89892109999999903</v>
      </c>
      <c r="P1775">
        <v>0.62667640000000002</v>
      </c>
      <c r="Q1775">
        <v>1.862774E-2</v>
      </c>
      <c r="R1775">
        <v>-0.779057</v>
      </c>
      <c r="S1775">
        <v>2.541534</v>
      </c>
      <c r="T1775">
        <v>-0.34532279999999999</v>
      </c>
      <c r="U1775">
        <v>-1.8365020000000001</v>
      </c>
      <c r="V1775">
        <v>-0.22336929999999999</v>
      </c>
      <c r="W1775">
        <v>2.6097499999999999E-2</v>
      </c>
      <c r="X1775">
        <v>0.97438440000000004</v>
      </c>
      <c r="Y1775">
        <v>-0.46688879999999999</v>
      </c>
      <c r="Z1775">
        <v>0.110407199999999</v>
      </c>
      <c r="AA1775">
        <v>0.87739679999999998</v>
      </c>
      <c r="AB1775">
        <v>36</v>
      </c>
      <c r="AC1775">
        <v>0.56000000000000205</v>
      </c>
      <c r="AD1775">
        <v>-9.8149000000000194E-2</v>
      </c>
      <c r="AE1775">
        <v>-0.204599999999999</v>
      </c>
      <c r="AF1775">
        <v>-0.40295041334630699</v>
      </c>
      <c r="AG1775">
        <v>-9.8149000000000194E-2</v>
      </c>
      <c r="AH1775">
        <v>0.417829510746143</v>
      </c>
      <c r="AI1775">
        <v>99.597035122035805</v>
      </c>
      <c r="AJ1775">
        <v>133.96145593691901</v>
      </c>
      <c r="AK1775">
        <v>0.58871365014523103</v>
      </c>
      <c r="AL1775">
        <v>88.504553520642801</v>
      </c>
      <c r="AM1775">
        <v>102.911479984686</v>
      </c>
      <c r="AN1775">
        <v>0.99999994132604797</v>
      </c>
    </row>
    <row r="1776" spans="1:40" x14ac:dyDescent="0.3">
      <c r="A1776" t="str">
        <f>"20200111153907979"</f>
        <v>20200111153907979</v>
      </c>
      <c r="B1776" t="str">
        <f>"1578728347972704"</f>
        <v>1578728347972704</v>
      </c>
      <c r="C1776" t="s">
        <v>40</v>
      </c>
      <c r="D1776">
        <v>4.8920669999999999</v>
      </c>
      <c r="E1776">
        <v>0.39269349999999997</v>
      </c>
      <c r="F1776" t="s">
        <v>41</v>
      </c>
      <c r="G1776">
        <v>-486.89729999999997</v>
      </c>
      <c r="H1776">
        <v>0.99171889999999996</v>
      </c>
      <c r="I1776">
        <v>227.54730000000001</v>
      </c>
      <c r="J1776">
        <v>-487.64179999999999</v>
      </c>
      <c r="K1776">
        <v>1.1191180000000001</v>
      </c>
      <c r="L1776">
        <v>227.88339999999999</v>
      </c>
      <c r="M1776">
        <v>0.45243339999999999</v>
      </c>
      <c r="N1776">
        <v>0</v>
      </c>
      <c r="O1776">
        <v>-0.89165459999999996</v>
      </c>
      <c r="P1776">
        <v>0.64113390000000003</v>
      </c>
      <c r="Q1776">
        <v>1.9555679999999999E-2</v>
      </c>
      <c r="R1776">
        <v>-0.76717969999999902</v>
      </c>
      <c r="S1776">
        <v>2.5418400000000001</v>
      </c>
      <c r="T1776">
        <v>-0.35494979999999998</v>
      </c>
      <c r="U1776">
        <v>-1.814621</v>
      </c>
      <c r="V1776">
        <v>-0.2257352</v>
      </c>
      <c r="W1776">
        <v>2.6908789999999998E-2</v>
      </c>
      <c r="X1776">
        <v>0.97381700000000004</v>
      </c>
      <c r="Y1776">
        <v>-0.45718609999999998</v>
      </c>
      <c r="Z1776">
        <v>0.1131993</v>
      </c>
      <c r="AA1776">
        <v>0.88213770000000002</v>
      </c>
      <c r="AB1776">
        <v>36</v>
      </c>
      <c r="AC1776">
        <v>0.74450000000001604</v>
      </c>
      <c r="AD1776">
        <v>-0.12739909999999999</v>
      </c>
      <c r="AE1776">
        <v>-0.33609999999998702</v>
      </c>
      <c r="AF1776">
        <v>-0.49968481883956101</v>
      </c>
      <c r="AG1776">
        <v>-0.12739909999999999</v>
      </c>
      <c r="AH1776">
        <v>0.62148581009622395</v>
      </c>
      <c r="AI1776">
        <v>99.076741489971198</v>
      </c>
      <c r="AJ1776">
        <v>128.79985432747799</v>
      </c>
      <c r="AK1776">
        <v>0.80756427670526298</v>
      </c>
      <c r="AL1776">
        <v>88.458053790185602</v>
      </c>
      <c r="AM1776">
        <v>103.05092348649499</v>
      </c>
      <c r="AN1776">
        <v>1.0000000064936501</v>
      </c>
    </row>
    <row r="1777" spans="1:40" x14ac:dyDescent="0.3">
      <c r="A1777" t="str">
        <f>"20200111153908002"</f>
        <v>20200111153908002</v>
      </c>
      <c r="B1777" t="str">
        <f>"1578728347992224"</f>
        <v>1578728347992224</v>
      </c>
      <c r="C1777" t="s">
        <v>40</v>
      </c>
      <c r="D1777">
        <v>4.8561259999999997</v>
      </c>
      <c r="E1777">
        <v>0.39422040000000003</v>
      </c>
      <c r="F1777" t="s">
        <v>41</v>
      </c>
      <c r="G1777">
        <v>-486.7543</v>
      </c>
      <c r="H1777">
        <v>1.00105</v>
      </c>
      <c r="I1777">
        <v>227.2723</v>
      </c>
      <c r="J1777">
        <v>-487.46550000000002</v>
      </c>
      <c r="K1777">
        <v>1.1192029999999999</v>
      </c>
      <c r="L1777">
        <v>227.5634</v>
      </c>
      <c r="M1777">
        <v>0.46736689999999997</v>
      </c>
      <c r="N1777">
        <v>0</v>
      </c>
      <c r="O1777">
        <v>-0.88391810000000004</v>
      </c>
      <c r="P1777">
        <v>0.65508940000000004</v>
      </c>
      <c r="Q1777">
        <v>2.070104E-2</v>
      </c>
      <c r="R1777">
        <v>-0.75526769999999999</v>
      </c>
      <c r="S1777">
        <v>2.571075</v>
      </c>
      <c r="T1777">
        <v>-0.3420725</v>
      </c>
      <c r="U1777">
        <v>-1.7704770000000001</v>
      </c>
      <c r="V1777">
        <v>-0.2272699</v>
      </c>
      <c r="W1777">
        <v>2.7973640000000001E-2</v>
      </c>
      <c r="X1777">
        <v>0.97342989999999996</v>
      </c>
      <c r="Y1777">
        <v>-0.45763730000000002</v>
      </c>
      <c r="Z1777">
        <v>0.10875219999999999</v>
      </c>
      <c r="AA1777">
        <v>0.88246309999999994</v>
      </c>
      <c r="AB1777">
        <v>36</v>
      </c>
      <c r="AC1777">
        <v>0.71120000000001904</v>
      </c>
      <c r="AD1777">
        <v>-0.11815299999999999</v>
      </c>
      <c r="AE1777">
        <v>-0.29110000000000003</v>
      </c>
      <c r="AF1777">
        <v>-0.48127821526452702</v>
      </c>
      <c r="AG1777">
        <v>-0.11815299999999999</v>
      </c>
      <c r="AH1777">
        <v>0.57615569642255104</v>
      </c>
      <c r="AI1777">
        <v>98.944170476154497</v>
      </c>
      <c r="AJ1777">
        <v>129.87290730531501</v>
      </c>
      <c r="AK1777">
        <v>0.75996331386282301</v>
      </c>
      <c r="AL1777">
        <v>88.397019303656705</v>
      </c>
      <c r="AM1777">
        <v>103.141627995227</v>
      </c>
      <c r="AN1777">
        <v>0.999999951097433</v>
      </c>
    </row>
    <row r="1778" spans="1:40" x14ac:dyDescent="0.3">
      <c r="A1778" t="str">
        <f>"20200111153908023"</f>
        <v>20200111153908023</v>
      </c>
      <c r="B1778" t="str">
        <f>"1578728348012720"</f>
        <v>1578728348012720</v>
      </c>
      <c r="C1778" t="s">
        <v>40</v>
      </c>
      <c r="D1778">
        <v>5.0622179999999997</v>
      </c>
      <c r="E1778">
        <v>0.39526460000000002</v>
      </c>
      <c r="F1778" t="s">
        <v>41</v>
      </c>
      <c r="G1778">
        <v>-486.61340000000001</v>
      </c>
      <c r="H1778">
        <v>1.0049570000000001</v>
      </c>
      <c r="I1778">
        <v>226.99449999999999</v>
      </c>
      <c r="J1778">
        <v>-487.30329999999998</v>
      </c>
      <c r="K1778">
        <v>1.1192759999999999</v>
      </c>
      <c r="L1778">
        <v>227.27979999999999</v>
      </c>
      <c r="M1778">
        <v>0.48065619999999998</v>
      </c>
      <c r="N1778">
        <v>0</v>
      </c>
      <c r="O1778">
        <v>-0.87676200000000004</v>
      </c>
      <c r="P1778">
        <v>0.66654159999999996</v>
      </c>
      <c r="Q1778">
        <v>2.1539470000000002E-2</v>
      </c>
      <c r="R1778">
        <v>-0.7451565</v>
      </c>
      <c r="S1778">
        <v>2.5941160000000001</v>
      </c>
      <c r="T1778">
        <v>-0.34777269999999999</v>
      </c>
      <c r="U1778">
        <v>-1.7316279999999999</v>
      </c>
      <c r="V1778">
        <v>-0.2274824</v>
      </c>
      <c r="W1778">
        <v>2.8788709999999999E-2</v>
      </c>
      <c r="X1778">
        <v>0.97335649999999996</v>
      </c>
      <c r="Y1778">
        <v>-0.4568256</v>
      </c>
      <c r="Z1778">
        <v>0.1101857</v>
      </c>
      <c r="AA1778">
        <v>0.88270579999999998</v>
      </c>
      <c r="AB1778">
        <v>36</v>
      </c>
      <c r="AC1778">
        <v>0.68989999999996598</v>
      </c>
      <c r="AD1778">
        <v>-0.114319</v>
      </c>
      <c r="AE1778">
        <v>-0.28530000000000599</v>
      </c>
      <c r="AF1778">
        <v>-0.45708949073647598</v>
      </c>
      <c r="AG1778">
        <v>-0.114319</v>
      </c>
      <c r="AH1778">
        <v>0.56849011894554402</v>
      </c>
      <c r="AI1778">
        <v>98.906793992253498</v>
      </c>
      <c r="AJ1778">
        <v>128.800716197122</v>
      </c>
      <c r="AK1778">
        <v>0.73836349560460401</v>
      </c>
      <c r="AL1778">
        <v>88.350300414425107</v>
      </c>
      <c r="AM1778">
        <v>103.154445962122</v>
      </c>
      <c r="AN1778">
        <v>0.99999995411273601</v>
      </c>
    </row>
    <row r="1779" spans="1:40" x14ac:dyDescent="0.3">
      <c r="A1779" t="str">
        <f>"20200111153908047"</f>
        <v>20200111153908047</v>
      </c>
      <c r="B1779" t="str">
        <f>"1578728348042000"</f>
        <v>1578728348042000</v>
      </c>
      <c r="C1779" t="s">
        <v>40</v>
      </c>
      <c r="D1779">
        <v>4.9544259999999998</v>
      </c>
      <c r="E1779">
        <v>0.39719949999999998</v>
      </c>
      <c r="F1779" t="s">
        <v>41</v>
      </c>
      <c r="G1779">
        <v>-486.45620000000002</v>
      </c>
      <c r="H1779">
        <v>1.00637</v>
      </c>
      <c r="I1779">
        <v>226.72980000000001</v>
      </c>
      <c r="J1779">
        <v>-487.11630000000002</v>
      </c>
      <c r="K1779">
        <v>1.11934</v>
      </c>
      <c r="L1779">
        <v>226.96430000000001</v>
      </c>
      <c r="M1779">
        <v>0.49549870000000001</v>
      </c>
      <c r="N1779">
        <v>0</v>
      </c>
      <c r="O1779">
        <v>-0.86846009999999996</v>
      </c>
      <c r="P1779">
        <v>0.67964609999999903</v>
      </c>
      <c r="Q1779">
        <v>2.2107370000000001E-2</v>
      </c>
      <c r="R1779">
        <v>-0.73320739999999995</v>
      </c>
      <c r="S1779">
        <v>2.6142270000000001</v>
      </c>
      <c r="T1779">
        <v>-0.34848759999999901</v>
      </c>
      <c r="U1779">
        <v>-1.697586</v>
      </c>
      <c r="V1779">
        <v>-0.2282168</v>
      </c>
      <c r="W1779">
        <v>2.9312520000000002E-2</v>
      </c>
      <c r="X1779">
        <v>0.97316899999999995</v>
      </c>
      <c r="Y1779">
        <v>-0.45290920000000001</v>
      </c>
      <c r="Z1779">
        <v>0.1098306</v>
      </c>
      <c r="AA1779">
        <v>0.88476580000000005</v>
      </c>
      <c r="AB1779">
        <v>36</v>
      </c>
      <c r="AC1779">
        <v>0.66009999999999902</v>
      </c>
      <c r="AD1779">
        <v>-0.11297</v>
      </c>
      <c r="AE1779">
        <v>-0.23449999999999699</v>
      </c>
      <c r="AF1779">
        <v>-0.44554769696119101</v>
      </c>
      <c r="AG1779">
        <v>-0.11297</v>
      </c>
      <c r="AH1779">
        <v>0.51734645114116495</v>
      </c>
      <c r="AI1779">
        <v>99.395095109030507</v>
      </c>
      <c r="AJ1779">
        <v>130.73559906037201</v>
      </c>
      <c r="AK1779">
        <v>0.69204213865615105</v>
      </c>
      <c r="AL1779">
        <v>88.320275744058094</v>
      </c>
      <c r="AM1779">
        <v>103.197883377765</v>
      </c>
      <c r="AN1779">
        <v>1.00000001709599</v>
      </c>
    </row>
    <row r="1780" spans="1:40" x14ac:dyDescent="0.3">
      <c r="A1780" t="str">
        <f>"20200111153908070"</f>
        <v>20200111153908070</v>
      </c>
      <c r="B1780" t="str">
        <f>"1578728348062495"</f>
        <v>1578728348062495</v>
      </c>
      <c r="C1780" t="s">
        <v>40</v>
      </c>
      <c r="D1780">
        <v>5.073283</v>
      </c>
      <c r="E1780">
        <v>0.39964949999999999</v>
      </c>
      <c r="F1780" t="s">
        <v>41</v>
      </c>
      <c r="G1780">
        <v>-486.30930000000001</v>
      </c>
      <c r="H1780">
        <v>1.0106310000000001</v>
      </c>
      <c r="I1780">
        <v>226.45490000000001</v>
      </c>
      <c r="J1780">
        <v>-486.92649999999998</v>
      </c>
      <c r="K1780">
        <v>1.1193919999999999</v>
      </c>
      <c r="L1780">
        <v>226.65620000000001</v>
      </c>
      <c r="M1780">
        <v>0.51005100000000003</v>
      </c>
      <c r="N1780">
        <v>0</v>
      </c>
      <c r="O1780">
        <v>-0.85999360000000002</v>
      </c>
      <c r="P1780">
        <v>0.69166030000000001</v>
      </c>
      <c r="Q1780">
        <v>2.1766440000000001E-2</v>
      </c>
      <c r="R1780">
        <v>-0.72189530000000002</v>
      </c>
      <c r="S1780">
        <v>2.63266</v>
      </c>
      <c r="T1780">
        <v>-0.35468820000000001</v>
      </c>
      <c r="U1780">
        <v>-1.662018</v>
      </c>
      <c r="V1780">
        <v>-0.2278877</v>
      </c>
      <c r="W1780">
        <v>2.8972689999999999E-2</v>
      </c>
      <c r="X1780">
        <v>0.97325629999999996</v>
      </c>
      <c r="Y1780">
        <v>-0.44907659999999999</v>
      </c>
      <c r="Z1780">
        <v>0.111205399999999</v>
      </c>
      <c r="AA1780">
        <v>0.8865459</v>
      </c>
      <c r="AB1780">
        <v>36</v>
      </c>
      <c r="AC1780">
        <v>0.617199999999968</v>
      </c>
      <c r="AD1780">
        <v>-0.108760999999999</v>
      </c>
      <c r="AE1780">
        <v>-0.201300000000003</v>
      </c>
      <c r="AF1780">
        <v>-0.41648095347061798</v>
      </c>
      <c r="AG1780">
        <v>-0.108760999999999</v>
      </c>
      <c r="AH1780">
        <v>0.474661173258352</v>
      </c>
      <c r="AI1780">
        <v>99.772374497887796</v>
      </c>
      <c r="AJ1780">
        <v>131.264617300342</v>
      </c>
      <c r="AK1780">
        <v>0.64077185419132598</v>
      </c>
      <c r="AL1780">
        <v>88.339754851903606</v>
      </c>
      <c r="AM1780">
        <v>103.178375172324</v>
      </c>
      <c r="AN1780">
        <v>1.0000000230334001</v>
      </c>
    </row>
    <row r="1781" spans="1:40" x14ac:dyDescent="0.3">
      <c r="A1781" t="str">
        <f>"20200111153908090"</f>
        <v>20200111153908090</v>
      </c>
      <c r="B1781" t="str">
        <f>"1578728348082016"</f>
        <v>1578728348082016</v>
      </c>
      <c r="C1781" t="s">
        <v>40</v>
      </c>
      <c r="D1781">
        <v>5.0554110000000003</v>
      </c>
      <c r="E1781">
        <v>0.40179910000000002</v>
      </c>
      <c r="F1781" t="s">
        <v>41</v>
      </c>
      <c r="G1781">
        <v>-486.12790000000001</v>
      </c>
      <c r="H1781">
        <v>1.010043</v>
      </c>
      <c r="I1781">
        <v>226.1635</v>
      </c>
      <c r="J1781">
        <v>-486.74799999999999</v>
      </c>
      <c r="K1781">
        <v>1.119437</v>
      </c>
      <c r="L1781">
        <v>226.3767</v>
      </c>
      <c r="M1781">
        <v>0.52329979999999998</v>
      </c>
      <c r="N1781">
        <v>0</v>
      </c>
      <c r="O1781">
        <v>-0.85199639999999999</v>
      </c>
      <c r="P1781">
        <v>0.70179709999999995</v>
      </c>
      <c r="Q1781">
        <v>2.1864729999999999E-2</v>
      </c>
      <c r="R1781">
        <v>-0.71204160000000005</v>
      </c>
      <c r="S1781">
        <v>2.6453549999999999</v>
      </c>
      <c r="T1781">
        <v>-0.36222559999999998</v>
      </c>
      <c r="U1781">
        <v>-1.632126</v>
      </c>
      <c r="V1781">
        <v>-0.22659360000000001</v>
      </c>
      <c r="W1781">
        <v>2.9114250000000001E-2</v>
      </c>
      <c r="X1781">
        <v>0.97355409999999998</v>
      </c>
      <c r="Y1781">
        <v>-0.44418350000000001</v>
      </c>
      <c r="Z1781">
        <v>0.1129946</v>
      </c>
      <c r="AA1781">
        <v>0.88878189999999901</v>
      </c>
      <c r="AB1781">
        <v>36</v>
      </c>
      <c r="AC1781">
        <v>0.62010000000003596</v>
      </c>
      <c r="AD1781">
        <v>-0.10939400000000001</v>
      </c>
      <c r="AE1781">
        <v>-0.2132</v>
      </c>
      <c r="AF1781">
        <v>-0.40552310736046399</v>
      </c>
      <c r="AG1781">
        <v>-0.10939400000000001</v>
      </c>
      <c r="AH1781">
        <v>0.49250231042148201</v>
      </c>
      <c r="AI1781">
        <v>99.729975431281602</v>
      </c>
      <c r="AJ1781">
        <v>129.46781284702899</v>
      </c>
      <c r="AK1781">
        <v>0.64728244500355803</v>
      </c>
      <c r="AL1781">
        <v>88.331640503937706</v>
      </c>
      <c r="AM1781">
        <v>103.102259048245</v>
      </c>
      <c r="AN1781">
        <v>0.99999994237041401</v>
      </c>
    </row>
    <row r="1782" spans="1:40" x14ac:dyDescent="0.3">
      <c r="A1782" t="str">
        <f>"20200111153908114"</f>
        <v>20200111153908114</v>
      </c>
      <c r="B1782" t="str">
        <f>"1578728348102512"</f>
        <v>1578728348102512</v>
      </c>
      <c r="C1782" t="s">
        <v>40</v>
      </c>
      <c r="D1782">
        <v>5.121912</v>
      </c>
      <c r="E1782">
        <v>0.40369769999999999</v>
      </c>
      <c r="F1782" t="s">
        <v>41</v>
      </c>
      <c r="G1782">
        <v>-485.91430000000003</v>
      </c>
      <c r="H1782">
        <v>1.003679</v>
      </c>
      <c r="I1782">
        <v>225.87219999999999</v>
      </c>
      <c r="J1782">
        <v>-486.5582</v>
      </c>
      <c r="K1782">
        <v>1.1194850000000001</v>
      </c>
      <c r="L1782">
        <v>226.08940000000001</v>
      </c>
      <c r="M1782">
        <v>0.53696860000000002</v>
      </c>
      <c r="N1782">
        <v>0</v>
      </c>
      <c r="O1782">
        <v>-0.84344789999999903</v>
      </c>
      <c r="P1782">
        <v>0.71204809999999996</v>
      </c>
      <c r="Q1782">
        <v>2.2596479999999999E-2</v>
      </c>
      <c r="R1782">
        <v>-0.70176729999999998</v>
      </c>
      <c r="S1782">
        <v>2.656342</v>
      </c>
      <c r="T1782">
        <v>-0.36861870000000002</v>
      </c>
      <c r="U1782">
        <v>-1.6064449999999999</v>
      </c>
      <c r="V1782">
        <v>-0.2250576</v>
      </c>
      <c r="W1782">
        <v>2.9900690000000001E-2</v>
      </c>
      <c r="X1782">
        <v>0.97388649999999999</v>
      </c>
      <c r="Y1782">
        <v>-0.4374847</v>
      </c>
      <c r="Z1782">
        <v>0.1142396</v>
      </c>
      <c r="AA1782">
        <v>0.891939699999999</v>
      </c>
      <c r="AB1782">
        <v>36</v>
      </c>
      <c r="AC1782">
        <v>0.64389999999997305</v>
      </c>
      <c r="AD1782">
        <v>-0.11580600000000001</v>
      </c>
      <c r="AE1782">
        <v>-0.21720000000001899</v>
      </c>
      <c r="AF1782">
        <v>-0.41448465451635402</v>
      </c>
      <c r="AG1782">
        <v>-0.11580600000000001</v>
      </c>
      <c r="AH1782">
        <v>0.51408972660385899</v>
      </c>
      <c r="AI1782">
        <v>99.946584732305297</v>
      </c>
      <c r="AJ1782">
        <v>128.87748367001299</v>
      </c>
      <c r="AK1782">
        <v>0.67044522928064099</v>
      </c>
      <c r="AL1782">
        <v>88.286561182028905</v>
      </c>
      <c r="AM1782">
        <v>103.012186148699</v>
      </c>
      <c r="AN1782">
        <v>0.99999994473124099</v>
      </c>
    </row>
    <row r="1783" spans="1:40" x14ac:dyDescent="0.3">
      <c r="A1783" t="str">
        <f>"20200111153908137"</f>
        <v>20200111153908137</v>
      </c>
      <c r="B1783" t="str">
        <f>"1578728348132768"</f>
        <v>1578728348132768</v>
      </c>
      <c r="C1783" t="s">
        <v>40</v>
      </c>
      <c r="D1783">
        <v>5.1390229999999999</v>
      </c>
      <c r="E1783">
        <v>0.40533069999999999</v>
      </c>
      <c r="F1783" t="s">
        <v>53</v>
      </c>
      <c r="G1783">
        <v>-479.10430000000002</v>
      </c>
      <c r="H1783">
        <v>8.0000509999999997E-2</v>
      </c>
      <c r="I1783">
        <v>221.68180000000001</v>
      </c>
      <c r="J1783">
        <v>-486.34879999999998</v>
      </c>
      <c r="K1783">
        <v>1.1195310000000001</v>
      </c>
      <c r="L1783">
        <v>225.78450000000001</v>
      </c>
      <c r="M1783">
        <v>0.55154780000000003</v>
      </c>
      <c r="N1783">
        <v>0</v>
      </c>
      <c r="O1783">
        <v>-0.83398689999999998</v>
      </c>
      <c r="P1783">
        <v>0.72285630000000001</v>
      </c>
      <c r="Q1783">
        <v>2.3662969999999998E-2</v>
      </c>
      <c r="R1783">
        <v>-0.69059309999999996</v>
      </c>
      <c r="S1783">
        <v>2.6693730000000002</v>
      </c>
      <c r="T1783">
        <v>-0.37225960000000002</v>
      </c>
      <c r="U1783">
        <v>-1.5784450000000001</v>
      </c>
      <c r="V1783">
        <v>-0.22331229999999999</v>
      </c>
      <c r="W1783">
        <v>3.1033129999999999E-2</v>
      </c>
      <c r="X1783">
        <v>0.97425280000000003</v>
      </c>
      <c r="Y1783">
        <v>-0.43062929999999999</v>
      </c>
      <c r="Z1783">
        <v>0.11448709999999999</v>
      </c>
      <c r="AA1783">
        <v>0.89523799999999898</v>
      </c>
      <c r="AB1783">
        <v>35</v>
      </c>
      <c r="AC1783">
        <v>7.2444999999999498</v>
      </c>
      <c r="AD1783">
        <v>-1.03953049</v>
      </c>
      <c r="AE1783">
        <v>-4.1026999999999898</v>
      </c>
      <c r="AF1783">
        <v>-3.72145821149378</v>
      </c>
      <c r="AG1783">
        <v>-1.03953049</v>
      </c>
      <c r="AH1783">
        <v>7.3043781054352097</v>
      </c>
      <c r="AI1783">
        <v>97.226918702132707</v>
      </c>
      <c r="AJ1783">
        <v>116.99807992295401</v>
      </c>
      <c r="AK1783">
        <v>8.26340210607564</v>
      </c>
      <c r="AL1783">
        <v>88.221647067577806</v>
      </c>
      <c r="AM1783">
        <v>102.909980781972</v>
      </c>
      <c r="AN1783">
        <v>0.99999997839836297</v>
      </c>
    </row>
    <row r="1784" spans="1:40" x14ac:dyDescent="0.3">
      <c r="A1784" t="str">
        <f>"20200111153908159"</f>
        <v>20200111153908159</v>
      </c>
      <c r="B1784" t="str">
        <f>"1578728348152288"</f>
        <v>1578728348152288</v>
      </c>
      <c r="C1784" t="s">
        <v>40</v>
      </c>
      <c r="D1784">
        <v>5.1103940000000003</v>
      </c>
      <c r="E1784">
        <v>0.41997020000000002</v>
      </c>
      <c r="F1784" t="s">
        <v>53</v>
      </c>
      <c r="G1784">
        <v>-478.93110000000001</v>
      </c>
      <c r="H1784">
        <v>8.0000479999999999E-2</v>
      </c>
      <c r="I1784">
        <v>221.51179999999999</v>
      </c>
      <c r="J1784">
        <v>-486.15170000000001</v>
      </c>
      <c r="K1784">
        <v>1.1195679999999999</v>
      </c>
      <c r="L1784">
        <v>225.5076</v>
      </c>
      <c r="M1784">
        <v>0.56484250000000003</v>
      </c>
      <c r="N1784">
        <v>0</v>
      </c>
      <c r="O1784">
        <v>-0.82504040000000001</v>
      </c>
      <c r="P1784">
        <v>0.73223269999999996</v>
      </c>
      <c r="Q1784">
        <v>2.3818949999999998E-2</v>
      </c>
      <c r="R1784">
        <v>-0.68063779999999996</v>
      </c>
      <c r="S1784">
        <v>2.6849669999999999</v>
      </c>
      <c r="T1784">
        <v>-0.37627379999999999</v>
      </c>
      <c r="U1784">
        <v>-1.54657</v>
      </c>
      <c r="V1784">
        <v>-0.22103410000000001</v>
      </c>
      <c r="W1784">
        <v>3.1279050000000003E-2</v>
      </c>
      <c r="X1784">
        <v>0.97476430000000003</v>
      </c>
      <c r="Y1784">
        <v>-0.42631429999999998</v>
      </c>
      <c r="Z1784">
        <v>0.1149226</v>
      </c>
      <c r="AA1784">
        <v>0.89724519999999997</v>
      </c>
      <c r="AB1784">
        <v>35</v>
      </c>
      <c r="AC1784">
        <v>7.2205999999999904</v>
      </c>
      <c r="AD1784">
        <v>-1.0395675200000001</v>
      </c>
      <c r="AE1784">
        <v>-3.9958</v>
      </c>
      <c r="AF1784">
        <v>-3.6429641622309101</v>
      </c>
      <c r="AG1784">
        <v>-1.0395675200000001</v>
      </c>
      <c r="AH1784">
        <v>7.2609415945275</v>
      </c>
      <c r="AI1784">
        <v>97.292461463393806</v>
      </c>
      <c r="AJ1784">
        <v>116.643864570795</v>
      </c>
      <c r="AK1784">
        <v>8.1898205935830592</v>
      </c>
      <c r="AL1784">
        <v>88.207549988178201</v>
      </c>
      <c r="AM1784">
        <v>102.77613572684299</v>
      </c>
      <c r="AN1784">
        <v>0.99999994644309897</v>
      </c>
    </row>
    <row r="1785" spans="1:40" x14ac:dyDescent="0.3">
      <c r="A1785" t="str">
        <f>"20200111153908192"</f>
        <v>20200111153908192</v>
      </c>
      <c r="B1785" t="str">
        <f>"1578728348182544"</f>
        <v>1578728348182544</v>
      </c>
      <c r="C1785" t="s">
        <v>40</v>
      </c>
      <c r="D1785">
        <v>5.1125569999999998</v>
      </c>
      <c r="E1785">
        <v>0.41965599999999997</v>
      </c>
      <c r="F1785" t="s">
        <v>53</v>
      </c>
      <c r="G1785">
        <v>-479.65129999999999</v>
      </c>
      <c r="H1785">
        <v>2.3280120000000001E-2</v>
      </c>
      <c r="I1785">
        <v>221.55189999999999</v>
      </c>
      <c r="J1785">
        <v>-485.84730000000002</v>
      </c>
      <c r="K1785">
        <v>1.11961</v>
      </c>
      <c r="L1785">
        <v>225.09739999999999</v>
      </c>
      <c r="M1785">
        <v>0.58461790000000002</v>
      </c>
      <c r="N1785">
        <v>0</v>
      </c>
      <c r="O1785">
        <v>-0.81114719999999996</v>
      </c>
      <c r="P1785">
        <v>0.74755300000000002</v>
      </c>
      <c r="Q1785">
        <v>2.3280370000000002E-2</v>
      </c>
      <c r="R1785">
        <v>-0.66379429999999995</v>
      </c>
      <c r="S1785">
        <v>2.6260379999999999</v>
      </c>
      <c r="T1785">
        <v>-0.44288260000000002</v>
      </c>
      <c r="U1785">
        <v>-1.5980219999999901</v>
      </c>
      <c r="V1785">
        <v>-0.21965999999999999</v>
      </c>
      <c r="W1785">
        <v>3.0794829999999999E-2</v>
      </c>
      <c r="X1785">
        <v>0.97509029999999997</v>
      </c>
      <c r="Y1785">
        <v>-0.38005159999999999</v>
      </c>
      <c r="Z1785">
        <v>0.13247900000000001</v>
      </c>
      <c r="AA1785">
        <v>0.91542889999999999</v>
      </c>
      <c r="AB1785">
        <v>35</v>
      </c>
      <c r="AC1785">
        <v>6.1960000000000202</v>
      </c>
      <c r="AD1785">
        <v>-1.0963298800000001</v>
      </c>
      <c r="AE1785">
        <v>-3.5455000000000001</v>
      </c>
      <c r="AF1785">
        <v>-2.8854379797957099</v>
      </c>
      <c r="AG1785">
        <v>-1.0963298800000001</v>
      </c>
      <c r="AH1785">
        <v>6.3493151344028904</v>
      </c>
      <c r="AI1785">
        <v>98.933662013369201</v>
      </c>
      <c r="AJ1785">
        <v>114.439360020743</v>
      </c>
      <c r="AK1785">
        <v>7.0598508636504498</v>
      </c>
      <c r="AL1785">
        <v>88.235307157653494</v>
      </c>
      <c r="AM1785">
        <v>102.695185820322</v>
      </c>
      <c r="AN1785">
        <v>0.99999996515440803</v>
      </c>
    </row>
    <row r="1786" spans="1:40" x14ac:dyDescent="0.3">
      <c r="A1786" t="str">
        <f>"20200111153908214"</f>
        <v>20200111153908214</v>
      </c>
      <c r="B1786" t="str">
        <f>"1578728348212799"</f>
        <v>1578728348212799</v>
      </c>
      <c r="C1786" t="s">
        <v>40</v>
      </c>
      <c r="D1786">
        <v>4.9949770000000004</v>
      </c>
      <c r="E1786">
        <v>0.39938689999999999</v>
      </c>
      <c r="F1786" t="s">
        <v>53</v>
      </c>
      <c r="G1786">
        <v>-479.6062</v>
      </c>
      <c r="H1786">
        <v>6.466268E-2</v>
      </c>
      <c r="I1786">
        <v>221.49680000000001</v>
      </c>
      <c r="J1786">
        <v>-485.6345</v>
      </c>
      <c r="K1786">
        <v>1.119624</v>
      </c>
      <c r="L1786">
        <v>224.82220000000001</v>
      </c>
      <c r="M1786">
        <v>0.59793699999999905</v>
      </c>
      <c r="N1786">
        <v>0</v>
      </c>
      <c r="O1786">
        <v>-0.80137930000000002</v>
      </c>
      <c r="P1786">
        <v>0.7584592</v>
      </c>
      <c r="Q1786">
        <v>2.229389E-2</v>
      </c>
      <c r="R1786">
        <v>-0.65133969999999997</v>
      </c>
      <c r="S1786">
        <v>2.6629640000000001</v>
      </c>
      <c r="T1786">
        <v>-0.45012590000000002</v>
      </c>
      <c r="U1786">
        <v>-1.5362849999999999</v>
      </c>
      <c r="V1786">
        <v>-0.21966930000000001</v>
      </c>
      <c r="W1786">
        <v>2.9808230000000002E-2</v>
      </c>
      <c r="X1786">
        <v>0.97511890000000001</v>
      </c>
      <c r="Y1786">
        <v>-0.38596190000000002</v>
      </c>
      <c r="Z1786">
        <v>0.13386709999999999</v>
      </c>
      <c r="AA1786">
        <v>0.91275019999999996</v>
      </c>
      <c r="AB1786">
        <v>35</v>
      </c>
      <c r="AC1786">
        <v>6.0282999999999998</v>
      </c>
      <c r="AD1786">
        <v>-1.0549613200000001</v>
      </c>
      <c r="AE1786">
        <v>-3.3254000000000001</v>
      </c>
      <c r="AF1786">
        <v>-2.77772607196931</v>
      </c>
      <c r="AG1786">
        <v>-1.0549613200000001</v>
      </c>
      <c r="AH1786">
        <v>6.1264222919963798</v>
      </c>
      <c r="AI1786">
        <v>98.9131726313706</v>
      </c>
      <c r="AJ1786">
        <v>114.389587703031</v>
      </c>
      <c r="AK1786">
        <v>6.8089467333402096</v>
      </c>
      <c r="AL1786">
        <v>88.291861207861899</v>
      </c>
      <c r="AM1786">
        <v>102.695345596767</v>
      </c>
      <c r="AN1786">
        <v>1.0000000005377101</v>
      </c>
    </row>
    <row r="1787" spans="1:40" x14ac:dyDescent="0.3">
      <c r="A1787" t="str">
        <f>"20200111153908259"</f>
        <v>20200111153908259</v>
      </c>
      <c r="B1787" t="str">
        <f>"1578728348252815"</f>
        <v>1578728348252815</v>
      </c>
      <c r="C1787" t="s">
        <v>40</v>
      </c>
      <c r="D1787">
        <v>5.0289060000000001</v>
      </c>
      <c r="E1787">
        <v>0.38023509999999999</v>
      </c>
      <c r="F1787" t="s">
        <v>53</v>
      </c>
      <c r="G1787">
        <v>-478.42219999999998</v>
      </c>
      <c r="H1787">
        <v>8.0000390000000005E-2</v>
      </c>
      <c r="I1787">
        <v>221.2919</v>
      </c>
      <c r="J1787">
        <v>-485.20030000000003</v>
      </c>
      <c r="K1787">
        <v>1.119632</v>
      </c>
      <c r="L1787">
        <v>224.2903</v>
      </c>
      <c r="M1787">
        <v>0.62384700000000004</v>
      </c>
      <c r="N1787">
        <v>0</v>
      </c>
      <c r="O1787">
        <v>-0.78137780000000001</v>
      </c>
      <c r="P1787">
        <v>0.78034239999999999</v>
      </c>
      <c r="Q1787">
        <v>2.0692189999999999E-2</v>
      </c>
      <c r="R1787">
        <v>-0.62501019999999996</v>
      </c>
      <c r="S1787">
        <v>2.7931210000000002</v>
      </c>
      <c r="T1787">
        <v>-0.40261590000000003</v>
      </c>
      <c r="U1787">
        <v>-1.3671879999999901</v>
      </c>
      <c r="V1787">
        <v>-0.22108849999999999</v>
      </c>
      <c r="W1787">
        <v>2.815382E-2</v>
      </c>
      <c r="X1787">
        <v>0.97484729999999997</v>
      </c>
      <c r="Y1787">
        <v>-0.41982249999999999</v>
      </c>
      <c r="Z1787">
        <v>0.118252</v>
      </c>
      <c r="AA1787">
        <v>0.89986969999999999</v>
      </c>
      <c r="AB1787">
        <v>35</v>
      </c>
      <c r="AC1787">
        <v>6.77810000000005</v>
      </c>
      <c r="AD1787">
        <v>-1.03963161</v>
      </c>
      <c r="AE1787">
        <v>-2.9984000000000002</v>
      </c>
      <c r="AF1787">
        <v>-3.36005502273093</v>
      </c>
      <c r="AG1787">
        <v>-1.03963161</v>
      </c>
      <c r="AH1787">
        <v>6.4454300834218499</v>
      </c>
      <c r="AI1787">
        <v>98.139761556637296</v>
      </c>
      <c r="AJ1787">
        <v>117.533396890148</v>
      </c>
      <c r="AK1787">
        <v>7.3426407103010298</v>
      </c>
      <c r="AL1787">
        <v>88.386691777548194</v>
      </c>
      <c r="AM1787">
        <v>102.778124582933</v>
      </c>
      <c r="AN1787">
        <v>1.0000000103650599</v>
      </c>
    </row>
    <row r="1788" spans="1:40" x14ac:dyDescent="0.3">
      <c r="A1788" t="str">
        <f>"20200111153908282"</f>
        <v>20200111153908282</v>
      </c>
      <c r="B1788" t="str">
        <f>"1578728348272335"</f>
        <v>1578728348272335</v>
      </c>
      <c r="C1788" t="s">
        <v>40</v>
      </c>
      <c r="D1788">
        <v>5.0024410000000001</v>
      </c>
      <c r="E1788">
        <v>0.37828319999999999</v>
      </c>
      <c r="F1788" t="s">
        <v>41</v>
      </c>
      <c r="G1788">
        <v>-484.1909</v>
      </c>
      <c r="H1788">
        <v>1.0180439999999999</v>
      </c>
      <c r="I1788">
        <v>223.89619999999999</v>
      </c>
      <c r="J1788">
        <v>-484.97329999999999</v>
      </c>
      <c r="K1788">
        <v>1.11964</v>
      </c>
      <c r="L1788">
        <v>224.0258</v>
      </c>
      <c r="M1788">
        <v>0.63679259999999904</v>
      </c>
      <c r="N1788">
        <v>0</v>
      </c>
      <c r="O1788">
        <v>-0.7708642</v>
      </c>
      <c r="P1788">
        <v>0.79099339999999996</v>
      </c>
      <c r="Q1788">
        <v>2.021158E-2</v>
      </c>
      <c r="R1788">
        <v>-0.6114908</v>
      </c>
      <c r="S1788">
        <v>2.9344480000000002</v>
      </c>
      <c r="T1788">
        <v>-0.2953578</v>
      </c>
      <c r="U1788">
        <v>-1.145859</v>
      </c>
      <c r="V1788">
        <v>-0.22159499999999999</v>
      </c>
      <c r="W1788">
        <v>2.7658099999999901E-2</v>
      </c>
      <c r="X1788">
        <v>0.97474649999999996</v>
      </c>
      <c r="Y1788">
        <v>-0.4820874</v>
      </c>
      <c r="Z1788">
        <v>8.736853E-2</v>
      </c>
      <c r="AA1788">
        <v>0.87175599999999998</v>
      </c>
      <c r="AB1788">
        <v>35</v>
      </c>
      <c r="AC1788">
        <v>0.78239999999999499</v>
      </c>
      <c r="AD1788">
        <v>-0.10159600000000001</v>
      </c>
      <c r="AE1788">
        <v>-0.12960000000001001</v>
      </c>
      <c r="AF1788">
        <v>-0.51225769406934196</v>
      </c>
      <c r="AG1788">
        <v>-0.10159600000000001</v>
      </c>
      <c r="AH1788">
        <v>0.58855055918344701</v>
      </c>
      <c r="AI1788">
        <v>97.4186604058672</v>
      </c>
      <c r="AJ1788">
        <v>131.03538548433599</v>
      </c>
      <c r="AK1788">
        <v>0.78684271176925003</v>
      </c>
      <c r="AL1788">
        <v>88.415105533210294</v>
      </c>
      <c r="AM1788">
        <v>102.807714879049</v>
      </c>
      <c r="AN1788">
        <v>1.00000002689142</v>
      </c>
    </row>
    <row r="1789" spans="1:40" x14ac:dyDescent="0.3">
      <c r="A1789" t="str">
        <f>"20200111153908303"</f>
        <v>20200111153908303</v>
      </c>
      <c r="B1789" t="str">
        <f>"1578728348292832"</f>
        <v>1578728348292832</v>
      </c>
      <c r="C1789" t="s">
        <v>40</v>
      </c>
      <c r="D1789">
        <v>4.9822189999999997</v>
      </c>
      <c r="E1789">
        <v>0.37829869999999999</v>
      </c>
      <c r="F1789" t="s">
        <v>41</v>
      </c>
      <c r="G1789">
        <v>-483.99290000000002</v>
      </c>
      <c r="H1789">
        <v>1.02315</v>
      </c>
      <c r="I1789">
        <v>223.66759999999999</v>
      </c>
      <c r="J1789">
        <v>-484.75639999999999</v>
      </c>
      <c r="K1789">
        <v>1.1196390000000001</v>
      </c>
      <c r="L1789">
        <v>223.78120000000001</v>
      </c>
      <c r="M1789">
        <v>0.64879010000000004</v>
      </c>
      <c r="N1789">
        <v>0</v>
      </c>
      <c r="O1789">
        <v>-0.76079370000000002</v>
      </c>
      <c r="P1789">
        <v>0.80092750000000001</v>
      </c>
      <c r="Q1789">
        <v>2.0303100000000001E-2</v>
      </c>
      <c r="R1789">
        <v>-0.59841669999999902</v>
      </c>
      <c r="S1789">
        <v>2.9633790000000002</v>
      </c>
      <c r="T1789">
        <v>-0.29161160000000003</v>
      </c>
      <c r="U1789">
        <v>-1.082306</v>
      </c>
      <c r="V1789">
        <v>-0.2223368</v>
      </c>
      <c r="W1789">
        <v>2.772531E-2</v>
      </c>
      <c r="X1789">
        <v>0.97457559999999999</v>
      </c>
      <c r="Y1789">
        <v>-0.48778349999999998</v>
      </c>
      <c r="Z1789">
        <v>8.5709969999999996E-2</v>
      </c>
      <c r="AA1789">
        <v>0.86874689999999999</v>
      </c>
      <c r="AB1789">
        <v>35</v>
      </c>
      <c r="AC1789">
        <v>0.76349999999996498</v>
      </c>
      <c r="AD1789">
        <v>-9.6489000000000005E-2</v>
      </c>
      <c r="AE1789">
        <v>-0.11360000000001901</v>
      </c>
      <c r="AF1789">
        <v>-0.49942679598462902</v>
      </c>
      <c r="AG1789">
        <v>-9.6489000000000005E-2</v>
      </c>
      <c r="AH1789">
        <v>0.57290255147224101</v>
      </c>
      <c r="AI1789">
        <v>97.235241575483002</v>
      </c>
      <c r="AJ1789">
        <v>131.08023333931601</v>
      </c>
      <c r="AK1789">
        <v>0.76612961380687805</v>
      </c>
      <c r="AL1789">
        <v>88.411253120660007</v>
      </c>
      <c r="AM1789">
        <v>102.851346851123</v>
      </c>
      <c r="AN1789">
        <v>0.99999997278209696</v>
      </c>
    </row>
    <row r="1790" spans="1:40" x14ac:dyDescent="0.3">
      <c r="A1790" t="str">
        <f>"20200111153908326"</f>
        <v>20200111153908326</v>
      </c>
      <c r="B1790" t="str">
        <f>"1578728348322112"</f>
        <v>1578728348322112</v>
      </c>
      <c r="C1790" t="s">
        <v>40</v>
      </c>
      <c r="D1790">
        <v>4.9147850000000002</v>
      </c>
      <c r="E1790">
        <v>0.37856970000000001</v>
      </c>
      <c r="F1790" t="s">
        <v>41</v>
      </c>
      <c r="G1790">
        <v>-483.78899999999999</v>
      </c>
      <c r="H1790">
        <v>1.025126</v>
      </c>
      <c r="I1790">
        <v>223.44569999999999</v>
      </c>
      <c r="J1790">
        <v>-484.51280000000003</v>
      </c>
      <c r="K1790">
        <v>1.1196429999999999</v>
      </c>
      <c r="L1790">
        <v>223.5154</v>
      </c>
      <c r="M1790">
        <v>0.66186429999999996</v>
      </c>
      <c r="N1790">
        <v>0</v>
      </c>
      <c r="O1790">
        <v>-0.74944739999999999</v>
      </c>
      <c r="P1790">
        <v>0.81124540000000001</v>
      </c>
      <c r="Q1790">
        <v>2.0908759999999998E-2</v>
      </c>
      <c r="R1790">
        <v>-0.58433219999999997</v>
      </c>
      <c r="S1790">
        <v>2.9808349999999999</v>
      </c>
      <c r="T1790">
        <v>-0.2911685</v>
      </c>
      <c r="U1790">
        <v>-1.033447</v>
      </c>
      <c r="V1790">
        <v>-0.22250259999999999</v>
      </c>
      <c r="W1790">
        <v>2.8332079999999999E-2</v>
      </c>
      <c r="X1790">
        <v>0.97452030000000001</v>
      </c>
      <c r="Y1790">
        <v>-0.48703350000000001</v>
      </c>
      <c r="Z1790">
        <v>8.4823670000000004E-2</v>
      </c>
      <c r="AA1790">
        <v>0.86925439999999998</v>
      </c>
      <c r="AB1790">
        <v>35</v>
      </c>
      <c r="AC1790">
        <v>0.72380000000003897</v>
      </c>
      <c r="AD1790">
        <v>-9.4516999999999907E-2</v>
      </c>
      <c r="AE1790">
        <v>-6.97000000000116E-2</v>
      </c>
      <c r="AF1790">
        <v>-0.48813631118956502</v>
      </c>
      <c r="AG1790">
        <v>-9.4516999999999907E-2</v>
      </c>
      <c r="AH1790">
        <v>0.52253551520778696</v>
      </c>
      <c r="AI1790">
        <v>97.529665767946994</v>
      </c>
      <c r="AJ1790">
        <v>133.05063462432599</v>
      </c>
      <c r="AK1790">
        <v>0.72128627204753004</v>
      </c>
      <c r="AL1790">
        <v>88.376474081472296</v>
      </c>
      <c r="AM1790">
        <v>102.861317267648</v>
      </c>
      <c r="AN1790">
        <v>0.999999964437987</v>
      </c>
    </row>
    <row r="1791" spans="1:40" x14ac:dyDescent="0.3">
      <c r="A1791" t="str">
        <f>"20200111153908349"</f>
        <v>20200111153908349</v>
      </c>
      <c r="B1791" t="str">
        <f>"1578728348342608"</f>
        <v>1578728348342608</v>
      </c>
      <c r="C1791" t="s">
        <v>40</v>
      </c>
      <c r="D1791">
        <v>4.9164019999999997</v>
      </c>
      <c r="E1791">
        <v>0.37936189999999997</v>
      </c>
      <c r="F1791" t="s">
        <v>41</v>
      </c>
      <c r="G1791">
        <v>-483.59210000000002</v>
      </c>
      <c r="H1791">
        <v>1.02999</v>
      </c>
      <c r="I1791">
        <v>223.2131</v>
      </c>
      <c r="J1791">
        <v>-484.26979999999998</v>
      </c>
      <c r="K1791">
        <v>1.1196489999999999</v>
      </c>
      <c r="L1791">
        <v>223.25919999999999</v>
      </c>
      <c r="M1791">
        <v>0.67449680000000001</v>
      </c>
      <c r="N1791">
        <v>0</v>
      </c>
      <c r="O1791">
        <v>-0.73809849999999999</v>
      </c>
      <c r="P1791">
        <v>0.82107350000000001</v>
      </c>
      <c r="Q1791">
        <v>2.163607E-2</v>
      </c>
      <c r="R1791">
        <v>-0.57041229999999998</v>
      </c>
      <c r="S1791">
        <v>2.9970699999999999</v>
      </c>
      <c r="T1791">
        <v>-0.29181000000000001</v>
      </c>
      <c r="U1791">
        <v>-0.9835815</v>
      </c>
      <c r="V1791">
        <v>-0.2225848</v>
      </c>
      <c r="W1791">
        <v>2.9065629999999999E-2</v>
      </c>
      <c r="X1791">
        <v>0.97448000000000001</v>
      </c>
      <c r="Y1791">
        <v>-0.48669210000000002</v>
      </c>
      <c r="Z1791">
        <v>8.4271200000000004E-2</v>
      </c>
      <c r="AA1791">
        <v>0.86949940000000003</v>
      </c>
      <c r="AB1791">
        <v>35</v>
      </c>
      <c r="AC1791">
        <v>0.677699999999958</v>
      </c>
      <c r="AD1791">
        <v>-8.9658999999999905E-2</v>
      </c>
      <c r="AE1791">
        <v>-4.6099999999995499E-2</v>
      </c>
      <c r="AF1791">
        <v>-0.46114292994214101</v>
      </c>
      <c r="AG1791">
        <v>-8.9658999999999905E-2</v>
      </c>
      <c r="AH1791">
        <v>0.48278653212334199</v>
      </c>
      <c r="AI1791">
        <v>97.648692927650004</v>
      </c>
      <c r="AJ1791">
        <v>133.68648045094201</v>
      </c>
      <c r="AK1791">
        <v>0.67362777089154002</v>
      </c>
      <c r="AL1791">
        <v>88.334427562341901</v>
      </c>
      <c r="AM1791">
        <v>102.866424949079</v>
      </c>
      <c r="AN1791">
        <v>1.00000003721916</v>
      </c>
    </row>
    <row r="1792" spans="1:40" x14ac:dyDescent="0.3">
      <c r="A1792" t="str">
        <f>"20200111153908371"</f>
        <v>20200111153908371</v>
      </c>
      <c r="B1792" t="str">
        <f>"1578728348362127"</f>
        <v>1578728348362127</v>
      </c>
      <c r="C1792" t="s">
        <v>40</v>
      </c>
      <c r="D1792">
        <v>4.8928880000000001</v>
      </c>
      <c r="E1792">
        <v>0.38001170000000001</v>
      </c>
      <c r="F1792" t="s">
        <v>41</v>
      </c>
      <c r="G1792">
        <v>-483.39049999999997</v>
      </c>
      <c r="H1792">
        <v>1.034295</v>
      </c>
      <c r="I1792">
        <v>222.9854</v>
      </c>
      <c r="J1792">
        <v>-484.02769999999998</v>
      </c>
      <c r="K1792">
        <v>1.1196489999999999</v>
      </c>
      <c r="L1792">
        <v>223.01240000000001</v>
      </c>
      <c r="M1792">
        <v>0.68669449999999999</v>
      </c>
      <c r="N1792">
        <v>0</v>
      </c>
      <c r="O1792">
        <v>-0.72676409999999902</v>
      </c>
      <c r="P1792">
        <v>0.83035890000000001</v>
      </c>
      <c r="Q1792">
        <v>2.285454E-2</v>
      </c>
      <c r="R1792">
        <v>-0.55676040000000004</v>
      </c>
      <c r="S1792">
        <v>3.0100709999999999</v>
      </c>
      <c r="T1792">
        <v>-0.29220990000000002</v>
      </c>
      <c r="U1792">
        <v>-0.93763730000000001</v>
      </c>
      <c r="V1792">
        <v>-0.22248979999999999</v>
      </c>
      <c r="W1792">
        <v>3.029724E-2</v>
      </c>
      <c r="X1792">
        <v>0.97446410000000006</v>
      </c>
      <c r="Y1792">
        <v>-0.48535139999999999</v>
      </c>
      <c r="Z1792">
        <v>8.3625580000000005E-2</v>
      </c>
      <c r="AA1792">
        <v>0.87031069999999999</v>
      </c>
      <c r="AB1792">
        <v>35</v>
      </c>
      <c r="AC1792">
        <v>0.63720000000000698</v>
      </c>
      <c r="AD1792">
        <v>-8.5353999999999902E-2</v>
      </c>
      <c r="AE1792">
        <v>-2.7000000000015199E-2</v>
      </c>
      <c r="AF1792">
        <v>-0.43678888299864099</v>
      </c>
      <c r="AG1792">
        <v>-8.5353999999999902E-2</v>
      </c>
      <c r="AH1792">
        <v>0.44919930582161799</v>
      </c>
      <c r="AI1792">
        <v>97.757570970449294</v>
      </c>
      <c r="AJ1792">
        <v>134.19748552116599</v>
      </c>
      <c r="AK1792">
        <v>0.63233681687675303</v>
      </c>
      <c r="AL1792">
        <v>88.263830263483996</v>
      </c>
      <c r="AM1792">
        <v>102.86131903309099</v>
      </c>
      <c r="AN1792">
        <v>0.99999995802223296</v>
      </c>
    </row>
    <row r="1793" spans="1:40" x14ac:dyDescent="0.3">
      <c r="A1793" t="str">
        <f>"20200111153908394"</f>
        <v>20200111153908394</v>
      </c>
      <c r="B1793" t="str">
        <f>"1578728348382623"</f>
        <v>1578728348382623</v>
      </c>
      <c r="C1793" t="s">
        <v>40</v>
      </c>
      <c r="D1793">
        <v>4.8549049999999996</v>
      </c>
      <c r="E1793">
        <v>0.3806426</v>
      </c>
      <c r="F1793" t="s">
        <v>41</v>
      </c>
      <c r="G1793">
        <v>-483.18400000000003</v>
      </c>
      <c r="H1793">
        <v>1.037933</v>
      </c>
      <c r="I1793">
        <v>222.76310000000001</v>
      </c>
      <c r="J1793">
        <v>-483.79289999999997</v>
      </c>
      <c r="K1793">
        <v>1.119642</v>
      </c>
      <c r="L1793">
        <v>222.7808</v>
      </c>
      <c r="M1793">
        <v>0.69817200000000001</v>
      </c>
      <c r="N1793">
        <v>0</v>
      </c>
      <c r="O1793">
        <v>-0.71574499999999996</v>
      </c>
      <c r="P1793">
        <v>0.83909059999999902</v>
      </c>
      <c r="Q1793">
        <v>2.342789E-2</v>
      </c>
      <c r="R1793">
        <v>-0.5434871</v>
      </c>
      <c r="S1793">
        <v>3.0224000000000002</v>
      </c>
      <c r="T1793">
        <v>-0.29262569999999999</v>
      </c>
      <c r="U1793">
        <v>-0.89263919999999997</v>
      </c>
      <c r="V1793">
        <v>-0.22248770000000001</v>
      </c>
      <c r="W1793">
        <v>3.0880129999999999E-2</v>
      </c>
      <c r="X1793">
        <v>0.97444640000000005</v>
      </c>
      <c r="Y1793">
        <v>-0.48436360000000001</v>
      </c>
      <c r="Z1793">
        <v>8.2996500000000001E-2</v>
      </c>
      <c r="AA1793">
        <v>0.870921099999999</v>
      </c>
      <c r="AB1793">
        <v>35</v>
      </c>
      <c r="AC1793">
        <v>0.60889999999994804</v>
      </c>
      <c r="AD1793">
        <v>-8.1709000000000004E-2</v>
      </c>
      <c r="AE1793">
        <v>-1.7699999999990699E-2</v>
      </c>
      <c r="AF1793">
        <v>-0.41603035049692599</v>
      </c>
      <c r="AG1793">
        <v>-8.1709000000000004E-2</v>
      </c>
      <c r="AH1793">
        <v>0.43010514532390698</v>
      </c>
      <c r="AI1793">
        <v>97.775528397130202</v>
      </c>
      <c r="AJ1793">
        <v>134.04701790804501</v>
      </c>
      <c r="AK1793">
        <v>0.60394374675932705</v>
      </c>
      <c r="AL1793">
        <v>88.230417692533393</v>
      </c>
      <c r="AM1793">
        <v>102.861427520736</v>
      </c>
      <c r="AN1793">
        <v>1.0000000727765299</v>
      </c>
    </row>
    <row r="1794" spans="1:40" x14ac:dyDescent="0.3">
      <c r="A1794" t="str">
        <f>"20200111153908417"</f>
        <v>20200111153908417</v>
      </c>
      <c r="B1794" t="str">
        <f>"1578728348412881"</f>
        <v>1578728348412881</v>
      </c>
      <c r="C1794" t="s">
        <v>40</v>
      </c>
      <c r="D1794">
        <v>4.8850879999999997</v>
      </c>
      <c r="E1794">
        <v>0.3815653</v>
      </c>
      <c r="F1794" t="s">
        <v>41</v>
      </c>
      <c r="G1794">
        <v>-482.96890000000002</v>
      </c>
      <c r="H1794">
        <v>1.04043</v>
      </c>
      <c r="I1794">
        <v>222.55019999999999</v>
      </c>
      <c r="J1794">
        <v>-483.52910000000003</v>
      </c>
      <c r="K1794">
        <v>1.119629</v>
      </c>
      <c r="L1794">
        <v>222.52959999999999</v>
      </c>
      <c r="M1794">
        <v>0.71066030000000002</v>
      </c>
      <c r="N1794">
        <v>0</v>
      </c>
      <c r="O1794">
        <v>-0.70334700000000006</v>
      </c>
      <c r="P1794">
        <v>0.84864490000000004</v>
      </c>
      <c r="Q1794">
        <v>2.371326E-2</v>
      </c>
      <c r="R1794">
        <v>-0.5284316</v>
      </c>
      <c r="S1794">
        <v>3.0336910000000001</v>
      </c>
      <c r="T1794">
        <v>-0.29158659999999997</v>
      </c>
      <c r="U1794">
        <v>-0.84873960000000004</v>
      </c>
      <c r="V1794">
        <v>-0.22272639999999999</v>
      </c>
      <c r="W1794">
        <v>3.1166099999999999E-2</v>
      </c>
      <c r="X1794">
        <v>0.97438270000000005</v>
      </c>
      <c r="Y1794">
        <v>-0.48159299999999999</v>
      </c>
      <c r="Z1794">
        <v>8.1782499999999994E-2</v>
      </c>
      <c r="AA1794">
        <v>0.87257079999999998</v>
      </c>
      <c r="AB1794">
        <v>35</v>
      </c>
      <c r="AC1794">
        <v>0.56020000000000802</v>
      </c>
      <c r="AD1794">
        <v>-7.9199000000000006E-2</v>
      </c>
      <c r="AE1794">
        <v>2.06000000000017E-2</v>
      </c>
      <c r="AF1794">
        <v>-0.40071044883248302</v>
      </c>
      <c r="AG1794">
        <v>-7.9199000000000006E-2</v>
      </c>
      <c r="AH1794">
        <v>0.37616541790934199</v>
      </c>
      <c r="AI1794">
        <v>98.199921753204507</v>
      </c>
      <c r="AJ1794">
        <v>136.80963147597399</v>
      </c>
      <c r="AK1794">
        <v>0.55528530237657103</v>
      </c>
      <c r="AL1794">
        <v>88.2140248180649</v>
      </c>
      <c r="AM1794">
        <v>102.875580182197</v>
      </c>
      <c r="AN1794">
        <v>1.00000001055273</v>
      </c>
    </row>
    <row r="1795" spans="1:40" x14ac:dyDescent="0.3">
      <c r="A1795" t="str">
        <f>"20200111153908440"</f>
        <v>20200111153908440</v>
      </c>
      <c r="B1795" t="str">
        <f>"1578728348432399"</f>
        <v>1578728348432399</v>
      </c>
      <c r="C1795" t="s">
        <v>40</v>
      </c>
      <c r="D1795">
        <v>4.6615489999999999</v>
      </c>
      <c r="E1795">
        <v>0.38129160000000001</v>
      </c>
      <c r="F1795" t="s">
        <v>41</v>
      </c>
      <c r="G1795">
        <v>-482.4622</v>
      </c>
      <c r="H1795">
        <v>1.016931</v>
      </c>
      <c r="I1795">
        <v>222.24889999999999</v>
      </c>
      <c r="J1795">
        <v>-483.26920000000001</v>
      </c>
      <c r="K1795">
        <v>1.119607</v>
      </c>
      <c r="L1795">
        <v>222.29089999999999</v>
      </c>
      <c r="M1795">
        <v>0.72256189999999998</v>
      </c>
      <c r="N1795">
        <v>0</v>
      </c>
      <c r="O1795">
        <v>-0.69111480000000003</v>
      </c>
      <c r="P1795">
        <v>0.85777689999999995</v>
      </c>
      <c r="Q1795">
        <v>2.4518789999999999E-2</v>
      </c>
      <c r="R1795">
        <v>-0.51343720000000004</v>
      </c>
      <c r="S1795">
        <v>3.044556</v>
      </c>
      <c r="T1795">
        <v>-0.2931106</v>
      </c>
      <c r="U1795">
        <v>-0.80087280000000005</v>
      </c>
      <c r="V1795">
        <v>-0.2232305</v>
      </c>
      <c r="W1795">
        <v>3.1961059999999999E-2</v>
      </c>
      <c r="X1795">
        <v>0.97424160000000004</v>
      </c>
      <c r="Y1795">
        <v>-0.48024260000000002</v>
      </c>
      <c r="Z1795">
        <v>8.1356960000000006E-2</v>
      </c>
      <c r="AA1795">
        <v>0.87335450000000003</v>
      </c>
      <c r="AB1795">
        <v>35</v>
      </c>
      <c r="AC1795">
        <v>0.80700000000001604</v>
      </c>
      <c r="AD1795">
        <v>-0.102676</v>
      </c>
      <c r="AE1795">
        <v>-4.2000000000001501E-2</v>
      </c>
      <c r="AF1795">
        <v>-0.51907184863506395</v>
      </c>
      <c r="AG1795">
        <v>-0.102676</v>
      </c>
      <c r="AH1795">
        <v>0.60248860085522005</v>
      </c>
      <c r="AI1795">
        <v>97.356818987392401</v>
      </c>
      <c r="AJ1795">
        <v>130.74642263718101</v>
      </c>
      <c r="AK1795">
        <v>0.801854387767445</v>
      </c>
      <c r="AL1795">
        <v>88.168454294983107</v>
      </c>
      <c r="AM1795">
        <v>102.905553568383</v>
      </c>
      <c r="AN1795">
        <v>1.0000000303285601</v>
      </c>
    </row>
    <row r="1796" spans="1:40" x14ac:dyDescent="0.3">
      <c r="A1796" t="str">
        <f>"20200111153908462"</f>
        <v>20200111153908462</v>
      </c>
      <c r="B1796" t="str">
        <f>"1578728348452506"</f>
        <v>1578728348452506</v>
      </c>
      <c r="C1796" t="s">
        <v>40</v>
      </c>
      <c r="D1796">
        <v>4.7291660000000002</v>
      </c>
      <c r="E1796">
        <v>0.3412403</v>
      </c>
      <c r="F1796" t="s">
        <v>41</v>
      </c>
      <c r="G1796">
        <v>-482.245</v>
      </c>
      <c r="H1796">
        <v>1.0219640000000001</v>
      </c>
      <c r="I1796">
        <v>222.041</v>
      </c>
      <c r="J1796">
        <v>-483.02409999999998</v>
      </c>
      <c r="K1796">
        <v>1.119597</v>
      </c>
      <c r="L1796">
        <v>222.0729</v>
      </c>
      <c r="M1796">
        <v>0.73345070000000001</v>
      </c>
      <c r="N1796">
        <v>0</v>
      </c>
      <c r="O1796">
        <v>-0.67954769999999998</v>
      </c>
      <c r="P1796">
        <v>0.865869</v>
      </c>
      <c r="Q1796">
        <v>2.387427E-2</v>
      </c>
      <c r="R1796">
        <v>-0.49970110000000001</v>
      </c>
      <c r="S1796">
        <v>3.0594480000000002</v>
      </c>
      <c r="T1796">
        <v>-0.29155920000000002</v>
      </c>
      <c r="U1796">
        <v>-0.7455444</v>
      </c>
      <c r="V1796">
        <v>-0.2232661</v>
      </c>
      <c r="W1796">
        <v>3.13248E-2</v>
      </c>
      <c r="X1796">
        <v>0.97425410000000001</v>
      </c>
      <c r="Y1796">
        <v>-0.48230299999999998</v>
      </c>
      <c r="Z1796">
        <v>8.0184309999999995E-2</v>
      </c>
      <c r="AA1796">
        <v>0.87232699999999996</v>
      </c>
      <c r="AB1796">
        <v>35</v>
      </c>
      <c r="AC1796">
        <v>0.77909999999997104</v>
      </c>
      <c r="AD1796">
        <v>-9.7632999999999998E-2</v>
      </c>
      <c r="AE1796">
        <v>-3.1900000000007298E-2</v>
      </c>
      <c r="AF1796">
        <v>-0.49829355408405301</v>
      </c>
      <c r="AG1796">
        <v>-9.7632999999999998E-2</v>
      </c>
      <c r="AH1796">
        <v>0.58403140605998405</v>
      </c>
      <c r="AI1796">
        <v>97.247582399621294</v>
      </c>
      <c r="AJ1796">
        <v>130.47069481065699</v>
      </c>
      <c r="AK1796">
        <v>0.77390009173995999</v>
      </c>
      <c r="AL1796">
        <v>88.204927558354797</v>
      </c>
      <c r="AM1796">
        <v>102.907382712455</v>
      </c>
      <c r="AN1796">
        <v>1.0000000229355299</v>
      </c>
    </row>
    <row r="1797" spans="1:40" x14ac:dyDescent="0.3">
      <c r="A1797" t="str">
        <f>"20200111153908483"</f>
        <v>20200111153908483</v>
      </c>
      <c r="B1797" t="str">
        <f>"1578728348473002"</f>
        <v>1578728348473002</v>
      </c>
      <c r="C1797" t="s">
        <v>40</v>
      </c>
      <c r="D1797">
        <v>4.7150650000000001</v>
      </c>
      <c r="E1797">
        <v>0.33940399999999998</v>
      </c>
      <c r="F1797" t="s">
        <v>59</v>
      </c>
      <c r="G1797">
        <v>-429.6422</v>
      </c>
      <c r="H1797" s="1">
        <v>2.1920790000000002E-6</v>
      </c>
      <c r="I1797">
        <v>215.3272</v>
      </c>
      <c r="J1797">
        <v>-482.78140000000002</v>
      </c>
      <c r="K1797">
        <v>1.119577</v>
      </c>
      <c r="L1797">
        <v>221.8639</v>
      </c>
      <c r="M1797">
        <v>0.74391509999999905</v>
      </c>
      <c r="N1797">
        <v>0</v>
      </c>
      <c r="O1797">
        <v>-0.66807569999999905</v>
      </c>
      <c r="P1797">
        <v>0.87314049999999999</v>
      </c>
      <c r="Q1797">
        <v>2.3836130000000001E-2</v>
      </c>
      <c r="R1797">
        <v>-0.48688589999999998</v>
      </c>
      <c r="S1797">
        <v>3.2309269999999999</v>
      </c>
      <c r="T1797">
        <v>-6.7763210000000004E-2</v>
      </c>
      <c r="U1797">
        <v>-0.40827940000000001</v>
      </c>
      <c r="V1797">
        <v>-0.222493</v>
      </c>
      <c r="W1797">
        <v>3.1328620000000001E-2</v>
      </c>
      <c r="X1797">
        <v>0.97443080000000004</v>
      </c>
      <c r="Y1797">
        <v>-0.56937510000000002</v>
      </c>
      <c r="Z1797">
        <v>1.8738620000000001E-2</v>
      </c>
      <c r="AA1797">
        <v>0.82186429999999999</v>
      </c>
      <c r="AB1797">
        <v>35</v>
      </c>
      <c r="AC1797">
        <v>53.139200000000002</v>
      </c>
      <c r="AD1797">
        <v>-1.1195748079209999</v>
      </c>
      <c r="AE1797">
        <v>-6.53669999999999</v>
      </c>
      <c r="AF1797">
        <v>-30.628928345548999</v>
      </c>
      <c r="AG1797">
        <v>-1.1195748079209999</v>
      </c>
      <c r="AH1797">
        <v>43.884695735244598</v>
      </c>
      <c r="AI1797">
        <v>91.198466963476093</v>
      </c>
      <c r="AJ1797">
        <v>124.912767670514</v>
      </c>
      <c r="AK1797">
        <v>53.528041428043203</v>
      </c>
      <c r="AL1797">
        <v>88.204708541136995</v>
      </c>
      <c r="AM1797">
        <v>102.861922770357</v>
      </c>
      <c r="AN1797">
        <v>1.0000000007343699</v>
      </c>
    </row>
    <row r="1798" spans="1:40" x14ac:dyDescent="0.3">
      <c r="A1798" t="str">
        <f>"20200111153908528"</f>
        <v>20200111153908528</v>
      </c>
      <c r="B1798" t="str">
        <f>"1578728348522777"</f>
        <v>1578728348522777</v>
      </c>
      <c r="C1798" t="s">
        <v>40</v>
      </c>
      <c r="D1798">
        <v>4.8035949999999996</v>
      </c>
      <c r="E1798">
        <v>0.34409030000000002</v>
      </c>
      <c r="F1798" t="s">
        <v>55</v>
      </c>
      <c r="G1798">
        <v>-384.08699999999999</v>
      </c>
      <c r="H1798" s="1">
        <v>7.8181429999999997E-7</v>
      </c>
      <c r="I1798">
        <v>211.32910000000001</v>
      </c>
      <c r="J1798">
        <v>-482.25709999999998</v>
      </c>
      <c r="K1798">
        <v>1.1195469999999901</v>
      </c>
      <c r="L1798">
        <v>221.434</v>
      </c>
      <c r="M1798">
        <v>0.76550819999999997</v>
      </c>
      <c r="N1798">
        <v>0</v>
      </c>
      <c r="O1798">
        <v>-0.64322040000000003</v>
      </c>
      <c r="P1798">
        <v>0.88775869999999901</v>
      </c>
      <c r="Q1798">
        <v>2.4154599999999998E-2</v>
      </c>
      <c r="R1798">
        <v>-0.45967530000000001</v>
      </c>
      <c r="S1798">
        <v>3.2438349999999998</v>
      </c>
      <c r="T1798">
        <v>-3.679764E-2</v>
      </c>
      <c r="U1798">
        <v>-0.34625240000000002</v>
      </c>
      <c r="V1798">
        <v>-0.22052040000000001</v>
      </c>
      <c r="W1798">
        <v>3.1749939999999997E-2</v>
      </c>
      <c r="X1798">
        <v>0.97486550000000005</v>
      </c>
      <c r="Y1798">
        <v>-0.55834110000000003</v>
      </c>
      <c r="Z1798">
        <v>9.8914420000000003E-3</v>
      </c>
      <c r="AA1798">
        <v>0.82955249999999903</v>
      </c>
      <c r="AB1798">
        <v>35</v>
      </c>
      <c r="AC1798">
        <v>98.170100000000005</v>
      </c>
      <c r="AD1798">
        <v>-1.1195462181857001</v>
      </c>
      <c r="AE1798">
        <v>-10.104900000000001</v>
      </c>
      <c r="AF1798">
        <v>-55.409831703533399</v>
      </c>
      <c r="AG1798">
        <v>-1.1195462181857001</v>
      </c>
      <c r="AH1798">
        <v>81.649995743733001</v>
      </c>
      <c r="AI1798">
        <v>90.650031020008697</v>
      </c>
      <c r="AJ1798">
        <v>124.161845824038</v>
      </c>
      <c r="AK1798">
        <v>98.682443413710502</v>
      </c>
      <c r="AL1798">
        <v>88.180556710799493</v>
      </c>
      <c r="AM1798">
        <v>102.74613421366701</v>
      </c>
      <c r="AN1798">
        <v>1.0000000242981999</v>
      </c>
    </row>
    <row r="1799" spans="1:40" x14ac:dyDescent="0.3">
      <c r="A1799" t="str">
        <f>"20200111153908551"</f>
        <v>20200111153908551</v>
      </c>
      <c r="B1799" t="str">
        <f>"1578728348542299"</f>
        <v>1578728348542299</v>
      </c>
      <c r="C1799" t="s">
        <v>40</v>
      </c>
      <c r="D1799">
        <v>4.8203230000000001</v>
      </c>
      <c r="E1799">
        <v>0.34723039999999999</v>
      </c>
      <c r="F1799" t="s">
        <v>55</v>
      </c>
      <c r="G1799">
        <v>-386.21499999999997</v>
      </c>
      <c r="H1799" s="1">
        <v>1.8347040000000001E-6</v>
      </c>
      <c r="I1799">
        <v>213.1481</v>
      </c>
      <c r="J1799">
        <v>-481.98390000000001</v>
      </c>
      <c r="K1799">
        <v>1.1195250000000001</v>
      </c>
      <c r="L1799">
        <v>221.22110000000001</v>
      </c>
      <c r="M1799">
        <v>0.77623549999999997</v>
      </c>
      <c r="N1799">
        <v>0</v>
      </c>
      <c r="O1799">
        <v>-0.63023289999999998</v>
      </c>
      <c r="P1799">
        <v>0.89452589999999998</v>
      </c>
      <c r="Q1799">
        <v>2.448914E-2</v>
      </c>
      <c r="R1799">
        <v>-0.44634430000000003</v>
      </c>
      <c r="S1799">
        <v>3.2357480000000001</v>
      </c>
      <c r="T1799">
        <v>-3.771853E-2</v>
      </c>
      <c r="U1799">
        <v>-0.2791595</v>
      </c>
      <c r="V1799">
        <v>-0.2186842</v>
      </c>
      <c r="W1799">
        <v>3.2170770000000001E-2</v>
      </c>
      <c r="X1799">
        <v>0.9752653</v>
      </c>
      <c r="Y1799">
        <v>-0.56118009999999996</v>
      </c>
      <c r="Z1799">
        <v>1.008829E-2</v>
      </c>
      <c r="AA1799">
        <v>0.82763220000000004</v>
      </c>
      <c r="AB1799">
        <v>35</v>
      </c>
      <c r="AC1799">
        <v>95.768900000000002</v>
      </c>
      <c r="AD1799">
        <v>-1.119523165296</v>
      </c>
      <c r="AE1799">
        <v>-8.0730000000000004</v>
      </c>
      <c r="AF1799">
        <v>-54.089989768992197</v>
      </c>
      <c r="AG1799">
        <v>-1.119523165296</v>
      </c>
      <c r="AH1799">
        <v>79.426836704352198</v>
      </c>
      <c r="AI1799">
        <v>90.667471795186302</v>
      </c>
      <c r="AJ1799">
        <v>124.25501792810699</v>
      </c>
      <c r="AK1799">
        <v>96.102043236276401</v>
      </c>
      <c r="AL1799">
        <v>88.156432691403793</v>
      </c>
      <c r="AM1799">
        <v>102.638410494266</v>
      </c>
      <c r="AN1799">
        <v>1.0000000715780499</v>
      </c>
    </row>
    <row r="1800" spans="1:40" x14ac:dyDescent="0.3">
      <c r="A1800" t="str">
        <f>"20200111153908572"</f>
        <v>20200111153908572</v>
      </c>
      <c r="B1800" t="str">
        <f>"1578728348562794"</f>
        <v>1578728348562794</v>
      </c>
      <c r="C1800" t="s">
        <v>40</v>
      </c>
      <c r="D1800">
        <v>4.8478329999999996</v>
      </c>
      <c r="E1800">
        <v>0.37556</v>
      </c>
      <c r="F1800" t="s">
        <v>59</v>
      </c>
      <c r="G1800">
        <v>-407.71550000000002</v>
      </c>
      <c r="H1800" s="1">
        <v>4.8221300000000004E-6</v>
      </c>
      <c r="I1800">
        <v>215.38390000000001</v>
      </c>
      <c r="J1800">
        <v>-481.72199999999998</v>
      </c>
      <c r="K1800">
        <v>1.119502</v>
      </c>
      <c r="L1800">
        <v>221.0239</v>
      </c>
      <c r="M1800">
        <v>0.78619220000000001</v>
      </c>
      <c r="N1800">
        <v>0</v>
      </c>
      <c r="O1800">
        <v>-0.61776790000000004</v>
      </c>
      <c r="P1800">
        <v>0.90057559999999903</v>
      </c>
      <c r="Q1800">
        <v>2.462789E-2</v>
      </c>
      <c r="R1800">
        <v>-0.43400129999999998</v>
      </c>
      <c r="S1800">
        <v>3.228424</v>
      </c>
      <c r="T1800">
        <v>-4.8665170000000001E-2</v>
      </c>
      <c r="U1800">
        <v>-0.25373839999999998</v>
      </c>
      <c r="V1800">
        <v>-0.21653529999999999</v>
      </c>
      <c r="W1800">
        <v>3.2408109999999997E-2</v>
      </c>
      <c r="X1800">
        <v>0.97573670000000001</v>
      </c>
      <c r="Y1800">
        <v>-0.55421880000000001</v>
      </c>
      <c r="Z1800">
        <v>1.285801E-2</v>
      </c>
      <c r="AA1800">
        <v>0.83227180000000001</v>
      </c>
      <c r="AB1800">
        <v>34</v>
      </c>
      <c r="AC1800">
        <v>74.006499999999903</v>
      </c>
      <c r="AD1800">
        <v>-1.11949717787</v>
      </c>
      <c r="AE1800">
        <v>-5.6399999999999801</v>
      </c>
      <c r="AF1800">
        <v>-41.2807885013342</v>
      </c>
      <c r="AG1800">
        <v>-1.11949717787</v>
      </c>
      <c r="AH1800">
        <v>61.6616773224262</v>
      </c>
      <c r="AI1800">
        <v>90.864338975800607</v>
      </c>
      <c r="AJ1800">
        <v>123.801214867982</v>
      </c>
      <c r="AK1800">
        <v>74.212662150324206</v>
      </c>
      <c r="AL1800">
        <v>88.142826818996397</v>
      </c>
      <c r="AM1800">
        <v>102.51229492169399</v>
      </c>
      <c r="AN1800">
        <v>0.99999996473337505</v>
      </c>
    </row>
    <row r="1801" spans="1:40" x14ac:dyDescent="0.3">
      <c r="A1801" t="str">
        <f>"20200111153908596"</f>
        <v>20200111153908596</v>
      </c>
      <c r="B1801" t="str">
        <f>"1578728348592074"</f>
        <v>1578728348592074</v>
      </c>
      <c r="C1801" t="s">
        <v>40</v>
      </c>
      <c r="D1801">
        <v>4.9445680000000003</v>
      </c>
      <c r="E1801">
        <v>0.38099719999999998</v>
      </c>
      <c r="F1801" t="s">
        <v>41</v>
      </c>
      <c r="G1801">
        <v>-480.85849999999999</v>
      </c>
      <c r="H1801">
        <v>1.0717730000000001</v>
      </c>
      <c r="I1801">
        <v>220.90819999999999</v>
      </c>
      <c r="J1801">
        <v>-481.43880000000001</v>
      </c>
      <c r="K1801">
        <v>1.1194789999999999</v>
      </c>
      <c r="L1801">
        <v>220.81800000000001</v>
      </c>
      <c r="M1801">
        <v>0.79660750000000002</v>
      </c>
      <c r="N1801">
        <v>0</v>
      </c>
      <c r="O1801">
        <v>-0.60427830000000005</v>
      </c>
      <c r="P1801">
        <v>0.90721540000000001</v>
      </c>
      <c r="Q1801">
        <v>2.5365349999999998E-2</v>
      </c>
      <c r="R1801">
        <v>-0.41990119999999997</v>
      </c>
      <c r="S1801">
        <v>3.1338810000000001</v>
      </c>
      <c r="T1801">
        <v>-0.17315469999999999</v>
      </c>
      <c r="U1801">
        <v>-0.41934199999999999</v>
      </c>
      <c r="V1801">
        <v>-0.2151373</v>
      </c>
      <c r="W1801">
        <v>3.3213529999999998E-2</v>
      </c>
      <c r="X1801">
        <v>0.97601879999999996</v>
      </c>
      <c r="Y1801">
        <v>-0.49184489999999997</v>
      </c>
      <c r="Z1801">
        <v>4.4533490000000002E-2</v>
      </c>
      <c r="AA1801">
        <v>0.86954319999999896</v>
      </c>
      <c r="AB1801">
        <v>34</v>
      </c>
      <c r="AC1801">
        <v>0.58030000000002202</v>
      </c>
      <c r="AD1801">
        <v>-4.77060000000002E-2</v>
      </c>
      <c r="AE1801">
        <v>9.0200000000009994E-2</v>
      </c>
      <c r="AF1801">
        <v>-0.41980228396805402</v>
      </c>
      <c r="AG1801">
        <v>-4.77060000000002E-2</v>
      </c>
      <c r="AH1801">
        <v>0.40514578737365697</v>
      </c>
      <c r="AI1801">
        <v>94.674663379219695</v>
      </c>
      <c r="AJ1801">
        <v>136.017842318411</v>
      </c>
      <c r="AK1801">
        <v>0.585365637091396</v>
      </c>
      <c r="AL1801">
        <v>88.096654756035804</v>
      </c>
      <c r="AM1801">
        <v>102.430550960247</v>
      </c>
      <c r="AN1801">
        <v>0.99999994718989405</v>
      </c>
    </row>
    <row r="1802" spans="1:40" x14ac:dyDescent="0.3">
      <c r="A1802" t="str">
        <f>"20200111153908619"</f>
        <v>20200111153908619</v>
      </c>
      <c r="B1802" t="str">
        <f>"1578728348612571"</f>
        <v>1578728348612571</v>
      </c>
      <c r="C1802" t="s">
        <v>40</v>
      </c>
      <c r="D1802">
        <v>4.8187100000000003</v>
      </c>
      <c r="E1802">
        <v>0.3833317</v>
      </c>
      <c r="F1802" t="s">
        <v>41</v>
      </c>
      <c r="G1802">
        <v>-480.32549999999998</v>
      </c>
      <c r="H1802">
        <v>1.053661</v>
      </c>
      <c r="I1802">
        <v>220.6713</v>
      </c>
      <c r="J1802">
        <v>-481.14749999999998</v>
      </c>
      <c r="K1802">
        <v>1.119445</v>
      </c>
      <c r="L1802">
        <v>220.61439999999999</v>
      </c>
      <c r="M1802">
        <v>0.80693499999999996</v>
      </c>
      <c r="N1802">
        <v>0</v>
      </c>
      <c r="O1802">
        <v>-0.59041639999999995</v>
      </c>
      <c r="P1802">
        <v>0.91421649999999999</v>
      </c>
      <c r="Q1802">
        <v>2.71933E-2</v>
      </c>
      <c r="R1802">
        <v>-0.4043119</v>
      </c>
      <c r="S1802">
        <v>3.1218569999999999</v>
      </c>
      <c r="T1802">
        <v>-0.18449670000000001</v>
      </c>
      <c r="U1802">
        <v>-0.41076659999999998</v>
      </c>
      <c r="V1802">
        <v>-0.21500230000000001</v>
      </c>
      <c r="W1802">
        <v>3.505925E-2</v>
      </c>
      <c r="X1802">
        <v>0.97598399999999996</v>
      </c>
      <c r="Y1802">
        <v>-0.47847580000000001</v>
      </c>
      <c r="Z1802">
        <v>4.6603810000000002E-2</v>
      </c>
      <c r="AA1802">
        <v>0.87686309999999901</v>
      </c>
      <c r="AB1802">
        <v>34</v>
      </c>
      <c r="AC1802">
        <v>0.82200000000000195</v>
      </c>
      <c r="AD1802">
        <v>-6.5783999999999995E-2</v>
      </c>
      <c r="AE1802">
        <v>5.6900000000013003E-2</v>
      </c>
      <c r="AF1802">
        <v>-0.52794194987057796</v>
      </c>
      <c r="AG1802">
        <v>-6.5783999999999995E-2</v>
      </c>
      <c r="AH1802">
        <v>0.62580020239656697</v>
      </c>
      <c r="AI1802">
        <v>94.593678650308604</v>
      </c>
      <c r="AJ1802">
        <v>130.151882842877</v>
      </c>
      <c r="AK1802">
        <v>0.82138671185303003</v>
      </c>
      <c r="AL1802">
        <v>87.990841113227603</v>
      </c>
      <c r="AM1802">
        <v>102.423422169768</v>
      </c>
      <c r="AN1802">
        <v>0.99999995413592502</v>
      </c>
    </row>
    <row r="1803" spans="1:40" x14ac:dyDescent="0.3">
      <c r="A1803" t="str">
        <f>"20200111153908663"</f>
        <v>20200111153908663</v>
      </c>
      <c r="B1803" t="str">
        <f>"1578728348652326"</f>
        <v>1578728348652326</v>
      </c>
      <c r="C1803" t="s">
        <v>40</v>
      </c>
      <c r="D1803">
        <v>4.8043060000000004</v>
      </c>
      <c r="E1803">
        <v>0.38612600000000002</v>
      </c>
      <c r="F1803" t="s">
        <v>41</v>
      </c>
      <c r="G1803">
        <v>-480.08920000000001</v>
      </c>
      <c r="H1803">
        <v>1.056357</v>
      </c>
      <c r="I1803">
        <v>220.48740000000001</v>
      </c>
      <c r="J1803">
        <v>-480.60939999999999</v>
      </c>
      <c r="K1803">
        <v>1.1193569999999999</v>
      </c>
      <c r="L1803">
        <v>220.25700000000001</v>
      </c>
      <c r="M1803">
        <v>0.8250594</v>
      </c>
      <c r="N1803">
        <v>0</v>
      </c>
      <c r="O1803">
        <v>-0.56481309999999996</v>
      </c>
      <c r="P1803">
        <v>0.9273323</v>
      </c>
      <c r="Q1803">
        <v>2.8107719999999999E-2</v>
      </c>
      <c r="R1803">
        <v>-0.37318210000000002</v>
      </c>
      <c r="S1803">
        <v>3.1211850000000001</v>
      </c>
      <c r="T1803">
        <v>-0.186084</v>
      </c>
      <c r="U1803">
        <v>-0.3749847</v>
      </c>
      <c r="V1803">
        <v>-0.2173831</v>
      </c>
      <c r="W1803">
        <v>3.5901759999999998E-2</v>
      </c>
      <c r="X1803">
        <v>0.97542589999999996</v>
      </c>
      <c r="Y1803">
        <v>-0.46075349999999998</v>
      </c>
      <c r="Z1803">
        <v>4.531955E-2</v>
      </c>
      <c r="AA1803">
        <v>0.8863704</v>
      </c>
      <c r="AB1803">
        <v>34</v>
      </c>
      <c r="AC1803">
        <v>0.52019999999998801</v>
      </c>
      <c r="AD1803">
        <v>-6.2999999999999903E-2</v>
      </c>
      <c r="AE1803">
        <v>0.23040000000000299</v>
      </c>
      <c r="AF1803">
        <v>-0.47811071739041699</v>
      </c>
      <c r="AG1803">
        <v>-6.2999999999999903E-2</v>
      </c>
      <c r="AH1803">
        <v>0.29547925560768501</v>
      </c>
      <c r="AI1803">
        <v>96.3955930570134</v>
      </c>
      <c r="AJ1803">
        <v>148.28334229327899</v>
      </c>
      <c r="AK1803">
        <v>0.56556772236227404</v>
      </c>
      <c r="AL1803">
        <v>87.942538559845701</v>
      </c>
      <c r="AM1803">
        <v>102.56360766754599</v>
      </c>
      <c r="AN1803">
        <v>1.00000001746375</v>
      </c>
    </row>
    <row r="1804" spans="1:40" x14ac:dyDescent="0.3">
      <c r="A1804" t="str">
        <f>"20200111153908686"</f>
        <v>20200111153908686</v>
      </c>
      <c r="B1804" t="str">
        <f>"1578728348682582"</f>
        <v>1578728348682582</v>
      </c>
      <c r="C1804" t="s">
        <v>40</v>
      </c>
      <c r="D1804">
        <v>4.856833</v>
      </c>
      <c r="E1804">
        <v>0.40167809999999998</v>
      </c>
      <c r="F1804" t="s">
        <v>41</v>
      </c>
      <c r="G1804">
        <v>-479.59519999999998</v>
      </c>
      <c r="H1804">
        <v>1.056646</v>
      </c>
      <c r="I1804">
        <v>220.1626</v>
      </c>
      <c r="J1804">
        <v>-480.31180000000001</v>
      </c>
      <c r="K1804">
        <v>1.119292</v>
      </c>
      <c r="L1804">
        <v>220.06960000000001</v>
      </c>
      <c r="M1804">
        <v>0.83455000000000001</v>
      </c>
      <c r="N1804">
        <v>0</v>
      </c>
      <c r="O1804">
        <v>-0.55069360000000001</v>
      </c>
      <c r="P1804">
        <v>0.93340999999999996</v>
      </c>
      <c r="Q1804">
        <v>2.6561339999999999E-2</v>
      </c>
      <c r="R1804">
        <v>-0.35782730000000001</v>
      </c>
      <c r="S1804">
        <v>3.1239319999999999</v>
      </c>
      <c r="T1804">
        <v>-0.1931573</v>
      </c>
      <c r="U1804">
        <v>-0.29074100000000003</v>
      </c>
      <c r="V1804">
        <v>-0.21684610000000001</v>
      </c>
      <c r="W1804">
        <v>3.4394929999999997E-2</v>
      </c>
      <c r="X1804">
        <v>0.97559969999999996</v>
      </c>
      <c r="Y1804">
        <v>-0.4692363</v>
      </c>
      <c r="Z1804">
        <v>4.6667680000000003E-2</v>
      </c>
      <c r="AA1804">
        <v>0.88183869999999898</v>
      </c>
      <c r="AB1804">
        <v>34</v>
      </c>
      <c r="AC1804">
        <v>0.71660000000002799</v>
      </c>
      <c r="AD1804">
        <v>-6.2645999999999896E-2</v>
      </c>
      <c r="AE1804">
        <v>9.29999999999893E-2</v>
      </c>
      <c r="AF1804">
        <v>-0.46877897948456199</v>
      </c>
      <c r="AG1804">
        <v>-6.2645999999999896E-2</v>
      </c>
      <c r="AH1804">
        <v>0.54281617131756499</v>
      </c>
      <c r="AI1804">
        <v>94.9918711004144</v>
      </c>
      <c r="AJ1804">
        <v>130.814067861529</v>
      </c>
      <c r="AK1804">
        <v>0.71994975433459796</v>
      </c>
      <c r="AL1804">
        <v>88.028926927111399</v>
      </c>
      <c r="AM1804">
        <v>102.53139140408599</v>
      </c>
      <c r="AN1804">
        <v>1.0000000084675</v>
      </c>
    </row>
    <row r="1805" spans="1:40" x14ac:dyDescent="0.3">
      <c r="A1805" t="str">
        <f>"20200111153908710"</f>
        <v>20200111153908710</v>
      </c>
      <c r="B1805" t="str">
        <f>"1578728348702103"</f>
        <v>1578728348702103</v>
      </c>
      <c r="C1805" t="s">
        <v>40</v>
      </c>
      <c r="D1805">
        <v>4.9273680000000004</v>
      </c>
      <c r="E1805">
        <v>0.4037963</v>
      </c>
      <c r="F1805" t="s">
        <v>41</v>
      </c>
      <c r="G1805">
        <v>-479.36149999999998</v>
      </c>
      <c r="H1805">
        <v>1.055126</v>
      </c>
      <c r="I1805">
        <v>219.9597</v>
      </c>
      <c r="J1805">
        <v>-480.0034</v>
      </c>
      <c r="K1805">
        <v>1.1192260000000001</v>
      </c>
      <c r="L1805">
        <v>219.88249999999999</v>
      </c>
      <c r="M1805">
        <v>0.84399859999999904</v>
      </c>
      <c r="N1805">
        <v>0</v>
      </c>
      <c r="O1805">
        <v>-0.53610069999999999</v>
      </c>
      <c r="P1805">
        <v>0.93926299999999996</v>
      </c>
      <c r="Q1805">
        <v>2.6926820000000001E-2</v>
      </c>
      <c r="R1805">
        <v>-0.3421401</v>
      </c>
      <c r="S1805">
        <v>3.0837400000000001</v>
      </c>
      <c r="T1805">
        <v>-0.20812149999999999</v>
      </c>
      <c r="U1805">
        <v>-0.3553772</v>
      </c>
      <c r="V1805">
        <v>-0.21622849999999999</v>
      </c>
      <c r="W1805">
        <v>3.4807629999999999E-2</v>
      </c>
      <c r="X1805">
        <v>0.97572210000000004</v>
      </c>
      <c r="Y1805">
        <v>-0.43396449999999998</v>
      </c>
      <c r="Z1805">
        <v>4.8810880000000001E-2</v>
      </c>
      <c r="AA1805">
        <v>0.89960680000000004</v>
      </c>
      <c r="AB1805">
        <v>34</v>
      </c>
      <c r="AC1805">
        <v>0.64190000000002101</v>
      </c>
      <c r="AD1805">
        <v>-6.4100000000000004E-2</v>
      </c>
      <c r="AE1805">
        <v>7.7200000000004806E-2</v>
      </c>
      <c r="AF1805">
        <v>-0.40534894245400599</v>
      </c>
      <c r="AG1805">
        <v>-6.4100000000000004E-2</v>
      </c>
      <c r="AH1805">
        <v>0.49557003781067999</v>
      </c>
      <c r="AI1805">
        <v>95.717395143093398</v>
      </c>
      <c r="AJ1805">
        <v>129.28127176256999</v>
      </c>
      <c r="AK1805">
        <v>0.64343316476869605</v>
      </c>
      <c r="AL1805">
        <v>88.005266726121505</v>
      </c>
      <c r="AM1805">
        <v>102.495305005269</v>
      </c>
      <c r="AN1805">
        <v>0.99999997587343803</v>
      </c>
    </row>
    <row r="1806" spans="1:40" x14ac:dyDescent="0.3">
      <c r="A1806" t="str">
        <f>"20200111153908755"</f>
        <v>20200111153908755</v>
      </c>
      <c r="B1806" t="str">
        <f>"1578728348742626"</f>
        <v>1578728348742626</v>
      </c>
      <c r="C1806" t="s">
        <v>40</v>
      </c>
      <c r="D1806">
        <v>5.040953</v>
      </c>
      <c r="E1806">
        <v>0.40886660000000002</v>
      </c>
      <c r="F1806" t="s">
        <v>55</v>
      </c>
      <c r="G1806">
        <v>-463.97160000000002</v>
      </c>
      <c r="H1806" s="1">
        <v>4.1919030000000001E-7</v>
      </c>
      <c r="I1806">
        <v>218.21950000000001</v>
      </c>
      <c r="J1806">
        <v>-479.42770000000002</v>
      </c>
      <c r="K1806">
        <v>1.1190420000000001</v>
      </c>
      <c r="L1806">
        <v>219.5522</v>
      </c>
      <c r="M1806">
        <v>0.86054949999999997</v>
      </c>
      <c r="N1806">
        <v>0</v>
      </c>
      <c r="O1806">
        <v>-0.50911119999999999</v>
      </c>
      <c r="P1806">
        <v>0.9486966</v>
      </c>
      <c r="Q1806">
        <v>2.932413E-2</v>
      </c>
      <c r="R1806">
        <v>-0.31482569999999999</v>
      </c>
      <c r="S1806">
        <v>3.083618</v>
      </c>
      <c r="T1806">
        <v>-0.2152752</v>
      </c>
      <c r="U1806">
        <v>-0.31986999999999999</v>
      </c>
      <c r="V1806">
        <v>-0.21359220000000001</v>
      </c>
      <c r="W1806">
        <v>3.7367530000000003E-2</v>
      </c>
      <c r="X1806">
        <v>0.97620799999999996</v>
      </c>
      <c r="Y1806">
        <v>-0.41555180000000003</v>
      </c>
      <c r="Z1806">
        <v>4.8302619999999998E-2</v>
      </c>
      <c r="AA1806">
        <v>0.90828600000000004</v>
      </c>
      <c r="AB1806">
        <v>34</v>
      </c>
      <c r="AC1806">
        <v>15.4560999999999</v>
      </c>
      <c r="AD1806">
        <v>-1.1190415808096901</v>
      </c>
      <c r="AE1806">
        <v>-1.33269999999998</v>
      </c>
      <c r="AF1806">
        <v>-6.6880945812197501</v>
      </c>
      <c r="AG1806">
        <v>-1.1190415808096901</v>
      </c>
      <c r="AH1806">
        <v>13.9086811716328</v>
      </c>
      <c r="AI1806">
        <v>94.147200082753898</v>
      </c>
      <c r="AJ1806">
        <v>115.680926581527</v>
      </c>
      <c r="AK1806">
        <v>15.473663920386</v>
      </c>
      <c r="AL1806">
        <v>87.858499689362503</v>
      </c>
      <c r="AM1806">
        <v>102.341703009136</v>
      </c>
      <c r="AN1806">
        <v>1.00000000973157</v>
      </c>
    </row>
    <row r="1807" spans="1:40" x14ac:dyDescent="0.3">
      <c r="A1807" t="str">
        <f>"20200111153908797"</f>
        <v>20200111153908797</v>
      </c>
      <c r="B1807" t="str">
        <f>"1578728348792403"</f>
        <v>1578728348792403</v>
      </c>
      <c r="C1807" t="s">
        <v>40</v>
      </c>
      <c r="D1807">
        <v>5.1493279999999997</v>
      </c>
      <c r="E1807">
        <v>0.4381004</v>
      </c>
      <c r="F1807" t="s">
        <v>55</v>
      </c>
      <c r="G1807">
        <v>-462.82440000000003</v>
      </c>
      <c r="H1807" s="1">
        <v>-1.861309E-7</v>
      </c>
      <c r="I1807">
        <v>218.10169999999999</v>
      </c>
      <c r="J1807">
        <v>-478.87419999999997</v>
      </c>
      <c r="K1807">
        <v>1.118798</v>
      </c>
      <c r="L1807">
        <v>219.25720000000001</v>
      </c>
      <c r="M1807">
        <v>0.87512309999999904</v>
      </c>
      <c r="N1807">
        <v>0</v>
      </c>
      <c r="O1807">
        <v>-0.48363339999999999</v>
      </c>
      <c r="P1807">
        <v>0.9558468</v>
      </c>
      <c r="Q1807">
        <v>3.2326819999999999E-2</v>
      </c>
      <c r="R1807">
        <v>-0.29208230000000002</v>
      </c>
      <c r="S1807">
        <v>3.0793460000000001</v>
      </c>
      <c r="T1807">
        <v>-0.2075437</v>
      </c>
      <c r="U1807">
        <v>-0.26902769999999998</v>
      </c>
      <c r="V1807">
        <v>-0.20827770000000001</v>
      </c>
      <c r="W1807">
        <v>4.0649480000000002E-2</v>
      </c>
      <c r="X1807">
        <v>0.9772246</v>
      </c>
      <c r="Y1807">
        <v>-0.40378029999999998</v>
      </c>
      <c r="Z1807">
        <v>4.4816950000000001E-2</v>
      </c>
      <c r="AA1807">
        <v>0.91375759999999995</v>
      </c>
      <c r="AB1807">
        <v>34</v>
      </c>
      <c r="AC1807">
        <v>16.049799999999902</v>
      </c>
      <c r="AD1807">
        <v>-1.1187981861309</v>
      </c>
      <c r="AE1807">
        <v>-1.15550000000001</v>
      </c>
      <c r="AF1807">
        <v>-6.7194041191927898</v>
      </c>
      <c r="AG1807">
        <v>-1.1187981861309</v>
      </c>
      <c r="AH1807">
        <v>14.536006546360699</v>
      </c>
      <c r="AI1807">
        <v>93.996422718830104</v>
      </c>
      <c r="AJ1807">
        <v>114.80917907385501</v>
      </c>
      <c r="AK1807">
        <v>16.052961951433002</v>
      </c>
      <c r="AL1807">
        <v>87.670314350987994</v>
      </c>
      <c r="AM1807">
        <v>102.031533797911</v>
      </c>
      <c r="AN1807">
        <v>0.99999994969335904</v>
      </c>
    </row>
    <row r="1808" spans="1:40" x14ac:dyDescent="0.3">
      <c r="A1808" t="str">
        <f>"20200111153908840"</f>
        <v>20200111153908840</v>
      </c>
      <c r="B1808" t="str">
        <f>"1578728348832418"</f>
        <v>1578728348832418</v>
      </c>
      <c r="C1808" t="s">
        <v>40</v>
      </c>
      <c r="D1808">
        <v>5.1977769999999897</v>
      </c>
      <c r="E1808">
        <v>0.44229560000000001</v>
      </c>
      <c r="F1808" t="s">
        <v>55</v>
      </c>
      <c r="G1808">
        <v>-465.48930000000001</v>
      </c>
      <c r="H1808" s="1">
        <v>1.263138E-6</v>
      </c>
      <c r="I1808">
        <v>217.3895</v>
      </c>
      <c r="J1808">
        <v>-478.29129999999998</v>
      </c>
      <c r="K1808">
        <v>1.11846</v>
      </c>
      <c r="L1808">
        <v>218.9682</v>
      </c>
      <c r="M1808">
        <v>0.88910900000000004</v>
      </c>
      <c r="N1808">
        <v>0</v>
      </c>
      <c r="O1808">
        <v>-0.4574164</v>
      </c>
      <c r="P1808">
        <v>0.96332980000000001</v>
      </c>
      <c r="Q1808">
        <v>3.3073850000000002E-2</v>
      </c>
      <c r="R1808">
        <v>-0.26627430000000002</v>
      </c>
      <c r="S1808">
        <v>3.018402</v>
      </c>
      <c r="T1808">
        <v>-0.2522974</v>
      </c>
      <c r="U1808">
        <v>-0.42120360000000001</v>
      </c>
      <c r="V1808">
        <v>-0.20549310000000001</v>
      </c>
      <c r="W1808">
        <v>4.1583769999999999E-2</v>
      </c>
      <c r="X1808">
        <v>0.9777747</v>
      </c>
      <c r="Y1808">
        <v>-0.32763629999999999</v>
      </c>
      <c r="Z1808">
        <v>5.0181940000000001E-2</v>
      </c>
      <c r="AA1808">
        <v>0.94347029999999998</v>
      </c>
      <c r="AB1808">
        <v>34</v>
      </c>
      <c r="AC1808">
        <v>12.8019999999999</v>
      </c>
      <c r="AD1808">
        <v>-1.118458736862</v>
      </c>
      <c r="AE1808">
        <v>-1.57869999999999</v>
      </c>
      <c r="AF1808">
        <v>-4.4195488205187701</v>
      </c>
      <c r="AG1808">
        <v>-1.118458736862</v>
      </c>
      <c r="AH1808">
        <v>12.015703121585499</v>
      </c>
      <c r="AI1808">
        <v>94.992743907571594</v>
      </c>
      <c r="AJ1808">
        <v>110.19424963794199</v>
      </c>
      <c r="AK1808">
        <v>12.8514778616738</v>
      </c>
      <c r="AL1808">
        <v>87.616738271700498</v>
      </c>
      <c r="AM1808">
        <v>101.86878170050601</v>
      </c>
      <c r="AN1808">
        <v>0.99999999401755602</v>
      </c>
    </row>
    <row r="1809" spans="1:40" x14ac:dyDescent="0.3">
      <c r="A1809" t="str">
        <f>"20200111153908863"</f>
        <v>20200111153908863</v>
      </c>
      <c r="B1809" t="str">
        <f>"1578728348852914"</f>
        <v>1578728348852914</v>
      </c>
      <c r="C1809" t="s">
        <v>40</v>
      </c>
      <c r="D1809">
        <v>5.1895790000000002</v>
      </c>
      <c r="E1809">
        <v>0.4441908</v>
      </c>
      <c r="F1809" t="s">
        <v>55</v>
      </c>
      <c r="G1809">
        <v>-464.41550000000001</v>
      </c>
      <c r="H1809" s="1">
        <v>6.9768150000000003E-7</v>
      </c>
      <c r="I1809">
        <v>217.25290000000001</v>
      </c>
      <c r="J1809">
        <v>-477.97739999999999</v>
      </c>
      <c r="K1809">
        <v>1.1182510000000001</v>
      </c>
      <c r="L1809">
        <v>218.8211</v>
      </c>
      <c r="M1809">
        <v>0.89607729999999997</v>
      </c>
      <c r="N1809">
        <v>0</v>
      </c>
      <c r="O1809">
        <v>-0.44361210000000001</v>
      </c>
      <c r="P1809">
        <v>0.96703510000000004</v>
      </c>
      <c r="Q1809">
        <v>3.001301E-2</v>
      </c>
      <c r="R1809">
        <v>-0.25286809999999998</v>
      </c>
      <c r="S1809">
        <v>3.0193789999999998</v>
      </c>
      <c r="T1809">
        <v>-0.24337700000000001</v>
      </c>
      <c r="U1809">
        <v>-0.3732452</v>
      </c>
      <c r="V1809">
        <v>-0.2038693</v>
      </c>
      <c r="W1809">
        <v>3.863548E-2</v>
      </c>
      <c r="X1809">
        <v>0.97823550000000004</v>
      </c>
      <c r="Y1809">
        <v>-0.328015</v>
      </c>
      <c r="Z1809">
        <v>4.7504459999999998E-2</v>
      </c>
      <c r="AA1809">
        <v>0.94347729999999996</v>
      </c>
      <c r="AB1809">
        <v>34</v>
      </c>
      <c r="AC1809">
        <v>13.5618999999999</v>
      </c>
      <c r="AD1809">
        <v>-1.1182503023185</v>
      </c>
      <c r="AE1809">
        <v>-1.56819999999999</v>
      </c>
      <c r="AF1809">
        <v>-4.5808460550846801</v>
      </c>
      <c r="AG1809">
        <v>-1.1182503023185</v>
      </c>
      <c r="AH1809">
        <v>12.7641768485979</v>
      </c>
      <c r="AI1809">
        <v>94.713890393375607</v>
      </c>
      <c r="AJ1809">
        <v>109.74219941804201</v>
      </c>
      <c r="AK1809">
        <v>13.607308512020399</v>
      </c>
      <c r="AL1809">
        <v>87.785799061390094</v>
      </c>
      <c r="AM1809">
        <v>101.772231598522</v>
      </c>
      <c r="AN1809">
        <v>1.0000000426287801</v>
      </c>
    </row>
    <row r="1810" spans="1:40" x14ac:dyDescent="0.3">
      <c r="A1810" t="str">
        <f>"20200111153908887"</f>
        <v>20200111153908887</v>
      </c>
      <c r="B1810" t="str">
        <f>"1578728348882194"</f>
        <v>1578728348882194</v>
      </c>
      <c r="C1810" t="s">
        <v>40</v>
      </c>
      <c r="D1810">
        <v>5.2315250000000004</v>
      </c>
      <c r="E1810">
        <v>0.44613029999999998</v>
      </c>
      <c r="F1810" t="s">
        <v>55</v>
      </c>
      <c r="G1810">
        <v>-464.584</v>
      </c>
      <c r="H1810" s="1">
        <v>7.8570560000000004E-7</v>
      </c>
      <c r="I1810">
        <v>217.29050000000001</v>
      </c>
      <c r="J1810">
        <v>-477.66390000000001</v>
      </c>
      <c r="K1810">
        <v>1.118018</v>
      </c>
      <c r="L1810">
        <v>218.6798</v>
      </c>
      <c r="M1810">
        <v>0.90265110000000004</v>
      </c>
      <c r="N1810">
        <v>0</v>
      </c>
      <c r="O1810">
        <v>-0.43008030000000003</v>
      </c>
      <c r="P1810">
        <v>0.97031679999999998</v>
      </c>
      <c r="Q1810">
        <v>2.8504560000000002E-2</v>
      </c>
      <c r="R1810">
        <v>-0.2401517</v>
      </c>
      <c r="S1810">
        <v>3.019806</v>
      </c>
      <c r="T1810">
        <v>-0.25213099999999999</v>
      </c>
      <c r="U1810">
        <v>-0.34510800000000003</v>
      </c>
      <c r="V1810">
        <v>-0.20193710000000001</v>
      </c>
      <c r="W1810">
        <v>3.725697E-2</v>
      </c>
      <c r="X1810">
        <v>0.97868960000000005</v>
      </c>
      <c r="Y1810">
        <v>-0.32237270000000001</v>
      </c>
      <c r="Z1810">
        <v>4.7996379999999998E-2</v>
      </c>
      <c r="AA1810">
        <v>0.94539530000000005</v>
      </c>
      <c r="AB1810">
        <v>34</v>
      </c>
      <c r="AC1810">
        <v>13.0799</v>
      </c>
      <c r="AD1810">
        <v>-1.11801721429439</v>
      </c>
      <c r="AE1810">
        <v>-1.38929999999999</v>
      </c>
      <c r="AF1810">
        <v>-4.3405460192697101</v>
      </c>
      <c r="AG1810">
        <v>-1.11801721429439</v>
      </c>
      <c r="AH1810">
        <v>12.3166759601033</v>
      </c>
      <c r="AI1810">
        <v>94.893270576562799</v>
      </c>
      <c r="AJ1810">
        <v>109.413075915237</v>
      </c>
      <c r="AK1810">
        <v>13.1068992878958</v>
      </c>
      <c r="AL1810">
        <v>87.864838711867407</v>
      </c>
      <c r="AM1810">
        <v>101.658465963048</v>
      </c>
      <c r="AN1810">
        <v>1.0000000036590699</v>
      </c>
    </row>
    <row r="1811" spans="1:40" x14ac:dyDescent="0.3">
      <c r="A1811" t="str">
        <f>"20200111153908913"</f>
        <v>20200111153908913</v>
      </c>
      <c r="B1811" t="str">
        <f>"1578728348902690"</f>
        <v>1578728348902690</v>
      </c>
      <c r="C1811" t="s">
        <v>40</v>
      </c>
      <c r="D1811">
        <v>5.2148370000000002</v>
      </c>
      <c r="E1811">
        <v>0.45768340000000002</v>
      </c>
      <c r="F1811" t="s">
        <v>55</v>
      </c>
      <c r="G1811">
        <v>-464.47609999999997</v>
      </c>
      <c r="H1811" s="1">
        <v>7.2872459999999999E-7</v>
      </c>
      <c r="I1811">
        <v>217.28059999999999</v>
      </c>
      <c r="J1811">
        <v>-477.30759999999998</v>
      </c>
      <c r="K1811">
        <v>1.117699</v>
      </c>
      <c r="L1811">
        <v>218.52549999999999</v>
      </c>
      <c r="M1811">
        <v>0.90964339999999999</v>
      </c>
      <c r="N1811">
        <v>0</v>
      </c>
      <c r="O1811">
        <v>-0.41508970000000001</v>
      </c>
      <c r="P1811">
        <v>0.97381229999999996</v>
      </c>
      <c r="Q1811">
        <v>2.7668809999999999E-2</v>
      </c>
      <c r="R1811">
        <v>-0.22566410000000001</v>
      </c>
      <c r="S1811">
        <v>3.0199889999999998</v>
      </c>
      <c r="T1811">
        <v>-0.25602429999999998</v>
      </c>
      <c r="U1811">
        <v>-0.32040410000000002</v>
      </c>
      <c r="V1811">
        <v>-0.2002834</v>
      </c>
      <c r="W1811">
        <v>3.656032E-2</v>
      </c>
      <c r="X1811">
        <v>0.97905560000000003</v>
      </c>
      <c r="Y1811">
        <v>-0.31435299999999999</v>
      </c>
      <c r="Z1811">
        <v>4.7279000000000002E-2</v>
      </c>
      <c r="AA1811">
        <v>0.94812810000000003</v>
      </c>
      <c r="AB1811">
        <v>34</v>
      </c>
      <c r="AC1811">
        <v>12.8315</v>
      </c>
      <c r="AD1811">
        <v>-1.1176982712754</v>
      </c>
      <c r="AE1811">
        <v>-1.2448999999999999</v>
      </c>
      <c r="AF1811">
        <v>-4.1630393398968399</v>
      </c>
      <c r="AG1811">
        <v>-1.1176982712754</v>
      </c>
      <c r="AH1811">
        <v>12.099407578504501</v>
      </c>
      <c r="AI1811">
        <v>94.992139448189803</v>
      </c>
      <c r="AJ1811">
        <v>108.986787098081</v>
      </c>
      <c r="AK1811">
        <v>12.844290938853399</v>
      </c>
      <c r="AL1811">
        <v>87.904780988139194</v>
      </c>
      <c r="AM1811">
        <v>101.56136809002599</v>
      </c>
      <c r="AN1811">
        <v>0.99999998260271095</v>
      </c>
    </row>
    <row r="1812" spans="1:40" x14ac:dyDescent="0.3">
      <c r="A1812" t="str">
        <f>"20200111153908954"</f>
        <v>20200111153908954</v>
      </c>
      <c r="B1812" t="str">
        <f>"1578728348942239"</f>
        <v>1578728348942239</v>
      </c>
      <c r="C1812" t="s">
        <v>40</v>
      </c>
      <c r="D1812">
        <v>5.2453200000000004</v>
      </c>
      <c r="E1812">
        <v>0.45947359999999998</v>
      </c>
      <c r="F1812" t="s">
        <v>55</v>
      </c>
      <c r="G1812">
        <v>-464.02670000000001</v>
      </c>
      <c r="H1812" s="1">
        <v>5.0567839999999998E-7</v>
      </c>
      <c r="I1812">
        <v>216.91210000000001</v>
      </c>
      <c r="J1812">
        <v>-476.74040000000002</v>
      </c>
      <c r="K1812">
        <v>1.1170880000000001</v>
      </c>
      <c r="L1812">
        <v>218.29349999999999</v>
      </c>
      <c r="M1812">
        <v>0.91970479999999999</v>
      </c>
      <c r="N1812">
        <v>0</v>
      </c>
      <c r="O1812">
        <v>-0.39229910000000001</v>
      </c>
      <c r="P1812">
        <v>0.97800169999999997</v>
      </c>
      <c r="Q1812">
        <v>2.7065079999999998E-2</v>
      </c>
      <c r="R1812">
        <v>-0.2068333</v>
      </c>
      <c r="S1812">
        <v>3.0033569999999998</v>
      </c>
      <c r="T1812">
        <v>-0.25275750000000002</v>
      </c>
      <c r="U1812">
        <v>-0.36483759999999998</v>
      </c>
      <c r="V1812">
        <v>-0.19470370000000001</v>
      </c>
      <c r="W1812">
        <v>3.629918E-2</v>
      </c>
      <c r="X1812">
        <v>0.98019020000000001</v>
      </c>
      <c r="Y1812">
        <v>-0.2763178</v>
      </c>
      <c r="Z1812">
        <v>4.3526549999999997E-2</v>
      </c>
      <c r="AA1812">
        <v>0.96008009999999999</v>
      </c>
      <c r="AB1812">
        <v>34</v>
      </c>
      <c r="AC1812">
        <v>12.713699999999999</v>
      </c>
      <c r="AD1812">
        <v>-1.11708749432159</v>
      </c>
      <c r="AE1812">
        <v>-1.38139999999998</v>
      </c>
      <c r="AF1812">
        <v>-3.68939668455319</v>
      </c>
      <c r="AG1812">
        <v>-1.11708749432159</v>
      </c>
      <c r="AH1812">
        <v>12.143611226029099</v>
      </c>
      <c r="AI1812">
        <v>95.030054464559498</v>
      </c>
      <c r="AJ1812">
        <v>106.899505412883</v>
      </c>
      <c r="AK1812">
        <v>12.740754529261601</v>
      </c>
      <c r="AL1812">
        <v>87.919753171794895</v>
      </c>
      <c r="AM1812">
        <v>101.23491561038701</v>
      </c>
      <c r="AN1812">
        <v>0.99999999471920098</v>
      </c>
    </row>
    <row r="1813" spans="1:40" x14ac:dyDescent="0.3">
      <c r="A1813" t="str">
        <f>"20200111153909000"</f>
        <v>20200111153909000</v>
      </c>
      <c r="B1813" t="str">
        <f>"1578728348992990"</f>
        <v>1578728348992990</v>
      </c>
      <c r="C1813" t="s">
        <v>40</v>
      </c>
      <c r="D1813">
        <v>5.2893379999999999</v>
      </c>
      <c r="E1813">
        <v>0.46169300000000002</v>
      </c>
      <c r="F1813" t="s">
        <v>55</v>
      </c>
      <c r="G1813">
        <v>-463.7765</v>
      </c>
      <c r="H1813" s="1">
        <v>3.7252190000000001E-7</v>
      </c>
      <c r="I1813">
        <v>216.91149999999999</v>
      </c>
      <c r="J1813">
        <v>-476.10939999999999</v>
      </c>
      <c r="K1813">
        <v>1.1163829999999999</v>
      </c>
      <c r="L1813">
        <v>218.05359999999999</v>
      </c>
      <c r="M1813">
        <v>0.92951269999999997</v>
      </c>
      <c r="N1813">
        <v>0</v>
      </c>
      <c r="O1813">
        <v>-0.36846580000000001</v>
      </c>
      <c r="P1813">
        <v>0.98186879999999999</v>
      </c>
      <c r="Q1813">
        <v>2.8393069999999999E-2</v>
      </c>
      <c r="R1813">
        <v>-0.18742310000000001</v>
      </c>
      <c r="S1813">
        <v>3.0068359999999998</v>
      </c>
      <c r="T1813">
        <v>-0.25909490000000002</v>
      </c>
      <c r="U1813">
        <v>-0.32054139999999998</v>
      </c>
      <c r="V1813">
        <v>-0.18880530000000001</v>
      </c>
      <c r="W1813">
        <v>3.7991740000000003E-2</v>
      </c>
      <c r="X1813">
        <v>0.98127940000000002</v>
      </c>
      <c r="Y1813">
        <v>-0.26563819999999999</v>
      </c>
      <c r="Z1813">
        <v>4.2267699999999998E-2</v>
      </c>
      <c r="AA1813">
        <v>0.96314580000000005</v>
      </c>
      <c r="AB1813">
        <v>34</v>
      </c>
      <c r="AC1813">
        <v>12.332899999999899</v>
      </c>
      <c r="AD1813">
        <v>-1.1163826274780999</v>
      </c>
      <c r="AE1813">
        <v>-1.1420999999999899</v>
      </c>
      <c r="AF1813">
        <v>-3.4550022748492299</v>
      </c>
      <c r="AG1813">
        <v>-1.1163826274780999</v>
      </c>
      <c r="AH1813">
        <v>11.7900468318085</v>
      </c>
      <c r="AI1813">
        <v>95.192054597469294</v>
      </c>
      <c r="AJ1813">
        <v>106.332905238821</v>
      </c>
      <c r="AK1813">
        <v>12.336472558490399</v>
      </c>
      <c r="AL1813">
        <v>87.822709734972506</v>
      </c>
      <c r="AM1813">
        <v>100.89102939867</v>
      </c>
      <c r="AN1813">
        <v>1.0000000372403299</v>
      </c>
    </row>
    <row r="1814" spans="1:40" x14ac:dyDescent="0.3">
      <c r="A1814" t="str">
        <f>"20200111153909023"</f>
        <v>20200111153909023</v>
      </c>
      <c r="B1814" t="str">
        <f>"1578728349012510"</f>
        <v>1578728349012510</v>
      </c>
      <c r="C1814" t="s">
        <v>40</v>
      </c>
      <c r="D1814">
        <v>5.3332540000000002</v>
      </c>
      <c r="E1814">
        <v>0.46204099999999998</v>
      </c>
      <c r="F1814" t="s">
        <v>55</v>
      </c>
      <c r="G1814">
        <v>-462.79910000000001</v>
      </c>
      <c r="H1814" s="1">
        <v>-1.4369399999999999E-7</v>
      </c>
      <c r="I1814">
        <v>216.8229</v>
      </c>
      <c r="J1814">
        <v>-475.78320000000002</v>
      </c>
      <c r="K1814">
        <v>1.1160540000000001</v>
      </c>
      <c r="L1814">
        <v>217.93639999999999</v>
      </c>
      <c r="M1814">
        <v>0.93408869999999999</v>
      </c>
      <c r="N1814">
        <v>0</v>
      </c>
      <c r="O1814">
        <v>-0.35670950000000001</v>
      </c>
      <c r="P1814">
        <v>0.98356120000000002</v>
      </c>
      <c r="Q1814">
        <v>2.8975890000000001E-2</v>
      </c>
      <c r="R1814">
        <v>-0.17823629999999999</v>
      </c>
      <c r="S1814">
        <v>3.0095830000000001</v>
      </c>
      <c r="T1814">
        <v>-0.25242399999999998</v>
      </c>
      <c r="U1814">
        <v>-0.27828979999999998</v>
      </c>
      <c r="V1814">
        <v>-0.1855726</v>
      </c>
      <c r="W1814">
        <v>3.8753639999999999E-2</v>
      </c>
      <c r="X1814">
        <v>0.98186609999999996</v>
      </c>
      <c r="Y1814">
        <v>-0.2671077</v>
      </c>
      <c r="Z1814">
        <v>4.033552E-2</v>
      </c>
      <c r="AA1814">
        <v>0.96282210000000001</v>
      </c>
      <c r="AB1814">
        <v>34</v>
      </c>
      <c r="AC1814">
        <v>12.9841</v>
      </c>
      <c r="AD1814">
        <v>-1.1160541436939999</v>
      </c>
      <c r="AE1814">
        <v>-1.11349999999998</v>
      </c>
      <c r="AF1814">
        <v>-3.5657166693661999</v>
      </c>
      <c r="AG1814">
        <v>-1.1160541436939999</v>
      </c>
      <c r="AH1814">
        <v>12.435770465869201</v>
      </c>
      <c r="AI1814">
        <v>94.930654762247599</v>
      </c>
      <c r="AJ1814">
        <v>105.999220359156</v>
      </c>
      <c r="AK1814">
        <v>12.9849258487539</v>
      </c>
      <c r="AL1814">
        <v>87.779023904536004</v>
      </c>
      <c r="AM1814">
        <v>100.702652260086</v>
      </c>
      <c r="AN1814">
        <v>1.0000000364066</v>
      </c>
    </row>
    <row r="1815" spans="1:40" x14ac:dyDescent="0.3">
      <c r="A1815" t="str">
        <f>"20200111153909045"</f>
        <v>20200111153909045</v>
      </c>
      <c r="B1815" t="str">
        <f>"1578728349033006"</f>
        <v>1578728349033006</v>
      </c>
      <c r="C1815" t="s">
        <v>40</v>
      </c>
      <c r="D1815">
        <v>5.3398919999999999</v>
      </c>
      <c r="E1815">
        <v>0.4700415</v>
      </c>
      <c r="F1815" t="s">
        <v>55</v>
      </c>
      <c r="G1815">
        <v>-462.399</v>
      </c>
      <c r="H1815" s="1">
        <v>-3.562382E-7</v>
      </c>
      <c r="I1815">
        <v>216.81360000000001</v>
      </c>
      <c r="J1815">
        <v>-475.47379999999998</v>
      </c>
      <c r="K1815">
        <v>1.115766</v>
      </c>
      <c r="L1815">
        <v>217.82919999999999</v>
      </c>
      <c r="M1815">
        <v>0.93815839999999995</v>
      </c>
      <c r="N1815">
        <v>0</v>
      </c>
      <c r="O1815">
        <v>-0.3458677</v>
      </c>
      <c r="P1815">
        <v>0.98491439999999997</v>
      </c>
      <c r="Q1815">
        <v>2.9389189999999999E-2</v>
      </c>
      <c r="R1815">
        <v>-0.1705284</v>
      </c>
      <c r="S1815">
        <v>3.0116879999999999</v>
      </c>
      <c r="T1815">
        <v>-0.25113200000000002</v>
      </c>
      <c r="U1815">
        <v>-0.25263980000000003</v>
      </c>
      <c r="V1815">
        <v>-0.1818642</v>
      </c>
      <c r="W1815">
        <v>3.9345419999999999E-2</v>
      </c>
      <c r="X1815">
        <v>0.98253619999999997</v>
      </c>
      <c r="Y1815">
        <v>-0.26421539999999999</v>
      </c>
      <c r="Z1815">
        <v>3.9159800000000002E-2</v>
      </c>
      <c r="AA1815">
        <v>0.96366830000000003</v>
      </c>
      <c r="AB1815">
        <v>34</v>
      </c>
      <c r="AC1815">
        <v>13.0747999999999</v>
      </c>
      <c r="AD1815">
        <v>-1.1157663562381901</v>
      </c>
      <c r="AE1815">
        <v>-1.0155999999999701</v>
      </c>
      <c r="AF1815">
        <v>-3.5441206226108601</v>
      </c>
      <c r="AG1815">
        <v>-1.1157663562381901</v>
      </c>
      <c r="AH1815">
        <v>12.5282861966821</v>
      </c>
      <c r="AI1815">
        <v>94.898095557718605</v>
      </c>
      <c r="AJ1815">
        <v>105.79565119253201</v>
      </c>
      <c r="AK1815">
        <v>13.0676578075531</v>
      </c>
      <c r="AL1815">
        <v>87.745091483640493</v>
      </c>
      <c r="AM1815">
        <v>100.48657473957201</v>
      </c>
      <c r="AN1815">
        <v>1.0000000168135199</v>
      </c>
    </row>
    <row r="1816" spans="1:40" x14ac:dyDescent="0.3">
      <c r="A1816" t="str">
        <f>"20200111153909067"</f>
        <v>20200111153909067</v>
      </c>
      <c r="B1816" t="str">
        <f>"1578728349062794"</f>
        <v>1578728349062794</v>
      </c>
      <c r="C1816" t="s">
        <v>40</v>
      </c>
      <c r="D1816">
        <v>5.3584399999999999</v>
      </c>
      <c r="E1816">
        <v>0.47205170000000002</v>
      </c>
      <c r="F1816" t="s">
        <v>55</v>
      </c>
      <c r="G1816">
        <v>-462.48079999999999</v>
      </c>
      <c r="H1816" s="1">
        <v>-3.0182840000000002E-7</v>
      </c>
      <c r="I1816">
        <v>216.56489999999999</v>
      </c>
      <c r="J1816">
        <v>-475.15809999999999</v>
      </c>
      <c r="K1816">
        <v>1.1154790000000001</v>
      </c>
      <c r="L1816">
        <v>217.72370000000001</v>
      </c>
      <c r="M1816">
        <v>0.94204350000000003</v>
      </c>
      <c r="N1816">
        <v>0</v>
      </c>
      <c r="O1816">
        <v>-0.33514470000000002</v>
      </c>
      <c r="P1816">
        <v>0.98609199999999997</v>
      </c>
      <c r="Q1816">
        <v>2.975591E-2</v>
      </c>
      <c r="R1816">
        <v>-0.16351579999999999</v>
      </c>
      <c r="S1816">
        <v>3.0029910000000002</v>
      </c>
      <c r="T1816">
        <v>-0.2578802</v>
      </c>
      <c r="U1816">
        <v>-0.29219060000000002</v>
      </c>
      <c r="V1816">
        <v>-0.177620899999999</v>
      </c>
      <c r="W1816">
        <v>3.9906700000000003E-2</v>
      </c>
      <c r="X1816">
        <v>0.98328950000000004</v>
      </c>
      <c r="Y1816">
        <v>-0.2403227</v>
      </c>
      <c r="Z1816">
        <v>3.8396329999999999E-2</v>
      </c>
      <c r="AA1816">
        <v>0.9699333</v>
      </c>
      <c r="AB1816">
        <v>34</v>
      </c>
      <c r="AC1816">
        <v>12.677300000000001</v>
      </c>
      <c r="AD1816">
        <v>-1.1154793018283999</v>
      </c>
      <c r="AE1816">
        <v>-1.15880000000001</v>
      </c>
      <c r="AF1816">
        <v>-3.1333976420337302</v>
      </c>
      <c r="AG1816">
        <v>-1.1154793018283999</v>
      </c>
      <c r="AH1816">
        <v>12.238396739451501</v>
      </c>
      <c r="AI1816">
        <v>95.046003589646205</v>
      </c>
      <c r="AJ1816">
        <v>104.36095374973</v>
      </c>
      <c r="AK1816">
        <v>12.682303797344099</v>
      </c>
      <c r="AL1816">
        <v>87.712907157231399</v>
      </c>
      <c r="AM1816">
        <v>100.23945917748701</v>
      </c>
      <c r="AN1816">
        <v>0.99999998481597396</v>
      </c>
    </row>
    <row r="1817" spans="1:40" x14ac:dyDescent="0.3">
      <c r="A1817" t="str">
        <f>"20200111153909110"</f>
        <v>20200111153909110</v>
      </c>
      <c r="B1817" t="str">
        <f>"1578728349102810"</f>
        <v>1578728349102810</v>
      </c>
      <c r="C1817" t="s">
        <v>40</v>
      </c>
      <c r="D1817">
        <v>5.6273650000000002</v>
      </c>
      <c r="E1817">
        <v>0.47319080000000002</v>
      </c>
      <c r="F1817" t="s">
        <v>55</v>
      </c>
      <c r="G1817">
        <v>-462.18450000000001</v>
      </c>
      <c r="H1817" s="1">
        <v>-4.5594199999999999E-7</v>
      </c>
      <c r="I1817">
        <v>216.48390000000001</v>
      </c>
      <c r="J1817">
        <v>-474.55540000000002</v>
      </c>
      <c r="K1817">
        <v>1.1149009999999999</v>
      </c>
      <c r="L1817">
        <v>217.53280000000001</v>
      </c>
      <c r="M1817">
        <v>0.94877730000000005</v>
      </c>
      <c r="N1817">
        <v>0</v>
      </c>
      <c r="O1817">
        <v>-0.3155848</v>
      </c>
      <c r="P1817">
        <v>0.98774870000000004</v>
      </c>
      <c r="Q1817">
        <v>3.1974639999999999E-2</v>
      </c>
      <c r="R1817">
        <v>-0.1527406</v>
      </c>
      <c r="S1817">
        <v>3.002472</v>
      </c>
      <c r="T1817">
        <v>-0.25815379999999999</v>
      </c>
      <c r="U1817">
        <v>-0.28692630000000002</v>
      </c>
      <c r="V1817">
        <v>-0.1679717</v>
      </c>
      <c r="W1817">
        <v>4.2532790000000001E-2</v>
      </c>
      <c r="X1817">
        <v>0.98487380000000002</v>
      </c>
      <c r="Y1817">
        <v>-0.22200120000000001</v>
      </c>
      <c r="Z1817">
        <v>3.6075120000000002E-2</v>
      </c>
      <c r="AA1817">
        <v>0.97437879999999999</v>
      </c>
      <c r="AB1817">
        <v>34</v>
      </c>
      <c r="AC1817">
        <v>12.370900000000001</v>
      </c>
      <c r="AD1817">
        <v>-1.1149014559420001</v>
      </c>
      <c r="AE1817">
        <v>-1.0488999999999999</v>
      </c>
      <c r="AF1817">
        <v>-2.8859541612796802</v>
      </c>
      <c r="AG1817">
        <v>-1.1149014559420001</v>
      </c>
      <c r="AH1817">
        <v>11.9730684195496</v>
      </c>
      <c r="AI1817">
        <v>95.172594082687397</v>
      </c>
      <c r="AJ1817">
        <v>103.551907360698</v>
      </c>
      <c r="AK1817">
        <v>12.3663294496259</v>
      </c>
      <c r="AL1817">
        <v>87.562315204796107</v>
      </c>
      <c r="AM1817">
        <v>99.678753366867994</v>
      </c>
      <c r="AN1817">
        <v>0.99999996607625596</v>
      </c>
    </row>
    <row r="1818" spans="1:40" x14ac:dyDescent="0.3">
      <c r="A1818" t="str">
        <f>"20200111153909155"</f>
        <v>20200111153909155</v>
      </c>
      <c r="B1818" t="str">
        <f>"1578728349152586"</f>
        <v>1578728349152586</v>
      </c>
      <c r="C1818" t="s">
        <v>40</v>
      </c>
      <c r="D1818">
        <v>5.3751569999999997</v>
      </c>
      <c r="E1818">
        <v>0.47642649999999998</v>
      </c>
      <c r="F1818" t="s">
        <v>55</v>
      </c>
      <c r="G1818">
        <v>-461.32729999999998</v>
      </c>
      <c r="H1818" s="1">
        <v>-9.071874E-7</v>
      </c>
      <c r="I1818">
        <v>216.3717</v>
      </c>
      <c r="J1818">
        <v>-473.92759999999998</v>
      </c>
      <c r="K1818">
        <v>1.1142609999999999</v>
      </c>
      <c r="L1818">
        <v>217.34719999999999</v>
      </c>
      <c r="M1818">
        <v>0.95495920000000001</v>
      </c>
      <c r="N1818">
        <v>0</v>
      </c>
      <c r="O1818">
        <v>-0.29636030000000002</v>
      </c>
      <c r="P1818">
        <v>0.98979910000000004</v>
      </c>
      <c r="Q1818">
        <v>3.5114340000000001E-2</v>
      </c>
      <c r="R1818">
        <v>-0.138074799999999</v>
      </c>
      <c r="S1818">
        <v>3.0046390000000001</v>
      </c>
      <c r="T1818">
        <v>-0.25324059999999998</v>
      </c>
      <c r="U1818">
        <v>-0.26373289999999999</v>
      </c>
      <c r="V1818">
        <v>-0.16265439999999901</v>
      </c>
      <c r="W1818">
        <v>4.5947410000000001E-2</v>
      </c>
      <c r="X1818">
        <v>0.98561270000000001</v>
      </c>
      <c r="Y1818">
        <v>-0.21000179999999999</v>
      </c>
      <c r="Z1818">
        <v>3.3339899999999999E-2</v>
      </c>
      <c r="AA1818">
        <v>0.97713240000000001</v>
      </c>
      <c r="AB1818">
        <v>34</v>
      </c>
      <c r="AC1818">
        <v>12.600300000000001</v>
      </c>
      <c r="AD1818">
        <v>-1.1142619071874</v>
      </c>
      <c r="AE1818">
        <v>-0.97549999999998205</v>
      </c>
      <c r="AF1818">
        <v>-2.7813583015483698</v>
      </c>
      <c r="AG1818">
        <v>-1.1142619071874</v>
      </c>
      <c r="AH1818">
        <v>12.2281930083499</v>
      </c>
      <c r="AI1818">
        <v>95.077563274460005</v>
      </c>
      <c r="AJ1818">
        <v>102.814172405728</v>
      </c>
      <c r="AK1818">
        <v>12.589926046202899</v>
      </c>
      <c r="AL1818">
        <v>87.366480157065794</v>
      </c>
      <c r="AM1818">
        <v>99.370986881571199</v>
      </c>
      <c r="AN1818">
        <v>1.00000000636317</v>
      </c>
    </row>
    <row r="1819" spans="1:40" x14ac:dyDescent="0.3">
      <c r="A1819" t="str">
        <f>"20200111153909176"</f>
        <v>20200111153909176</v>
      </c>
      <c r="B1819" t="str">
        <f>"1578728349172106"</f>
        <v>1578728349172106</v>
      </c>
      <c r="C1819" t="s">
        <v>40</v>
      </c>
      <c r="D1819">
        <v>5.3271389999999998</v>
      </c>
      <c r="E1819">
        <v>0.47746240000000001</v>
      </c>
      <c r="F1819" t="s">
        <v>55</v>
      </c>
      <c r="G1819">
        <v>-459.8415</v>
      </c>
      <c r="H1819" s="1">
        <v>3.6313560000000001E-6</v>
      </c>
      <c r="I1819">
        <v>216.19450000000001</v>
      </c>
      <c r="J1819">
        <v>-473.62419999999997</v>
      </c>
      <c r="K1819">
        <v>1.1139589999999999</v>
      </c>
      <c r="L1819">
        <v>217.26230000000001</v>
      </c>
      <c r="M1819">
        <v>0.95766410000000002</v>
      </c>
      <c r="N1819">
        <v>0</v>
      </c>
      <c r="O1819">
        <v>-0.28750320000000001</v>
      </c>
      <c r="P1819">
        <v>0.99079589999999995</v>
      </c>
      <c r="Q1819">
        <v>3.5589549999999998E-2</v>
      </c>
      <c r="R1819">
        <v>-0.13060330000000001</v>
      </c>
      <c r="S1819">
        <v>3.0050349999999999</v>
      </c>
      <c r="T1819">
        <v>-0.23770669999999999</v>
      </c>
      <c r="U1819">
        <v>-0.24591060000000001</v>
      </c>
      <c r="V1819">
        <v>-0.16092919999999999</v>
      </c>
      <c r="W1819">
        <v>4.6523290000000002E-2</v>
      </c>
      <c r="X1819">
        <v>0.98586890000000005</v>
      </c>
      <c r="Y1819">
        <v>-0.2069549</v>
      </c>
      <c r="Z1819">
        <v>3.051974E-2</v>
      </c>
      <c r="AA1819">
        <v>0.97787429999999997</v>
      </c>
      <c r="AB1819">
        <v>33</v>
      </c>
      <c r="AC1819">
        <v>13.782699999999901</v>
      </c>
      <c r="AD1819">
        <v>-1.113955368644</v>
      </c>
      <c r="AE1819">
        <v>-1.0678000000000001</v>
      </c>
      <c r="AF1819">
        <v>-2.9213329077036199</v>
      </c>
      <c r="AG1819">
        <v>-1.113955368644</v>
      </c>
      <c r="AH1819">
        <v>13.420544032693501</v>
      </c>
      <c r="AI1819">
        <v>94.636796186642499</v>
      </c>
      <c r="AJ1819">
        <v>102.280359026265</v>
      </c>
      <c r="AK1819">
        <v>13.7799159886564</v>
      </c>
      <c r="AL1819">
        <v>87.333449471644897</v>
      </c>
      <c r="AM1819">
        <v>99.270960827320593</v>
      </c>
      <c r="AN1819">
        <v>1.00000005595613</v>
      </c>
    </row>
    <row r="1820" spans="1:40" x14ac:dyDescent="0.3">
      <c r="A1820" t="str">
        <f>"20200111153909201"</f>
        <v>20200111153909201</v>
      </c>
      <c r="B1820" t="str">
        <f>"1578728349192602"</f>
        <v>1578728349192602</v>
      </c>
      <c r="C1820" t="s">
        <v>40</v>
      </c>
      <c r="D1820">
        <v>5.3945489999999996</v>
      </c>
      <c r="E1820">
        <v>0.47794819999999999</v>
      </c>
      <c r="F1820" t="s">
        <v>55</v>
      </c>
      <c r="G1820">
        <v>-459.38240000000002</v>
      </c>
      <c r="H1820" s="1">
        <v>3.388308E-6</v>
      </c>
      <c r="I1820">
        <v>216.16640000000001</v>
      </c>
      <c r="J1820">
        <v>-473.27050000000003</v>
      </c>
      <c r="K1820">
        <v>1.113594</v>
      </c>
      <c r="L1820">
        <v>217.1669</v>
      </c>
      <c r="M1820">
        <v>0.96059019999999995</v>
      </c>
      <c r="N1820">
        <v>0</v>
      </c>
      <c r="O1820">
        <v>-0.2775744</v>
      </c>
      <c r="P1820">
        <v>0.99191010000000002</v>
      </c>
      <c r="Q1820">
        <v>3.6091610000000003E-2</v>
      </c>
      <c r="R1820">
        <v>-0.1217027</v>
      </c>
      <c r="S1820">
        <v>3.0058590000000001</v>
      </c>
      <c r="T1820">
        <v>-0.23511090000000001</v>
      </c>
      <c r="U1820">
        <v>-0.23129269999999999</v>
      </c>
      <c r="V1820">
        <v>-0.15953489999999901</v>
      </c>
      <c r="W1820">
        <v>4.7129160000000003E-2</v>
      </c>
      <c r="X1820">
        <v>0.98606660000000002</v>
      </c>
      <c r="Y1820">
        <v>-0.201651</v>
      </c>
      <c r="Z1820">
        <v>2.9236729999999999E-2</v>
      </c>
      <c r="AA1820">
        <v>0.97902100000000003</v>
      </c>
      <c r="AB1820">
        <v>33</v>
      </c>
      <c r="AC1820">
        <v>13.8881</v>
      </c>
      <c r="AD1820">
        <v>-1.113590611692</v>
      </c>
      <c r="AE1820">
        <v>-1.00049999999998</v>
      </c>
      <c r="AF1820">
        <v>-2.8758331419981902</v>
      </c>
      <c r="AG1820">
        <v>-1.113590611692</v>
      </c>
      <c r="AH1820">
        <v>13.533415363501</v>
      </c>
      <c r="AI1820">
        <v>94.601665972401605</v>
      </c>
      <c r="AJ1820">
        <v>101.996827922804</v>
      </c>
      <c r="AK1820">
        <v>13.8803397549234</v>
      </c>
      <c r="AL1820">
        <v>87.298697246834607</v>
      </c>
      <c r="AM1820">
        <v>99.190202201329399</v>
      </c>
      <c r="AN1820">
        <v>0.99999994083793597</v>
      </c>
    </row>
    <row r="1821" spans="1:40" x14ac:dyDescent="0.3">
      <c r="A1821" t="str">
        <f>"20200111153909245"</f>
        <v>20200111153909245</v>
      </c>
      <c r="B1821" t="str">
        <f>"1578728349232617"</f>
        <v>1578728349232617</v>
      </c>
      <c r="C1821" t="s">
        <v>40</v>
      </c>
      <c r="D1821">
        <v>5.4187629999999896</v>
      </c>
      <c r="E1821">
        <v>0.48778579999999999</v>
      </c>
      <c r="F1821" t="s">
        <v>55</v>
      </c>
      <c r="G1821">
        <v>-458.89359999999999</v>
      </c>
      <c r="H1821" s="1">
        <v>3.1278489999999998E-6</v>
      </c>
      <c r="I1821">
        <v>216.17349999999999</v>
      </c>
      <c r="J1821">
        <v>-472.6497</v>
      </c>
      <c r="K1821">
        <v>1.1129800000000001</v>
      </c>
      <c r="L1821">
        <v>217.0077</v>
      </c>
      <c r="M1821">
        <v>0.96523389999999998</v>
      </c>
      <c r="N1821">
        <v>0</v>
      </c>
      <c r="O1821">
        <v>-0.26097670000000001</v>
      </c>
      <c r="P1821">
        <v>0.9935389</v>
      </c>
      <c r="Q1821">
        <v>3.6511769999999999E-2</v>
      </c>
      <c r="R1821">
        <v>-0.10746029999999999</v>
      </c>
      <c r="S1821">
        <v>3.0074770000000002</v>
      </c>
      <c r="T1821">
        <v>-0.2329485</v>
      </c>
      <c r="U1821">
        <v>-0.20779420000000001</v>
      </c>
      <c r="V1821">
        <v>-0.15661079999999999</v>
      </c>
      <c r="W1821">
        <v>4.7720249999999999E-2</v>
      </c>
      <c r="X1821">
        <v>0.98650689999999996</v>
      </c>
      <c r="Y1821">
        <v>-0.19251280000000001</v>
      </c>
      <c r="Z1821">
        <v>2.7374889999999999E-2</v>
      </c>
      <c r="AA1821">
        <v>0.98091260000000002</v>
      </c>
      <c r="AB1821">
        <v>33</v>
      </c>
      <c r="AC1821">
        <v>13.7561</v>
      </c>
      <c r="AD1821">
        <v>-1.1129768721509901</v>
      </c>
      <c r="AE1821">
        <v>-0.83420000000000905</v>
      </c>
      <c r="AF1821">
        <v>-2.7670752932942499</v>
      </c>
      <c r="AG1821">
        <v>-1.1129768721509901</v>
      </c>
      <c r="AH1821">
        <v>13.4095512299884</v>
      </c>
      <c r="AI1821">
        <v>94.647141270895403</v>
      </c>
      <c r="AJ1821">
        <v>101.659395271693</v>
      </c>
      <c r="AK1821">
        <v>13.7372299750126</v>
      </c>
      <c r="AL1821">
        <v>87.264792333714993</v>
      </c>
      <c r="AM1821">
        <v>99.020591613517993</v>
      </c>
      <c r="AN1821">
        <v>1.0000000143421499</v>
      </c>
    </row>
    <row r="1822" spans="1:40" x14ac:dyDescent="0.3">
      <c r="A1822" t="str">
        <f>"20200111153909265"</f>
        <v>20200111153909265</v>
      </c>
      <c r="B1822" t="str">
        <f>"1578728349262874"</f>
        <v>1578728349262874</v>
      </c>
      <c r="C1822" t="s">
        <v>40</v>
      </c>
      <c r="D1822">
        <v>5.2136129999999996</v>
      </c>
      <c r="E1822">
        <v>0.48848449999999999</v>
      </c>
      <c r="F1822" t="s">
        <v>55</v>
      </c>
      <c r="G1822">
        <v>-456.0136</v>
      </c>
      <c r="H1822" s="1">
        <v>1.6170999999999999E-6</v>
      </c>
      <c r="I1822">
        <v>215.6746</v>
      </c>
      <c r="J1822">
        <v>-472.3424</v>
      </c>
      <c r="K1822">
        <v>1.1127039999999999</v>
      </c>
      <c r="L1822">
        <v>216.93270000000001</v>
      </c>
      <c r="M1822">
        <v>0.96732119999999999</v>
      </c>
      <c r="N1822">
        <v>0</v>
      </c>
      <c r="O1822">
        <v>-0.253135</v>
      </c>
      <c r="P1822">
        <v>0.99417029999999995</v>
      </c>
      <c r="Q1822">
        <v>3.6328680000000002E-2</v>
      </c>
      <c r="R1822">
        <v>-0.101517</v>
      </c>
      <c r="S1822">
        <v>3.0009160000000001</v>
      </c>
      <c r="T1822">
        <v>-0.200765</v>
      </c>
      <c r="U1822">
        <v>-0.24047850000000001</v>
      </c>
      <c r="V1822">
        <v>-0.1544652</v>
      </c>
      <c r="W1822">
        <v>4.762023E-2</v>
      </c>
      <c r="X1822">
        <v>0.98685</v>
      </c>
      <c r="Y1822">
        <v>-0.17414099999999999</v>
      </c>
      <c r="Z1822">
        <v>2.2517809999999999E-2</v>
      </c>
      <c r="AA1822">
        <v>0.98446319999999998</v>
      </c>
      <c r="AB1822">
        <v>33</v>
      </c>
      <c r="AC1822">
        <v>16.328800000000001</v>
      </c>
      <c r="AD1822">
        <v>-1.1127023829</v>
      </c>
      <c r="AE1822">
        <v>-1.25810000000001</v>
      </c>
      <c r="AF1822">
        <v>-2.9033116175814802</v>
      </c>
      <c r="AG1822">
        <v>-1.1127023829</v>
      </c>
      <c r="AH1822">
        <v>16.041325830848098</v>
      </c>
      <c r="AI1822">
        <v>93.904713676532793</v>
      </c>
      <c r="AJ1822">
        <v>100.25887942596501</v>
      </c>
      <c r="AK1822">
        <v>16.3398732967282</v>
      </c>
      <c r="AL1822">
        <v>87.270529686727599</v>
      </c>
      <c r="AM1822">
        <v>98.895954542101805</v>
      </c>
      <c r="AN1822">
        <v>1.0000000534081399</v>
      </c>
    </row>
    <row r="1823" spans="1:40" x14ac:dyDescent="0.3">
      <c r="A1823" t="str">
        <f>"20200111153909290"</f>
        <v>20200111153909290</v>
      </c>
      <c r="B1823" t="str">
        <f>"1578728349282394"</f>
        <v>1578728349282394</v>
      </c>
      <c r="C1823" t="s">
        <v>40</v>
      </c>
      <c r="D1823">
        <v>5.3557119999999996</v>
      </c>
      <c r="E1823">
        <v>0.48928549999999899</v>
      </c>
      <c r="F1823" t="s">
        <v>55</v>
      </c>
      <c r="G1823">
        <v>-455.98770000000002</v>
      </c>
      <c r="H1823" s="1">
        <v>1.602617E-6</v>
      </c>
      <c r="I1823">
        <v>215.691</v>
      </c>
      <c r="J1823">
        <v>-471.99990000000003</v>
      </c>
      <c r="K1823">
        <v>1.1124179999999999</v>
      </c>
      <c r="L1823">
        <v>216.852</v>
      </c>
      <c r="M1823">
        <v>0.96950000000000003</v>
      </c>
      <c r="N1823">
        <v>0</v>
      </c>
      <c r="O1823">
        <v>-0.24466280000000001</v>
      </c>
      <c r="P1823">
        <v>0.99480590000000002</v>
      </c>
      <c r="Q1823">
        <v>3.6570270000000002E-2</v>
      </c>
      <c r="R1823">
        <v>-9.4991919999999994E-2</v>
      </c>
      <c r="S1823">
        <v>3.001709</v>
      </c>
      <c r="T1823">
        <v>-0.2042233</v>
      </c>
      <c r="U1823">
        <v>-0.22790530000000001</v>
      </c>
      <c r="V1823">
        <v>-0.15227160000000001</v>
      </c>
      <c r="W1823">
        <v>4.7930300000000002E-2</v>
      </c>
      <c r="X1823">
        <v>0.98717580000000005</v>
      </c>
      <c r="Y1823">
        <v>-0.16964119999999999</v>
      </c>
      <c r="Z1823">
        <v>2.2193879999999999E-2</v>
      </c>
      <c r="AA1823">
        <v>0.98525600000000002</v>
      </c>
      <c r="AB1823">
        <v>33</v>
      </c>
      <c r="AC1823">
        <v>16.0122</v>
      </c>
      <c r="AD1823">
        <v>-1.1124163973829999</v>
      </c>
      <c r="AE1823">
        <v>-1.16100000000002</v>
      </c>
      <c r="AF1823">
        <v>-2.7789507288735402</v>
      </c>
      <c r="AG1823">
        <v>-1.1124163973829999</v>
      </c>
      <c r="AH1823">
        <v>15.7339973636993</v>
      </c>
      <c r="AI1823">
        <v>93.982724715079101</v>
      </c>
      <c r="AJ1823">
        <v>100.016324489832</v>
      </c>
      <c r="AK1823">
        <v>16.0162014983445</v>
      </c>
      <c r="AL1823">
        <v>87.252743547897396</v>
      </c>
      <c r="AM1823">
        <v>98.768749426303202</v>
      </c>
      <c r="AN1823">
        <v>1.00000000696514</v>
      </c>
    </row>
    <row r="1824" spans="1:40" x14ac:dyDescent="0.3">
      <c r="A1824" t="str">
        <f>"20200111153909311"</f>
        <v>20200111153909311</v>
      </c>
      <c r="B1824" t="str">
        <f>"1578728349302891"</f>
        <v>1578728349302891</v>
      </c>
      <c r="C1824" t="s">
        <v>40</v>
      </c>
      <c r="D1824">
        <v>5.3892989999999896</v>
      </c>
      <c r="E1824">
        <v>0.48985790000000001</v>
      </c>
      <c r="F1824" t="s">
        <v>55</v>
      </c>
      <c r="G1824">
        <v>-455.74939999999998</v>
      </c>
      <c r="H1824" s="1">
        <v>1.475772E-6</v>
      </c>
      <c r="I1824">
        <v>215.6908</v>
      </c>
      <c r="J1824">
        <v>-471.6764</v>
      </c>
      <c r="K1824">
        <v>1.1121399999999999</v>
      </c>
      <c r="L1824">
        <v>216.7783</v>
      </c>
      <c r="M1824">
        <v>0.97141889999999997</v>
      </c>
      <c r="N1824">
        <v>0</v>
      </c>
      <c r="O1824">
        <v>-0.2369356</v>
      </c>
      <c r="P1824">
        <v>0.99532120000000002</v>
      </c>
      <c r="Q1824">
        <v>3.6538349999999997E-2</v>
      </c>
      <c r="R1824">
        <v>-8.9445620000000003E-2</v>
      </c>
      <c r="S1824">
        <v>3.002777</v>
      </c>
      <c r="T1824">
        <v>-0.20555290000000001</v>
      </c>
      <c r="U1824">
        <v>-0.21455379999999999</v>
      </c>
      <c r="V1824">
        <v>-0.14987700000000001</v>
      </c>
      <c r="W1824">
        <v>4.7946969999999998E-2</v>
      </c>
      <c r="X1824">
        <v>0.98754140000000001</v>
      </c>
      <c r="Y1824">
        <v>-0.16619049999999999</v>
      </c>
      <c r="Z1824">
        <v>2.1704770000000002E-2</v>
      </c>
      <c r="AA1824">
        <v>0.98585469999999997</v>
      </c>
      <c r="AB1824">
        <v>33</v>
      </c>
      <c r="AC1824">
        <v>15.927</v>
      </c>
      <c r="AD1824">
        <v>-1.112138524228</v>
      </c>
      <c r="AE1824">
        <v>-1.0874999999999999</v>
      </c>
      <c r="AF1824">
        <v>-2.7044112168884502</v>
      </c>
      <c r="AG1824">
        <v>-1.112138524228</v>
      </c>
      <c r="AH1824">
        <v>15.655105663497199</v>
      </c>
      <c r="AI1824">
        <v>94.004351797479003</v>
      </c>
      <c r="AJ1824">
        <v>99.801083667599499</v>
      </c>
      <c r="AK1824">
        <v>15.925860273855401</v>
      </c>
      <c r="AL1824">
        <v>87.2517873689184</v>
      </c>
      <c r="AM1824">
        <v>98.629799299532706</v>
      </c>
      <c r="AN1824">
        <v>1.00000002188757</v>
      </c>
    </row>
    <row r="1825" spans="1:40" x14ac:dyDescent="0.3">
      <c r="A1825" t="str">
        <f>"20200111153909334"</f>
        <v>20200111153909334</v>
      </c>
      <c r="B1825" t="str">
        <f>"1578728349322410"</f>
        <v>1578728349322410</v>
      </c>
      <c r="C1825" t="s">
        <v>40</v>
      </c>
      <c r="D1825">
        <v>5.3513809999999999</v>
      </c>
      <c r="E1825">
        <v>0.49053079999999999</v>
      </c>
      <c r="F1825" t="s">
        <v>55</v>
      </c>
      <c r="G1825">
        <v>-455.71199999999999</v>
      </c>
      <c r="H1825" s="1">
        <v>1.455268E-6</v>
      </c>
      <c r="I1825">
        <v>215.7047</v>
      </c>
      <c r="J1825">
        <v>-471.36470000000003</v>
      </c>
      <c r="K1825">
        <v>1.1118680000000001</v>
      </c>
      <c r="L1825">
        <v>216.7097</v>
      </c>
      <c r="M1825">
        <v>0.97314840000000002</v>
      </c>
      <c r="N1825">
        <v>0</v>
      </c>
      <c r="O1825">
        <v>-0.22973679999999999</v>
      </c>
      <c r="P1825">
        <v>0.99576480000000001</v>
      </c>
      <c r="Q1825">
        <v>3.5869159999999997E-2</v>
      </c>
      <c r="R1825">
        <v>-8.4651939999999995E-2</v>
      </c>
      <c r="S1825">
        <v>3.0036010000000002</v>
      </c>
      <c r="T1825">
        <v>-0.2092417</v>
      </c>
      <c r="U1825">
        <v>-0.2019958</v>
      </c>
      <c r="V1825">
        <v>-0.1472783</v>
      </c>
      <c r="W1825">
        <v>4.7302530000000002E-2</v>
      </c>
      <c r="X1825">
        <v>0.98796329999999999</v>
      </c>
      <c r="Y1825">
        <v>-0.16300129999999999</v>
      </c>
      <c r="Z1825">
        <v>2.1493950000000001E-2</v>
      </c>
      <c r="AA1825">
        <v>0.98639169999999998</v>
      </c>
      <c r="AB1825">
        <v>33</v>
      </c>
      <c r="AC1825">
        <v>15.652699999999999</v>
      </c>
      <c r="AD1825">
        <v>-1.111866544732</v>
      </c>
      <c r="AE1825">
        <v>-1.0049999999999899</v>
      </c>
      <c r="AF1825">
        <v>-2.6051620261684398</v>
      </c>
      <c r="AG1825">
        <v>-1.111866544732</v>
      </c>
      <c r="AH1825">
        <v>15.387533629379799</v>
      </c>
      <c r="AI1825">
        <v>94.075082596950196</v>
      </c>
      <c r="AJ1825">
        <v>99.609250641364298</v>
      </c>
      <c r="AK1825">
        <v>15.6460636452488</v>
      </c>
      <c r="AL1825">
        <v>87.288752823243499</v>
      </c>
      <c r="AM1825">
        <v>98.478794093570102</v>
      </c>
      <c r="AN1825">
        <v>0.99999995457108903</v>
      </c>
    </row>
    <row r="1826" spans="1:40" x14ac:dyDescent="0.3">
      <c r="A1826" t="str">
        <f>"20200111153909379"</f>
        <v>20200111153909379</v>
      </c>
      <c r="B1826" t="str">
        <f>"1578728349372187"</f>
        <v>1578728349372187</v>
      </c>
      <c r="C1826" t="s">
        <v>40</v>
      </c>
      <c r="D1826">
        <v>5.3358239999999997</v>
      </c>
      <c r="E1826">
        <v>0.48543350000000002</v>
      </c>
      <c r="F1826" t="s">
        <v>55</v>
      </c>
      <c r="G1826">
        <v>-455.70769999999999</v>
      </c>
      <c r="H1826" s="1">
        <v>1.453002E-6</v>
      </c>
      <c r="I1826">
        <v>215.7046</v>
      </c>
      <c r="J1826">
        <v>-470.7319</v>
      </c>
      <c r="K1826">
        <v>1.1113170000000001</v>
      </c>
      <c r="L1826">
        <v>216.5772</v>
      </c>
      <c r="M1826">
        <v>0.9763252</v>
      </c>
      <c r="N1826">
        <v>0</v>
      </c>
      <c r="O1826">
        <v>-0.21585889999999999</v>
      </c>
      <c r="P1826">
        <v>0.99667669999999997</v>
      </c>
      <c r="Q1826">
        <v>3.574066E-2</v>
      </c>
      <c r="R1826">
        <v>-7.3200509999999996E-2</v>
      </c>
      <c r="S1826">
        <v>3.0040589999999998</v>
      </c>
      <c r="T1826">
        <v>-0.2133311</v>
      </c>
      <c r="U1826">
        <v>-0.19285579999999999</v>
      </c>
      <c r="V1826">
        <v>-0.14449870000000001</v>
      </c>
      <c r="W1826">
        <v>4.7098679999999997E-2</v>
      </c>
      <c r="X1826">
        <v>0.98838349999999997</v>
      </c>
      <c r="Y1826">
        <v>-0.15196760000000001</v>
      </c>
      <c r="Z1826">
        <v>2.0561530000000001E-2</v>
      </c>
      <c r="AA1826">
        <v>0.98817160000000004</v>
      </c>
      <c r="AB1826">
        <v>33</v>
      </c>
      <c r="AC1826">
        <v>15.0242</v>
      </c>
      <c r="AD1826">
        <v>-1.1113155469980001</v>
      </c>
      <c r="AE1826">
        <v>-0.87260000000000504</v>
      </c>
      <c r="AF1826">
        <v>-2.3784285462094199</v>
      </c>
      <c r="AG1826">
        <v>-1.1113155469980001</v>
      </c>
      <c r="AH1826">
        <v>14.7777233401172</v>
      </c>
      <c r="AI1826">
        <v>94.246225225501504</v>
      </c>
      <c r="AJ1826">
        <v>99.143167437385699</v>
      </c>
      <c r="AK1826">
        <v>15.0090989640107</v>
      </c>
      <c r="AL1826">
        <v>87.300445862766395</v>
      </c>
      <c r="AM1826">
        <v>98.317546419342094</v>
      </c>
      <c r="AN1826">
        <v>1.00000005151584</v>
      </c>
    </row>
    <row r="1827" spans="1:40" x14ac:dyDescent="0.3">
      <c r="A1827" t="str">
        <f>"20200111153909400"</f>
        <v>20200111153909400</v>
      </c>
      <c r="B1827" t="str">
        <f>"1578728349392682"</f>
        <v>1578728349392682</v>
      </c>
      <c r="C1827" t="s">
        <v>40</v>
      </c>
      <c r="D1827">
        <v>5.3500500000000004</v>
      </c>
      <c r="E1827">
        <v>0.48034500000000002</v>
      </c>
      <c r="F1827" t="s">
        <v>55</v>
      </c>
      <c r="G1827">
        <v>-457.96719999999999</v>
      </c>
      <c r="H1827" s="1">
        <v>2.6396289999999998E-6</v>
      </c>
      <c r="I1827">
        <v>216.06540000000001</v>
      </c>
      <c r="J1827">
        <v>-470.40140000000002</v>
      </c>
      <c r="K1827">
        <v>1.111067</v>
      </c>
      <c r="L1827">
        <v>216.51140000000001</v>
      </c>
      <c r="M1827">
        <v>0.97783249999999999</v>
      </c>
      <c r="N1827">
        <v>0</v>
      </c>
      <c r="O1827">
        <v>-0.20893619999999999</v>
      </c>
      <c r="P1827">
        <v>0.99708560000000002</v>
      </c>
      <c r="Q1827">
        <v>3.6113880000000001E-2</v>
      </c>
      <c r="R1827">
        <v>-6.7203750000000007E-2</v>
      </c>
      <c r="S1827">
        <v>3.010529</v>
      </c>
      <c r="T1827">
        <v>-0.26210220000000001</v>
      </c>
      <c r="U1827">
        <v>-0.12071229999999999</v>
      </c>
      <c r="V1827">
        <v>-0.14341300000000001</v>
      </c>
      <c r="W1827">
        <v>4.7407320000000003E-2</v>
      </c>
      <c r="X1827">
        <v>0.98852680000000004</v>
      </c>
      <c r="Y1827">
        <v>-0.1681955</v>
      </c>
      <c r="Z1827">
        <v>2.5335070000000001E-2</v>
      </c>
      <c r="AA1827">
        <v>0.98542799999999997</v>
      </c>
      <c r="AB1827">
        <v>33</v>
      </c>
      <c r="AC1827">
        <v>12.434200000000001</v>
      </c>
      <c r="AD1827">
        <v>-1.111064360371</v>
      </c>
      <c r="AE1827">
        <v>-0.44599999999999801</v>
      </c>
      <c r="AF1827">
        <v>-2.14494172901466</v>
      </c>
      <c r="AG1827">
        <v>-1.111064360371</v>
      </c>
      <c r="AH1827">
        <v>12.1559764358725</v>
      </c>
      <c r="AI1827">
        <v>95.143342392047003</v>
      </c>
      <c r="AJ1827">
        <v>100.006925794599</v>
      </c>
      <c r="AK1827">
        <v>12.393667824467601</v>
      </c>
      <c r="AL1827">
        <v>87.2827421470042</v>
      </c>
      <c r="AM1827">
        <v>98.254736346643099</v>
      </c>
      <c r="AN1827">
        <v>0.99999998843841098</v>
      </c>
    </row>
    <row r="1828" spans="1:40" x14ac:dyDescent="0.3">
      <c r="A1828" t="str">
        <f>"20200111153909422"</f>
        <v>20200111153909422</v>
      </c>
      <c r="B1828" t="str">
        <f>"1578728349412202"</f>
        <v>1578728349412202</v>
      </c>
      <c r="C1828" t="s">
        <v>40</v>
      </c>
      <c r="D1828">
        <v>5.3059010000000004</v>
      </c>
      <c r="E1828">
        <v>0.47801329999999997</v>
      </c>
      <c r="F1828" t="s">
        <v>55</v>
      </c>
      <c r="G1828">
        <v>-457.29599999999999</v>
      </c>
      <c r="H1828" s="1">
        <v>2.2747169999999998E-6</v>
      </c>
      <c r="I1828">
        <v>216.24160000000001</v>
      </c>
      <c r="J1828">
        <v>-470.07920000000001</v>
      </c>
      <c r="K1828">
        <v>1.110852</v>
      </c>
      <c r="L1828">
        <v>216.4494</v>
      </c>
      <c r="M1828">
        <v>0.97921820000000004</v>
      </c>
      <c r="N1828">
        <v>0</v>
      </c>
      <c r="O1828">
        <v>-0.2023539</v>
      </c>
      <c r="P1828">
        <v>0.99743490000000001</v>
      </c>
      <c r="Q1828">
        <v>3.6788399999999999E-2</v>
      </c>
      <c r="R1828">
        <v>-6.1405620000000001E-2</v>
      </c>
      <c r="S1828">
        <v>3.013855</v>
      </c>
      <c r="T1828">
        <v>-0.25551200000000002</v>
      </c>
      <c r="U1828">
        <v>-6.2042239999999999E-2</v>
      </c>
      <c r="V1828">
        <v>-0.1424888</v>
      </c>
      <c r="W1828">
        <v>4.799983E-2</v>
      </c>
      <c r="X1828">
        <v>0.98863179999999995</v>
      </c>
      <c r="Y1828">
        <v>-0.18080930000000001</v>
      </c>
      <c r="Z1828">
        <v>2.467579E-2</v>
      </c>
      <c r="AA1828">
        <v>0.98320859999999999</v>
      </c>
      <c r="AB1828">
        <v>33</v>
      </c>
      <c r="AC1828">
        <v>12.783200000000001</v>
      </c>
      <c r="AD1828">
        <v>-1.1108497252830001</v>
      </c>
      <c r="AE1828">
        <v>-0.20779999999999099</v>
      </c>
      <c r="AF1828">
        <v>-2.3656097459090701</v>
      </c>
      <c r="AG1828">
        <v>-1.1108497252830001</v>
      </c>
      <c r="AH1828">
        <v>12.4666342112207</v>
      </c>
      <c r="AI1828">
        <v>95.003127530877407</v>
      </c>
      <c r="AJ1828">
        <v>100.744433952443</v>
      </c>
      <c r="AK1828">
        <v>12.737623998944301</v>
      </c>
      <c r="AL1828">
        <v>87.248754994380903</v>
      </c>
      <c r="AM1828">
        <v>98.201406969808602</v>
      </c>
      <c r="AN1828">
        <v>0.99999993888835204</v>
      </c>
    </row>
    <row r="1829" spans="1:40" x14ac:dyDescent="0.3">
      <c r="A1829" t="str">
        <f>"20200111153909445"</f>
        <v>20200111153909445</v>
      </c>
      <c r="B1829" t="str">
        <f>"1578728349442460"</f>
        <v>1578728349442460</v>
      </c>
      <c r="C1829" t="s">
        <v>40</v>
      </c>
      <c r="D1829">
        <v>5.3786769999999997</v>
      </c>
      <c r="E1829">
        <v>0.47724860000000002</v>
      </c>
      <c r="F1829" t="s">
        <v>55</v>
      </c>
      <c r="G1829">
        <v>-456.69690000000003</v>
      </c>
      <c r="H1829" s="1">
        <v>1.9519100000000002E-6</v>
      </c>
      <c r="I1829">
        <v>216.3338</v>
      </c>
      <c r="J1829">
        <v>-469.75639999999999</v>
      </c>
      <c r="K1829">
        <v>1.1106419999999999</v>
      </c>
      <c r="L1829">
        <v>216.38919999999999</v>
      </c>
      <c r="M1829">
        <v>0.98052010000000001</v>
      </c>
      <c r="N1829">
        <v>0</v>
      </c>
      <c r="O1829">
        <v>-0.19596279999999999</v>
      </c>
      <c r="P1829">
        <v>0.99769819999999998</v>
      </c>
      <c r="Q1829">
        <v>3.8273580000000001E-2</v>
      </c>
      <c r="R1829">
        <v>-5.5974700000000002E-2</v>
      </c>
      <c r="S1829">
        <v>3.0153810000000001</v>
      </c>
      <c r="T1829">
        <v>-0.25030360000000001</v>
      </c>
      <c r="U1829">
        <v>-2.604675E-2</v>
      </c>
      <c r="V1829">
        <v>-0.14140639999999999</v>
      </c>
      <c r="W1829">
        <v>4.9363869999999997E-2</v>
      </c>
      <c r="X1829">
        <v>0.98872009999999999</v>
      </c>
      <c r="Y1829">
        <v>-0.18619569999999999</v>
      </c>
      <c r="Z1829">
        <v>2.3871380000000001E-2</v>
      </c>
      <c r="AA1829">
        <v>0.98222259999999995</v>
      </c>
      <c r="AB1829">
        <v>33</v>
      </c>
      <c r="AC1829">
        <v>13.0594999999999</v>
      </c>
      <c r="AD1829">
        <v>-1.1106400480899901</v>
      </c>
      <c r="AE1829">
        <v>-5.5399999999991602E-2</v>
      </c>
      <c r="AF1829">
        <v>-2.4870917016436098</v>
      </c>
      <c r="AG1829">
        <v>-1.1106400480899901</v>
      </c>
      <c r="AH1829">
        <v>12.7250717100672</v>
      </c>
      <c r="AI1829">
        <v>94.895943227610005</v>
      </c>
      <c r="AJ1829">
        <v>101.05894331914</v>
      </c>
      <c r="AK1829">
        <v>13.0133238058214</v>
      </c>
      <c r="AL1829">
        <v>87.170508644188303</v>
      </c>
      <c r="AM1829">
        <v>98.139226749958297</v>
      </c>
      <c r="AN1829">
        <v>0.99999999888317304</v>
      </c>
    </row>
    <row r="1830" spans="1:40" x14ac:dyDescent="0.3">
      <c r="A1830" t="str">
        <f>"20200111153909468"</f>
        <v>20200111153909468</v>
      </c>
      <c r="B1830" t="str">
        <f>"1578728349462954"</f>
        <v>1578728349462954</v>
      </c>
      <c r="C1830" t="s">
        <v>40</v>
      </c>
      <c r="D1830">
        <v>5.2183989999999998</v>
      </c>
      <c r="E1830">
        <v>0.4771841</v>
      </c>
      <c r="F1830" t="s">
        <v>55</v>
      </c>
      <c r="G1830">
        <v>-455.90620000000001</v>
      </c>
      <c r="H1830" s="1">
        <v>1.529296E-6</v>
      </c>
      <c r="I1830">
        <v>216.375</v>
      </c>
      <c r="J1830">
        <v>-469.41730000000001</v>
      </c>
      <c r="K1830">
        <v>1.1104069999999999</v>
      </c>
      <c r="L1830">
        <v>216.32810000000001</v>
      </c>
      <c r="M1830">
        <v>0.98179400000000006</v>
      </c>
      <c r="N1830">
        <v>0</v>
      </c>
      <c r="O1830">
        <v>-0.18949479999999999</v>
      </c>
      <c r="P1830">
        <v>0.99791260000000004</v>
      </c>
      <c r="Q1830">
        <v>3.9387890000000002E-2</v>
      </c>
      <c r="R1830">
        <v>-5.117828E-2</v>
      </c>
      <c r="S1830">
        <v>3.016022</v>
      </c>
      <c r="T1830">
        <v>-0.24185219999999999</v>
      </c>
      <c r="U1830">
        <v>-3.0975339999999999E-3</v>
      </c>
      <c r="V1830">
        <v>-0.1396182</v>
      </c>
      <c r="W1830">
        <v>5.0336359999999997E-2</v>
      </c>
      <c r="X1830">
        <v>0.98892519999999995</v>
      </c>
      <c r="Y1830">
        <v>-0.18729870000000001</v>
      </c>
      <c r="Z1830">
        <v>2.2600160000000001E-2</v>
      </c>
      <c r="AA1830">
        <v>0.982043</v>
      </c>
      <c r="AB1830">
        <v>33</v>
      </c>
      <c r="AC1830">
        <v>13.511100000000001</v>
      </c>
      <c r="AD1830">
        <v>-1.1104054707040001</v>
      </c>
      <c r="AE1830">
        <v>4.6899999999993697E-2</v>
      </c>
      <c r="AF1830">
        <v>-2.5890666665248299</v>
      </c>
      <c r="AG1830">
        <v>-1.1104054707040001</v>
      </c>
      <c r="AH1830">
        <v>13.168428791161199</v>
      </c>
      <c r="AI1830">
        <v>94.729838001601706</v>
      </c>
      <c r="AJ1830">
        <v>101.123140763035</v>
      </c>
      <c r="AK1830">
        <v>13.4663945932444</v>
      </c>
      <c r="AL1830">
        <v>87.114719771487799</v>
      </c>
      <c r="AM1830">
        <v>98.036007835194994</v>
      </c>
      <c r="AN1830">
        <v>1.00000002105216</v>
      </c>
    </row>
    <row r="1831" spans="1:40" x14ac:dyDescent="0.3">
      <c r="A1831" t="str">
        <f>"20200111153909490"</f>
        <v>20200111153909490</v>
      </c>
      <c r="B1831" t="str">
        <f>"1578728349482474"</f>
        <v>1578728349482474</v>
      </c>
      <c r="C1831" t="s">
        <v>40</v>
      </c>
      <c r="D1831">
        <v>5.2167269999999997</v>
      </c>
      <c r="E1831">
        <v>0.477323</v>
      </c>
      <c r="F1831" t="s">
        <v>55</v>
      </c>
      <c r="G1831">
        <v>-455.19830000000002</v>
      </c>
      <c r="H1831" s="1">
        <v>1.1520689999999999E-6</v>
      </c>
      <c r="I1831">
        <v>216.3879</v>
      </c>
      <c r="J1831">
        <v>-469.09010000000001</v>
      </c>
      <c r="K1831">
        <v>1.1101669999999999</v>
      </c>
      <c r="L1831">
        <v>216.27099999999999</v>
      </c>
      <c r="M1831">
        <v>0.9829369</v>
      </c>
      <c r="N1831">
        <v>0</v>
      </c>
      <c r="O1831">
        <v>-0.1834923</v>
      </c>
      <c r="P1831">
        <v>0.99813839999999998</v>
      </c>
      <c r="Q1831">
        <v>3.9674960000000002E-2</v>
      </c>
      <c r="R1831">
        <v>-4.6321460000000002E-2</v>
      </c>
      <c r="S1831">
        <v>3.0162049999999998</v>
      </c>
      <c r="T1831">
        <v>-0.2355459</v>
      </c>
      <c r="U1831">
        <v>1.268005E-2</v>
      </c>
      <c r="V1831">
        <v>-0.1383577</v>
      </c>
      <c r="W1831">
        <v>5.0466850000000001E-2</v>
      </c>
      <c r="X1831">
        <v>0.98909570000000002</v>
      </c>
      <c r="Y1831">
        <v>-0.1865165</v>
      </c>
      <c r="Z1831">
        <v>2.1520669999999999E-2</v>
      </c>
      <c r="AA1831">
        <v>0.98221610000000004</v>
      </c>
      <c r="AB1831">
        <v>33</v>
      </c>
      <c r="AC1831">
        <v>13.8917999999999</v>
      </c>
      <c r="AD1831">
        <v>-1.1101658479309999</v>
      </c>
      <c r="AE1831">
        <v>0.11690000000001501</v>
      </c>
      <c r="AF1831">
        <v>-2.64725893671068</v>
      </c>
      <c r="AG1831">
        <v>-1.1101658479309999</v>
      </c>
      <c r="AH1831">
        <v>13.547924884387299</v>
      </c>
      <c r="AI1831">
        <v>94.597984258905797</v>
      </c>
      <c r="AJ1831">
        <v>101.056263356109</v>
      </c>
      <c r="AK1831">
        <v>13.848708126063899</v>
      </c>
      <c r="AL1831">
        <v>87.107233756547799</v>
      </c>
      <c r="AM1831">
        <v>97.9630370358459</v>
      </c>
      <c r="AN1831">
        <v>1.00000002992835</v>
      </c>
    </row>
    <row r="1832" spans="1:40" x14ac:dyDescent="0.3">
      <c r="A1832" t="str">
        <f>"20200111153909511"</f>
        <v>20200111153909511</v>
      </c>
      <c r="B1832" t="str">
        <f>"1578728349502970"</f>
        <v>1578728349502970</v>
      </c>
      <c r="C1832" t="s">
        <v>40</v>
      </c>
      <c r="D1832">
        <v>5.2109740000000002</v>
      </c>
      <c r="E1832">
        <v>0.47760019999999997</v>
      </c>
      <c r="F1832" t="s">
        <v>55</v>
      </c>
      <c r="G1832">
        <v>-454.8399</v>
      </c>
      <c r="H1832" s="1">
        <v>9.6103330000000008E-7</v>
      </c>
      <c r="I1832">
        <v>216.39449999999999</v>
      </c>
      <c r="J1832">
        <v>-468.76979999999998</v>
      </c>
      <c r="K1832">
        <v>1.109915</v>
      </c>
      <c r="L1832">
        <v>216.21690000000001</v>
      </c>
      <c r="M1832">
        <v>0.98397869999999998</v>
      </c>
      <c r="N1832">
        <v>0</v>
      </c>
      <c r="O1832">
        <v>-0.17784059999999999</v>
      </c>
      <c r="P1832">
        <v>0.99824740000000001</v>
      </c>
      <c r="Q1832">
        <v>4.178287E-2</v>
      </c>
      <c r="R1832">
        <v>-4.1910410000000002E-2</v>
      </c>
      <c r="S1832">
        <v>3.0161440000000002</v>
      </c>
      <c r="T1832">
        <v>-0.2349725</v>
      </c>
      <c r="U1832">
        <v>2.6123049999999998E-2</v>
      </c>
      <c r="V1832">
        <v>-0.13702429999999999</v>
      </c>
      <c r="W1832">
        <v>5.2397390000000002E-2</v>
      </c>
      <c r="X1832">
        <v>0.98918090000000003</v>
      </c>
      <c r="Y1832">
        <v>-0.18527440000000001</v>
      </c>
      <c r="Z1832">
        <v>2.0987370000000002E-2</v>
      </c>
      <c r="AA1832">
        <v>0.98246270000000002</v>
      </c>
      <c r="AB1832">
        <v>33</v>
      </c>
      <c r="AC1832">
        <v>13.9298999999999</v>
      </c>
      <c r="AD1832">
        <v>-1.1099140389666999</v>
      </c>
      <c r="AE1832">
        <v>0.17759999999998399</v>
      </c>
      <c r="AF1832">
        <v>-2.6355373406998099</v>
      </c>
      <c r="AG1832">
        <v>-1.1099140389666999</v>
      </c>
      <c r="AH1832">
        <v>13.589961092750601</v>
      </c>
      <c r="AI1832">
        <v>94.584042967369996</v>
      </c>
      <c r="AJ1832">
        <v>100.975283480946</v>
      </c>
      <c r="AK1832">
        <v>13.887584698232899</v>
      </c>
      <c r="AL1832">
        <v>86.996475266088595</v>
      </c>
      <c r="AM1832">
        <v>97.886594201845895</v>
      </c>
      <c r="AN1832">
        <v>0.99999999909705595</v>
      </c>
    </row>
    <row r="1833" spans="1:40" x14ac:dyDescent="0.3">
      <c r="A1833" t="str">
        <f>"20200111153909534"</f>
        <v>20200111153909534</v>
      </c>
      <c r="B1833" t="str">
        <f>"1578728349522490"</f>
        <v>1578728349522490</v>
      </c>
      <c r="C1833" t="s">
        <v>40</v>
      </c>
      <c r="D1833">
        <v>5.1928679999999998</v>
      </c>
      <c r="E1833">
        <v>0.47759010000000002</v>
      </c>
      <c r="F1833" t="s">
        <v>55</v>
      </c>
      <c r="G1833">
        <v>-454.1533</v>
      </c>
      <c r="H1833" s="1">
        <v>5.9557250000000005E-7</v>
      </c>
      <c r="I1833">
        <v>216.39680000000001</v>
      </c>
      <c r="J1833">
        <v>-468.45010000000002</v>
      </c>
      <c r="K1833">
        <v>1.1096649999999999</v>
      </c>
      <c r="L1833">
        <v>216.1644</v>
      </c>
      <c r="M1833">
        <v>0.98494400000000004</v>
      </c>
      <c r="N1833">
        <v>0</v>
      </c>
      <c r="O1833">
        <v>-0.17243520000000001</v>
      </c>
      <c r="P1833">
        <v>0.99825140000000001</v>
      </c>
      <c r="Q1833">
        <v>4.5130330000000003E-2</v>
      </c>
      <c r="R1833">
        <v>-3.8175180000000003E-2</v>
      </c>
      <c r="S1833">
        <v>3.0163880000000001</v>
      </c>
      <c r="T1833">
        <v>-0.22905130000000001</v>
      </c>
      <c r="U1833">
        <v>3.7139890000000002E-2</v>
      </c>
      <c r="V1833">
        <v>-0.13527700000000001</v>
      </c>
      <c r="W1833">
        <v>5.5548970000000003E-2</v>
      </c>
      <c r="X1833">
        <v>0.9892495</v>
      </c>
      <c r="Y1833">
        <v>-0.18354100000000001</v>
      </c>
      <c r="Z1833">
        <v>1.9988079999999998E-2</v>
      </c>
      <c r="AA1833">
        <v>0.98280880000000004</v>
      </c>
      <c r="AB1833">
        <v>33</v>
      </c>
      <c r="AC1833">
        <v>14.296799999999999</v>
      </c>
      <c r="AD1833">
        <v>-1.1096644044274999</v>
      </c>
      <c r="AE1833">
        <v>0.23240000000001201</v>
      </c>
      <c r="AF1833">
        <v>-2.67824628906207</v>
      </c>
      <c r="AG1833">
        <v>-1.1096644044274999</v>
      </c>
      <c r="AH1833">
        <v>13.9584690256376</v>
      </c>
      <c r="AI1833">
        <v>94.464221831373095</v>
      </c>
      <c r="AJ1833">
        <v>100.861479452989</v>
      </c>
      <c r="AK1833">
        <v>14.256339495642401</v>
      </c>
      <c r="AL1833">
        <v>86.815639575476197</v>
      </c>
      <c r="AM1833">
        <v>97.786734650450995</v>
      </c>
      <c r="AN1833">
        <v>1.0000000640236499</v>
      </c>
    </row>
    <row r="1834" spans="1:40" x14ac:dyDescent="0.3">
      <c r="A1834" t="str">
        <f>"20200111153909556"</f>
        <v>20200111153909556</v>
      </c>
      <c r="B1834" t="str">
        <f>"1578728349552746"</f>
        <v>1578728349552746</v>
      </c>
      <c r="C1834" t="s">
        <v>40</v>
      </c>
      <c r="D1834">
        <v>5.162515</v>
      </c>
      <c r="E1834">
        <v>0.4779796</v>
      </c>
      <c r="F1834" t="s">
        <v>55</v>
      </c>
      <c r="G1834">
        <v>-453.1696</v>
      </c>
      <c r="H1834" s="1">
        <v>7.1441789999999899E-8</v>
      </c>
      <c r="I1834">
        <v>216.4118</v>
      </c>
      <c r="J1834">
        <v>-468.13240000000002</v>
      </c>
      <c r="K1834">
        <v>1.109418</v>
      </c>
      <c r="L1834">
        <v>216.1139</v>
      </c>
      <c r="M1834">
        <v>0.98583069999999895</v>
      </c>
      <c r="N1834">
        <v>0</v>
      </c>
      <c r="O1834">
        <v>-0.167315299999999</v>
      </c>
      <c r="P1834">
        <v>0.99832549999999998</v>
      </c>
      <c r="Q1834">
        <v>4.587248E-2</v>
      </c>
      <c r="R1834">
        <v>-3.5243669999999998E-2</v>
      </c>
      <c r="S1834">
        <v>3.017029</v>
      </c>
      <c r="T1834">
        <v>-0.2190954</v>
      </c>
      <c r="U1834">
        <v>4.8843379999999999E-2</v>
      </c>
      <c r="V1834">
        <v>-0.13300979999999901</v>
      </c>
      <c r="W1834">
        <v>5.608838E-2</v>
      </c>
      <c r="X1834">
        <v>0.98952640000000003</v>
      </c>
      <c r="Y1834">
        <v>-0.18234620000000001</v>
      </c>
      <c r="Z1834">
        <v>1.8707270000000002E-2</v>
      </c>
      <c r="AA1834">
        <v>0.98305640000000005</v>
      </c>
      <c r="AB1834">
        <v>33</v>
      </c>
      <c r="AC1834">
        <v>14.9628</v>
      </c>
      <c r="AD1834">
        <v>-1.10941792855821</v>
      </c>
      <c r="AE1834">
        <v>0.297899999999998</v>
      </c>
      <c r="AF1834">
        <v>-2.78209645258177</v>
      </c>
      <c r="AG1834">
        <v>-1.10941792855821</v>
      </c>
      <c r="AH1834">
        <v>14.621648151621599</v>
      </c>
      <c r="AI1834">
        <v>94.262815832051899</v>
      </c>
      <c r="AJ1834">
        <v>100.773031298059</v>
      </c>
      <c r="AK1834">
        <v>14.9252625933849</v>
      </c>
      <c r="AL1834">
        <v>86.784685210013293</v>
      </c>
      <c r="AM1834">
        <v>97.655675504204595</v>
      </c>
      <c r="AN1834">
        <v>1.0000000047820099</v>
      </c>
    </row>
    <row r="1835" spans="1:40" x14ac:dyDescent="0.3">
      <c r="A1835" t="str">
        <f>"20200111153909581"</f>
        <v>20200111153909581</v>
      </c>
      <c r="B1835" t="str">
        <f>"1578728349572265"</f>
        <v>1578728349572265</v>
      </c>
      <c r="C1835" t="s">
        <v>40</v>
      </c>
      <c r="D1835">
        <v>5.1633389999999997</v>
      </c>
      <c r="E1835">
        <v>0.4782151</v>
      </c>
      <c r="F1835" t="s">
        <v>55</v>
      </c>
      <c r="G1835">
        <v>-452.59840000000003</v>
      </c>
      <c r="H1835" s="1">
        <v>-2.3186880000000001E-7</v>
      </c>
      <c r="I1835">
        <v>216.39689999999999</v>
      </c>
      <c r="J1835">
        <v>-467.76330000000002</v>
      </c>
      <c r="K1835">
        <v>1.1091390000000001</v>
      </c>
      <c r="L1835">
        <v>216.05699999999999</v>
      </c>
      <c r="M1835">
        <v>0.98677590000000004</v>
      </c>
      <c r="N1835">
        <v>0</v>
      </c>
      <c r="O1835">
        <v>-0.1616735</v>
      </c>
      <c r="P1835">
        <v>0.99841679999999999</v>
      </c>
      <c r="Q1835">
        <v>4.603811E-2</v>
      </c>
      <c r="R1835">
        <v>-3.2313929999999998E-2</v>
      </c>
      <c r="S1835">
        <v>3.0168759999999999</v>
      </c>
      <c r="T1835">
        <v>-0.2154623</v>
      </c>
      <c r="U1835">
        <v>5.4962160000000003E-2</v>
      </c>
      <c r="V1835">
        <v>-0.13021379999999999</v>
      </c>
      <c r="W1835">
        <v>5.6004600000000002E-2</v>
      </c>
      <c r="X1835">
        <v>0.98990299999999998</v>
      </c>
      <c r="Y1835">
        <v>-0.17876839999999999</v>
      </c>
      <c r="Z1835">
        <v>1.7872799999999901E-2</v>
      </c>
      <c r="AA1835">
        <v>0.98372879999999996</v>
      </c>
      <c r="AB1835">
        <v>34</v>
      </c>
      <c r="AC1835">
        <v>15.1648999999999</v>
      </c>
      <c r="AD1835">
        <v>-1.10913923186879</v>
      </c>
      <c r="AE1835">
        <v>0.339899999999971</v>
      </c>
      <c r="AF1835">
        <v>-2.77253221923718</v>
      </c>
      <c r="AG1835">
        <v>-1.10913923186879</v>
      </c>
      <c r="AH1835">
        <v>14.831115992562999</v>
      </c>
      <c r="AI1835">
        <v>94.204316666211</v>
      </c>
      <c r="AJ1835">
        <v>100.58866887409199</v>
      </c>
      <c r="AK1835">
        <v>15.1287516447074</v>
      </c>
      <c r="AL1835">
        <v>86.789493150145205</v>
      </c>
      <c r="AM1835">
        <v>97.493775566049607</v>
      </c>
      <c r="AN1835">
        <v>1.0000000491702901</v>
      </c>
    </row>
    <row r="1836" spans="1:40" x14ac:dyDescent="0.3">
      <c r="A1836" t="str">
        <f>"20200111153909602"</f>
        <v>20200111153909602</v>
      </c>
      <c r="B1836" t="str">
        <f>"1578728349592763"</f>
        <v>1578728349592763</v>
      </c>
      <c r="C1836" t="s">
        <v>40</v>
      </c>
      <c r="D1836">
        <v>5.156631</v>
      </c>
      <c r="E1836">
        <v>0.47850969999999998</v>
      </c>
      <c r="F1836" t="s">
        <v>55</v>
      </c>
      <c r="G1836">
        <v>-452.21129999999999</v>
      </c>
      <c r="H1836" s="1">
        <v>-4.3711049999999999E-7</v>
      </c>
      <c r="I1836">
        <v>216.37960000000001</v>
      </c>
      <c r="J1836">
        <v>-467.44929999999999</v>
      </c>
      <c r="K1836">
        <v>1.1089370000000001</v>
      </c>
      <c r="L1836">
        <v>216.01</v>
      </c>
      <c r="M1836">
        <v>0.98752249999999997</v>
      </c>
      <c r="N1836">
        <v>0</v>
      </c>
      <c r="O1836">
        <v>-0.15707119999999999</v>
      </c>
      <c r="P1836">
        <v>0.99843009999999999</v>
      </c>
      <c r="Q1836">
        <v>4.6981299999999997E-2</v>
      </c>
      <c r="R1836">
        <v>-3.050044E-2</v>
      </c>
      <c r="S1836">
        <v>3.0166629999999999</v>
      </c>
      <c r="T1836">
        <v>-0.2151429</v>
      </c>
      <c r="U1836">
        <v>6.2576290000000007E-2</v>
      </c>
      <c r="V1836">
        <v>-0.12737010000000001</v>
      </c>
      <c r="W1836">
        <v>5.6740619999999999E-2</v>
      </c>
      <c r="X1836">
        <v>0.99023099999999997</v>
      </c>
      <c r="Y1836">
        <v>-0.17668349999999999</v>
      </c>
      <c r="Z1836">
        <v>1.7448620000000001E-2</v>
      </c>
      <c r="AA1836">
        <v>0.98411300000000002</v>
      </c>
      <c r="AB1836">
        <v>34</v>
      </c>
      <c r="AC1836">
        <v>15.238</v>
      </c>
      <c r="AD1836">
        <v>-1.1089374371105001</v>
      </c>
      <c r="AE1836">
        <v>0.36960000000001902</v>
      </c>
      <c r="AF1836">
        <v>-2.74409124705149</v>
      </c>
      <c r="AG1836">
        <v>-1.1089374371105001</v>
      </c>
      <c r="AH1836">
        <v>14.9118448597032</v>
      </c>
      <c r="AI1836">
        <v>94.183059798026704</v>
      </c>
      <c r="AJ1836">
        <v>100.42696729193101</v>
      </c>
      <c r="AK1836">
        <v>15.2027266018773</v>
      </c>
      <c r="AL1836">
        <v>86.747255104620905</v>
      </c>
      <c r="AM1836">
        <v>97.329519354737002</v>
      </c>
      <c r="AN1836">
        <v>1.0000000368464901</v>
      </c>
    </row>
    <row r="1837" spans="1:40" x14ac:dyDescent="0.3">
      <c r="A1837" t="str">
        <f>"20200111153909623"</f>
        <v>20200111153909623</v>
      </c>
      <c r="B1837" t="str">
        <f>"1578728349612282"</f>
        <v>1578728349612282</v>
      </c>
      <c r="C1837" t="s">
        <v>40</v>
      </c>
      <c r="D1837">
        <v>5.1035709999999996</v>
      </c>
      <c r="E1837">
        <v>0.4788867</v>
      </c>
      <c r="F1837" t="s">
        <v>55</v>
      </c>
      <c r="G1837">
        <v>-451.70010000000002</v>
      </c>
      <c r="H1837" s="1">
        <v>-7.0800969999999997E-7</v>
      </c>
      <c r="I1837">
        <v>216.35329999999999</v>
      </c>
      <c r="J1837">
        <v>-467.13780000000003</v>
      </c>
      <c r="K1837">
        <v>1.1087469999999999</v>
      </c>
      <c r="L1837">
        <v>215.96469999999999</v>
      </c>
      <c r="M1837">
        <v>0.98821320000000001</v>
      </c>
      <c r="N1837">
        <v>0</v>
      </c>
      <c r="O1837">
        <v>-0.15268779999999901</v>
      </c>
      <c r="P1837">
        <v>0.99841480000000005</v>
      </c>
      <c r="Q1837">
        <v>4.8023570000000002E-2</v>
      </c>
      <c r="R1837">
        <v>-2.9358619999999998E-2</v>
      </c>
      <c r="S1837">
        <v>3.016724</v>
      </c>
      <c r="T1837">
        <v>-0.21241470000000001</v>
      </c>
      <c r="U1837">
        <v>6.5765379999999998E-2</v>
      </c>
      <c r="V1837">
        <v>-0.12408370000000001</v>
      </c>
      <c r="W1837">
        <v>5.7576570000000001E-2</v>
      </c>
      <c r="X1837">
        <v>0.99059989999999998</v>
      </c>
      <c r="Y1837">
        <v>-0.17339489999999999</v>
      </c>
      <c r="Z1837">
        <v>1.6806270000000002E-2</v>
      </c>
      <c r="AA1837">
        <v>0.98470899999999995</v>
      </c>
      <c r="AB1837">
        <v>34</v>
      </c>
      <c r="AC1837">
        <v>15.4377</v>
      </c>
      <c r="AD1837">
        <v>-1.1087477080096999</v>
      </c>
      <c r="AE1837">
        <v>0.388599999999996</v>
      </c>
      <c r="AF1837">
        <v>-2.7272751119086198</v>
      </c>
      <c r="AG1837">
        <v>-1.1087477080096999</v>
      </c>
      <c r="AH1837">
        <v>15.119384915552001</v>
      </c>
      <c r="AI1837">
        <v>94.127774528662599</v>
      </c>
      <c r="AJ1837">
        <v>100.225209929705</v>
      </c>
      <c r="AK1837">
        <v>15.403348702171099</v>
      </c>
      <c r="AL1837">
        <v>86.699280122811601</v>
      </c>
      <c r="AM1837">
        <v>97.139749458293196</v>
      </c>
      <c r="AN1837">
        <v>0.99999999394933203</v>
      </c>
    </row>
    <row r="1838" spans="1:40" x14ac:dyDescent="0.3">
      <c r="A1838" t="str">
        <f>"20200111153909646"</f>
        <v>20200111153909646</v>
      </c>
      <c r="B1838" t="str">
        <f>"1578728349642540"</f>
        <v>1578728349642540</v>
      </c>
      <c r="C1838" t="s">
        <v>40</v>
      </c>
      <c r="D1838">
        <v>5.106541</v>
      </c>
      <c r="E1838">
        <v>0.48804589999999998</v>
      </c>
      <c r="F1838" t="s">
        <v>55</v>
      </c>
      <c r="G1838">
        <v>-451.14679999999998</v>
      </c>
      <c r="H1838" s="1">
        <v>-1.0008260000000001E-6</v>
      </c>
      <c r="I1838">
        <v>216.31630000000001</v>
      </c>
      <c r="J1838">
        <v>-466.79270000000002</v>
      </c>
      <c r="K1838">
        <v>1.108538</v>
      </c>
      <c r="L1838">
        <v>215.91589999999999</v>
      </c>
      <c r="M1838">
        <v>0.98892119999999994</v>
      </c>
      <c r="N1838">
        <v>0</v>
      </c>
      <c r="O1838">
        <v>-0.14805679999999999</v>
      </c>
      <c r="P1838">
        <v>0.99851579999999995</v>
      </c>
      <c r="Q1838">
        <v>4.6666190000000003E-2</v>
      </c>
      <c r="R1838">
        <v>-2.807805E-2</v>
      </c>
      <c r="S1838">
        <v>3.016785</v>
      </c>
      <c r="T1838">
        <v>-0.20917169999999999</v>
      </c>
      <c r="U1838">
        <v>6.6345210000000002E-2</v>
      </c>
      <c r="V1838">
        <v>-0.1206774</v>
      </c>
      <c r="W1838">
        <v>5.5982700000000003E-2</v>
      </c>
      <c r="X1838">
        <v>0.99111190000000005</v>
      </c>
      <c r="Y1838">
        <v>-0.16901429999999901</v>
      </c>
      <c r="Z1838">
        <v>1.6080089999999998E-2</v>
      </c>
      <c r="AA1838">
        <v>0.98548239999999998</v>
      </c>
      <c r="AB1838">
        <v>34</v>
      </c>
      <c r="AC1838">
        <v>15.645899999999999</v>
      </c>
      <c r="AD1838">
        <v>-1.1085390008259901</v>
      </c>
      <c r="AE1838">
        <v>0.40040000000001802</v>
      </c>
      <c r="AF1838">
        <v>-2.6990602926069802</v>
      </c>
      <c r="AG1838">
        <v>-1.1085390008259901</v>
      </c>
      <c r="AH1838">
        <v>15.337217300280701</v>
      </c>
      <c r="AI1838">
        <v>94.071666739579399</v>
      </c>
      <c r="AJ1838">
        <v>99.980778644229503</v>
      </c>
      <c r="AK1838">
        <v>15.6123034717978</v>
      </c>
      <c r="AL1838">
        <v>86.790749574142396</v>
      </c>
      <c r="AM1838">
        <v>96.942139772907495</v>
      </c>
      <c r="AN1838">
        <v>0.99999994794582803</v>
      </c>
    </row>
    <row r="1839" spans="1:40" x14ac:dyDescent="0.3">
      <c r="A1839" t="str">
        <f>"20200111153909667"</f>
        <v>20200111153909667</v>
      </c>
      <c r="B1839" t="str">
        <f>"1578728349663033"</f>
        <v>1578728349663033</v>
      </c>
      <c r="C1839" t="s">
        <v>40</v>
      </c>
      <c r="D1839">
        <v>5.2748280000000003</v>
      </c>
      <c r="E1839">
        <v>0.48878939999999999</v>
      </c>
      <c r="F1839" t="s">
        <v>55</v>
      </c>
      <c r="G1839">
        <v>-450.29349999999999</v>
      </c>
      <c r="H1839" s="1">
        <v>-1.436732E-6</v>
      </c>
      <c r="I1839">
        <v>215.9</v>
      </c>
      <c r="J1839">
        <v>-466.47320000000002</v>
      </c>
      <c r="K1839">
        <v>1.1083379999999901</v>
      </c>
      <c r="L1839">
        <v>215.87200000000001</v>
      </c>
      <c r="M1839">
        <v>0.98952600000000002</v>
      </c>
      <c r="N1839">
        <v>0</v>
      </c>
      <c r="O1839">
        <v>-0.14398129999999901</v>
      </c>
      <c r="P1839">
        <v>0.99853700000000001</v>
      </c>
      <c r="Q1839">
        <v>4.652655E-2</v>
      </c>
      <c r="R1839">
        <v>-2.7554160000000001E-2</v>
      </c>
      <c r="S1839">
        <v>3.013855</v>
      </c>
      <c r="T1839">
        <v>-0.20249300000000001</v>
      </c>
      <c r="U1839">
        <v>-2.89917E-3</v>
      </c>
      <c r="V1839">
        <v>-0.1170843</v>
      </c>
      <c r="W1839">
        <v>5.5631819999999998E-2</v>
      </c>
      <c r="X1839">
        <v>0.99156259999999996</v>
      </c>
      <c r="Y1839">
        <v>-0.14239309999999999</v>
      </c>
      <c r="Z1839">
        <v>1.441597E-2</v>
      </c>
      <c r="AA1839">
        <v>0.98970519999999995</v>
      </c>
      <c r="AB1839">
        <v>34</v>
      </c>
      <c r="AC1839">
        <v>16.1797</v>
      </c>
      <c r="AD1839">
        <v>-1.1083394367320001</v>
      </c>
      <c r="AE1839">
        <v>2.79999999999915E-2</v>
      </c>
      <c r="AF1839">
        <v>-2.3463974483116998</v>
      </c>
      <c r="AG1839">
        <v>-1.1083394367320001</v>
      </c>
      <c r="AH1839">
        <v>15.932302028223701</v>
      </c>
      <c r="AI1839">
        <v>93.9370702613963</v>
      </c>
      <c r="AJ1839">
        <v>98.377895745757002</v>
      </c>
      <c r="AK1839">
        <v>16.142250314345901</v>
      </c>
      <c r="AL1839">
        <v>86.810885100064496</v>
      </c>
      <c r="AM1839">
        <v>96.734336155238594</v>
      </c>
      <c r="AN1839">
        <v>1.00000001121088</v>
      </c>
    </row>
    <row r="1840" spans="1:40" x14ac:dyDescent="0.3">
      <c r="A1840" t="str">
        <f>"20200111153909715"</f>
        <v>20200111153909715</v>
      </c>
      <c r="B1840" t="str">
        <f>"1578728349703052"</f>
        <v>1578728349703052</v>
      </c>
      <c r="C1840" t="s">
        <v>40</v>
      </c>
      <c r="D1840">
        <v>5.1015689999999996</v>
      </c>
      <c r="E1840">
        <v>0.48954049999999999</v>
      </c>
      <c r="F1840" t="s">
        <v>55</v>
      </c>
      <c r="G1840">
        <v>-448.84840000000003</v>
      </c>
      <c r="H1840" s="1">
        <v>3.1185899999999998E-6</v>
      </c>
      <c r="I1840">
        <v>215.83609999999999</v>
      </c>
      <c r="J1840">
        <v>-465.76179999999999</v>
      </c>
      <c r="K1840">
        <v>1.1078680000000001</v>
      </c>
      <c r="L1840">
        <v>215.77809999999999</v>
      </c>
      <c r="M1840">
        <v>0.99070950000000002</v>
      </c>
      <c r="N1840">
        <v>0</v>
      </c>
      <c r="O1840">
        <v>-0.13564560000000001</v>
      </c>
      <c r="P1840">
        <v>0.99855459999999996</v>
      </c>
      <c r="Q1840">
        <v>4.7313279999999999E-2</v>
      </c>
      <c r="R1840">
        <v>-2.550198E-2</v>
      </c>
      <c r="S1840">
        <v>3.0130620000000001</v>
      </c>
      <c r="T1840">
        <v>-0.1894766</v>
      </c>
      <c r="U1840">
        <v>-6.1340329999999997E-3</v>
      </c>
      <c r="V1840">
        <v>-0.1107083</v>
      </c>
      <c r="W1840">
        <v>5.5964609999999998E-2</v>
      </c>
      <c r="X1840">
        <v>0.99227600000000005</v>
      </c>
      <c r="Y1840">
        <v>-0.13310520000000001</v>
      </c>
      <c r="Z1840">
        <v>1.2683E-2</v>
      </c>
      <c r="AA1840">
        <v>0.99102069999999998</v>
      </c>
      <c r="AB1840">
        <v>34</v>
      </c>
      <c r="AC1840">
        <v>16.9133999999999</v>
      </c>
      <c r="AD1840">
        <v>-1.1078648814100001</v>
      </c>
      <c r="AE1840">
        <v>5.7999999999992703E-2</v>
      </c>
      <c r="AF1840">
        <v>-2.3417538399772599</v>
      </c>
      <c r="AG1840">
        <v>-1.1078648814100001</v>
      </c>
      <c r="AH1840">
        <v>16.677638664002099</v>
      </c>
      <c r="AI1840">
        <v>93.763656872203399</v>
      </c>
      <c r="AJ1840">
        <v>97.992805769778599</v>
      </c>
      <c r="AK1840">
        <v>16.877642224242301</v>
      </c>
      <c r="AL1840">
        <v>86.791787890368596</v>
      </c>
      <c r="AM1840">
        <v>96.366165996607194</v>
      </c>
      <c r="AN1840">
        <v>1.0000000127186699</v>
      </c>
    </row>
    <row r="1841" spans="1:40" x14ac:dyDescent="0.3">
      <c r="A1841" t="str">
        <f>"20200111153909737"</f>
        <v>20200111153909737</v>
      </c>
      <c r="B1841" t="str">
        <f>"1578728349732330"</f>
        <v>1578728349732330</v>
      </c>
      <c r="C1841" t="s">
        <v>40</v>
      </c>
      <c r="D1841">
        <v>5.0909630000000003</v>
      </c>
      <c r="E1841">
        <v>0.48950470000000001</v>
      </c>
      <c r="F1841" t="s">
        <v>55</v>
      </c>
      <c r="G1841">
        <v>-446.88420000000002</v>
      </c>
      <c r="H1841" s="1">
        <v>2.0773539999999998E-6</v>
      </c>
      <c r="I1841">
        <v>215.74379999999999</v>
      </c>
      <c r="J1841">
        <v>-465.4248</v>
      </c>
      <c r="K1841">
        <v>1.1076699999999999</v>
      </c>
      <c r="L1841">
        <v>215.7354</v>
      </c>
      <c r="M1841">
        <v>0.99119820000000003</v>
      </c>
      <c r="N1841">
        <v>0</v>
      </c>
      <c r="O1841">
        <v>-0.1320472</v>
      </c>
      <c r="P1841">
        <v>0.99855360000000004</v>
      </c>
      <c r="Q1841">
        <v>4.7929550000000001E-2</v>
      </c>
      <c r="R1841">
        <v>-2.4363570000000001E-2</v>
      </c>
      <c r="S1841">
        <v>3.012543</v>
      </c>
      <c r="T1841">
        <v>-0.17679629999999999</v>
      </c>
      <c r="U1841">
        <v>-5.4779049999999999E-3</v>
      </c>
      <c r="V1841">
        <v>-0.1082085</v>
      </c>
      <c r="W1841">
        <v>5.6388800000000003E-2</v>
      </c>
      <c r="X1841">
        <v>0.99252770000000001</v>
      </c>
      <c r="Y1841">
        <v>-0.129801</v>
      </c>
      <c r="Z1841">
        <v>1.1531349999999999E-2</v>
      </c>
      <c r="AA1841">
        <v>0.99147300000000005</v>
      </c>
      <c r="AB1841">
        <v>34</v>
      </c>
      <c r="AC1841">
        <v>18.540599999999898</v>
      </c>
      <c r="AD1841">
        <v>-1.107667922646</v>
      </c>
      <c r="AE1841">
        <v>8.3999999999946305E-3</v>
      </c>
      <c r="AF1841">
        <v>-2.4479333466174298</v>
      </c>
      <c r="AG1841">
        <v>-1.107667922646</v>
      </c>
      <c r="AH1841">
        <v>18.3117656174765</v>
      </c>
      <c r="AI1841">
        <v>93.431121737642997</v>
      </c>
      <c r="AJ1841">
        <v>97.614208853153997</v>
      </c>
      <c r="AK1841">
        <v>18.5078379592467</v>
      </c>
      <c r="AL1841">
        <v>86.767445130212096</v>
      </c>
      <c r="AM1841">
        <v>96.221992595939199</v>
      </c>
      <c r="AN1841">
        <v>1.00000000575248</v>
      </c>
    </row>
    <row r="1842" spans="1:40" x14ac:dyDescent="0.3">
      <c r="A1842" t="str">
        <f>"20200111153909759"</f>
        <v>20200111153909759</v>
      </c>
      <c r="B1842" t="str">
        <f>"1578728349752827"</f>
        <v>1578728349752827</v>
      </c>
      <c r="C1842" t="s">
        <v>40</v>
      </c>
      <c r="D1842">
        <v>5.104749</v>
      </c>
      <c r="E1842">
        <v>0.4895467</v>
      </c>
      <c r="F1842" t="s">
        <v>55</v>
      </c>
      <c r="G1842">
        <v>-445.41230000000002</v>
      </c>
      <c r="H1842" s="1">
        <v>1.2948789999999999E-6</v>
      </c>
      <c r="I1842">
        <v>215.7251</v>
      </c>
      <c r="J1842">
        <v>-465.08749999999998</v>
      </c>
      <c r="K1842">
        <v>1.1074949999999999</v>
      </c>
      <c r="L1842">
        <v>215.69380000000001</v>
      </c>
      <c r="M1842">
        <v>0.99165300000000001</v>
      </c>
      <c r="N1842">
        <v>0</v>
      </c>
      <c r="O1842">
        <v>-0.128606</v>
      </c>
      <c r="P1842">
        <v>0.99852099999999999</v>
      </c>
      <c r="Q1842">
        <v>4.905143E-2</v>
      </c>
      <c r="R1842">
        <v>-2.346032E-2</v>
      </c>
      <c r="S1842">
        <v>3.0122990000000001</v>
      </c>
      <c r="T1842">
        <v>-0.1667265</v>
      </c>
      <c r="U1842">
        <v>-1.556396E-3</v>
      </c>
      <c r="V1842">
        <v>-0.1056383</v>
      </c>
      <c r="W1842">
        <v>5.7328079999999997E-2</v>
      </c>
      <c r="X1842">
        <v>0.99275080000000004</v>
      </c>
      <c r="Y1842">
        <v>-0.1277075</v>
      </c>
      <c r="Z1842">
        <v>1.0629629999999999E-2</v>
      </c>
      <c r="AA1842">
        <v>0.99175489999999999</v>
      </c>
      <c r="AB1842">
        <v>34</v>
      </c>
      <c r="AC1842">
        <v>19.675199999999901</v>
      </c>
      <c r="AD1842">
        <v>-1.1074937051209901</v>
      </c>
      <c r="AE1842">
        <v>3.12999999999874E-2</v>
      </c>
      <c r="AF1842">
        <v>-2.5534058817587999</v>
      </c>
      <c r="AG1842">
        <v>-1.1074937051209901</v>
      </c>
      <c r="AH1842">
        <v>19.446159468507702</v>
      </c>
      <c r="AI1842">
        <v>93.231893908251493</v>
      </c>
      <c r="AJ1842">
        <v>97.480509034003802</v>
      </c>
      <c r="AK1842">
        <v>19.644325948693599</v>
      </c>
      <c r="AL1842">
        <v>86.713541307750901</v>
      </c>
      <c r="AM1842">
        <v>96.073969441431899</v>
      </c>
      <c r="AN1842">
        <v>1.0000000550420001</v>
      </c>
    </row>
    <row r="1843" spans="1:40" x14ac:dyDescent="0.3">
      <c r="A1843" t="str">
        <f>"20200111153909783"</f>
        <v>20200111153909783</v>
      </c>
      <c r="B1843" t="str">
        <f>"1578728349772346"</f>
        <v>1578728349772346</v>
      </c>
      <c r="C1843" t="s">
        <v>40</v>
      </c>
      <c r="D1843">
        <v>5.1002700000000001</v>
      </c>
      <c r="E1843">
        <v>0.48956169999999999</v>
      </c>
      <c r="F1843" t="s">
        <v>55</v>
      </c>
      <c r="G1843">
        <v>-444.36239999999998</v>
      </c>
      <c r="H1843" s="1">
        <v>7.3718439999999996E-7</v>
      </c>
      <c r="I1843">
        <v>215.7021</v>
      </c>
      <c r="J1843">
        <v>-464.72890000000001</v>
      </c>
      <c r="K1843">
        <v>1.107307</v>
      </c>
      <c r="L1843">
        <v>215.6506</v>
      </c>
      <c r="M1843">
        <v>0.99209360000000002</v>
      </c>
      <c r="N1843">
        <v>0</v>
      </c>
      <c r="O1843">
        <v>-0.12518170000000001</v>
      </c>
      <c r="P1843">
        <v>0.99848300000000001</v>
      </c>
      <c r="Q1843">
        <v>5.0574300000000003E-2</v>
      </c>
      <c r="R1843">
        <v>-2.1768349999999999E-2</v>
      </c>
      <c r="S1843">
        <v>3.0123899999999999</v>
      </c>
      <c r="T1843">
        <v>-0.16097410000000001</v>
      </c>
      <c r="U1843">
        <v>1.205444E-3</v>
      </c>
      <c r="V1843">
        <v>-0.1038693</v>
      </c>
      <c r="W1843">
        <v>5.8630500000000002E-2</v>
      </c>
      <c r="X1843">
        <v>0.99286129999999995</v>
      </c>
      <c r="Y1843">
        <v>-0.12522710000000001</v>
      </c>
      <c r="Z1843">
        <v>1.001523E-2</v>
      </c>
      <c r="AA1843">
        <v>0.99207749999999995</v>
      </c>
      <c r="AB1843">
        <v>34</v>
      </c>
      <c r="AC1843">
        <v>20.366499999999998</v>
      </c>
      <c r="AD1843">
        <v>-1.1073062628156001</v>
      </c>
      <c r="AE1843">
        <v>5.1500000000004299E-2</v>
      </c>
      <c r="AF1843">
        <v>-2.59304476297602</v>
      </c>
      <c r="AG1843">
        <v>-1.1073062628156001</v>
      </c>
      <c r="AH1843">
        <v>20.140299638394399</v>
      </c>
      <c r="AI1843">
        <v>93.121221327776595</v>
      </c>
      <c r="AJ1843">
        <v>97.336418787154798</v>
      </c>
      <c r="AK1843">
        <v>20.336707644719102</v>
      </c>
      <c r="AL1843">
        <v>86.638792087428797</v>
      </c>
      <c r="AM1843">
        <v>95.972337402973906</v>
      </c>
      <c r="AN1843">
        <v>0.99999996402521396</v>
      </c>
    </row>
    <row r="1844" spans="1:40" x14ac:dyDescent="0.3">
      <c r="A1844" t="str">
        <f>"20200111153909825"</f>
        <v>20200111153909825</v>
      </c>
      <c r="B1844" t="str">
        <f>"1578728349812362"</f>
        <v>1578728349812362</v>
      </c>
      <c r="C1844" t="s">
        <v>40</v>
      </c>
      <c r="D1844">
        <v>5.1380039999999996</v>
      </c>
      <c r="E1844">
        <v>0.48952329999999999</v>
      </c>
      <c r="F1844" t="s">
        <v>55</v>
      </c>
      <c r="G1844">
        <v>-443.2484</v>
      </c>
      <c r="H1844" s="1">
        <v>1.4457519999999999E-7</v>
      </c>
      <c r="I1844">
        <v>215.6977</v>
      </c>
      <c r="J1844">
        <v>-464.10340000000002</v>
      </c>
      <c r="K1844">
        <v>1.1069290000000001</v>
      </c>
      <c r="L1844">
        <v>215.57759999999999</v>
      </c>
      <c r="M1844">
        <v>0.99276240000000004</v>
      </c>
      <c r="N1844">
        <v>0</v>
      </c>
      <c r="O1844">
        <v>-0.1197995</v>
      </c>
      <c r="P1844">
        <v>0.99845499999999998</v>
      </c>
      <c r="Q1844">
        <v>5.2115719999999997E-2</v>
      </c>
      <c r="R1844">
        <v>-1.9275230000000001E-2</v>
      </c>
      <c r="S1844">
        <v>3.012543</v>
      </c>
      <c r="T1844">
        <v>-0.15529470000000001</v>
      </c>
      <c r="U1844">
        <v>6.607056E-3</v>
      </c>
      <c r="V1844">
        <v>-0.1009125</v>
      </c>
      <c r="W1844">
        <v>5.9759109999999997E-2</v>
      </c>
      <c r="X1844">
        <v>0.99309890000000001</v>
      </c>
      <c r="Y1844">
        <v>-0.1216608</v>
      </c>
      <c r="Z1844">
        <v>9.2944299999999994E-3</v>
      </c>
      <c r="AA1844">
        <v>0.99252819999999997</v>
      </c>
      <c r="AB1844">
        <v>34</v>
      </c>
      <c r="AC1844">
        <v>20.855</v>
      </c>
      <c r="AD1844">
        <v>-1.1069288554248</v>
      </c>
      <c r="AE1844">
        <v>0.12010000000000701</v>
      </c>
      <c r="AF1844">
        <v>-2.6103883682635001</v>
      </c>
      <c r="AG1844">
        <v>-1.1069288554248</v>
      </c>
      <c r="AH1844">
        <v>20.632281870830099</v>
      </c>
      <c r="AI1844">
        <v>93.046751724708798</v>
      </c>
      <c r="AJ1844">
        <v>97.210728305551896</v>
      </c>
      <c r="AK1844">
        <v>20.8261968232685</v>
      </c>
      <c r="AL1844">
        <v>86.5740138675514</v>
      </c>
      <c r="AM1844">
        <v>95.802123851884602</v>
      </c>
      <c r="AN1844">
        <v>0.99999995453272505</v>
      </c>
    </row>
    <row r="1845" spans="1:40" x14ac:dyDescent="0.3">
      <c r="A1845" t="str">
        <f>"20200111153909871"</f>
        <v>20200111153909871</v>
      </c>
      <c r="B1845" t="str">
        <f>"1578728349862138"</f>
        <v>1578728349862138</v>
      </c>
      <c r="C1845" t="s">
        <v>40</v>
      </c>
      <c r="D1845">
        <v>5.1352310000000001</v>
      </c>
      <c r="E1845">
        <v>0.49073480000000003</v>
      </c>
      <c r="F1845" t="s">
        <v>55</v>
      </c>
      <c r="G1845">
        <v>-442.28140000000002</v>
      </c>
      <c r="H1845" s="1">
        <v>-3.6955389999999998E-7</v>
      </c>
      <c r="I1845">
        <v>215.6875</v>
      </c>
      <c r="J1845">
        <v>-463.37259999999998</v>
      </c>
      <c r="K1845">
        <v>1.106482</v>
      </c>
      <c r="L1845">
        <v>215.4957</v>
      </c>
      <c r="M1845">
        <v>0.99341290000000004</v>
      </c>
      <c r="N1845">
        <v>0</v>
      </c>
      <c r="O1845">
        <v>-0.1143223</v>
      </c>
      <c r="P1845">
        <v>0.9985676</v>
      </c>
      <c r="Q1845">
        <v>5.0970290000000001E-2</v>
      </c>
      <c r="R1845">
        <v>-1.6278609999999999E-2</v>
      </c>
      <c r="S1845">
        <v>3.0129090000000001</v>
      </c>
      <c r="T1845">
        <v>-0.1528312</v>
      </c>
      <c r="U1845">
        <v>1.516724E-2</v>
      </c>
      <c r="V1845">
        <v>-9.8355520000000002E-2</v>
      </c>
      <c r="W1845">
        <v>5.8134970000000001E-2</v>
      </c>
      <c r="X1845">
        <v>0.9934518</v>
      </c>
      <c r="Y1845">
        <v>-0.1190258</v>
      </c>
      <c r="Z1845">
        <v>8.8032100000000005E-3</v>
      </c>
      <c r="AA1845">
        <v>0.99285219999999996</v>
      </c>
      <c r="AB1845">
        <v>35</v>
      </c>
      <c r="AC1845">
        <v>21.091199999999901</v>
      </c>
      <c r="AD1845">
        <v>-1.1064823695538999</v>
      </c>
      <c r="AE1845">
        <v>0.1918</v>
      </c>
      <c r="AF1845">
        <v>-2.59467016662428</v>
      </c>
      <c r="AG1845">
        <v>-1.1064823695538999</v>
      </c>
      <c r="AH1845">
        <v>20.873539610513401</v>
      </c>
      <c r="AI1845">
        <v>93.011211882554306</v>
      </c>
      <c r="AJ1845">
        <v>97.085764039178201</v>
      </c>
      <c r="AK1845">
        <v>21.0632683214019</v>
      </c>
      <c r="AL1845">
        <v>86.6672324343253</v>
      </c>
      <c r="AM1845">
        <v>95.654075607752304</v>
      </c>
      <c r="AN1845">
        <v>0.99999998098730503</v>
      </c>
    </row>
    <row r="1846" spans="1:40" x14ac:dyDescent="0.3">
      <c r="A1846" t="str">
        <f>"20200111153909913"</f>
        <v>20200111153909913</v>
      </c>
      <c r="B1846" t="str">
        <f>"1578728349902154"</f>
        <v>1578728349902154</v>
      </c>
      <c r="C1846" t="s">
        <v>40</v>
      </c>
      <c r="D1846">
        <v>5.1323189999999999</v>
      </c>
      <c r="E1846">
        <v>0.49046519999999999</v>
      </c>
      <c r="F1846" t="s">
        <v>55</v>
      </c>
      <c r="G1846">
        <v>-446.78469999999999</v>
      </c>
      <c r="H1846" s="1">
        <v>2.031941E-6</v>
      </c>
      <c r="I1846">
        <v>215.57140000000001</v>
      </c>
      <c r="J1846">
        <v>-462.71440000000001</v>
      </c>
      <c r="K1846">
        <v>1.1061479999999999</v>
      </c>
      <c r="L1846">
        <v>215.42449999999999</v>
      </c>
      <c r="M1846">
        <v>0.99390650000000003</v>
      </c>
      <c r="N1846">
        <v>0</v>
      </c>
      <c r="O1846">
        <v>-0.1099831</v>
      </c>
      <c r="P1846">
        <v>0.99867479999999997</v>
      </c>
      <c r="Q1846">
        <v>4.9763910000000001E-2</v>
      </c>
      <c r="R1846">
        <v>-1.313047E-2</v>
      </c>
      <c r="S1846">
        <v>3.0148009999999998</v>
      </c>
      <c r="T1846">
        <v>-0.20109949999999999</v>
      </c>
      <c r="U1846">
        <v>1.376343E-2</v>
      </c>
      <c r="V1846">
        <v>-9.7110249999999995E-2</v>
      </c>
      <c r="W1846">
        <v>5.6486870000000002E-2</v>
      </c>
      <c r="X1846">
        <v>0.99366940000000004</v>
      </c>
      <c r="Y1846">
        <v>-0.1140253</v>
      </c>
      <c r="Z1846">
        <v>1.111637E-2</v>
      </c>
      <c r="AA1846">
        <v>0.99341570000000001</v>
      </c>
      <c r="AB1846">
        <v>35</v>
      </c>
      <c r="AC1846">
        <v>15.9297</v>
      </c>
      <c r="AD1846">
        <v>-1.106145968059</v>
      </c>
      <c r="AE1846">
        <v>0.14690000000001599</v>
      </c>
      <c r="AF1846">
        <v>-1.8889461526334801</v>
      </c>
      <c r="AG1846">
        <v>-1.106145968059</v>
      </c>
      <c r="AH1846">
        <v>15.7410060359006</v>
      </c>
      <c r="AI1846">
        <v>93.991118765172104</v>
      </c>
      <c r="AJ1846">
        <v>96.842864655426695</v>
      </c>
      <c r="AK1846">
        <v>15.8924808476355</v>
      </c>
      <c r="AL1846">
        <v>86.761817214888495</v>
      </c>
      <c r="AM1846">
        <v>95.581730154493599</v>
      </c>
      <c r="AN1846">
        <v>1.0000000218169001</v>
      </c>
    </row>
    <row r="1847" spans="1:40" x14ac:dyDescent="0.3">
      <c r="A1847" t="str">
        <f>"20200111153909937"</f>
        <v>20200111153909937</v>
      </c>
      <c r="B1847" t="str">
        <f>"1578728349932410"</f>
        <v>1578728349932410</v>
      </c>
      <c r="C1847" t="s">
        <v>40</v>
      </c>
      <c r="D1847">
        <v>5.1531669999999998</v>
      </c>
      <c r="E1847">
        <v>0.4914963</v>
      </c>
      <c r="F1847" t="s">
        <v>55</v>
      </c>
      <c r="G1847">
        <v>-446.43259999999998</v>
      </c>
      <c r="H1847" s="1">
        <v>1.845049E-6</v>
      </c>
      <c r="I1847">
        <v>215.56</v>
      </c>
      <c r="J1847">
        <v>-462.36099999999999</v>
      </c>
      <c r="K1847">
        <v>1.106004</v>
      </c>
      <c r="L1847">
        <v>215.38740000000001</v>
      </c>
      <c r="M1847">
        <v>0.99414579999999997</v>
      </c>
      <c r="N1847">
        <v>0</v>
      </c>
      <c r="O1847">
        <v>-0.1078181</v>
      </c>
      <c r="P1847">
        <v>0.99875809999999998</v>
      </c>
      <c r="Q1847">
        <v>4.8505149999999997E-2</v>
      </c>
      <c r="R1847">
        <v>-1.138897E-2</v>
      </c>
      <c r="S1847">
        <v>3.0145569999999999</v>
      </c>
      <c r="T1847">
        <v>-0.2048017</v>
      </c>
      <c r="U1847">
        <v>2.5085449999999999E-2</v>
      </c>
      <c r="V1847">
        <v>-9.6662999999999999E-2</v>
      </c>
      <c r="W1847">
        <v>5.4989549999999998E-2</v>
      </c>
      <c r="X1847">
        <v>0.99379689999999998</v>
      </c>
      <c r="Y1847">
        <v>-0.11557539999999999</v>
      </c>
      <c r="Z1847">
        <v>1.122801E-2</v>
      </c>
      <c r="AA1847">
        <v>0.99323519999999998</v>
      </c>
      <c r="AB1847">
        <v>35</v>
      </c>
      <c r="AC1847">
        <v>15.9284</v>
      </c>
      <c r="AD1847">
        <v>-1.106002154951</v>
      </c>
      <c r="AE1847">
        <v>0.17259999999998801</v>
      </c>
      <c r="AF1847">
        <v>-1.8799432556086699</v>
      </c>
      <c r="AG1847">
        <v>-1.106002154951</v>
      </c>
      <c r="AH1847">
        <v>15.7410491076215</v>
      </c>
      <c r="AI1847">
        <v>93.990859328314002</v>
      </c>
      <c r="AJ1847">
        <v>96.8105395125652</v>
      </c>
      <c r="AK1847">
        <v>15.8914459511907</v>
      </c>
      <c r="AL1847">
        <v>86.847740630752298</v>
      </c>
      <c r="AM1847">
        <v>95.555475848740301</v>
      </c>
      <c r="AN1847">
        <v>0.99999993231390405</v>
      </c>
    </row>
    <row r="1848" spans="1:40" x14ac:dyDescent="0.3">
      <c r="A1848" t="str">
        <f>"20200111153909960"</f>
        <v>20200111153909960</v>
      </c>
      <c r="B1848" t="str">
        <f>"1578728349952906"</f>
        <v>1578728349952906</v>
      </c>
      <c r="C1848" t="s">
        <v>40</v>
      </c>
      <c r="D1848">
        <v>5.2520429999999996</v>
      </c>
      <c r="E1848">
        <v>0.49328929999999999</v>
      </c>
      <c r="F1848" t="s">
        <v>55</v>
      </c>
      <c r="G1848">
        <v>-446.42720000000003</v>
      </c>
      <c r="H1848" s="1">
        <v>1.844643E-6</v>
      </c>
      <c r="I1848">
        <v>215.5044</v>
      </c>
      <c r="J1848">
        <v>-461.97910000000002</v>
      </c>
      <c r="K1848">
        <v>1.1058619999999999</v>
      </c>
      <c r="L1848">
        <v>215.34800000000001</v>
      </c>
      <c r="M1848">
        <v>0.99438680000000002</v>
      </c>
      <c r="N1848">
        <v>0</v>
      </c>
      <c r="O1848">
        <v>-0.1055895</v>
      </c>
      <c r="P1848">
        <v>0.998838</v>
      </c>
      <c r="Q1848">
        <v>4.6710139999999997E-2</v>
      </c>
      <c r="R1848">
        <v>-1.1878909999999999E-2</v>
      </c>
      <c r="S1848">
        <v>3.0141300000000002</v>
      </c>
      <c r="T1848">
        <v>-0.20921790000000001</v>
      </c>
      <c r="U1848">
        <v>2.21405E-2</v>
      </c>
      <c r="V1848">
        <v>-9.3933020000000006E-2</v>
      </c>
      <c r="W1848">
        <v>5.2954040000000001E-2</v>
      </c>
      <c r="X1848">
        <v>0.99416919999999998</v>
      </c>
      <c r="Y1848">
        <v>-0.1123696</v>
      </c>
      <c r="Z1848">
        <v>1.12061E-2</v>
      </c>
      <c r="AA1848">
        <v>0.99360329999999997</v>
      </c>
      <c r="AB1848">
        <v>35</v>
      </c>
      <c r="AC1848">
        <v>15.5518999999999</v>
      </c>
      <c r="AD1848">
        <v>-1.105860155357</v>
      </c>
      <c r="AE1848">
        <v>0.156400000000019</v>
      </c>
      <c r="AF1848">
        <v>-1.78863757480954</v>
      </c>
      <c r="AG1848">
        <v>-1.105860155357</v>
      </c>
      <c r="AH1848">
        <v>15.370731966411499</v>
      </c>
      <c r="AI1848">
        <v>94.087614305178604</v>
      </c>
      <c r="AJ1848">
        <v>96.637454522880404</v>
      </c>
      <c r="AK1848">
        <v>15.513914794161099</v>
      </c>
      <c r="AL1848">
        <v>86.964537142319401</v>
      </c>
      <c r="AM1848">
        <v>95.397507308447203</v>
      </c>
      <c r="AN1848">
        <v>0.99999997041363997</v>
      </c>
    </row>
    <row r="1849" spans="1:40" x14ac:dyDescent="0.3">
      <c r="A1849" t="str">
        <f>"20200111153910026"</f>
        <v>20200111153910026</v>
      </c>
      <c r="B1849" t="str">
        <f>"1578728350022202"</f>
        <v>1578728350022202</v>
      </c>
      <c r="C1849" t="s">
        <v>40</v>
      </c>
      <c r="D1849">
        <v>4.1384829999999999</v>
      </c>
      <c r="E1849">
        <v>0.5568573</v>
      </c>
      <c r="F1849" t="s">
        <v>55</v>
      </c>
      <c r="G1849">
        <v>-446.1508</v>
      </c>
      <c r="H1849" s="1">
        <v>1.702452E-6</v>
      </c>
      <c r="I1849">
        <v>215.39179999999999</v>
      </c>
      <c r="J1849">
        <v>-460.94510000000002</v>
      </c>
      <c r="K1849">
        <v>1.1055140000000001</v>
      </c>
      <c r="L1849">
        <v>215.24510000000001</v>
      </c>
      <c r="M1849">
        <v>0.99497029999999997</v>
      </c>
      <c r="N1849">
        <v>0</v>
      </c>
      <c r="O1849">
        <v>-9.9986519999999995E-2</v>
      </c>
      <c r="P1849">
        <v>0.99873339999999999</v>
      </c>
      <c r="Q1849">
        <v>4.3805719999999999E-2</v>
      </c>
      <c r="R1849">
        <v>-2.4752010000000001E-2</v>
      </c>
      <c r="S1849">
        <v>3.0133670000000001</v>
      </c>
      <c r="T1849">
        <v>-0.21053179999999999</v>
      </c>
      <c r="U1849">
        <v>8.3312990000000003E-3</v>
      </c>
      <c r="V1849">
        <v>-7.5464799999999999E-2</v>
      </c>
      <c r="W1849">
        <v>4.9510560000000002E-2</v>
      </c>
      <c r="X1849">
        <v>0.99591859999999999</v>
      </c>
      <c r="Y1849">
        <v>-0.1022465</v>
      </c>
      <c r="Z1849">
        <v>1.0536149999999999E-2</v>
      </c>
      <c r="AA1849">
        <v>0.99470329999999996</v>
      </c>
      <c r="AB1849">
        <v>36</v>
      </c>
      <c r="AC1849">
        <v>14.7943</v>
      </c>
      <c r="AD1849">
        <v>-1.1055122975479901</v>
      </c>
      <c r="AE1849">
        <v>0.14669999999998101</v>
      </c>
      <c r="AF1849">
        <v>-1.61619879918307</v>
      </c>
      <c r="AG1849">
        <v>-1.1055122975479901</v>
      </c>
      <c r="AH1849">
        <v>14.623841486912999</v>
      </c>
      <c r="AI1849">
        <v>94.297077482401704</v>
      </c>
      <c r="AJ1849">
        <v>96.306625427424393</v>
      </c>
      <c r="AK1849">
        <v>14.754355147984899</v>
      </c>
      <c r="AL1849">
        <v>87.162093766837401</v>
      </c>
      <c r="AM1849">
        <v>94.333253312941196</v>
      </c>
      <c r="AN1849">
        <v>1.00000004470825</v>
      </c>
    </row>
    <row r="1850" spans="1:40" x14ac:dyDescent="0.3">
      <c r="A1850" t="str">
        <f>"20200111153910048"</f>
        <v>20200111153910048</v>
      </c>
      <c r="B1850" t="str">
        <f>"1578728350042698"</f>
        <v>1578728350042698</v>
      </c>
      <c r="C1850" t="s">
        <v>40</v>
      </c>
      <c r="D1850">
        <v>4.9851739999999998</v>
      </c>
      <c r="E1850">
        <v>0.5161985</v>
      </c>
      <c r="F1850" t="s">
        <v>41</v>
      </c>
      <c r="G1850">
        <v>-460.20409999999998</v>
      </c>
      <c r="H1850">
        <v>0.77965209999999996</v>
      </c>
      <c r="I1850">
        <v>215.1122</v>
      </c>
      <c r="J1850">
        <v>-460.58940000000001</v>
      </c>
      <c r="K1850">
        <v>1.1054090000000001</v>
      </c>
      <c r="L1850">
        <v>215.21090000000001</v>
      </c>
      <c r="M1850">
        <v>0.99514970000000003</v>
      </c>
      <c r="N1850">
        <v>0</v>
      </c>
      <c r="O1850">
        <v>-9.8197889999999996E-2</v>
      </c>
      <c r="P1850">
        <v>0.99867609999999996</v>
      </c>
      <c r="Q1850">
        <v>4.2232640000000002E-2</v>
      </c>
      <c r="R1850">
        <v>-2.93747E-2</v>
      </c>
      <c r="S1850">
        <v>3.0491030000000001</v>
      </c>
      <c r="T1850">
        <v>-1.3410359999999999</v>
      </c>
      <c r="U1850">
        <v>-0.54675289999999999</v>
      </c>
      <c r="V1850">
        <v>-6.9051470000000004E-2</v>
      </c>
      <c r="W1850">
        <v>4.7766450000000002E-2</v>
      </c>
      <c r="X1850">
        <v>0.99646889999999999</v>
      </c>
      <c r="Y1850">
        <v>8.0543840000000005E-2</v>
      </c>
      <c r="Z1850">
        <v>2.404572E-2</v>
      </c>
      <c r="AA1850">
        <v>0.99646100000000004</v>
      </c>
      <c r="AB1850">
        <v>36</v>
      </c>
      <c r="AC1850">
        <v>0.38530000000002901</v>
      </c>
      <c r="AD1850">
        <v>-0.32575690000000002</v>
      </c>
      <c r="AE1850">
        <v>-9.8700000000008004E-2</v>
      </c>
      <c r="AF1850">
        <v>3.6142571296903098E-2</v>
      </c>
      <c r="AG1850">
        <v>-0.32575690000000002</v>
      </c>
      <c r="AH1850">
        <v>0.235295842481864</v>
      </c>
      <c r="AI1850">
        <v>143.84154210475401</v>
      </c>
      <c r="AJ1850">
        <v>81.267346936352297</v>
      </c>
      <c r="AK1850">
        <v>0.40346992062211001</v>
      </c>
      <c r="AL1850">
        <v>87.262142218231801</v>
      </c>
      <c r="AM1850">
        <v>93.964040652853598</v>
      </c>
      <c r="AN1850">
        <v>1.00000000396098</v>
      </c>
    </row>
    <row r="1851" spans="1:40" x14ac:dyDescent="0.3">
      <c r="A1851" t="str">
        <f>"20200111153910092"</f>
        <v>20200111153910092</v>
      </c>
      <c r="B1851" t="str">
        <f>"1578728350082713"</f>
        <v>1578728350082713</v>
      </c>
      <c r="C1851" t="s">
        <v>40</v>
      </c>
      <c r="D1851">
        <v>5.2253990000000003</v>
      </c>
      <c r="E1851">
        <v>0.50761239999999996</v>
      </c>
      <c r="F1851" t="s">
        <v>41</v>
      </c>
      <c r="G1851">
        <v>-459.8066</v>
      </c>
      <c r="H1851">
        <v>0.94509030000000005</v>
      </c>
      <c r="I1851">
        <v>215.1523</v>
      </c>
      <c r="J1851">
        <v>-459.87939999999998</v>
      </c>
      <c r="K1851">
        <v>1.1052090000000001</v>
      </c>
      <c r="L1851">
        <v>215.14420000000001</v>
      </c>
      <c r="M1851">
        <v>0.99547699999999995</v>
      </c>
      <c r="N1851">
        <v>0</v>
      </c>
      <c r="O1851">
        <v>-9.4847849999999997E-2</v>
      </c>
      <c r="P1851">
        <v>0.99837500000000001</v>
      </c>
      <c r="Q1851">
        <v>3.9856099999999998E-2</v>
      </c>
      <c r="R1851">
        <v>-4.0729509999999997E-2</v>
      </c>
      <c r="S1851">
        <v>3.0235289999999999</v>
      </c>
      <c r="T1851">
        <v>-0.61940989999999996</v>
      </c>
      <c r="U1851">
        <v>-0.22492980000000001</v>
      </c>
      <c r="V1851">
        <v>-5.4336759999999998E-2</v>
      </c>
      <c r="W1851">
        <v>4.5062369999999997E-2</v>
      </c>
      <c r="X1851">
        <v>0.99750539999999999</v>
      </c>
      <c r="Y1851">
        <v>-1.840352E-2</v>
      </c>
      <c r="Z1851">
        <v>2.1030279999999998E-2</v>
      </c>
      <c r="AA1851">
        <v>0.99960950000000004</v>
      </c>
      <c r="AB1851">
        <v>36</v>
      </c>
      <c r="AC1851">
        <v>7.2799999999972401E-2</v>
      </c>
      <c r="AD1851">
        <v>-0.1601187</v>
      </c>
      <c r="AE1851">
        <v>8.0999999999846698E-3</v>
      </c>
      <c r="AF1851">
        <v>-2.5904466477787999E-3</v>
      </c>
      <c r="AG1851">
        <v>-0.1601187</v>
      </c>
      <c r="AH1851">
        <v>1.24089944139227E-2</v>
      </c>
      <c r="AI1851">
        <v>175.473370935704</v>
      </c>
      <c r="AJ1851">
        <v>101.791472776652</v>
      </c>
      <c r="AK1851">
        <v>0.160619711262004</v>
      </c>
      <c r="AL1851">
        <v>87.4172419416997</v>
      </c>
      <c r="AM1851">
        <v>93.117971281676603</v>
      </c>
      <c r="AN1851">
        <v>1.0000000618532301</v>
      </c>
    </row>
    <row r="1852" spans="1:40" x14ac:dyDescent="0.3">
      <c r="A1852" t="str">
        <f>"20200111153910114"</f>
        <v>20200111153910114</v>
      </c>
      <c r="B1852" t="str">
        <f>"1578728350102233"</f>
        <v>1578728350102233</v>
      </c>
      <c r="C1852" t="s">
        <v>40</v>
      </c>
      <c r="D1852">
        <v>5.1411809999999996</v>
      </c>
      <c r="E1852">
        <v>0.50527639999999996</v>
      </c>
      <c r="F1852" t="s">
        <v>41</v>
      </c>
      <c r="G1852">
        <v>-459.12180000000001</v>
      </c>
      <c r="H1852">
        <v>1.027304</v>
      </c>
      <c r="I1852">
        <v>215.09710000000001</v>
      </c>
      <c r="J1852">
        <v>-459.52319999999997</v>
      </c>
      <c r="K1852">
        <v>1.1051280000000001</v>
      </c>
      <c r="L1852">
        <v>215.11160000000001</v>
      </c>
      <c r="M1852">
        <v>0.99562839999999997</v>
      </c>
      <c r="N1852">
        <v>0</v>
      </c>
      <c r="O1852">
        <v>-9.3256629999999993E-2</v>
      </c>
      <c r="P1852">
        <v>0.99824219999999997</v>
      </c>
      <c r="Q1852">
        <v>3.8419729999999999E-2</v>
      </c>
      <c r="R1852">
        <v>-4.5131619999999997E-2</v>
      </c>
      <c r="S1852">
        <v>3.0097049999999999</v>
      </c>
      <c r="T1852">
        <v>-0.3098378</v>
      </c>
      <c r="U1852">
        <v>-0.18548580000000001</v>
      </c>
      <c r="V1852">
        <v>-4.8334660000000002E-2</v>
      </c>
      <c r="W1852">
        <v>4.3466049999999999E-2</v>
      </c>
      <c r="X1852">
        <v>0.99788500000000002</v>
      </c>
      <c r="Y1852">
        <v>-3.1183659999999998E-2</v>
      </c>
      <c r="Z1852">
        <v>1.114832E-2</v>
      </c>
      <c r="AA1852">
        <v>0.99945150000000005</v>
      </c>
      <c r="AB1852">
        <v>36</v>
      </c>
      <c r="AC1852">
        <v>0.40139999999996601</v>
      </c>
      <c r="AD1852">
        <v>-7.7824000000000101E-2</v>
      </c>
      <c r="AE1852">
        <v>-1.4499999999998099E-2</v>
      </c>
      <c r="AF1852">
        <v>-2.21648233053982E-2</v>
      </c>
      <c r="AG1852">
        <v>-7.7824000000000101E-2</v>
      </c>
      <c r="AH1852">
        <v>0.38649357152163499</v>
      </c>
      <c r="AI1852">
        <v>101.366600021388</v>
      </c>
      <c r="AJ1852">
        <v>93.282231420320699</v>
      </c>
      <c r="AK1852">
        <v>0.39487356862128498</v>
      </c>
      <c r="AL1852">
        <v>87.508793936910095</v>
      </c>
      <c r="AM1852">
        <v>92.773074327826095</v>
      </c>
      <c r="AN1852">
        <v>1.00000000504245</v>
      </c>
    </row>
    <row r="1853" spans="1:40" x14ac:dyDescent="0.3">
      <c r="A1853" t="str">
        <f>"20200111153910190"</f>
        <v>20200111153910190</v>
      </c>
      <c r="B1853" t="str">
        <f>"1578728350182266"</f>
        <v>1578728350182266</v>
      </c>
      <c r="C1853" t="s">
        <v>40</v>
      </c>
      <c r="D1853">
        <v>5.1594110000000004</v>
      </c>
      <c r="E1853">
        <v>0.50015759999999998</v>
      </c>
      <c r="F1853" t="s">
        <v>41</v>
      </c>
      <c r="G1853">
        <v>-457.81810000000002</v>
      </c>
      <c r="H1853">
        <v>1.023104</v>
      </c>
      <c r="I1853">
        <v>214.99090000000001</v>
      </c>
      <c r="J1853">
        <v>-458.28370000000001</v>
      </c>
      <c r="K1853">
        <v>1.1049209999999901</v>
      </c>
      <c r="L1853">
        <v>215.00219999999999</v>
      </c>
      <c r="M1853">
        <v>0.99611260000000001</v>
      </c>
      <c r="N1853">
        <v>0</v>
      </c>
      <c r="O1853">
        <v>-8.7966970000000005E-2</v>
      </c>
      <c r="P1853">
        <v>0.99807129999999999</v>
      </c>
      <c r="Q1853">
        <v>3.6257579999999998E-2</v>
      </c>
      <c r="R1853">
        <v>-5.039242E-2</v>
      </c>
      <c r="S1853">
        <v>3.0078130000000001</v>
      </c>
      <c r="T1853">
        <v>-0.265345099999999</v>
      </c>
      <c r="U1853">
        <v>-0.16476440000000001</v>
      </c>
      <c r="V1853">
        <v>-3.7756900000000003E-2</v>
      </c>
      <c r="W1853">
        <v>4.0742390000000003E-2</v>
      </c>
      <c r="X1853">
        <v>0.99845609999999996</v>
      </c>
      <c r="Y1853">
        <v>-3.2884730000000001E-2</v>
      </c>
      <c r="Z1853">
        <v>9.1740629999999997E-3</v>
      </c>
      <c r="AA1853">
        <v>0.99941709999999995</v>
      </c>
      <c r="AB1853">
        <v>37</v>
      </c>
      <c r="AC1853">
        <v>0.46559999999999402</v>
      </c>
      <c r="AD1853">
        <v>-8.1816999999999807E-2</v>
      </c>
      <c r="AE1853">
        <v>-1.12999999999772E-2</v>
      </c>
      <c r="AF1853">
        <v>-2.8812495094783001E-2</v>
      </c>
      <c r="AG1853">
        <v>-8.1816999999999807E-2</v>
      </c>
      <c r="AH1853">
        <v>0.45087475061028098</v>
      </c>
      <c r="AI1853">
        <v>100.264644724419</v>
      </c>
      <c r="AJ1853">
        <v>93.656431644098504</v>
      </c>
      <c r="AK1853">
        <v>0.45914292121350397</v>
      </c>
      <c r="AL1853">
        <v>87.6649868316088</v>
      </c>
      <c r="AM1853">
        <v>92.165624233494299</v>
      </c>
      <c r="AN1853">
        <v>1.0000000547338601</v>
      </c>
    </row>
    <row r="1854" spans="1:40" x14ac:dyDescent="0.3">
      <c r="A1854" t="str">
        <f>"20200111153910229"</f>
        <v>20200111153910229</v>
      </c>
      <c r="B1854" t="str">
        <f>"1578728350222282"</f>
        <v>1578728350222282</v>
      </c>
      <c r="C1854" t="s">
        <v>40</v>
      </c>
      <c r="D1854">
        <v>5.1437330000000001</v>
      </c>
      <c r="E1854">
        <v>0.49864350000000002</v>
      </c>
      <c r="F1854" t="s">
        <v>41</v>
      </c>
      <c r="G1854">
        <v>-457.47129999999999</v>
      </c>
      <c r="H1854">
        <v>1.0336419999999999</v>
      </c>
      <c r="I1854">
        <v>214.96109999999999</v>
      </c>
      <c r="J1854">
        <v>-457.64510000000001</v>
      </c>
      <c r="K1854">
        <v>1.1048290000000001</v>
      </c>
      <c r="L1854">
        <v>214.94829999999999</v>
      </c>
      <c r="M1854">
        <v>0.99634449999999997</v>
      </c>
      <c r="N1854">
        <v>0</v>
      </c>
      <c r="O1854">
        <v>-8.5315000000000002E-2</v>
      </c>
      <c r="P1854">
        <v>0.99817710000000004</v>
      </c>
      <c r="Q1854">
        <v>3.3593610000000003E-2</v>
      </c>
      <c r="R1854">
        <v>-5.0139280000000001E-2</v>
      </c>
      <c r="S1854">
        <v>3.0077210000000001</v>
      </c>
      <c r="T1854">
        <v>-0.2639185</v>
      </c>
      <c r="U1854">
        <v>-0.1520233</v>
      </c>
      <c r="V1854">
        <v>-3.5346559999999999E-2</v>
      </c>
      <c r="W1854">
        <v>3.7810200000000002E-2</v>
      </c>
      <c r="X1854">
        <v>0.99865959999999998</v>
      </c>
      <c r="Y1854">
        <v>-3.4453249999999998E-2</v>
      </c>
      <c r="Z1854">
        <v>8.9640009999999992E-3</v>
      </c>
      <c r="AA1854">
        <v>0.99936610000000003</v>
      </c>
      <c r="AB1854">
        <v>37</v>
      </c>
      <c r="AC1854">
        <v>0.17380000000002799</v>
      </c>
      <c r="AD1854">
        <v>-7.1187000000000097E-2</v>
      </c>
      <c r="AE1854">
        <v>1.27999999999985E-2</v>
      </c>
      <c r="AF1854">
        <v>-2.36371246832821E-2</v>
      </c>
      <c r="AG1854">
        <v>-7.1187000000000097E-2</v>
      </c>
      <c r="AH1854">
        <v>0.14746778202392</v>
      </c>
      <c r="AI1854">
        <v>115.484572622035</v>
      </c>
      <c r="AJ1854">
        <v>99.106293084169494</v>
      </c>
      <c r="AK1854">
        <v>0.165448026181479</v>
      </c>
      <c r="AL1854">
        <v>87.833118594635707</v>
      </c>
      <c r="AM1854">
        <v>92.0270807588998</v>
      </c>
      <c r="AN1854">
        <v>0.99999999360001601</v>
      </c>
    </row>
    <row r="1855" spans="1:40" x14ac:dyDescent="0.3">
      <c r="A1855" t="str">
        <f>"20200111153910271"</f>
        <v>20200111153910271</v>
      </c>
      <c r="B1855" t="str">
        <f>"1578728350262806"</f>
        <v>1578728350262806</v>
      </c>
      <c r="C1855" t="s">
        <v>40</v>
      </c>
      <c r="D1855">
        <v>5.0880729999999996</v>
      </c>
      <c r="E1855">
        <v>0.49733650000000001</v>
      </c>
      <c r="F1855" t="s">
        <v>41</v>
      </c>
      <c r="G1855">
        <v>-456.81389999999999</v>
      </c>
      <c r="H1855">
        <v>1.0315920000000001</v>
      </c>
      <c r="I1855">
        <v>214.9101</v>
      </c>
      <c r="J1855">
        <v>-456.92360000000002</v>
      </c>
      <c r="K1855">
        <v>1.1047309999999999</v>
      </c>
      <c r="L1855">
        <v>214.88939999999999</v>
      </c>
      <c r="M1855">
        <v>0.99659229999999999</v>
      </c>
      <c r="N1855">
        <v>0</v>
      </c>
      <c r="O1855">
        <v>-8.2385539999999993E-2</v>
      </c>
      <c r="P1855">
        <v>0.99843550000000003</v>
      </c>
      <c r="Q1855">
        <v>3.0216920000000001E-2</v>
      </c>
      <c r="R1855">
        <v>-4.7049540000000001E-2</v>
      </c>
      <c r="S1855">
        <v>3.0075069999999999</v>
      </c>
      <c r="T1855">
        <v>-0.26509870000000002</v>
      </c>
      <c r="U1855">
        <v>-0.13804629999999901</v>
      </c>
      <c r="V1855">
        <v>-3.5494570000000003E-2</v>
      </c>
      <c r="W1855">
        <v>3.415427E-2</v>
      </c>
      <c r="X1855">
        <v>0.99878610000000001</v>
      </c>
      <c r="Y1855">
        <v>-3.614552E-2</v>
      </c>
      <c r="Z1855">
        <v>8.8236740000000001E-3</v>
      </c>
      <c r="AA1855">
        <v>0.99930759999999996</v>
      </c>
      <c r="AB1855">
        <v>37</v>
      </c>
      <c r="AC1855">
        <v>0.10970000000003199</v>
      </c>
      <c r="AD1855">
        <v>-7.3138999999999801E-2</v>
      </c>
      <c r="AE1855">
        <v>2.0700000000004999E-2</v>
      </c>
      <c r="AF1855">
        <v>-2.0757609059719899E-2</v>
      </c>
      <c r="AG1855">
        <v>-7.3138999999999801E-2</v>
      </c>
      <c r="AH1855">
        <v>7.5300460417031395E-2</v>
      </c>
      <c r="AI1855">
        <v>133.11789035353499</v>
      </c>
      <c r="AJ1855">
        <v>105.411602749948</v>
      </c>
      <c r="AK1855">
        <v>0.107006312869349</v>
      </c>
      <c r="AL1855">
        <v>88.0427238701905</v>
      </c>
      <c r="AM1855">
        <v>92.035304225778006</v>
      </c>
      <c r="AN1855">
        <v>1.0000000261059601</v>
      </c>
    </row>
    <row r="1856" spans="1:40" x14ac:dyDescent="0.3">
      <c r="A1856" t="str">
        <f>"20200111153910293"</f>
        <v>20200111153910293</v>
      </c>
      <c r="B1856" t="str">
        <f>"1578728350282326"</f>
        <v>1578728350282326</v>
      </c>
      <c r="C1856" t="s">
        <v>40</v>
      </c>
      <c r="D1856">
        <v>5.3458709999999998</v>
      </c>
      <c r="E1856">
        <v>0.49712060000000002</v>
      </c>
      <c r="F1856" t="s">
        <v>55</v>
      </c>
      <c r="G1856">
        <v>-444.66739999999999</v>
      </c>
      <c r="H1856" s="1">
        <v>9.560639999999999E-7</v>
      </c>
      <c r="I1856">
        <v>214.40770000000001</v>
      </c>
      <c r="J1856">
        <v>-456.56119999999999</v>
      </c>
      <c r="K1856">
        <v>1.104689</v>
      </c>
      <c r="L1856">
        <v>214.8605</v>
      </c>
      <c r="M1856">
        <v>0.9967104</v>
      </c>
      <c r="N1856">
        <v>0</v>
      </c>
      <c r="O1856">
        <v>-8.0950019999999998E-2</v>
      </c>
      <c r="P1856">
        <v>0.99857399999999996</v>
      </c>
      <c r="Q1856">
        <v>2.950471E-2</v>
      </c>
      <c r="R1856">
        <v>-4.4490349999999998E-2</v>
      </c>
      <c r="S1856">
        <v>3.0072939999999999</v>
      </c>
      <c r="T1856">
        <v>-0.271066799999999</v>
      </c>
      <c r="U1856">
        <v>-0.1181946</v>
      </c>
      <c r="V1856">
        <v>-3.6613359999999998E-2</v>
      </c>
      <c r="W1856">
        <v>3.3320750000000003E-2</v>
      </c>
      <c r="X1856">
        <v>0.99877380000000004</v>
      </c>
      <c r="Y1856">
        <v>-4.1251059999999999E-2</v>
      </c>
      <c r="Z1856">
        <v>9.1248149999999997E-3</v>
      </c>
      <c r="AA1856">
        <v>0.99910710000000003</v>
      </c>
      <c r="AB1856">
        <v>38</v>
      </c>
      <c r="AC1856">
        <v>11.893800000000001</v>
      </c>
      <c r="AD1856">
        <v>-1.1046880439360001</v>
      </c>
      <c r="AE1856">
        <v>-0.45279999999999598</v>
      </c>
      <c r="AF1856">
        <v>-0.50712838981180597</v>
      </c>
      <c r="AG1856">
        <v>-1.1046880439360001</v>
      </c>
      <c r="AH1856">
        <v>11.789861474967701</v>
      </c>
      <c r="AI1856">
        <v>95.347962930508899</v>
      </c>
      <c r="AJ1856">
        <v>92.462998937433994</v>
      </c>
      <c r="AK1856">
        <v>11.852356241570501</v>
      </c>
      <c r="AL1856">
        <v>88.090508118840305</v>
      </c>
      <c r="AM1856">
        <v>92.099426382671595</v>
      </c>
      <c r="AN1856">
        <v>0.999999957038745</v>
      </c>
    </row>
    <row r="1857" spans="1:40" x14ac:dyDescent="0.3">
      <c r="A1857" t="str">
        <f>"20200111153910314"</f>
        <v>20200111153910314</v>
      </c>
      <c r="B1857" t="str">
        <f>"1578728350302821"</f>
        <v>1578728350302821</v>
      </c>
      <c r="C1857" t="s">
        <v>40</v>
      </c>
      <c r="D1857">
        <v>5.3874380000000004</v>
      </c>
      <c r="E1857">
        <v>0.51848640000000001</v>
      </c>
      <c r="F1857" t="s">
        <v>55</v>
      </c>
      <c r="G1857">
        <v>-444.31060000000002</v>
      </c>
      <c r="H1857" s="1">
        <v>7.6581360000000004E-7</v>
      </c>
      <c r="I1857">
        <v>214.41669999999999</v>
      </c>
      <c r="J1857">
        <v>-456.19839999999999</v>
      </c>
      <c r="K1857">
        <v>1.104643</v>
      </c>
      <c r="L1857">
        <v>214.8321</v>
      </c>
      <c r="M1857">
        <v>0.99682380000000004</v>
      </c>
      <c r="N1857">
        <v>0</v>
      </c>
      <c r="O1857">
        <v>-7.9547290000000007E-2</v>
      </c>
      <c r="P1857">
        <v>0.99867030000000001</v>
      </c>
      <c r="Q1857">
        <v>2.8610480000000001E-2</v>
      </c>
      <c r="R1857">
        <v>-4.2883539999999998E-2</v>
      </c>
      <c r="S1857">
        <v>3.0074770000000002</v>
      </c>
      <c r="T1857">
        <v>-0.27119549999999998</v>
      </c>
      <c r="U1857">
        <v>-0.1089478</v>
      </c>
      <c r="V1857">
        <v>-3.6811249999999997E-2</v>
      </c>
      <c r="W1857">
        <v>3.2322320000000002E-2</v>
      </c>
      <c r="X1857">
        <v>0.9987994</v>
      </c>
      <c r="Y1857">
        <v>-4.2913199999999901E-2</v>
      </c>
      <c r="Z1857">
        <v>9.0782889999999998E-3</v>
      </c>
      <c r="AA1857">
        <v>0.99903759999999997</v>
      </c>
      <c r="AB1857">
        <v>38</v>
      </c>
      <c r="AC1857">
        <v>11.887799999999899</v>
      </c>
      <c r="AD1857">
        <v>-1.1046422341864</v>
      </c>
      <c r="AE1857">
        <v>-0.41540000000000499</v>
      </c>
      <c r="AF1857">
        <v>-0.52702049077017998</v>
      </c>
      <c r="AG1857">
        <v>-1.1046422341864</v>
      </c>
      <c r="AH1857">
        <v>11.781567694995999</v>
      </c>
      <c r="AI1857">
        <v>95.351084807427696</v>
      </c>
      <c r="AJ1857">
        <v>92.561283346974506</v>
      </c>
      <c r="AK1857">
        <v>11.844970342512999</v>
      </c>
      <c r="AL1857">
        <v>88.147744904779401</v>
      </c>
      <c r="AM1857">
        <v>92.110709195637995</v>
      </c>
      <c r="AN1857">
        <v>1.00000002096855</v>
      </c>
    </row>
    <row r="1858" spans="1:40" x14ac:dyDescent="0.3">
      <c r="A1858" t="str">
        <f>"20200111153910337"</f>
        <v>20200111153910337</v>
      </c>
      <c r="B1858" t="str">
        <f>"1578728350332102"</f>
        <v>1578728350332102</v>
      </c>
      <c r="C1858" t="s">
        <v>40</v>
      </c>
      <c r="D1858">
        <v>5.3079239999999999</v>
      </c>
      <c r="E1858">
        <v>0.5643011</v>
      </c>
      <c r="F1858" t="s">
        <v>41</v>
      </c>
      <c r="G1858">
        <v>-455.49579999999997</v>
      </c>
      <c r="H1858">
        <v>1.00222099999999</v>
      </c>
      <c r="I1858">
        <v>214.76769999999999</v>
      </c>
      <c r="J1858">
        <v>-455.80309999999997</v>
      </c>
      <c r="K1858">
        <v>1.1045969999999901</v>
      </c>
      <c r="L1858">
        <v>214.80170000000001</v>
      </c>
      <c r="M1858">
        <v>0.99694070000000001</v>
      </c>
      <c r="N1858">
        <v>0</v>
      </c>
      <c r="O1858">
        <v>-7.8072669999999997E-2</v>
      </c>
      <c r="P1858">
        <v>0.99875539999999996</v>
      </c>
      <c r="Q1858">
        <v>2.8251140000000001E-2</v>
      </c>
      <c r="R1858">
        <v>-4.1107970000000001E-2</v>
      </c>
      <c r="S1858">
        <v>3.004791</v>
      </c>
      <c r="T1858">
        <v>-0.4381775</v>
      </c>
      <c r="U1858">
        <v>-0.27397159999999998</v>
      </c>
      <c r="V1858">
        <v>-3.7107090000000002E-2</v>
      </c>
      <c r="W1858">
        <v>3.1865270000000001E-2</v>
      </c>
      <c r="X1858">
        <v>0.99880310000000005</v>
      </c>
      <c r="Y1858">
        <v>1.344918E-2</v>
      </c>
      <c r="Z1858">
        <v>1.031003E-2</v>
      </c>
      <c r="AA1858">
        <v>0.99985639999999998</v>
      </c>
      <c r="AB1858">
        <v>38</v>
      </c>
      <c r="AC1858">
        <v>0.30729999999999702</v>
      </c>
      <c r="AD1858">
        <v>-0.10237599999999999</v>
      </c>
      <c r="AE1858">
        <v>-3.4000000000020202E-2</v>
      </c>
      <c r="AF1858">
        <v>8.92567000343494E-3</v>
      </c>
      <c r="AG1858">
        <v>-0.10237599999999999</v>
      </c>
      <c r="AH1858">
        <v>0.27848241437476001</v>
      </c>
      <c r="AI1858">
        <v>110.174966670979</v>
      </c>
      <c r="AJ1858">
        <v>88.1642352084273</v>
      </c>
      <c r="AK1858">
        <v>0.29683828607005203</v>
      </c>
      <c r="AL1858">
        <v>88.173945366324702</v>
      </c>
      <c r="AM1858">
        <v>92.127648873788502</v>
      </c>
      <c r="AN1858">
        <v>0.99999998206502505</v>
      </c>
    </row>
    <row r="1859" spans="1:40" x14ac:dyDescent="0.3">
      <c r="A1859" t="str">
        <f>"20200111153910360"</f>
        <v>20200111153910360</v>
      </c>
      <c r="B1859" t="str">
        <f>"1578728350352129"</f>
        <v>1578728350352129</v>
      </c>
      <c r="C1859" t="s">
        <v>40</v>
      </c>
      <c r="D1859">
        <v>5.2923790000000004</v>
      </c>
      <c r="E1859">
        <v>0.56534280000000003</v>
      </c>
      <c r="F1859" t="s">
        <v>41</v>
      </c>
      <c r="G1859">
        <v>-454.87779999999998</v>
      </c>
      <c r="H1859">
        <v>0.88233069999999902</v>
      </c>
      <c r="I1859">
        <v>214.6063</v>
      </c>
      <c r="J1859">
        <v>-455.41430000000003</v>
      </c>
      <c r="K1859">
        <v>1.1045609999999999</v>
      </c>
      <c r="L1859">
        <v>214.7724</v>
      </c>
      <c r="M1859">
        <v>0.99704970000000004</v>
      </c>
      <c r="N1859">
        <v>0</v>
      </c>
      <c r="O1859">
        <v>-7.6672790000000005E-2</v>
      </c>
      <c r="P1859">
        <v>0.99878849999999997</v>
      </c>
      <c r="Q1859">
        <v>2.8197320000000001E-2</v>
      </c>
      <c r="R1859">
        <v>-4.0334549999999997E-2</v>
      </c>
      <c r="S1859">
        <v>2.9980470000000001</v>
      </c>
      <c r="T1859">
        <v>-0.72021569999999902</v>
      </c>
      <c r="U1859">
        <v>-0.63273619999999997</v>
      </c>
      <c r="V1859">
        <v>-3.6475229999999997E-2</v>
      </c>
      <c r="W1859">
        <v>3.1732780000000002E-2</v>
      </c>
      <c r="X1859">
        <v>0.99883060000000001</v>
      </c>
      <c r="Y1859">
        <v>0.12943679999999999</v>
      </c>
      <c r="Z1859">
        <v>2.7532720000000002E-3</v>
      </c>
      <c r="AA1859">
        <v>0.99158389999999996</v>
      </c>
      <c r="AB1859">
        <v>38</v>
      </c>
      <c r="AC1859">
        <v>0.53650000000004605</v>
      </c>
      <c r="AD1859">
        <v>-0.22223029999999999</v>
      </c>
      <c r="AE1859">
        <v>-0.1661</v>
      </c>
      <c r="AF1859">
        <v>0.107624753744843</v>
      </c>
      <c r="AG1859">
        <v>-0.22223029999999999</v>
      </c>
      <c r="AH1859">
        <v>0.47351649269571899</v>
      </c>
      <c r="AI1859">
        <v>114.591052616488</v>
      </c>
      <c r="AJ1859">
        <v>77.194886073770306</v>
      </c>
      <c r="AK1859">
        <v>0.534029271399596</v>
      </c>
      <c r="AL1859">
        <v>88.181540338923696</v>
      </c>
      <c r="AM1859">
        <v>92.091394163050794</v>
      </c>
      <c r="AN1859">
        <v>0.99999998961322001</v>
      </c>
    </row>
    <row r="1860" spans="1:40" x14ac:dyDescent="0.3">
      <c r="A1860" t="str">
        <f>"20200111153910382"</f>
        <v>20200111153910382</v>
      </c>
      <c r="B1860" t="str">
        <f>"1578728350372625"</f>
        <v>1578728350372625</v>
      </c>
      <c r="C1860" t="s">
        <v>40</v>
      </c>
      <c r="D1860">
        <v>5.2965819999999999</v>
      </c>
      <c r="E1860">
        <v>0.56517980000000001</v>
      </c>
      <c r="F1860" t="s">
        <v>41</v>
      </c>
      <c r="G1860">
        <v>-454.53460000000001</v>
      </c>
      <c r="H1860">
        <v>0.8837296</v>
      </c>
      <c r="I1860">
        <v>214.5849</v>
      </c>
      <c r="J1860">
        <v>-455.04180000000002</v>
      </c>
      <c r="K1860">
        <v>1.104525</v>
      </c>
      <c r="L1860">
        <v>214.7448</v>
      </c>
      <c r="M1860">
        <v>0.99714910000000001</v>
      </c>
      <c r="N1860">
        <v>0</v>
      </c>
      <c r="O1860">
        <v>-7.5370670000000001E-2</v>
      </c>
      <c r="P1860">
        <v>0.99884550000000005</v>
      </c>
      <c r="Q1860">
        <v>2.8316649999999999E-2</v>
      </c>
      <c r="R1860">
        <v>-3.880699E-2</v>
      </c>
      <c r="S1860">
        <v>2.9990839999999999</v>
      </c>
      <c r="T1860">
        <v>-0.75295900000000004</v>
      </c>
      <c r="U1860">
        <v>-0.63905330000000005</v>
      </c>
      <c r="V1860">
        <v>-3.6696640000000003E-2</v>
      </c>
      <c r="W1860">
        <v>3.178425E-2</v>
      </c>
      <c r="X1860">
        <v>0.99882079999999995</v>
      </c>
      <c r="Y1860">
        <v>0.13240450000000001</v>
      </c>
      <c r="Z1860">
        <v>2.193501E-3</v>
      </c>
      <c r="AA1860">
        <v>0.9911934</v>
      </c>
      <c r="AB1860">
        <v>38</v>
      </c>
      <c r="AC1860">
        <v>0.50720000000001098</v>
      </c>
      <c r="AD1860">
        <v>-0.2207954</v>
      </c>
      <c r="AE1860">
        <v>-0.15989999999999299</v>
      </c>
      <c r="AF1860">
        <v>0.103394468891047</v>
      </c>
      <c r="AG1860">
        <v>-0.2207954</v>
      </c>
      <c r="AH1860">
        <v>0.441675970139008</v>
      </c>
      <c r="AI1860">
        <v>115.95424651349801</v>
      </c>
      <c r="AJ1860">
        <v>76.8245567696911</v>
      </c>
      <c r="AK1860">
        <v>0.50449845139173199</v>
      </c>
      <c r="AL1860">
        <v>88.178589739526302</v>
      </c>
      <c r="AM1860">
        <v>92.104098482214397</v>
      </c>
      <c r="AN1860">
        <v>0.99999993622399397</v>
      </c>
    </row>
    <row r="1861" spans="1:40" x14ac:dyDescent="0.3">
      <c r="A1861" t="str">
        <f>"20200111153910404"</f>
        <v>20200111153910404</v>
      </c>
      <c r="B1861" t="str">
        <f>"1578728350392145"</f>
        <v>1578728350392145</v>
      </c>
      <c r="C1861" t="s">
        <v>40</v>
      </c>
      <c r="D1861">
        <v>5.3114619999999997</v>
      </c>
      <c r="E1861">
        <v>0.56507030000000003</v>
      </c>
      <c r="F1861" t="s">
        <v>41</v>
      </c>
      <c r="G1861">
        <v>-454.18819999999999</v>
      </c>
      <c r="H1861">
        <v>0.88929329999999995</v>
      </c>
      <c r="I1861">
        <v>214.56450000000001</v>
      </c>
      <c r="J1861">
        <v>-454.65640000000002</v>
      </c>
      <c r="K1861">
        <v>1.1044860000000001</v>
      </c>
      <c r="L1861">
        <v>214.7166</v>
      </c>
      <c r="M1861">
        <v>0.99724769999999896</v>
      </c>
      <c r="N1861">
        <v>0</v>
      </c>
      <c r="O1861">
        <v>-7.4059130000000001E-2</v>
      </c>
      <c r="P1861">
        <v>0.99891200000000002</v>
      </c>
      <c r="Q1861">
        <v>2.8546140000000001E-2</v>
      </c>
      <c r="R1861">
        <v>-3.6881839999999999E-2</v>
      </c>
      <c r="S1861">
        <v>3.000305</v>
      </c>
      <c r="T1861">
        <v>-0.75648549999999903</v>
      </c>
      <c r="U1861">
        <v>-0.63337710000000003</v>
      </c>
      <c r="V1861">
        <v>-3.7306060000000002E-2</v>
      </c>
      <c r="W1861">
        <v>3.195344E-2</v>
      </c>
      <c r="X1861">
        <v>0.99879289999999998</v>
      </c>
      <c r="Y1861">
        <v>0.13179489999999999</v>
      </c>
      <c r="Z1861">
        <v>1.9579440000000001E-3</v>
      </c>
      <c r="AA1861">
        <v>0.99127509999999996</v>
      </c>
      <c r="AB1861">
        <v>38</v>
      </c>
      <c r="AC1861">
        <v>0.46820000000002399</v>
      </c>
      <c r="AD1861">
        <v>-0.21519269999999999</v>
      </c>
      <c r="AE1861">
        <v>-0.15209999999998999</v>
      </c>
      <c r="AF1861">
        <v>9.8236398218296203E-2</v>
      </c>
      <c r="AG1861">
        <v>-0.21519269999999999</v>
      </c>
      <c r="AH1861">
        <v>0.40146580124169801</v>
      </c>
      <c r="AI1861">
        <v>117.504048260408</v>
      </c>
      <c r="AJ1861">
        <v>76.250223303976497</v>
      </c>
      <c r="AK1861">
        <v>0.46597540453851399</v>
      </c>
      <c r="AL1861">
        <v>88.168891076085401</v>
      </c>
      <c r="AM1861">
        <v>92.139068684131303</v>
      </c>
      <c r="AN1861">
        <v>1.0000000107654801</v>
      </c>
    </row>
    <row r="1862" spans="1:40" x14ac:dyDescent="0.3">
      <c r="A1862" t="str">
        <f>"20200111153910426"</f>
        <v>20200111153910426</v>
      </c>
      <c r="B1862" t="str">
        <f>"1578728350422402"</f>
        <v>1578728350422402</v>
      </c>
      <c r="C1862" t="s">
        <v>40</v>
      </c>
      <c r="D1862">
        <v>5.3332689999999996</v>
      </c>
      <c r="E1862">
        <v>0.56517629999999996</v>
      </c>
      <c r="F1862" t="s">
        <v>41</v>
      </c>
      <c r="G1862">
        <v>-453.83879999999999</v>
      </c>
      <c r="H1862">
        <v>0.89849480000000004</v>
      </c>
      <c r="I1862">
        <v>214.5453</v>
      </c>
      <c r="J1862">
        <v>-454.28250000000003</v>
      </c>
      <c r="K1862">
        <v>1.1044529999999999</v>
      </c>
      <c r="L1862">
        <v>214.68979999999999</v>
      </c>
      <c r="M1862">
        <v>0.99733950000000005</v>
      </c>
      <c r="N1862">
        <v>0</v>
      </c>
      <c r="O1862">
        <v>-7.2812680000000005E-2</v>
      </c>
      <c r="P1862">
        <v>0.99901600000000002</v>
      </c>
      <c r="Q1862">
        <v>2.788268E-2</v>
      </c>
      <c r="R1862">
        <v>-3.448768E-2</v>
      </c>
      <c r="S1862">
        <v>3.0016780000000001</v>
      </c>
      <c r="T1862">
        <v>-0.75627149999999999</v>
      </c>
      <c r="U1862">
        <v>-0.62799069999999901</v>
      </c>
      <c r="V1862">
        <v>-3.8449459999999998E-2</v>
      </c>
      <c r="W1862">
        <v>3.123855E-2</v>
      </c>
      <c r="X1862">
        <v>0.99877210000000005</v>
      </c>
      <c r="Y1862">
        <v>0.131219899999999</v>
      </c>
      <c r="Z1862">
        <v>1.723519E-3</v>
      </c>
      <c r="AA1862">
        <v>0.99135180000000001</v>
      </c>
      <c r="AB1862">
        <v>39</v>
      </c>
      <c r="AC1862">
        <v>0.44370000000003501</v>
      </c>
      <c r="AD1862">
        <v>-0.20595820000000001</v>
      </c>
      <c r="AE1862">
        <v>-0.144499999999993</v>
      </c>
      <c r="AF1862">
        <v>9.3579499854716405E-2</v>
      </c>
      <c r="AG1862">
        <v>-0.20595820000000001</v>
      </c>
      <c r="AH1862">
        <v>0.37917797014964</v>
      </c>
      <c r="AI1862">
        <v>117.804822337071</v>
      </c>
      <c r="AJ1862">
        <v>76.136678631362201</v>
      </c>
      <c r="AK1862">
        <v>0.44153350494283</v>
      </c>
      <c r="AL1862">
        <v>88.2098716223325</v>
      </c>
      <c r="AM1862">
        <v>92.204611515066006</v>
      </c>
      <c r="AN1862">
        <v>0.99999995785940099</v>
      </c>
    </row>
    <row r="1863" spans="1:40" x14ac:dyDescent="0.3">
      <c r="A1863" t="str">
        <f>"20200111153910451"</f>
        <v>20200111153910451</v>
      </c>
      <c r="B1863" t="str">
        <f>"1578728350442899"</f>
        <v>1578728350442899</v>
      </c>
      <c r="C1863" t="s">
        <v>40</v>
      </c>
      <c r="D1863">
        <v>5.3379500000000002</v>
      </c>
      <c r="E1863">
        <v>0.56521309999999902</v>
      </c>
      <c r="F1863" t="s">
        <v>41</v>
      </c>
      <c r="G1863">
        <v>-453.4898</v>
      </c>
      <c r="H1863">
        <v>0.90388380000000002</v>
      </c>
      <c r="I1863">
        <v>214.52529999999999</v>
      </c>
      <c r="J1863">
        <v>-453.85820000000001</v>
      </c>
      <c r="K1863">
        <v>1.104428</v>
      </c>
      <c r="L1863">
        <v>214.65979999999999</v>
      </c>
      <c r="M1863">
        <v>0.99744029999999995</v>
      </c>
      <c r="N1863">
        <v>0</v>
      </c>
      <c r="O1863">
        <v>-7.1421860000000004E-2</v>
      </c>
      <c r="P1863">
        <v>0.99909199999999998</v>
      </c>
      <c r="Q1863">
        <v>2.7492059999999999E-2</v>
      </c>
      <c r="R1863">
        <v>-3.2546329999999998E-2</v>
      </c>
      <c r="S1863">
        <v>3.0026860000000002</v>
      </c>
      <c r="T1863">
        <v>-0.75967669999999998</v>
      </c>
      <c r="U1863">
        <v>-0.62251279999999998</v>
      </c>
      <c r="V1863">
        <v>-3.8995290000000002E-2</v>
      </c>
      <c r="W1863">
        <v>3.0801019999999998E-2</v>
      </c>
      <c r="X1863">
        <v>0.9987646</v>
      </c>
      <c r="Y1863">
        <v>0.1307586</v>
      </c>
      <c r="Z1863">
        <v>1.4469439999999999E-3</v>
      </c>
      <c r="AA1863">
        <v>0.99141319999999999</v>
      </c>
      <c r="AB1863">
        <v>39</v>
      </c>
      <c r="AC1863">
        <v>0.368400000000008</v>
      </c>
      <c r="AD1863">
        <v>-0.20054419999999901</v>
      </c>
      <c r="AE1863">
        <v>-0.13450000000000201</v>
      </c>
      <c r="AF1863">
        <v>8.5490467231791198E-2</v>
      </c>
      <c r="AG1863">
        <v>-0.20054419999999901</v>
      </c>
      <c r="AH1863">
        <v>0.29890713341646602</v>
      </c>
      <c r="AI1863">
        <v>122.824435693811</v>
      </c>
      <c r="AJ1863">
        <v>74.038934139258899</v>
      </c>
      <c r="AK1863">
        <v>0.369962255572645</v>
      </c>
      <c r="AL1863">
        <v>88.234952444428401</v>
      </c>
      <c r="AM1863">
        <v>92.235893495566003</v>
      </c>
      <c r="AN1863">
        <v>1.0000000308441901</v>
      </c>
    </row>
    <row r="1864" spans="1:40" x14ac:dyDescent="0.3">
      <c r="A1864" t="str">
        <f>"20200111153910473"</f>
        <v>20200111153910473</v>
      </c>
      <c r="B1864" t="str">
        <f>"1578728350462925"</f>
        <v>1578728350462925</v>
      </c>
      <c r="C1864" t="s">
        <v>40</v>
      </c>
      <c r="D1864">
        <v>5.3950500000000003</v>
      </c>
      <c r="E1864">
        <v>0.56552239999999998</v>
      </c>
      <c r="F1864" t="s">
        <v>41</v>
      </c>
      <c r="G1864">
        <v>-453.13420000000002</v>
      </c>
      <c r="H1864">
        <v>0.92086199999999996</v>
      </c>
      <c r="I1864">
        <v>214.51060000000001</v>
      </c>
      <c r="J1864">
        <v>-453.45850000000002</v>
      </c>
      <c r="K1864">
        <v>1.1044</v>
      </c>
      <c r="L1864">
        <v>214.63220000000001</v>
      </c>
      <c r="M1864">
        <v>0.99753159999999996</v>
      </c>
      <c r="N1864">
        <v>0</v>
      </c>
      <c r="O1864">
        <v>-7.0137859999999996E-2</v>
      </c>
      <c r="P1864">
        <v>0.99912330000000005</v>
      </c>
      <c r="Q1864">
        <v>2.7973410000000001E-2</v>
      </c>
      <c r="R1864">
        <v>-3.115308E-2</v>
      </c>
      <c r="S1864">
        <v>3.0036010000000002</v>
      </c>
      <c r="T1864">
        <v>-0.76157189999999997</v>
      </c>
      <c r="U1864">
        <v>-0.61778259999999996</v>
      </c>
      <c r="V1864">
        <v>-3.9102379999999999E-2</v>
      </c>
      <c r="W1864">
        <v>3.1248080000000001E-2</v>
      </c>
      <c r="X1864">
        <v>0.99874649999999998</v>
      </c>
      <c r="Y1864">
        <v>0.13043930000000001</v>
      </c>
      <c r="Z1864">
        <v>1.174359E-3</v>
      </c>
      <c r="AA1864">
        <v>0.99145559999999999</v>
      </c>
      <c r="AB1864">
        <v>39</v>
      </c>
      <c r="AC1864">
        <v>0.32429999999999298</v>
      </c>
      <c r="AD1864">
        <v>-0.18353800000000001</v>
      </c>
      <c r="AE1864">
        <v>-0.1216</v>
      </c>
      <c r="AF1864">
        <v>7.6946632918727706E-2</v>
      </c>
      <c r="AG1864">
        <v>-0.18353800000000001</v>
      </c>
      <c r="AH1864">
        <v>0.25923272404380199</v>
      </c>
      <c r="AI1864">
        <v>124.166145672238</v>
      </c>
      <c r="AJ1864">
        <v>73.467819385838396</v>
      </c>
      <c r="AK1864">
        <v>0.32681583036428902</v>
      </c>
      <c r="AL1864">
        <v>88.209325411174206</v>
      </c>
      <c r="AM1864">
        <v>92.242068103927593</v>
      </c>
      <c r="AN1864">
        <v>1.0000000049438</v>
      </c>
    </row>
    <row r="1865" spans="1:40" x14ac:dyDescent="0.3">
      <c r="A1865" t="str">
        <f>"20200111153910494"</f>
        <v>20200111153910494</v>
      </c>
      <c r="B1865" t="str">
        <f>"1578728350482445"</f>
        <v>1578728350482445</v>
      </c>
      <c r="C1865" t="s">
        <v>40</v>
      </c>
      <c r="D1865">
        <v>5.3667939999999996</v>
      </c>
      <c r="E1865">
        <v>0.58153959999999905</v>
      </c>
      <c r="F1865" t="s">
        <v>41</v>
      </c>
      <c r="G1865">
        <v>-452.779</v>
      </c>
      <c r="H1865">
        <v>0.93261609999999995</v>
      </c>
      <c r="I1865">
        <v>214.49279999999999</v>
      </c>
      <c r="J1865">
        <v>-453.09960000000001</v>
      </c>
      <c r="K1865">
        <v>1.1043719999999999</v>
      </c>
      <c r="L1865">
        <v>214.60769999999999</v>
      </c>
      <c r="M1865">
        <v>0.99760990000000005</v>
      </c>
      <c r="N1865">
        <v>0</v>
      </c>
      <c r="O1865">
        <v>-6.9017770000000006E-2</v>
      </c>
      <c r="P1865">
        <v>0.99913819999999998</v>
      </c>
      <c r="Q1865">
        <v>2.8098410000000001E-2</v>
      </c>
      <c r="R1865">
        <v>-3.0552920000000001E-2</v>
      </c>
      <c r="S1865">
        <v>3.0047299999999999</v>
      </c>
      <c r="T1865">
        <v>-0.75971259999999996</v>
      </c>
      <c r="U1865">
        <v>-0.61570740000000002</v>
      </c>
      <c r="V1865">
        <v>-3.8579339999999997E-2</v>
      </c>
      <c r="W1865">
        <v>3.1351030000000002E-2</v>
      </c>
      <c r="X1865">
        <v>0.99876359999999997</v>
      </c>
      <c r="Y1865">
        <v>0.13078719999999999</v>
      </c>
      <c r="Z1865">
        <v>8.5385140000000001E-4</v>
      </c>
      <c r="AA1865">
        <v>0.99141009999999996</v>
      </c>
      <c r="AB1865">
        <v>39</v>
      </c>
      <c r="AC1865">
        <v>0.32060000000001299</v>
      </c>
      <c r="AD1865">
        <v>-0.17175589999999899</v>
      </c>
      <c r="AE1865">
        <v>-0.114900000000005</v>
      </c>
      <c r="AF1865">
        <v>7.3742938242527506E-2</v>
      </c>
      <c r="AG1865">
        <v>-0.17175589999999899</v>
      </c>
      <c r="AH1865">
        <v>0.26130508727049001</v>
      </c>
      <c r="AI1865">
        <v>122.31712438292</v>
      </c>
      <c r="AJ1865">
        <v>74.240396945914199</v>
      </c>
      <c r="AK1865">
        <v>0.32127629660292301</v>
      </c>
      <c r="AL1865">
        <v>88.203423893516899</v>
      </c>
      <c r="AM1865">
        <v>92.212069983812199</v>
      </c>
      <c r="AN1865">
        <v>0.99999999062092804</v>
      </c>
    </row>
    <row r="1866" spans="1:40" x14ac:dyDescent="0.3">
      <c r="A1866" t="str">
        <f>"20200111153910515"</f>
        <v>20200111153910515</v>
      </c>
      <c r="B1866" t="str">
        <f>"1578728350502941"</f>
        <v>1578728350502941</v>
      </c>
      <c r="C1866" t="s">
        <v>40</v>
      </c>
      <c r="D1866">
        <v>5.2712349999999999</v>
      </c>
      <c r="E1866">
        <v>0.58064910000000003</v>
      </c>
      <c r="F1866" t="s">
        <v>41</v>
      </c>
      <c r="G1866">
        <v>-452.4314</v>
      </c>
      <c r="H1866">
        <v>0.92748280000000005</v>
      </c>
      <c r="I1866">
        <v>214.4425</v>
      </c>
      <c r="J1866">
        <v>-452.72469999999998</v>
      </c>
      <c r="K1866">
        <v>1.104333</v>
      </c>
      <c r="L1866">
        <v>214.58260000000001</v>
      </c>
      <c r="M1866">
        <v>0.99768760000000001</v>
      </c>
      <c r="N1866">
        <v>0</v>
      </c>
      <c r="O1866">
        <v>-6.7885039999999994E-2</v>
      </c>
      <c r="P1866">
        <v>0.99916859999999996</v>
      </c>
      <c r="Q1866">
        <v>2.7416969999999999E-2</v>
      </c>
      <c r="R1866">
        <v>-3.0183000000000001E-2</v>
      </c>
      <c r="S1866">
        <v>3.002319</v>
      </c>
      <c r="T1866">
        <v>-0.79474889999999998</v>
      </c>
      <c r="U1866">
        <v>-0.74049379999999998</v>
      </c>
      <c r="V1866">
        <v>-3.7812440000000003E-2</v>
      </c>
      <c r="W1866">
        <v>3.0649929999999999E-2</v>
      </c>
      <c r="X1866">
        <v>0.99881470000000006</v>
      </c>
      <c r="Y1866">
        <v>0.1697042</v>
      </c>
      <c r="Z1866">
        <v>-4.3986119999999997E-3</v>
      </c>
      <c r="AA1866">
        <v>0.98548519999999995</v>
      </c>
      <c r="AB1866">
        <v>39</v>
      </c>
      <c r="AC1866">
        <v>0.29329999999998702</v>
      </c>
      <c r="AD1866">
        <v>-0.17685019999999901</v>
      </c>
      <c r="AE1866">
        <v>-0.14010000000001799</v>
      </c>
      <c r="AF1866">
        <v>9.2487361256757702E-2</v>
      </c>
      <c r="AG1866">
        <v>-0.17685019999999901</v>
      </c>
      <c r="AH1866">
        <v>0.23312353834321101</v>
      </c>
      <c r="AI1866">
        <v>125.18939137411</v>
      </c>
      <c r="AJ1866">
        <v>68.360232050642196</v>
      </c>
      <c r="AK1866">
        <v>0.30688188177527898</v>
      </c>
      <c r="AL1866">
        <v>88.243613301762494</v>
      </c>
      <c r="AM1866">
        <v>92.168028890052696</v>
      </c>
      <c r="AN1866">
        <v>1.00000000188192</v>
      </c>
    </row>
    <row r="1867" spans="1:40" x14ac:dyDescent="0.3">
      <c r="A1867" t="str">
        <f>"20200111153910541"</f>
        <v>20200111153910541</v>
      </c>
      <c r="B1867" t="str">
        <f>"1578728350532221"</f>
        <v>1578728350532221</v>
      </c>
      <c r="C1867" t="s">
        <v>40</v>
      </c>
      <c r="D1867">
        <v>5.3710079999999998</v>
      </c>
      <c r="E1867">
        <v>0.58122890000000005</v>
      </c>
      <c r="F1867" t="s">
        <v>41</v>
      </c>
      <c r="G1867">
        <v>-451.76029999999997</v>
      </c>
      <c r="H1867">
        <v>0.84664629999999996</v>
      </c>
      <c r="I1867">
        <v>214.3467</v>
      </c>
      <c r="J1867">
        <v>-452.28919999999999</v>
      </c>
      <c r="K1867">
        <v>1.104285</v>
      </c>
      <c r="L1867">
        <v>214.554</v>
      </c>
      <c r="M1867">
        <v>0.99777309999999997</v>
      </c>
      <c r="N1867">
        <v>0</v>
      </c>
      <c r="O1867">
        <v>-6.6619040000000004E-2</v>
      </c>
      <c r="P1867">
        <v>0.99921329999999997</v>
      </c>
      <c r="Q1867">
        <v>2.6677300000000001E-2</v>
      </c>
      <c r="R1867">
        <v>-2.9345710000000001E-2</v>
      </c>
      <c r="S1867">
        <v>3.00238</v>
      </c>
      <c r="T1867">
        <v>-0.802365199999999</v>
      </c>
      <c r="U1867">
        <v>-0.73315430000000004</v>
      </c>
      <c r="V1867">
        <v>-3.7377979999999998E-2</v>
      </c>
      <c r="W1867">
        <v>2.9889249999999999E-2</v>
      </c>
      <c r="X1867">
        <v>0.99885409999999997</v>
      </c>
      <c r="Y1867">
        <v>0.16860639999999999</v>
      </c>
      <c r="Z1867">
        <v>-4.6240580000000003E-3</v>
      </c>
      <c r="AA1867">
        <v>0.98567260000000001</v>
      </c>
      <c r="AB1867">
        <v>40</v>
      </c>
      <c r="AC1867">
        <v>0.52890000000002102</v>
      </c>
      <c r="AD1867">
        <v>-0.2576387</v>
      </c>
      <c r="AE1867">
        <v>-0.20730000000000301</v>
      </c>
      <c r="AF1867">
        <v>0.14232893082749501</v>
      </c>
      <c r="AG1867">
        <v>-0.2576387</v>
      </c>
      <c r="AH1867">
        <v>0.44914988378276599</v>
      </c>
      <c r="AI1867">
        <v>118.670550095118</v>
      </c>
      <c r="AJ1867">
        <v>72.417364359490904</v>
      </c>
      <c r="AK1867">
        <v>0.53700171544442998</v>
      </c>
      <c r="AL1867">
        <v>88.2872170282063</v>
      </c>
      <c r="AM1867">
        <v>92.143057426703294</v>
      </c>
      <c r="AN1867">
        <v>0.99999999687062602</v>
      </c>
    </row>
    <row r="1868" spans="1:40" x14ac:dyDescent="0.3">
      <c r="A1868" t="str">
        <f>"20200111153910562"</f>
        <v>20200111153910562</v>
      </c>
      <c r="B1868" t="str">
        <f>"1578728350552250"</f>
        <v>1578728350552250</v>
      </c>
      <c r="C1868" t="s">
        <v>40</v>
      </c>
      <c r="D1868">
        <v>5.3467719999999996</v>
      </c>
      <c r="E1868">
        <v>0.58157749999999997</v>
      </c>
      <c r="F1868" t="s">
        <v>41</v>
      </c>
      <c r="G1868">
        <v>-451.39679999999998</v>
      </c>
      <c r="H1868">
        <v>0.86628950000000005</v>
      </c>
      <c r="I1868">
        <v>214.33519999999999</v>
      </c>
      <c r="J1868">
        <v>-451.89330000000001</v>
      </c>
      <c r="K1868">
        <v>1.1042449999999999</v>
      </c>
      <c r="L1868">
        <v>214.5284</v>
      </c>
      <c r="M1868">
        <v>0.99784689999999998</v>
      </c>
      <c r="N1868">
        <v>0</v>
      </c>
      <c r="O1868">
        <v>-6.5502759999999993E-2</v>
      </c>
      <c r="P1868">
        <v>0.99923189999999995</v>
      </c>
      <c r="Q1868">
        <v>2.627877E-2</v>
      </c>
      <c r="R1868">
        <v>-2.9069560000000001E-2</v>
      </c>
      <c r="S1868">
        <v>3.0021360000000001</v>
      </c>
      <c r="T1868">
        <v>-0.80060359999999997</v>
      </c>
      <c r="U1868">
        <v>-0.73550419999999905</v>
      </c>
      <c r="V1868">
        <v>-3.653443E-2</v>
      </c>
      <c r="W1868">
        <v>2.947601E-2</v>
      </c>
      <c r="X1868">
        <v>0.99889760000000005</v>
      </c>
      <c r="Y1868">
        <v>0.17037449999999901</v>
      </c>
      <c r="Z1868">
        <v>-5.1297039999999997E-3</v>
      </c>
      <c r="AA1868">
        <v>0.98536599999999996</v>
      </c>
      <c r="AB1868">
        <v>40</v>
      </c>
      <c r="AC1868">
        <v>0.49650000000002498</v>
      </c>
      <c r="AD1868">
        <v>-0.23795549999999999</v>
      </c>
      <c r="AE1868">
        <v>-0.193200000000018</v>
      </c>
      <c r="AF1868">
        <v>0.133609146436486</v>
      </c>
      <c r="AG1868">
        <v>-0.23795549999999999</v>
      </c>
      <c r="AH1868">
        <v>0.42358759239291799</v>
      </c>
      <c r="AI1868">
        <v>118.179872621808</v>
      </c>
      <c r="AJ1868">
        <v>72.493542081816699</v>
      </c>
      <c r="AK1868">
        <v>0.50388557472998297</v>
      </c>
      <c r="AL1868">
        <v>88.310904391625598</v>
      </c>
      <c r="AM1868">
        <v>92.094645134068799</v>
      </c>
      <c r="AN1868">
        <v>1.0000000075133499</v>
      </c>
    </row>
    <row r="1869" spans="1:40" x14ac:dyDescent="0.3">
      <c r="A1869" t="str">
        <f>"20200111153910582"</f>
        <v>20200111153910582</v>
      </c>
      <c r="B1869" t="str">
        <f>"1578728350572746"</f>
        <v>1578728350572746</v>
      </c>
      <c r="C1869" t="s">
        <v>40</v>
      </c>
      <c r="D1869">
        <v>5.3169050000000002</v>
      </c>
      <c r="E1869">
        <v>0.5815766</v>
      </c>
      <c r="F1869" t="s">
        <v>41</v>
      </c>
      <c r="G1869">
        <v>-451.03629999999998</v>
      </c>
      <c r="H1869">
        <v>0.87530160000000001</v>
      </c>
      <c r="I1869">
        <v>214.31790000000001</v>
      </c>
      <c r="J1869">
        <v>-451.53190000000001</v>
      </c>
      <c r="K1869">
        <v>1.104209</v>
      </c>
      <c r="L1869">
        <v>214.50530000000001</v>
      </c>
      <c r="M1869">
        <v>0.99791160000000001</v>
      </c>
      <c r="N1869">
        <v>0</v>
      </c>
      <c r="O1869">
        <v>-6.4511780000000005E-2</v>
      </c>
      <c r="P1869">
        <v>0.99925140000000001</v>
      </c>
      <c r="Q1869">
        <v>2.5994099999999999E-2</v>
      </c>
      <c r="R1869">
        <v>-2.8657740000000001E-2</v>
      </c>
      <c r="S1869">
        <v>3.0019529999999999</v>
      </c>
      <c r="T1869">
        <v>-0.80192169999999996</v>
      </c>
      <c r="U1869">
        <v>-0.73718260000000002</v>
      </c>
      <c r="V1869">
        <v>-3.5952209999999998E-2</v>
      </c>
      <c r="W1869">
        <v>2.9180029999999999E-2</v>
      </c>
      <c r="X1869">
        <v>0.99892740000000002</v>
      </c>
      <c r="Y1869">
        <v>0.17179520000000001</v>
      </c>
      <c r="Z1869">
        <v>-5.5769610000000001E-3</v>
      </c>
      <c r="AA1869">
        <v>0.98511689999999996</v>
      </c>
      <c r="AB1869">
        <v>40</v>
      </c>
      <c r="AC1869">
        <v>0.49560000000002402</v>
      </c>
      <c r="AD1869">
        <v>-0.22890740000000001</v>
      </c>
      <c r="AE1869">
        <v>-0.18739999999999599</v>
      </c>
      <c r="AF1869">
        <v>0.13065180827677</v>
      </c>
      <c r="AG1869">
        <v>-0.22890740000000001</v>
      </c>
      <c r="AH1869">
        <v>0.42696581317815202</v>
      </c>
      <c r="AI1869">
        <v>117.14244347032999</v>
      </c>
      <c r="AJ1869">
        <v>72.985856230194798</v>
      </c>
      <c r="AK1869">
        <v>0.50176518253425195</v>
      </c>
      <c r="AL1869">
        <v>88.327870070074596</v>
      </c>
      <c r="AM1869">
        <v>92.061232038293795</v>
      </c>
      <c r="AN1869">
        <v>0.99999999301272202</v>
      </c>
    </row>
    <row r="1870" spans="1:40" x14ac:dyDescent="0.3">
      <c r="A1870" t="str">
        <f>"20200111153910604"</f>
        <v>20200111153910604</v>
      </c>
      <c r="B1870" t="str">
        <f>"1578728350603002"</f>
        <v>1578728350603002</v>
      </c>
      <c r="C1870" t="s">
        <v>40</v>
      </c>
      <c r="D1870">
        <v>5.2605009999999996</v>
      </c>
      <c r="E1870">
        <v>0.58172819999999903</v>
      </c>
      <c r="F1870" t="s">
        <v>41</v>
      </c>
      <c r="G1870">
        <v>-450.67790000000002</v>
      </c>
      <c r="H1870">
        <v>0.87652799999999997</v>
      </c>
      <c r="I1870">
        <v>214.29570000000001</v>
      </c>
      <c r="J1870">
        <v>-451.12849999999997</v>
      </c>
      <c r="K1870">
        <v>1.1041700000000001</v>
      </c>
      <c r="L1870">
        <v>214.48</v>
      </c>
      <c r="M1870">
        <v>0.99798070000000005</v>
      </c>
      <c r="N1870">
        <v>0</v>
      </c>
      <c r="O1870">
        <v>-6.3433890000000007E-2</v>
      </c>
      <c r="P1870">
        <v>0.99930070000000004</v>
      </c>
      <c r="Q1870">
        <v>2.5846339999999999E-2</v>
      </c>
      <c r="R1870">
        <v>-2.702183E-2</v>
      </c>
      <c r="S1870">
        <v>3.0019230000000001</v>
      </c>
      <c r="T1870">
        <v>-0.80039780000000005</v>
      </c>
      <c r="U1870">
        <v>-0.73648069999999999</v>
      </c>
      <c r="V1870">
        <v>-3.6505870000000003E-2</v>
      </c>
      <c r="W1870">
        <v>2.901606E-2</v>
      </c>
      <c r="X1870">
        <v>0.99891209999999997</v>
      </c>
      <c r="Y1870">
        <v>0.17259479999999999</v>
      </c>
      <c r="Z1870">
        <v>-5.9472290000000001E-3</v>
      </c>
      <c r="AA1870">
        <v>0.98497500000000004</v>
      </c>
      <c r="AB1870">
        <v>40</v>
      </c>
      <c r="AC1870">
        <v>0.45059999999995098</v>
      </c>
      <c r="AD1870">
        <v>-0.22764200000000001</v>
      </c>
      <c r="AE1870">
        <v>-0.18429999999997901</v>
      </c>
      <c r="AF1870">
        <v>0.12747361387006101</v>
      </c>
      <c r="AG1870">
        <v>-0.22764200000000001</v>
      </c>
      <c r="AH1870">
        <v>0.37860295891779799</v>
      </c>
      <c r="AI1870">
        <v>119.676050257344</v>
      </c>
      <c r="AJ1870">
        <v>71.391892837129106</v>
      </c>
      <c r="AK1870">
        <v>0.45979408749831202</v>
      </c>
      <c r="AL1870">
        <v>88.337268845383903</v>
      </c>
      <c r="AM1870">
        <v>92.092978792788301</v>
      </c>
      <c r="AN1870">
        <v>0.99999999690439501</v>
      </c>
    </row>
    <row r="1871" spans="1:40" x14ac:dyDescent="0.3">
      <c r="A1871" t="str">
        <f>"20200111153910628"</f>
        <v>20200111153910628</v>
      </c>
      <c r="B1871" t="str">
        <f>"1578728350622521"</f>
        <v>1578728350622521</v>
      </c>
      <c r="C1871" t="s">
        <v>40</v>
      </c>
      <c r="D1871">
        <v>5.2598760000000002</v>
      </c>
      <c r="E1871">
        <v>0.58180959999999904</v>
      </c>
      <c r="F1871" t="s">
        <v>41</v>
      </c>
      <c r="G1871">
        <v>-450.31380000000001</v>
      </c>
      <c r="H1871">
        <v>0.88789779999999996</v>
      </c>
      <c r="I1871">
        <v>214.28030000000001</v>
      </c>
      <c r="J1871">
        <v>-450.70569999999998</v>
      </c>
      <c r="K1871">
        <v>1.1041399999999999</v>
      </c>
      <c r="L1871">
        <v>214.4539</v>
      </c>
      <c r="M1871">
        <v>0.99805049999999995</v>
      </c>
      <c r="N1871">
        <v>0</v>
      </c>
      <c r="O1871">
        <v>-6.2328830000000002E-2</v>
      </c>
      <c r="P1871">
        <v>0.99935169999999995</v>
      </c>
      <c r="Q1871">
        <v>2.5973860000000001E-2</v>
      </c>
      <c r="R1871">
        <v>-2.4938310000000002E-2</v>
      </c>
      <c r="S1871">
        <v>3.002869</v>
      </c>
      <c r="T1871">
        <v>-0.79719879999999999</v>
      </c>
      <c r="U1871">
        <v>-0.73394780000000004</v>
      </c>
      <c r="V1871">
        <v>-3.7481710000000001E-2</v>
      </c>
      <c r="W1871">
        <v>2.912617E-2</v>
      </c>
      <c r="X1871">
        <v>0.99887280000000001</v>
      </c>
      <c r="Y1871">
        <v>0.1728151</v>
      </c>
      <c r="Z1871">
        <v>-6.2341799999999998E-3</v>
      </c>
      <c r="AA1871">
        <v>0.98493459999999999</v>
      </c>
      <c r="AB1871">
        <v>40</v>
      </c>
      <c r="AC1871">
        <v>0.391899999999964</v>
      </c>
      <c r="AD1871">
        <v>-0.216242199999999</v>
      </c>
      <c r="AE1871">
        <v>-0.17359999999999301</v>
      </c>
      <c r="AF1871">
        <v>0.118639727612463</v>
      </c>
      <c r="AG1871">
        <v>-0.216242199999999</v>
      </c>
      <c r="AH1871">
        <v>0.32040861125221898</v>
      </c>
      <c r="AI1871">
        <v>122.32977774420399</v>
      </c>
      <c r="AJ1871">
        <v>69.681601016094405</v>
      </c>
      <c r="AK1871">
        <v>0.40434855285183702</v>
      </c>
      <c r="AL1871">
        <v>88.330957413900194</v>
      </c>
      <c r="AM1871">
        <v>92.148958998738195</v>
      </c>
      <c r="AN1871">
        <v>1.0000000414716099</v>
      </c>
    </row>
    <row r="1872" spans="1:40" x14ac:dyDescent="0.3">
      <c r="A1872" t="str">
        <f>"20200111153910649"</f>
        <v>20200111153910649</v>
      </c>
      <c r="B1872" t="str">
        <f>"1578728350643017"</f>
        <v>1578728350643017</v>
      </c>
      <c r="C1872" t="s">
        <v>40</v>
      </c>
      <c r="D1872">
        <v>5.2159500000000003</v>
      </c>
      <c r="E1872">
        <v>0.58198329999999998</v>
      </c>
      <c r="F1872" t="s">
        <v>41</v>
      </c>
      <c r="G1872">
        <v>-449.94639999999998</v>
      </c>
      <c r="H1872">
        <v>0.90344880000000005</v>
      </c>
      <c r="I1872">
        <v>214.26949999999999</v>
      </c>
      <c r="J1872">
        <v>-450.32619999999997</v>
      </c>
      <c r="K1872">
        <v>1.104125</v>
      </c>
      <c r="L1872">
        <v>214.43090000000001</v>
      </c>
      <c r="M1872">
        <v>0.99811090000000002</v>
      </c>
      <c r="N1872">
        <v>0</v>
      </c>
      <c r="O1872">
        <v>-6.1353100000000001E-2</v>
      </c>
      <c r="P1872">
        <v>0.99939299999999998</v>
      </c>
      <c r="Q1872">
        <v>2.618562E-2</v>
      </c>
      <c r="R1872">
        <v>-2.298381E-2</v>
      </c>
      <c r="S1872">
        <v>3.0043639999999998</v>
      </c>
      <c r="T1872">
        <v>-0.79410539999999996</v>
      </c>
      <c r="U1872">
        <v>-0.72900390000000004</v>
      </c>
      <c r="V1872">
        <v>-3.8458359999999997E-2</v>
      </c>
      <c r="W1872">
        <v>2.9324920000000001E-2</v>
      </c>
      <c r="X1872">
        <v>0.99882979999999999</v>
      </c>
      <c r="Y1872">
        <v>0.172153</v>
      </c>
      <c r="Z1872">
        <v>-6.3727569999999997E-3</v>
      </c>
      <c r="AA1872">
        <v>0.98504959999999997</v>
      </c>
      <c r="AB1872">
        <v>40</v>
      </c>
      <c r="AC1872">
        <v>0.37979999999998798</v>
      </c>
      <c r="AD1872">
        <v>-0.200676199999999</v>
      </c>
      <c r="AE1872">
        <v>-0.161400000000014</v>
      </c>
      <c r="AF1872">
        <v>0.111441068444255</v>
      </c>
      <c r="AG1872">
        <v>-0.200676199999999</v>
      </c>
      <c r="AH1872">
        <v>0.31459387365573599</v>
      </c>
      <c r="AI1872">
        <v>121.01759873968599</v>
      </c>
      <c r="AJ1872">
        <v>70.493925852429697</v>
      </c>
      <c r="AK1872">
        <v>0.389434659890666</v>
      </c>
      <c r="AL1872">
        <v>88.319564913334304</v>
      </c>
      <c r="AM1872">
        <v>92.204994059892599</v>
      </c>
      <c r="AN1872">
        <v>0.99999998287746705</v>
      </c>
    </row>
    <row r="1873" spans="1:40" x14ac:dyDescent="0.3">
      <c r="A1873" t="str">
        <f>"20200111153910671"</f>
        <v>20200111153910671</v>
      </c>
      <c r="B1873" t="str">
        <f>"1578728350663046"</f>
        <v>1578728350663046</v>
      </c>
      <c r="C1873" t="s">
        <v>40</v>
      </c>
      <c r="D1873">
        <v>5.2030770000000004</v>
      </c>
      <c r="E1873">
        <v>0.58197019999999899</v>
      </c>
      <c r="F1873" t="s">
        <v>41</v>
      </c>
      <c r="G1873">
        <v>-449.5822</v>
      </c>
      <c r="H1873">
        <v>0.90853550000000005</v>
      </c>
      <c r="I1873">
        <v>214.2509</v>
      </c>
      <c r="J1873">
        <v>-449.916</v>
      </c>
      <c r="K1873">
        <v>1.1041080000000001</v>
      </c>
      <c r="L1873">
        <v>214.40639999999999</v>
      </c>
      <c r="M1873">
        <v>0.99817449999999996</v>
      </c>
      <c r="N1873">
        <v>0</v>
      </c>
      <c r="O1873">
        <v>-6.0309069999999999E-2</v>
      </c>
      <c r="P1873">
        <v>0.99941570000000002</v>
      </c>
      <c r="Q1873">
        <v>2.7072760000000001E-2</v>
      </c>
      <c r="R1873">
        <v>-2.0875560000000001E-2</v>
      </c>
      <c r="S1873">
        <v>3.0058289999999999</v>
      </c>
      <c r="T1873">
        <v>-0.7903135</v>
      </c>
      <c r="U1873">
        <v>-0.7254486</v>
      </c>
      <c r="V1873">
        <v>-3.9521309999999997E-2</v>
      </c>
      <c r="W1873">
        <v>3.0200009999999999E-2</v>
      </c>
      <c r="X1873">
        <v>0.99876220000000004</v>
      </c>
      <c r="Y1873">
        <v>0.17197960000000001</v>
      </c>
      <c r="Z1873">
        <v>-6.5839119999999999E-3</v>
      </c>
      <c r="AA1873">
        <v>0.98507849999999997</v>
      </c>
      <c r="AB1873">
        <v>40</v>
      </c>
      <c r="AC1873">
        <v>0.33379999999999599</v>
      </c>
      <c r="AD1873">
        <v>-0.19557250000000001</v>
      </c>
      <c r="AE1873">
        <v>-0.15549999999998901</v>
      </c>
      <c r="AF1873">
        <v>0.105365802335856</v>
      </c>
      <c r="AG1873">
        <v>-0.19557250000000001</v>
      </c>
      <c r="AH1873">
        <v>0.26720239547837499</v>
      </c>
      <c r="AI1873">
        <v>124.25094383982101</v>
      </c>
      <c r="AJ1873">
        <v>68.479216671253397</v>
      </c>
      <c r="AK1873">
        <v>0.34748766195004699</v>
      </c>
      <c r="AL1873">
        <v>88.269403674636607</v>
      </c>
      <c r="AM1873">
        <v>92.266028388882702</v>
      </c>
      <c r="AN1873">
        <v>0.99999995334847702</v>
      </c>
    </row>
    <row r="1874" spans="1:40" x14ac:dyDescent="0.3">
      <c r="A1874" t="str">
        <f>"20200111153910694"</f>
        <v>20200111153910694</v>
      </c>
      <c r="B1874" t="str">
        <f>"1578728350682566"</f>
        <v>1578728350682566</v>
      </c>
      <c r="C1874" t="s">
        <v>40</v>
      </c>
      <c r="D1874">
        <v>5.1444720000000004</v>
      </c>
      <c r="E1874">
        <v>0.58203649999999996</v>
      </c>
      <c r="F1874" t="s">
        <v>41</v>
      </c>
      <c r="G1874">
        <v>-449.21359999999999</v>
      </c>
      <c r="H1874">
        <v>0.92053059999999998</v>
      </c>
      <c r="I1874">
        <v>214.23830000000001</v>
      </c>
      <c r="J1874">
        <v>-449.51369999999997</v>
      </c>
      <c r="K1874">
        <v>1.1040890000000001</v>
      </c>
      <c r="L1874">
        <v>214.3828</v>
      </c>
      <c r="M1874">
        <v>0.9982356</v>
      </c>
      <c r="N1874">
        <v>0</v>
      </c>
      <c r="O1874">
        <v>-5.9292690000000002E-2</v>
      </c>
      <c r="P1874">
        <v>0.99946420000000002</v>
      </c>
      <c r="Q1874">
        <v>2.7016129999999999E-2</v>
      </c>
      <c r="R1874">
        <v>-1.849495E-2</v>
      </c>
      <c r="S1874">
        <v>3.008057</v>
      </c>
      <c r="T1874">
        <v>-0.7863251</v>
      </c>
      <c r="U1874">
        <v>-0.71960449999999998</v>
      </c>
      <c r="V1874">
        <v>-4.0882460000000002E-2</v>
      </c>
      <c r="W1874">
        <v>3.0133759999999999E-2</v>
      </c>
      <c r="X1874">
        <v>0.99870939999999997</v>
      </c>
      <c r="Y1874">
        <v>0.17104179999999999</v>
      </c>
      <c r="Z1874">
        <v>-6.6859789999999999E-3</v>
      </c>
      <c r="AA1874">
        <v>0.98524109999999998</v>
      </c>
      <c r="AB1874">
        <v>41</v>
      </c>
      <c r="AC1874">
        <v>0.30009999999998599</v>
      </c>
      <c r="AD1874">
        <v>-0.18355839999999901</v>
      </c>
      <c r="AE1874">
        <v>-0.144499999999993</v>
      </c>
      <c r="AF1874">
        <v>9.6993907291763506E-2</v>
      </c>
      <c r="AG1874">
        <v>-0.18355839999999901</v>
      </c>
      <c r="AH1874">
        <v>0.23635609569393901</v>
      </c>
      <c r="AI1874">
        <v>125.696242608901</v>
      </c>
      <c r="AJ1874">
        <v>67.688129876702604</v>
      </c>
      <c r="AK1874">
        <v>0.314588156537981</v>
      </c>
      <c r="AL1874">
        <v>88.273201229555696</v>
      </c>
      <c r="AM1874">
        <v>92.344110656418593</v>
      </c>
      <c r="AN1874">
        <v>0.99999994233787204</v>
      </c>
    </row>
    <row r="1875" spans="1:40" x14ac:dyDescent="0.3">
      <c r="A1875" t="str">
        <f>"20200111153910717"</f>
        <v>20200111153910717</v>
      </c>
      <c r="B1875" t="str">
        <f>"1578728350712824"</f>
        <v>1578728350712824</v>
      </c>
      <c r="C1875" t="s">
        <v>40</v>
      </c>
      <c r="D1875">
        <v>5.1261839999999896</v>
      </c>
      <c r="E1875">
        <v>0.58220469999999902</v>
      </c>
      <c r="F1875" t="s">
        <v>41</v>
      </c>
      <c r="G1875">
        <v>-448.8449</v>
      </c>
      <c r="H1875">
        <v>0.92969420000000003</v>
      </c>
      <c r="I1875">
        <v>214.22399999999999</v>
      </c>
      <c r="J1875">
        <v>-449.0856</v>
      </c>
      <c r="K1875">
        <v>1.1040719999999999</v>
      </c>
      <c r="L1875">
        <v>214.35820000000001</v>
      </c>
      <c r="M1875">
        <v>0.99829889999999999</v>
      </c>
      <c r="N1875">
        <v>0</v>
      </c>
      <c r="O1875">
        <v>-5.8215879999999998E-2</v>
      </c>
      <c r="P1875">
        <v>0.99950720000000004</v>
      </c>
      <c r="Q1875">
        <v>2.6935150000000001E-2</v>
      </c>
      <c r="R1875">
        <v>-1.612485E-2</v>
      </c>
      <c r="S1875">
        <v>3.0096129999999999</v>
      </c>
      <c r="T1875">
        <v>-0.78476349999999995</v>
      </c>
      <c r="U1875">
        <v>-0.71314999999999995</v>
      </c>
      <c r="V1875">
        <v>-4.217311E-2</v>
      </c>
      <c r="W1875">
        <v>3.0045579999999999E-2</v>
      </c>
      <c r="X1875">
        <v>0.99865839999999995</v>
      </c>
      <c r="Y1875">
        <v>0.1700026</v>
      </c>
      <c r="Z1875">
        <v>-6.8109529999999998E-3</v>
      </c>
      <c r="AA1875">
        <v>0.98541999999999996</v>
      </c>
      <c r="AB1875">
        <v>41</v>
      </c>
      <c r="AC1875">
        <v>0.24070000000000299</v>
      </c>
      <c r="AD1875">
        <v>-0.1743778</v>
      </c>
      <c r="AE1875">
        <v>-0.13419999999999199</v>
      </c>
      <c r="AF1875">
        <v>8.5662047597555094E-2</v>
      </c>
      <c r="AG1875">
        <v>-0.1743778</v>
      </c>
      <c r="AH1875">
        <v>0.177168819122863</v>
      </c>
      <c r="AI1875">
        <v>131.54433486395601</v>
      </c>
      <c r="AJ1875">
        <v>64.195991000579696</v>
      </c>
      <c r="AK1875">
        <v>0.26293420089603298</v>
      </c>
      <c r="AL1875">
        <v>88.278255880470098</v>
      </c>
      <c r="AM1875">
        <v>92.418150541190698</v>
      </c>
      <c r="AN1875">
        <v>0.99999995398758301</v>
      </c>
    </row>
    <row r="1876" spans="1:40" x14ac:dyDescent="0.3">
      <c r="A1876" t="str">
        <f>"20200111153910762"</f>
        <v>20200111153910762</v>
      </c>
      <c r="B1876" t="str">
        <f>"1578728350752323"</f>
        <v>1578728350752323</v>
      </c>
      <c r="C1876" t="s">
        <v>40</v>
      </c>
      <c r="D1876">
        <v>5.1164990000000001</v>
      </c>
      <c r="E1876">
        <v>0.58242019999999906</v>
      </c>
      <c r="F1876" t="s">
        <v>41</v>
      </c>
      <c r="G1876">
        <v>-448.14139999999998</v>
      </c>
      <c r="H1876">
        <v>0.85875440000000003</v>
      </c>
      <c r="I1876">
        <v>214.13560000000001</v>
      </c>
      <c r="J1876">
        <v>-448.27069999999998</v>
      </c>
      <c r="K1876">
        <v>1.1040589999999999</v>
      </c>
      <c r="L1876">
        <v>214.3125</v>
      </c>
      <c r="M1876">
        <v>0.99841590000000002</v>
      </c>
      <c r="N1876">
        <v>0</v>
      </c>
      <c r="O1876">
        <v>-5.6172510000000002E-2</v>
      </c>
      <c r="P1876">
        <v>0.99952419999999997</v>
      </c>
      <c r="Q1876">
        <v>2.8039459999999999E-2</v>
      </c>
      <c r="R1876">
        <v>-1.2855729999999999E-2</v>
      </c>
      <c r="S1876">
        <v>3.011139</v>
      </c>
      <c r="T1876">
        <v>-0.78244729999999996</v>
      </c>
      <c r="U1876">
        <v>-0.70779419999999904</v>
      </c>
      <c r="V1876">
        <v>-4.3396869999999997E-2</v>
      </c>
      <c r="W1876">
        <v>3.114751E-2</v>
      </c>
      <c r="X1876">
        <v>0.99857220000000002</v>
      </c>
      <c r="Y1876">
        <v>0.1701974</v>
      </c>
      <c r="Z1876">
        <v>-7.3272119999999996E-3</v>
      </c>
      <c r="AA1876">
        <v>0.98538269999999994</v>
      </c>
      <c r="AB1876">
        <v>41</v>
      </c>
      <c r="AC1876">
        <v>0.1293</v>
      </c>
      <c r="AD1876">
        <v>-0.24530460000000001</v>
      </c>
      <c r="AE1876">
        <v>-0.17689999999998901</v>
      </c>
      <c r="AF1876">
        <v>7.5159241467464596E-2</v>
      </c>
      <c r="AG1876">
        <v>-0.24530460000000001</v>
      </c>
      <c r="AH1876">
        <v>6.1701418762969903E-2</v>
      </c>
      <c r="AI1876">
        <v>158.375999138835</v>
      </c>
      <c r="AJ1876">
        <v>39.384028840531599</v>
      </c>
      <c r="AK1876">
        <v>0.26387558325181898</v>
      </c>
      <c r="AL1876">
        <v>88.215090350767596</v>
      </c>
      <c r="AM1876">
        <v>92.488446898716902</v>
      </c>
      <c r="AN1876">
        <v>0.99999994715891705</v>
      </c>
    </row>
    <row r="1877" spans="1:40" x14ac:dyDescent="0.3">
      <c r="A1877" t="str">
        <f>"20200111153910783"</f>
        <v>20200111153910783</v>
      </c>
      <c r="B1877" t="str">
        <f>"1578728350772819"</f>
        <v>1578728350772819</v>
      </c>
      <c r="C1877" t="s">
        <v>40</v>
      </c>
      <c r="D1877">
        <v>5.0481780000000001</v>
      </c>
      <c r="E1877">
        <v>0.58249189999999995</v>
      </c>
      <c r="F1877" t="s">
        <v>41</v>
      </c>
      <c r="G1877">
        <v>-447.39370000000002</v>
      </c>
      <c r="H1877">
        <v>0.878353099999999</v>
      </c>
      <c r="I1877">
        <v>214.1086</v>
      </c>
      <c r="J1877">
        <v>-447.87020000000001</v>
      </c>
      <c r="K1877">
        <v>1.104053</v>
      </c>
      <c r="L1877">
        <v>214.29060000000001</v>
      </c>
      <c r="M1877">
        <v>0.99847169999999996</v>
      </c>
      <c r="N1877">
        <v>0</v>
      </c>
      <c r="O1877">
        <v>-5.517056E-2</v>
      </c>
      <c r="P1877">
        <v>0.99951290000000004</v>
      </c>
      <c r="Q1877">
        <v>2.89138E-2</v>
      </c>
      <c r="R1877">
        <v>-1.175844E-2</v>
      </c>
      <c r="S1877">
        <v>3.0141909999999998</v>
      </c>
      <c r="T1877">
        <v>-0.77578530000000001</v>
      </c>
      <c r="U1877">
        <v>-0.69952389999999998</v>
      </c>
      <c r="V1877">
        <v>-4.3492320000000001E-2</v>
      </c>
      <c r="W1877">
        <v>3.2024940000000002E-2</v>
      </c>
      <c r="X1877">
        <v>0.99854030000000005</v>
      </c>
      <c r="Y1877">
        <v>0.16848479999999999</v>
      </c>
      <c r="Z1877">
        <v>-7.2969890000000003E-3</v>
      </c>
      <c r="AA1877">
        <v>0.98567720000000003</v>
      </c>
      <c r="AB1877">
        <v>41</v>
      </c>
      <c r="AC1877">
        <v>0.47649999999998699</v>
      </c>
      <c r="AD1877">
        <v>-0.22569990000000001</v>
      </c>
      <c r="AE1877">
        <v>-0.18200000000001601</v>
      </c>
      <c r="AF1877">
        <v>0.12998404679543499</v>
      </c>
      <c r="AG1877">
        <v>-0.22569990000000001</v>
      </c>
      <c r="AH1877">
        <v>0.40627076055047201</v>
      </c>
      <c r="AI1877">
        <v>117.88415935822201</v>
      </c>
      <c r="AJ1877">
        <v>72.258219171969699</v>
      </c>
      <c r="AK1877">
        <v>0.48258908831384301</v>
      </c>
      <c r="AL1877">
        <v>88.1647922272941</v>
      </c>
      <c r="AM1877">
        <v>92.493992825131201</v>
      </c>
      <c r="AN1877">
        <v>0.999999954702537</v>
      </c>
    </row>
    <row r="1878" spans="1:40" x14ac:dyDescent="0.3">
      <c r="A1878" t="str">
        <f>"20200111153910806"</f>
        <v>20200111153910806</v>
      </c>
      <c r="B1878" t="str">
        <f>"1578728350803075"</f>
        <v>1578728350803075</v>
      </c>
      <c r="C1878" t="s">
        <v>40</v>
      </c>
      <c r="D1878">
        <v>5.0809160000000002</v>
      </c>
      <c r="E1878">
        <v>0.57260129999999998</v>
      </c>
      <c r="F1878" t="s">
        <v>41</v>
      </c>
      <c r="G1878">
        <v>-447.0188</v>
      </c>
      <c r="H1878">
        <v>0.88603940000000003</v>
      </c>
      <c r="I1878">
        <v>214.09389999999999</v>
      </c>
      <c r="J1878">
        <v>-447.44900000000001</v>
      </c>
      <c r="K1878">
        <v>1.1040509999999999</v>
      </c>
      <c r="L1878">
        <v>214.268</v>
      </c>
      <c r="M1878">
        <v>0.99852929999999995</v>
      </c>
      <c r="N1878">
        <v>0</v>
      </c>
      <c r="O1878">
        <v>-5.411842E-2</v>
      </c>
      <c r="P1878">
        <v>0.99950309999999998</v>
      </c>
      <c r="Q1878">
        <v>2.9707910000000001E-2</v>
      </c>
      <c r="R1878">
        <v>-1.0552509999999999E-2</v>
      </c>
      <c r="S1878">
        <v>3.0155940000000001</v>
      </c>
      <c r="T1878">
        <v>-0.77213319999999996</v>
      </c>
      <c r="U1878">
        <v>-0.69670100000000001</v>
      </c>
      <c r="V1878">
        <v>-4.3645929999999999E-2</v>
      </c>
      <c r="W1878">
        <v>3.282417E-2</v>
      </c>
      <c r="X1878">
        <v>0.9985077</v>
      </c>
      <c r="Y1878">
        <v>0.16854630000000001</v>
      </c>
      <c r="Z1878">
        <v>-7.52950199999999E-3</v>
      </c>
      <c r="AA1878">
        <v>0.98566500000000001</v>
      </c>
      <c r="AB1878">
        <v>42</v>
      </c>
      <c r="AC1878">
        <v>0.43020000000001302</v>
      </c>
      <c r="AD1878">
        <v>-0.2180116</v>
      </c>
      <c r="AE1878">
        <v>-0.174100000000009</v>
      </c>
      <c r="AF1878">
        <v>0.12334430443858101</v>
      </c>
      <c r="AG1878">
        <v>-0.2180116</v>
      </c>
      <c r="AH1878">
        <v>0.35963097038386799</v>
      </c>
      <c r="AI1878">
        <v>119.83084124082499</v>
      </c>
      <c r="AJ1878">
        <v>71.069331572127396</v>
      </c>
      <c r="AK1878">
        <v>0.43826625472564001</v>
      </c>
      <c r="AL1878">
        <v>88.118975731454498</v>
      </c>
      <c r="AM1878">
        <v>92.502871756151904</v>
      </c>
      <c r="AN1878">
        <v>1.00000001015052</v>
      </c>
    </row>
    <row r="1879" spans="1:40" x14ac:dyDescent="0.3">
      <c r="A1879" t="str">
        <f>"20200111153910831"</f>
        <v>20200111153910831</v>
      </c>
      <c r="B1879" t="str">
        <f>"1578728350822596"</f>
        <v>1578728350822596</v>
      </c>
      <c r="C1879" t="s">
        <v>40</v>
      </c>
      <c r="D1879">
        <v>5.0242550000000001</v>
      </c>
      <c r="E1879">
        <v>0.57259550000000004</v>
      </c>
      <c r="F1879" t="s">
        <v>41</v>
      </c>
      <c r="G1879">
        <v>-446.63549999999998</v>
      </c>
      <c r="H1879">
        <v>0.91019050000000001</v>
      </c>
      <c r="I1879">
        <v>214.10230000000001</v>
      </c>
      <c r="J1879">
        <v>-446.98509999999999</v>
      </c>
      <c r="K1879">
        <v>1.10405</v>
      </c>
      <c r="L1879">
        <v>214.24369999999999</v>
      </c>
      <c r="M1879">
        <v>0.99859129999999996</v>
      </c>
      <c r="N1879">
        <v>0</v>
      </c>
      <c r="O1879">
        <v>-5.2961380000000002E-2</v>
      </c>
      <c r="P1879">
        <v>0.99950280000000002</v>
      </c>
      <c r="Q1879">
        <v>2.9994630000000001E-2</v>
      </c>
      <c r="R1879">
        <v>-9.7460189999999999E-3</v>
      </c>
      <c r="S1879">
        <v>3.0163570000000002</v>
      </c>
      <c r="T1879">
        <v>-0.71879029999999999</v>
      </c>
      <c r="U1879">
        <v>-0.61380000000000001</v>
      </c>
      <c r="V1879">
        <v>-4.329508E-2</v>
      </c>
      <c r="W1879">
        <v>3.3119639999999999E-2</v>
      </c>
      <c r="X1879">
        <v>0.99851319999999999</v>
      </c>
      <c r="Y1879">
        <v>0.1447621</v>
      </c>
      <c r="Z1879">
        <v>-4.5398010000000004E-3</v>
      </c>
      <c r="AA1879">
        <v>0.98945609999999995</v>
      </c>
      <c r="AB1879">
        <v>42</v>
      </c>
      <c r="AC1879">
        <v>0.34960000000000901</v>
      </c>
      <c r="AD1879">
        <v>-0.19385949999999999</v>
      </c>
      <c r="AE1879">
        <v>-0.14139999999997599</v>
      </c>
      <c r="AF1879">
        <v>9.7041869808282499E-2</v>
      </c>
      <c r="AG1879">
        <v>-0.19385949999999999</v>
      </c>
      <c r="AH1879">
        <v>0.28206075206701098</v>
      </c>
      <c r="AI1879">
        <v>123.020176840985</v>
      </c>
      <c r="AJ1879">
        <v>71.014426924755895</v>
      </c>
      <c r="AK1879">
        <v>0.35574836344352401</v>
      </c>
      <c r="AL1879">
        <v>88.102037304394202</v>
      </c>
      <c r="AM1879">
        <v>92.482763915490196</v>
      </c>
      <c r="AN1879">
        <v>0.99999999254008698</v>
      </c>
    </row>
    <row r="1880" spans="1:40" x14ac:dyDescent="0.3">
      <c r="A1880" t="str">
        <f>"20200111153910851"</f>
        <v>20200111153910851</v>
      </c>
      <c r="B1880" t="str">
        <f>"1578728350842116"</f>
        <v>1578728350842116</v>
      </c>
      <c r="C1880" t="s">
        <v>40</v>
      </c>
      <c r="D1880">
        <v>5.004378</v>
      </c>
      <c r="E1880">
        <v>0.57353540000000003</v>
      </c>
      <c r="F1880" t="s">
        <v>41</v>
      </c>
      <c r="G1880">
        <v>-446.25119999999998</v>
      </c>
      <c r="H1880">
        <v>0.93278119999999998</v>
      </c>
      <c r="I1880">
        <v>214.095</v>
      </c>
      <c r="J1880">
        <v>-446.59629999999999</v>
      </c>
      <c r="K1880">
        <v>1.1040509999999999</v>
      </c>
      <c r="L1880">
        <v>214.2236</v>
      </c>
      <c r="M1880">
        <v>0.99864229999999998</v>
      </c>
      <c r="N1880">
        <v>0</v>
      </c>
      <c r="O1880">
        <v>-5.1992799999999999E-2</v>
      </c>
      <c r="P1880">
        <v>0.99952479999999999</v>
      </c>
      <c r="Q1880">
        <v>2.9518320000000001E-2</v>
      </c>
      <c r="R1880">
        <v>-8.8917509999999998E-3</v>
      </c>
      <c r="S1880">
        <v>3.0166629999999999</v>
      </c>
      <c r="T1880">
        <v>-0.70410109999999904</v>
      </c>
      <c r="U1880">
        <v>-0.61099239999999999</v>
      </c>
      <c r="V1880">
        <v>-4.3179559999999999E-2</v>
      </c>
      <c r="W1880">
        <v>3.2651649999999997E-2</v>
      </c>
      <c r="X1880">
        <v>0.99853360000000002</v>
      </c>
      <c r="Y1880">
        <v>0.1448875</v>
      </c>
      <c r="Z1880">
        <v>-4.6837240000000002E-3</v>
      </c>
      <c r="AA1880">
        <v>0.98943700000000001</v>
      </c>
      <c r="AB1880">
        <v>42</v>
      </c>
      <c r="AC1880">
        <v>0.34510000000000202</v>
      </c>
      <c r="AD1880">
        <v>-0.1712698</v>
      </c>
      <c r="AE1880">
        <v>-0.12860000000000499</v>
      </c>
      <c r="AF1880">
        <v>9.0837649226845604E-2</v>
      </c>
      <c r="AG1880">
        <v>-0.1712698</v>
      </c>
      <c r="AH1880">
        <v>0.28884957886162099</v>
      </c>
      <c r="AI1880">
        <v>119.49368334751399</v>
      </c>
      <c r="AJ1880">
        <v>72.542638909763795</v>
      </c>
      <c r="AK1880">
        <v>0.34787771144129798</v>
      </c>
      <c r="AL1880">
        <v>88.128865639423196</v>
      </c>
      <c r="AM1880">
        <v>92.476097132650693</v>
      </c>
      <c r="AN1880">
        <v>0.99999997748923697</v>
      </c>
    </row>
    <row r="1881" spans="1:40" x14ac:dyDescent="0.3">
      <c r="A1881" t="str">
        <f>"20200111153910874"</f>
        <v>20200111153910874</v>
      </c>
      <c r="B1881" t="str">
        <f>"1578728350862143"</f>
        <v>1578728350862143</v>
      </c>
      <c r="C1881" t="s">
        <v>40</v>
      </c>
      <c r="D1881">
        <v>5.0038589999999896</v>
      </c>
      <c r="E1881">
        <v>0.57413419999999904</v>
      </c>
      <c r="F1881" t="s">
        <v>41</v>
      </c>
      <c r="G1881">
        <v>-445.8741</v>
      </c>
      <c r="H1881">
        <v>0.93556640000000002</v>
      </c>
      <c r="I1881">
        <v>214.07579999999999</v>
      </c>
      <c r="J1881">
        <v>-446.16669999999999</v>
      </c>
      <c r="K1881">
        <v>1.104053</v>
      </c>
      <c r="L1881">
        <v>214.202</v>
      </c>
      <c r="M1881">
        <v>0.99869730000000001</v>
      </c>
      <c r="N1881">
        <v>0</v>
      </c>
      <c r="O1881">
        <v>-5.0924329999999997E-2</v>
      </c>
      <c r="P1881">
        <v>0.99950870000000003</v>
      </c>
      <c r="Q1881">
        <v>3.0371200000000001E-2</v>
      </c>
      <c r="R1881">
        <v>-7.7493219999999899E-3</v>
      </c>
      <c r="S1881">
        <v>3.016724</v>
      </c>
      <c r="T1881">
        <v>-0.70393319999999904</v>
      </c>
      <c r="U1881">
        <v>-0.61572269999999996</v>
      </c>
      <c r="V1881">
        <v>-4.3254040000000001E-2</v>
      </c>
      <c r="W1881">
        <v>3.3513769999999998E-2</v>
      </c>
      <c r="X1881">
        <v>0.99850179999999999</v>
      </c>
      <c r="Y1881">
        <v>0.14734259999999999</v>
      </c>
      <c r="Z1881">
        <v>-5.2045729999999997E-3</v>
      </c>
      <c r="AA1881">
        <v>0.98907179999999995</v>
      </c>
      <c r="AB1881">
        <v>42</v>
      </c>
      <c r="AC1881">
        <v>0.29259999999999298</v>
      </c>
      <c r="AD1881">
        <v>-0.16848659999999999</v>
      </c>
      <c r="AE1881">
        <v>-0.126200000000011</v>
      </c>
      <c r="AF1881">
        <v>8.6854050883005796E-2</v>
      </c>
      <c r="AG1881">
        <v>-0.16848659999999999</v>
      </c>
      <c r="AH1881">
        <v>0.23339665278156299</v>
      </c>
      <c r="AI1881">
        <v>124.08080084927499</v>
      </c>
      <c r="AJ1881">
        <v>69.588222921933294</v>
      </c>
      <c r="AK1881">
        <v>0.30067483776329801</v>
      </c>
      <c r="AL1881">
        <v>88.079442721493905</v>
      </c>
      <c r="AM1881">
        <v>92.480441694054804</v>
      </c>
      <c r="AN1881">
        <v>0.99999996467958596</v>
      </c>
    </row>
    <row r="1882" spans="1:40" x14ac:dyDescent="0.3">
      <c r="A1882" t="str">
        <f>"20200111153910896"</f>
        <v>20200111153910896</v>
      </c>
      <c r="B1882" t="str">
        <f>"1578728350892399"</f>
        <v>1578728350892399</v>
      </c>
      <c r="C1882" t="s">
        <v>40</v>
      </c>
      <c r="D1882">
        <v>4.9684290000000004</v>
      </c>
      <c r="E1882">
        <v>0.56670500000000001</v>
      </c>
      <c r="F1882" t="s">
        <v>41</v>
      </c>
      <c r="G1882">
        <v>-445.49149999999997</v>
      </c>
      <c r="H1882">
        <v>0.94732870000000002</v>
      </c>
      <c r="I1882">
        <v>214.0635</v>
      </c>
      <c r="J1882">
        <v>-445.77249999999998</v>
      </c>
      <c r="K1882">
        <v>1.104061</v>
      </c>
      <c r="L1882">
        <v>214.1825</v>
      </c>
      <c r="M1882">
        <v>0.99874660000000004</v>
      </c>
      <c r="N1882">
        <v>0</v>
      </c>
      <c r="O1882">
        <v>-4.99449E-2</v>
      </c>
      <c r="P1882">
        <v>0.99947200000000003</v>
      </c>
      <c r="Q1882">
        <v>3.177543E-2</v>
      </c>
      <c r="R1882">
        <v>-6.7984250000000003E-3</v>
      </c>
      <c r="S1882">
        <v>3.017944</v>
      </c>
      <c r="T1882">
        <v>-0.7005382</v>
      </c>
      <c r="U1882">
        <v>-0.61807250000000002</v>
      </c>
      <c r="V1882">
        <v>-4.3226720000000003E-2</v>
      </c>
      <c r="W1882">
        <v>3.4922469999999997E-2</v>
      </c>
      <c r="X1882">
        <v>0.99845470000000003</v>
      </c>
      <c r="Y1882">
        <v>0.14893329999999999</v>
      </c>
      <c r="Z1882">
        <v>-5.5795410000000004E-3</v>
      </c>
      <c r="AA1882">
        <v>0.98883149999999997</v>
      </c>
      <c r="AB1882">
        <v>42</v>
      </c>
      <c r="AC1882">
        <v>0.28100000000000502</v>
      </c>
      <c r="AD1882">
        <v>-0.15673229999999899</v>
      </c>
      <c r="AE1882">
        <v>-0.118999999999999</v>
      </c>
      <c r="AF1882">
        <v>8.29382802555923E-2</v>
      </c>
      <c r="AG1882">
        <v>-0.15673229999999899</v>
      </c>
      <c r="AH1882">
        <v>0.22677177049909999</v>
      </c>
      <c r="AI1882">
        <v>122.98742141994001</v>
      </c>
      <c r="AJ1882">
        <v>69.910785879901994</v>
      </c>
      <c r="AK1882">
        <v>0.28787012365013098</v>
      </c>
      <c r="AL1882">
        <v>87.998682840252002</v>
      </c>
      <c r="AM1882">
        <v>92.478993749023005</v>
      </c>
      <c r="AN1882">
        <v>0.999999958092473</v>
      </c>
    </row>
    <row r="1883" spans="1:40" x14ac:dyDescent="0.3">
      <c r="A1883" t="str">
        <f>"20200111153910918"</f>
        <v>20200111153910918</v>
      </c>
      <c r="B1883" t="str">
        <f>"1578728350912895"</f>
        <v>1578728350912895</v>
      </c>
      <c r="C1883" t="s">
        <v>40</v>
      </c>
      <c r="D1883">
        <v>4.8950420000000001</v>
      </c>
      <c r="E1883">
        <v>0.49621850000000001</v>
      </c>
      <c r="F1883" t="s">
        <v>41</v>
      </c>
      <c r="G1883">
        <v>-444.76350000000002</v>
      </c>
      <c r="H1883">
        <v>0.87739109999999998</v>
      </c>
      <c r="I1883">
        <v>213.9966</v>
      </c>
      <c r="J1883">
        <v>-445.32600000000002</v>
      </c>
      <c r="K1883">
        <v>1.1040669999999999</v>
      </c>
      <c r="L1883">
        <v>214.1609</v>
      </c>
      <c r="M1883">
        <v>0.99880150000000001</v>
      </c>
      <c r="N1883">
        <v>0</v>
      </c>
      <c r="O1883">
        <v>-4.8837209999999999E-2</v>
      </c>
      <c r="P1883">
        <v>0.99944230000000001</v>
      </c>
      <c r="Q1883">
        <v>3.286178E-2</v>
      </c>
      <c r="R1883">
        <v>-5.951151E-3</v>
      </c>
      <c r="S1883">
        <v>3.0193479999999999</v>
      </c>
      <c r="T1883">
        <v>-0.67833639999999995</v>
      </c>
      <c r="U1883">
        <v>-0.55630489999999999</v>
      </c>
      <c r="V1883">
        <v>-4.2967959999999999E-2</v>
      </c>
      <c r="W1883">
        <v>3.6008980000000003E-2</v>
      </c>
      <c r="X1883">
        <v>0.99842730000000002</v>
      </c>
      <c r="Y1883">
        <v>0.13097439999999999</v>
      </c>
      <c r="Z1883">
        <v>-3.6798719999999998E-3</v>
      </c>
      <c r="AA1883">
        <v>0.99137889999999995</v>
      </c>
      <c r="AB1883">
        <v>42</v>
      </c>
      <c r="AC1883">
        <v>0.56249999999994305</v>
      </c>
      <c r="AD1883">
        <v>-0.22667590000000001</v>
      </c>
      <c r="AE1883">
        <v>-0.164299999999997</v>
      </c>
      <c r="AF1883">
        <v>0.118849759862004</v>
      </c>
      <c r="AG1883">
        <v>-0.22667590000000001</v>
      </c>
      <c r="AH1883">
        <v>0.49568501033939599</v>
      </c>
      <c r="AI1883">
        <v>113.974445266456</v>
      </c>
      <c r="AJ1883">
        <v>76.516797100664107</v>
      </c>
      <c r="AK1883">
        <v>0.55786275958808496</v>
      </c>
      <c r="AL1883">
        <v>87.9363912601019</v>
      </c>
      <c r="AM1883">
        <v>92.464240102530596</v>
      </c>
      <c r="AN1883">
        <v>0.99999998280624502</v>
      </c>
    </row>
    <row r="1884" spans="1:40" x14ac:dyDescent="0.3">
      <c r="A1884" t="str">
        <f>"20200111153910940"</f>
        <v>20200111153910940</v>
      </c>
      <c r="B1884" t="str">
        <f>"1578728350932415"</f>
        <v>1578728350932415</v>
      </c>
      <c r="C1884" t="s">
        <v>40</v>
      </c>
      <c r="D1884">
        <v>4.8741050000000001</v>
      </c>
      <c r="E1884">
        <v>0.49479099999999998</v>
      </c>
      <c r="F1884" t="s">
        <v>59</v>
      </c>
      <c r="G1884">
        <v>-429.08640000000003</v>
      </c>
      <c r="H1884" s="1">
        <v>2.3876050000000002E-6</v>
      </c>
      <c r="I1884">
        <v>214.21860000000001</v>
      </c>
      <c r="J1884">
        <v>-444.9255</v>
      </c>
      <c r="K1884">
        <v>1.1040650000000001</v>
      </c>
      <c r="L1884">
        <v>214.14189999999999</v>
      </c>
      <c r="M1884">
        <v>0.9988496</v>
      </c>
      <c r="N1884">
        <v>0</v>
      </c>
      <c r="O1884">
        <v>-4.7845510000000001E-2</v>
      </c>
      <c r="P1884">
        <v>0.9994286</v>
      </c>
      <c r="Q1884">
        <v>3.3497470000000001E-2</v>
      </c>
      <c r="R1884">
        <v>-4.5724770000000001E-3</v>
      </c>
      <c r="S1884">
        <v>3.0084529999999998</v>
      </c>
      <c r="T1884">
        <v>-0.2045322</v>
      </c>
      <c r="U1884">
        <v>1.068115E-2</v>
      </c>
      <c r="V1884">
        <v>-4.3354980000000001E-2</v>
      </c>
      <c r="W1884">
        <v>3.6642279999999999E-2</v>
      </c>
      <c r="X1884">
        <v>0.99838749999999998</v>
      </c>
      <c r="Y1884">
        <v>-5.1163239999999999E-2</v>
      </c>
      <c r="Z1884">
        <v>4.985387E-3</v>
      </c>
      <c r="AA1884">
        <v>0.99867779999999995</v>
      </c>
      <c r="AB1884">
        <v>43</v>
      </c>
      <c r="AC1884">
        <v>15.839099999999901</v>
      </c>
      <c r="AD1884">
        <v>-1.1040626123949999</v>
      </c>
      <c r="AE1884">
        <v>7.6700000000016602E-2</v>
      </c>
      <c r="AF1884">
        <v>-0.83041118943165704</v>
      </c>
      <c r="AG1884">
        <v>-1.1040626123949999</v>
      </c>
      <c r="AH1884">
        <v>15.7408110809805</v>
      </c>
      <c r="AI1884">
        <v>94.006609465731501</v>
      </c>
      <c r="AJ1884">
        <v>93.01985649273</v>
      </c>
      <c r="AK1884">
        <v>15.801318631137701</v>
      </c>
      <c r="AL1884">
        <v>87.900081820516505</v>
      </c>
      <c r="AM1884">
        <v>92.486507210802898</v>
      </c>
      <c r="AN1884">
        <v>0.99999995556532295</v>
      </c>
    </row>
    <row r="1885" spans="1:40" x14ac:dyDescent="0.3">
      <c r="A1885" t="str">
        <f>"20200111153910961"</f>
        <v>20200111153910961</v>
      </c>
      <c r="B1885" t="str">
        <f>"1578728350952998"</f>
        <v>1578728350952998</v>
      </c>
      <c r="C1885" t="s">
        <v>40</v>
      </c>
      <c r="D1885">
        <v>4.8766949999999998</v>
      </c>
      <c r="E1885">
        <v>0.49586780000000003</v>
      </c>
      <c r="F1885" t="s">
        <v>59</v>
      </c>
      <c r="G1885">
        <v>-423.7706</v>
      </c>
      <c r="H1885" s="1">
        <v>3.3210040000000002E-6</v>
      </c>
      <c r="I1885">
        <v>214.32749999999999</v>
      </c>
      <c r="J1885">
        <v>-444.49970000000002</v>
      </c>
      <c r="K1885">
        <v>1.104066</v>
      </c>
      <c r="L1885">
        <v>214.12219999999999</v>
      </c>
      <c r="M1885">
        <v>0.99889930000000005</v>
      </c>
      <c r="N1885">
        <v>0</v>
      </c>
      <c r="O1885">
        <v>-4.6792760000000003E-2</v>
      </c>
      <c r="P1885">
        <v>0.99945620000000002</v>
      </c>
      <c r="Q1885">
        <v>3.2829049999999999E-2</v>
      </c>
      <c r="R1885">
        <v>-3.1017670000000001E-3</v>
      </c>
      <c r="S1885">
        <v>3.0070800000000002</v>
      </c>
      <c r="T1885">
        <v>-0.15693779999999999</v>
      </c>
      <c r="U1885">
        <v>2.6382450000000002E-2</v>
      </c>
      <c r="V1885">
        <v>-4.3772119999999998E-2</v>
      </c>
      <c r="W1885">
        <v>3.5972770000000001E-2</v>
      </c>
      <c r="X1885">
        <v>0.99839370000000005</v>
      </c>
      <c r="Y1885">
        <v>-5.5415640000000002E-2</v>
      </c>
      <c r="Z1885">
        <v>3.8848950000000002E-3</v>
      </c>
      <c r="AA1885">
        <v>0.9984558</v>
      </c>
      <c r="AB1885">
        <v>43</v>
      </c>
      <c r="AC1885">
        <v>20.729099999999999</v>
      </c>
      <c r="AD1885">
        <v>-1.104062678996</v>
      </c>
      <c r="AE1885">
        <v>0.20529999999999399</v>
      </c>
      <c r="AF1885">
        <v>-1.17172845392016</v>
      </c>
      <c r="AG1885">
        <v>-1.104062678996</v>
      </c>
      <c r="AH1885">
        <v>20.638246344142601</v>
      </c>
      <c r="AI1885">
        <v>93.057259497385701</v>
      </c>
      <c r="AJ1885">
        <v>93.249457330839604</v>
      </c>
      <c r="AK1885">
        <v>20.7009447641984</v>
      </c>
      <c r="AL1885">
        <v>87.938467340252302</v>
      </c>
      <c r="AM1885">
        <v>92.510385112707993</v>
      </c>
      <c r="AN1885">
        <v>1.0000000094352199</v>
      </c>
    </row>
    <row r="1886" spans="1:40" x14ac:dyDescent="0.3">
      <c r="A1886" t="str">
        <f>"20200111153910984"</f>
        <v>20200111153910984</v>
      </c>
      <c r="B1886" t="str">
        <f>"1578728350972517"</f>
        <v>1578728350972517</v>
      </c>
      <c r="C1886" t="s">
        <v>40</v>
      </c>
      <c r="D1886">
        <v>4.8748870000000002</v>
      </c>
      <c r="E1886">
        <v>0.4968013</v>
      </c>
      <c r="F1886" t="s">
        <v>59</v>
      </c>
      <c r="G1886">
        <v>-421.62529999999998</v>
      </c>
      <c r="H1886" s="1">
        <v>3.7045560000000001E-6</v>
      </c>
      <c r="I1886">
        <v>214.29320000000001</v>
      </c>
      <c r="J1886">
        <v>-444.07089999999999</v>
      </c>
      <c r="K1886">
        <v>1.1040620000000001</v>
      </c>
      <c r="L1886">
        <v>214.1028</v>
      </c>
      <c r="M1886">
        <v>0.99894830000000001</v>
      </c>
      <c r="N1886">
        <v>0</v>
      </c>
      <c r="O1886">
        <v>-4.5734190000000001E-2</v>
      </c>
      <c r="P1886">
        <v>0.99945930000000005</v>
      </c>
      <c r="Q1886">
        <v>3.2845119999999998E-2</v>
      </c>
      <c r="R1886">
        <v>-1.621494E-3</v>
      </c>
      <c r="S1886">
        <v>3.0065</v>
      </c>
      <c r="T1886">
        <v>-0.14511250000000001</v>
      </c>
      <c r="U1886">
        <v>2.2476200000000002E-2</v>
      </c>
      <c r="V1886">
        <v>-4.419294E-2</v>
      </c>
      <c r="W1886">
        <v>3.5988489999999998E-2</v>
      </c>
      <c r="X1886">
        <v>0.9983746</v>
      </c>
      <c r="Y1886">
        <v>-5.3085970000000003E-2</v>
      </c>
      <c r="Z1886">
        <v>3.4859969999999998E-3</v>
      </c>
      <c r="AA1886">
        <v>0.99858389999999997</v>
      </c>
      <c r="AB1886">
        <v>43</v>
      </c>
      <c r="AC1886">
        <v>22.445599999999999</v>
      </c>
      <c r="AD1886">
        <v>-1.1040582954439999</v>
      </c>
      <c r="AE1886">
        <v>0.190400000000011</v>
      </c>
      <c r="AF1886">
        <v>-1.21380103455463</v>
      </c>
      <c r="AG1886">
        <v>-1.1040582954439999</v>
      </c>
      <c r="AH1886">
        <v>22.359311878232401</v>
      </c>
      <c r="AI1886">
        <v>92.822706078431196</v>
      </c>
      <c r="AJ1886">
        <v>93.107317463447302</v>
      </c>
      <c r="AK1886">
        <v>22.4194354375682</v>
      </c>
      <c r="AL1886">
        <v>87.937566077763904</v>
      </c>
      <c r="AM1886">
        <v>92.534536761796701</v>
      </c>
      <c r="AN1886">
        <v>1.00000001464174</v>
      </c>
    </row>
    <row r="1887" spans="1:40" x14ac:dyDescent="0.3">
      <c r="A1887" t="str">
        <f>"20200111153911007"</f>
        <v>20200111153911007</v>
      </c>
      <c r="B1887" t="str">
        <f>"1578728351002772"</f>
        <v>1578728351002772</v>
      </c>
      <c r="C1887" t="s">
        <v>40</v>
      </c>
      <c r="D1887">
        <v>4.8580040000000002</v>
      </c>
      <c r="E1887">
        <v>0.49772660000000002</v>
      </c>
      <c r="F1887" t="s">
        <v>59</v>
      </c>
      <c r="G1887">
        <v>-421.41680000000002</v>
      </c>
      <c r="H1887" s="1">
        <v>3.7454580000000001E-6</v>
      </c>
      <c r="I1887">
        <v>214.2483</v>
      </c>
      <c r="J1887">
        <v>-443.63529999999997</v>
      </c>
      <c r="K1887">
        <v>1.104063</v>
      </c>
      <c r="L1887">
        <v>214.08340000000001</v>
      </c>
      <c r="M1887">
        <v>0.99899689999999997</v>
      </c>
      <c r="N1887">
        <v>0</v>
      </c>
      <c r="O1887">
        <v>-4.4660699999999998E-2</v>
      </c>
      <c r="P1887">
        <v>0.99944650000000002</v>
      </c>
      <c r="Q1887">
        <v>3.3249430000000003E-2</v>
      </c>
      <c r="R1887">
        <v>-1.1452719999999999E-3</v>
      </c>
      <c r="S1887">
        <v>3.0064700000000002</v>
      </c>
      <c r="T1887">
        <v>-0.1465217</v>
      </c>
      <c r="U1887">
        <v>1.9317629999999999E-2</v>
      </c>
      <c r="V1887">
        <v>-4.359768E-2</v>
      </c>
      <c r="W1887">
        <v>3.6397350000000002E-2</v>
      </c>
      <c r="X1887">
        <v>0.99838590000000005</v>
      </c>
      <c r="Y1887">
        <v>-5.096535E-2</v>
      </c>
      <c r="Z1887">
        <v>3.4159540000000001E-3</v>
      </c>
      <c r="AA1887">
        <v>0.99869459999999999</v>
      </c>
      <c r="AB1887">
        <v>43</v>
      </c>
      <c r="AC1887">
        <v>22.218499999999899</v>
      </c>
      <c r="AD1887">
        <v>-1.104059254542</v>
      </c>
      <c r="AE1887">
        <v>0.164899999999988</v>
      </c>
      <c r="AF1887">
        <v>-1.15418474352184</v>
      </c>
      <c r="AG1887">
        <v>-1.104059254542</v>
      </c>
      <c r="AH1887">
        <v>22.134314931417599</v>
      </c>
      <c r="AI1887">
        <v>92.851677971923394</v>
      </c>
      <c r="AJ1887">
        <v>92.984961375761202</v>
      </c>
      <c r="AK1887">
        <v>22.191867581231001</v>
      </c>
      <c r="AL1887">
        <v>87.914124663811904</v>
      </c>
      <c r="AM1887">
        <v>92.500412995615605</v>
      </c>
      <c r="AN1887">
        <v>0.999999965053606</v>
      </c>
    </row>
    <row r="1888" spans="1:40" x14ac:dyDescent="0.3">
      <c r="A1888" t="str">
        <f>"20200111153911029"</f>
        <v>20200111153911029</v>
      </c>
      <c r="B1888" t="str">
        <f>"1578728351022293"</f>
        <v>1578728351022293</v>
      </c>
      <c r="C1888" t="s">
        <v>40</v>
      </c>
      <c r="D1888">
        <v>4.855874</v>
      </c>
      <c r="E1888">
        <v>0.49823220000000001</v>
      </c>
      <c r="F1888" t="s">
        <v>59</v>
      </c>
      <c r="G1888">
        <v>-421.42579999999998</v>
      </c>
      <c r="H1888" s="1">
        <v>3.7495470000000001E-6</v>
      </c>
      <c r="I1888">
        <v>214.1832</v>
      </c>
      <c r="J1888">
        <v>-443.21749999999997</v>
      </c>
      <c r="K1888">
        <v>1.10407099999999</v>
      </c>
      <c r="L1888">
        <v>214.06540000000001</v>
      </c>
      <c r="M1888">
        <v>0.9990424</v>
      </c>
      <c r="N1888">
        <v>0</v>
      </c>
      <c r="O1888">
        <v>-4.3633119999999997E-2</v>
      </c>
      <c r="P1888">
        <v>0.99943139999999997</v>
      </c>
      <c r="Q1888">
        <v>3.3716049999999997E-2</v>
      </c>
      <c r="R1888">
        <v>-5.2877920000000001E-4</v>
      </c>
      <c r="S1888">
        <v>3.0066220000000001</v>
      </c>
      <c r="T1888">
        <v>-0.14946319999999999</v>
      </c>
      <c r="U1888">
        <v>1.350403E-2</v>
      </c>
      <c r="V1888">
        <v>-4.3187030000000001E-2</v>
      </c>
      <c r="W1888">
        <v>3.6869579999999999E-2</v>
      </c>
      <c r="X1888">
        <v>0.99838640000000001</v>
      </c>
      <c r="Y1888">
        <v>-4.800687E-2</v>
      </c>
      <c r="Z1888">
        <v>3.3597589999999999E-3</v>
      </c>
      <c r="AA1888">
        <v>0.99884130000000004</v>
      </c>
      <c r="AB1888">
        <v>43</v>
      </c>
      <c r="AC1888">
        <v>21.791699999999899</v>
      </c>
      <c r="AD1888">
        <v>-1.10406725045299</v>
      </c>
      <c r="AE1888">
        <v>0.117799999999988</v>
      </c>
      <c r="AF1888">
        <v>-1.0657969168649</v>
      </c>
      <c r="AG1888">
        <v>-1.10406725045299</v>
      </c>
      <c r="AH1888">
        <v>21.710079876770099</v>
      </c>
      <c r="AI1888">
        <v>92.907776040361995</v>
      </c>
      <c r="AJ1888">
        <v>92.810523001855799</v>
      </c>
      <c r="AK1888">
        <v>21.764247191604401</v>
      </c>
      <c r="AL1888">
        <v>87.887049659866406</v>
      </c>
      <c r="AM1888">
        <v>92.476889639450704</v>
      </c>
      <c r="AN1888">
        <v>0.99999994459727704</v>
      </c>
    </row>
    <row r="1889" spans="1:40" x14ac:dyDescent="0.3">
      <c r="A1889" t="str">
        <f>"20200111153911051"</f>
        <v>20200111153911051</v>
      </c>
      <c r="B1889" t="str">
        <f>"1578728351042789"</f>
        <v>1578728351042789</v>
      </c>
      <c r="C1889" t="s">
        <v>40</v>
      </c>
      <c r="D1889">
        <v>4.8301679999999996</v>
      </c>
      <c r="E1889">
        <v>0.49853310000000001</v>
      </c>
      <c r="F1889" t="s">
        <v>59</v>
      </c>
      <c r="G1889">
        <v>-421.24200000000002</v>
      </c>
      <c r="H1889" s="1">
        <v>3.7852199999999999E-6</v>
      </c>
      <c r="I1889">
        <v>214.1481</v>
      </c>
      <c r="J1889">
        <v>-442.77710000000002</v>
      </c>
      <c r="K1889">
        <v>1.104074</v>
      </c>
      <c r="L1889">
        <v>214.04679999999999</v>
      </c>
      <c r="M1889">
        <v>0.999089</v>
      </c>
      <c r="N1889">
        <v>0</v>
      </c>
      <c r="O1889">
        <v>-4.2551529999999997E-2</v>
      </c>
      <c r="P1889">
        <v>0.99943009999999999</v>
      </c>
      <c r="Q1889">
        <v>3.3762510000000003E-2</v>
      </c>
      <c r="R1889">
        <v>1.4557780000000001E-4</v>
      </c>
      <c r="S1889">
        <v>3.0067439999999999</v>
      </c>
      <c r="T1889">
        <v>-0.15106169999999999</v>
      </c>
      <c r="U1889">
        <v>1.132202E-2</v>
      </c>
      <c r="V1889">
        <v>-4.2780859999999997E-2</v>
      </c>
      <c r="W1889">
        <v>3.6923419999999998E-2</v>
      </c>
      <c r="X1889">
        <v>0.99840189999999995</v>
      </c>
      <c r="Y1889">
        <v>-4.6201640000000002E-2</v>
      </c>
      <c r="Z1889">
        <v>3.295915E-3</v>
      </c>
      <c r="AA1889">
        <v>0.99892669999999995</v>
      </c>
      <c r="AB1889">
        <v>43</v>
      </c>
      <c r="AC1889">
        <v>21.5351</v>
      </c>
      <c r="AD1889">
        <v>-1.1040702147799999</v>
      </c>
      <c r="AE1889">
        <v>0.10130000000000899</v>
      </c>
      <c r="AF1889">
        <v>-1.01489698441722</v>
      </c>
      <c r="AG1889">
        <v>-1.1040702147799999</v>
      </c>
      <c r="AH1889">
        <v>21.454892541242302</v>
      </c>
      <c r="AI1889">
        <v>92.942561596599703</v>
      </c>
      <c r="AJ1889">
        <v>92.708286669921904</v>
      </c>
      <c r="AK1889">
        <v>21.507240661795699</v>
      </c>
      <c r="AL1889">
        <v>87.883962759014196</v>
      </c>
      <c r="AM1889">
        <v>92.453585281767801</v>
      </c>
      <c r="AN1889">
        <v>0.99999994742522103</v>
      </c>
    </row>
    <row r="1890" spans="1:40" x14ac:dyDescent="0.3">
      <c r="A1890" t="str">
        <f>"20200111153911074"</f>
        <v>20200111153911074</v>
      </c>
      <c r="B1890" t="str">
        <f>"1578728351062309"</f>
        <v>1578728351062309</v>
      </c>
      <c r="C1890" t="s">
        <v>40</v>
      </c>
      <c r="D1890">
        <v>4.8196690000000002</v>
      </c>
      <c r="E1890">
        <v>0.49823849999999997</v>
      </c>
      <c r="F1890" t="s">
        <v>59</v>
      </c>
      <c r="G1890">
        <v>-421.13069999999999</v>
      </c>
      <c r="H1890" s="1">
        <v>3.8069560000000002E-6</v>
      </c>
      <c r="I1890">
        <v>214.12530000000001</v>
      </c>
      <c r="J1890">
        <v>-442.33150000000001</v>
      </c>
      <c r="K1890">
        <v>1.104082</v>
      </c>
      <c r="L1890">
        <v>214.0284</v>
      </c>
      <c r="M1890">
        <v>0.99913490000000005</v>
      </c>
      <c r="N1890">
        <v>0</v>
      </c>
      <c r="O1890">
        <v>-4.145803E-2</v>
      </c>
      <c r="P1890">
        <v>0.99943890000000002</v>
      </c>
      <c r="Q1890">
        <v>3.3478639999999997E-2</v>
      </c>
      <c r="R1890">
        <v>1.105839E-3</v>
      </c>
      <c r="S1890">
        <v>3.006866</v>
      </c>
      <c r="T1890">
        <v>-0.1533648</v>
      </c>
      <c r="U1890">
        <v>1.0910029999999999E-2</v>
      </c>
      <c r="V1890">
        <v>-4.2647989999999997E-2</v>
      </c>
      <c r="W1890">
        <v>3.6647520000000003E-2</v>
      </c>
      <c r="X1890">
        <v>0.99841780000000002</v>
      </c>
      <c r="Y1890">
        <v>-4.4970870000000003E-2</v>
      </c>
      <c r="Z1890">
        <v>3.258894E-3</v>
      </c>
      <c r="AA1890">
        <v>0.99898299999999995</v>
      </c>
      <c r="AB1890">
        <v>43</v>
      </c>
      <c r="AC1890">
        <v>21.200800000000001</v>
      </c>
      <c r="AD1890">
        <v>-1.104078193044</v>
      </c>
      <c r="AE1890">
        <v>9.6900000000005093E-2</v>
      </c>
      <c r="AF1890">
        <v>-0.97312569141674798</v>
      </c>
      <c r="AG1890">
        <v>-1.104078193044</v>
      </c>
      <c r="AH1890">
        <v>21.121274611042701</v>
      </c>
      <c r="AI1890">
        <v>92.989149360633306</v>
      </c>
      <c r="AJ1890">
        <v>92.637937072907505</v>
      </c>
      <c r="AK1890">
        <v>21.172486945626598</v>
      </c>
      <c r="AL1890">
        <v>87.899781477081703</v>
      </c>
      <c r="AM1890">
        <v>92.445935231802693</v>
      </c>
      <c r="AN1890">
        <v>0.99999999756501501</v>
      </c>
    </row>
    <row r="1891" spans="1:40" x14ac:dyDescent="0.3">
      <c r="A1891" t="str">
        <f>"20200111153911097"</f>
        <v>20200111153911097</v>
      </c>
      <c r="B1891" t="str">
        <f>"1578728351092565"</f>
        <v>1578728351092565</v>
      </c>
      <c r="C1891" t="s">
        <v>40</v>
      </c>
      <c r="D1891">
        <v>4.8037039999999998</v>
      </c>
      <c r="E1891">
        <v>0.49833189999999999</v>
      </c>
      <c r="F1891" t="s">
        <v>59</v>
      </c>
      <c r="G1891">
        <v>-421.19810000000001</v>
      </c>
      <c r="H1891" s="1">
        <v>3.7938349999999999E-6</v>
      </c>
      <c r="I1891">
        <v>214.1388</v>
      </c>
      <c r="J1891">
        <v>-441.89449999999999</v>
      </c>
      <c r="K1891">
        <v>1.1040890000000001</v>
      </c>
      <c r="L1891">
        <v>214.01089999999999</v>
      </c>
      <c r="M1891">
        <v>0.99917860000000003</v>
      </c>
      <c r="N1891">
        <v>0</v>
      </c>
      <c r="O1891">
        <v>-4.0387880000000001E-2</v>
      </c>
      <c r="P1891">
        <v>0.99944239999999995</v>
      </c>
      <c r="Q1891">
        <v>3.3354990000000001E-2</v>
      </c>
      <c r="R1891">
        <v>1.6206409999999999E-3</v>
      </c>
      <c r="S1891">
        <v>3.0068969999999999</v>
      </c>
      <c r="T1891">
        <v>-0.15709020000000001</v>
      </c>
      <c r="U1891">
        <v>1.570129E-2</v>
      </c>
      <c r="V1891">
        <v>-4.2093529999999997E-2</v>
      </c>
      <c r="W1891">
        <v>3.6534579999999997E-2</v>
      </c>
      <c r="X1891">
        <v>0.99844549999999999</v>
      </c>
      <c r="Y1891">
        <v>-4.5487890000000003E-2</v>
      </c>
      <c r="Z1891">
        <v>3.295582E-3</v>
      </c>
      <c r="AA1891">
        <v>0.9989595</v>
      </c>
      <c r="AB1891">
        <v>44</v>
      </c>
      <c r="AC1891">
        <v>20.696399999999901</v>
      </c>
      <c r="AD1891">
        <v>-1.1040852061649999</v>
      </c>
      <c r="AE1891">
        <v>0.127900000000011</v>
      </c>
      <c r="AF1891">
        <v>-0.96094930055190197</v>
      </c>
      <c r="AG1891">
        <v>-1.1040852061649999</v>
      </c>
      <c r="AH1891">
        <v>20.6156801288633</v>
      </c>
      <c r="AI1891">
        <v>93.062262837209204</v>
      </c>
      <c r="AJ1891">
        <v>92.668770333298099</v>
      </c>
      <c r="AK1891">
        <v>20.667575931306299</v>
      </c>
      <c r="AL1891">
        <v>87.9062568638968</v>
      </c>
      <c r="AM1891">
        <v>92.414106975325495</v>
      </c>
      <c r="AN1891">
        <v>1.0000000286369399</v>
      </c>
    </row>
    <row r="1892" spans="1:40" x14ac:dyDescent="0.3">
      <c r="A1892" t="str">
        <f>"20200111153911118"</f>
        <v>20200111153911118</v>
      </c>
      <c r="B1892" t="str">
        <f>"1578728351113062"</f>
        <v>1578728351113062</v>
      </c>
      <c r="C1892" t="s">
        <v>40</v>
      </c>
      <c r="D1892">
        <v>4.780125</v>
      </c>
      <c r="E1892">
        <v>0.4984886</v>
      </c>
      <c r="F1892" t="s">
        <v>59</v>
      </c>
      <c r="G1892">
        <v>-421.22640000000001</v>
      </c>
      <c r="H1892" s="1">
        <v>3.7899680000000001E-6</v>
      </c>
      <c r="I1892">
        <v>214.12549999999999</v>
      </c>
      <c r="J1892">
        <v>-441.452</v>
      </c>
      <c r="K1892">
        <v>1.10409</v>
      </c>
      <c r="L1892">
        <v>213.99369999999999</v>
      </c>
      <c r="M1892">
        <v>0.99922180000000005</v>
      </c>
      <c r="N1892">
        <v>0</v>
      </c>
      <c r="O1892">
        <v>-3.930546E-2</v>
      </c>
      <c r="P1892">
        <v>0.99943519999999997</v>
      </c>
      <c r="Q1892">
        <v>3.3541840000000003E-2</v>
      </c>
      <c r="R1892">
        <v>2.0802500000000001E-3</v>
      </c>
      <c r="S1892">
        <v>3.0070190000000001</v>
      </c>
      <c r="T1892">
        <v>-0.16063379999999999</v>
      </c>
      <c r="U1892">
        <v>1.6677859999999999E-2</v>
      </c>
      <c r="V1892">
        <v>-4.1471899999999999E-2</v>
      </c>
      <c r="W1892">
        <v>3.6733780000000001E-2</v>
      </c>
      <c r="X1892">
        <v>0.99846420000000002</v>
      </c>
      <c r="Y1892">
        <v>-4.4727219999999998E-2</v>
      </c>
      <c r="Z1892">
        <v>3.2916289999999999E-3</v>
      </c>
      <c r="AA1892">
        <v>0.99899380000000004</v>
      </c>
      <c r="AB1892">
        <v>44</v>
      </c>
      <c r="AC1892">
        <v>20.225599999999901</v>
      </c>
      <c r="AD1892">
        <v>-1.1040862100319999</v>
      </c>
      <c r="AE1892">
        <v>0.131799999999998</v>
      </c>
      <c r="AF1892">
        <v>-0.92392588490161598</v>
      </c>
      <c r="AG1892">
        <v>-1.1040862100319999</v>
      </c>
      <c r="AH1892">
        <v>20.144762813983</v>
      </c>
      <c r="AI1892">
        <v>93.133818085599103</v>
      </c>
      <c r="AJ1892">
        <v>92.625991813391593</v>
      </c>
      <c r="AK1892">
        <v>20.196141072779302</v>
      </c>
      <c r="AL1892">
        <v>87.894835868497196</v>
      </c>
      <c r="AM1892">
        <v>92.378452614684505</v>
      </c>
      <c r="AN1892">
        <v>1.00000002388216</v>
      </c>
    </row>
    <row r="1893" spans="1:40" x14ac:dyDescent="0.3">
      <c r="A1893" t="str">
        <f>"20200111153911142"</f>
        <v>20200111153911142</v>
      </c>
      <c r="B1893" t="str">
        <f>"1578728351132581"</f>
        <v>1578728351132581</v>
      </c>
      <c r="C1893" t="s">
        <v>40</v>
      </c>
      <c r="D1893">
        <v>4.7938159999999996</v>
      </c>
      <c r="E1893">
        <v>0.49862060000000002</v>
      </c>
      <c r="F1893" t="s">
        <v>59</v>
      </c>
      <c r="G1893">
        <v>-420.80599999999998</v>
      </c>
      <c r="H1893" s="1">
        <v>3.8658999999999997E-6</v>
      </c>
      <c r="I1893">
        <v>214.10980000000001</v>
      </c>
      <c r="J1893">
        <v>-440.97500000000002</v>
      </c>
      <c r="K1893">
        <v>1.1040939999999999</v>
      </c>
      <c r="L1893">
        <v>213.97559999999999</v>
      </c>
      <c r="M1893">
        <v>0.99926700000000002</v>
      </c>
      <c r="N1893">
        <v>0</v>
      </c>
      <c r="O1893">
        <v>-3.8140189999999997E-2</v>
      </c>
      <c r="P1893">
        <v>0.99944169999999999</v>
      </c>
      <c r="Q1893">
        <v>3.3277109999999999E-2</v>
      </c>
      <c r="R1893">
        <v>3.0489380000000002E-3</v>
      </c>
      <c r="S1893">
        <v>3.0070190000000001</v>
      </c>
      <c r="T1893">
        <v>-0.1608068</v>
      </c>
      <c r="U1893">
        <v>1.6922E-2</v>
      </c>
      <c r="V1893">
        <v>-4.1275659999999999E-2</v>
      </c>
      <c r="W1893">
        <v>3.6482649999999998E-2</v>
      </c>
      <c r="X1893">
        <v>0.99848150000000002</v>
      </c>
      <c r="Y1893">
        <v>-4.3646259999999999E-2</v>
      </c>
      <c r="Z1893">
        <v>3.2040480000000001E-3</v>
      </c>
      <c r="AA1893">
        <v>0.99904190000000004</v>
      </c>
      <c r="AB1893">
        <v>44</v>
      </c>
      <c r="AC1893">
        <v>20.169</v>
      </c>
      <c r="AD1893">
        <v>-1.1040901341</v>
      </c>
      <c r="AE1893">
        <v>0.134200000000021</v>
      </c>
      <c r="AF1893">
        <v>-0.90065713503436295</v>
      </c>
      <c r="AG1893">
        <v>-1.1040901341</v>
      </c>
      <c r="AH1893">
        <v>20.089008741202001</v>
      </c>
      <c r="AI1893">
        <v>93.142655606702604</v>
      </c>
      <c r="AJ1893">
        <v>92.567041503954599</v>
      </c>
      <c r="AK1893">
        <v>20.1394754277066</v>
      </c>
      <c r="AL1893">
        <v>87.909234126943105</v>
      </c>
      <c r="AM1893">
        <v>92.367169930601705</v>
      </c>
      <c r="AN1893">
        <v>0.99999998485085395</v>
      </c>
    </row>
    <row r="1894" spans="1:40" x14ac:dyDescent="0.3">
      <c r="A1894" t="str">
        <f>"20200111153911163"</f>
        <v>20200111153911163</v>
      </c>
      <c r="B1894" t="str">
        <f>"1578728351152100"</f>
        <v>1578728351152100</v>
      </c>
      <c r="C1894" t="s">
        <v>40</v>
      </c>
      <c r="D1894">
        <v>4.7925190000000004</v>
      </c>
      <c r="E1894">
        <v>0.49871510000000002</v>
      </c>
      <c r="F1894" t="s">
        <v>59</v>
      </c>
      <c r="G1894">
        <v>-420.41750000000002</v>
      </c>
      <c r="H1894" s="1">
        <v>3.9354770000000003E-6</v>
      </c>
      <c r="I1894">
        <v>214.10220000000001</v>
      </c>
      <c r="J1894">
        <v>-440.56990000000002</v>
      </c>
      <c r="K1894">
        <v>1.10409</v>
      </c>
      <c r="L1894">
        <v>213.9607</v>
      </c>
      <c r="M1894">
        <v>0.99930399999999997</v>
      </c>
      <c r="N1894">
        <v>0</v>
      </c>
      <c r="O1894">
        <v>-3.7152539999999998E-2</v>
      </c>
      <c r="P1894">
        <v>0.99945229999999996</v>
      </c>
      <c r="Q1894">
        <v>3.2796579999999999E-2</v>
      </c>
      <c r="R1894">
        <v>4.4189779999999996E-3</v>
      </c>
      <c r="S1894">
        <v>3.0069889999999999</v>
      </c>
      <c r="T1894">
        <v>-0.1614978</v>
      </c>
      <c r="U1894">
        <v>1.852417E-2</v>
      </c>
      <c r="V1894">
        <v>-4.1656779999999997E-2</v>
      </c>
      <c r="W1894">
        <v>3.601327E-2</v>
      </c>
      <c r="X1894">
        <v>0.99848269999999995</v>
      </c>
      <c r="Y1894">
        <v>-4.3192269999999998E-2</v>
      </c>
      <c r="Z1894">
        <v>3.1526660000000001E-3</v>
      </c>
      <c r="AA1894">
        <v>0.9990618</v>
      </c>
      <c r="AB1894">
        <v>44</v>
      </c>
      <c r="AC1894">
        <v>20.1524</v>
      </c>
      <c r="AD1894">
        <v>-1.104086064523</v>
      </c>
      <c r="AE1894">
        <v>0.14150000000000701</v>
      </c>
      <c r="AF1894">
        <v>-0.88745569714330697</v>
      </c>
      <c r="AG1894">
        <v>-1.104086064523</v>
      </c>
      <c r="AH1894">
        <v>20.072981614822599</v>
      </c>
      <c r="AI1894">
        <v>93.145234967407504</v>
      </c>
      <c r="AJ1894">
        <v>92.531481172810004</v>
      </c>
      <c r="AK1894">
        <v>20.122901743070599</v>
      </c>
      <c r="AL1894">
        <v>87.936145280532202</v>
      </c>
      <c r="AM1894">
        <v>92.388999185796294</v>
      </c>
      <c r="AN1894">
        <v>0.99999997256767503</v>
      </c>
    </row>
    <row r="1895" spans="1:40" x14ac:dyDescent="0.3">
      <c r="A1895" t="str">
        <f>"20200111153911186"</f>
        <v>20200111153911186</v>
      </c>
      <c r="B1895" t="str">
        <f>"1578728351182356"</f>
        <v>1578728351182356</v>
      </c>
      <c r="C1895" t="s">
        <v>40</v>
      </c>
      <c r="D1895">
        <v>4.8151580000000003</v>
      </c>
      <c r="E1895">
        <v>0.49872850000000002</v>
      </c>
      <c r="F1895" t="s">
        <v>59</v>
      </c>
      <c r="G1895">
        <v>-420.21010000000001</v>
      </c>
      <c r="H1895" s="1">
        <v>3.9717030000000003E-6</v>
      </c>
      <c r="I1895">
        <v>214.1087</v>
      </c>
      <c r="J1895">
        <v>-440.12099999999998</v>
      </c>
      <c r="K1895">
        <v>1.1040909999999999</v>
      </c>
      <c r="L1895">
        <v>213.94460000000001</v>
      </c>
      <c r="M1895">
        <v>0.99934400000000001</v>
      </c>
      <c r="N1895">
        <v>0</v>
      </c>
      <c r="O1895">
        <v>-3.6062370000000003E-2</v>
      </c>
      <c r="P1895">
        <v>0.99946970000000002</v>
      </c>
      <c r="Q1895">
        <v>3.2031190000000001E-2</v>
      </c>
      <c r="R1895">
        <v>5.8797759999999998E-3</v>
      </c>
      <c r="S1895">
        <v>3.006866</v>
      </c>
      <c r="T1895">
        <v>-0.1630586</v>
      </c>
      <c r="U1895">
        <v>2.1865840000000001E-2</v>
      </c>
      <c r="V1895">
        <v>-4.2026889999999997E-2</v>
      </c>
      <c r="W1895">
        <v>3.5260340000000001E-2</v>
      </c>
      <c r="X1895">
        <v>0.99849410000000005</v>
      </c>
      <c r="Y1895">
        <v>-4.3212220000000003E-2</v>
      </c>
      <c r="Z1895">
        <v>3.1247089999999998E-3</v>
      </c>
      <c r="AA1895">
        <v>0.99906099999999998</v>
      </c>
      <c r="AB1895">
        <v>44</v>
      </c>
      <c r="AC1895">
        <v>19.910899999999899</v>
      </c>
      <c r="AD1895">
        <v>-1.1040870282969999</v>
      </c>
      <c r="AE1895">
        <v>0.16409999999999</v>
      </c>
      <c r="AF1895">
        <v>-0.87932785435673</v>
      </c>
      <c r="AG1895">
        <v>-1.1040870282969999</v>
      </c>
      <c r="AH1895">
        <v>19.831057257616202</v>
      </c>
      <c r="AI1895">
        <v>93.183510673448396</v>
      </c>
      <c r="AJ1895">
        <v>92.538886063477193</v>
      </c>
      <c r="AK1895">
        <v>19.8812237449397</v>
      </c>
      <c r="AL1895">
        <v>87.9793124879087</v>
      </c>
      <c r="AM1895">
        <v>92.410172435758795</v>
      </c>
      <c r="AN1895">
        <v>1.00000000939739</v>
      </c>
    </row>
    <row r="1896" spans="1:40" x14ac:dyDescent="0.3">
      <c r="A1896" t="str">
        <f>"20200111153911207"</f>
        <v>20200111153911207</v>
      </c>
      <c r="B1896" t="str">
        <f>"1578728351202853"</f>
        <v>1578728351202853</v>
      </c>
      <c r="C1896" t="s">
        <v>40</v>
      </c>
      <c r="D1896">
        <v>4.8427660000000001</v>
      </c>
      <c r="E1896">
        <v>0.49873289999999998</v>
      </c>
      <c r="F1896" t="s">
        <v>59</v>
      </c>
      <c r="G1896">
        <v>-420.22120000000001</v>
      </c>
      <c r="H1896" s="1">
        <v>3.9689689999999998E-6</v>
      </c>
      <c r="I1896">
        <v>214.11750000000001</v>
      </c>
      <c r="J1896">
        <v>-439.68849999999998</v>
      </c>
      <c r="K1896">
        <v>1.1040829999999999</v>
      </c>
      <c r="L1896">
        <v>213.92959999999999</v>
      </c>
      <c r="M1896">
        <v>0.99938099999999996</v>
      </c>
      <c r="N1896">
        <v>0</v>
      </c>
      <c r="O1896">
        <v>-3.5019050000000003E-2</v>
      </c>
      <c r="P1896">
        <v>0.99944869999999997</v>
      </c>
      <c r="Q1896">
        <v>3.2398339999999998E-2</v>
      </c>
      <c r="R1896">
        <v>7.2764750000000001E-3</v>
      </c>
      <c r="S1896">
        <v>3.0067750000000002</v>
      </c>
      <c r="T1896">
        <v>-0.1668229</v>
      </c>
      <c r="U1896">
        <v>2.6123049999999998E-2</v>
      </c>
      <c r="V1896">
        <v>-4.238103E-2</v>
      </c>
      <c r="W1896">
        <v>3.5640619999999998E-2</v>
      </c>
      <c r="X1896">
        <v>0.99846559999999995</v>
      </c>
      <c r="Y1896">
        <v>-4.3579470000000002E-2</v>
      </c>
      <c r="Z1896">
        <v>3.1491900000000001E-3</v>
      </c>
      <c r="AA1896">
        <v>0.99904499999999996</v>
      </c>
      <c r="AB1896">
        <v>45</v>
      </c>
      <c r="AC1896">
        <v>19.467299999999899</v>
      </c>
      <c r="AD1896">
        <v>-1.104079031031</v>
      </c>
      <c r="AE1896">
        <v>0.187900000000013</v>
      </c>
      <c r="AF1896">
        <v>-0.86672734435532695</v>
      </c>
      <c r="AG1896">
        <v>-1.104079031031</v>
      </c>
      <c r="AH1896">
        <v>19.386427980895601</v>
      </c>
      <c r="AI1896">
        <v>93.256292845740006</v>
      </c>
      <c r="AJ1896">
        <v>92.559871875617901</v>
      </c>
      <c r="AK1896">
        <v>19.437175634712599</v>
      </c>
      <c r="AL1896">
        <v>87.957510284676104</v>
      </c>
      <c r="AM1896">
        <v>92.430526815742098</v>
      </c>
      <c r="AN1896">
        <v>0.99999997994060197</v>
      </c>
    </row>
    <row r="1897" spans="1:40" x14ac:dyDescent="0.3">
      <c r="A1897" t="str">
        <f>"20200111153911253"</f>
        <v>20200111153911253</v>
      </c>
      <c r="B1897" t="str">
        <f>"1578728351242869"</f>
        <v>1578728351242869</v>
      </c>
      <c r="C1897" t="s">
        <v>40</v>
      </c>
      <c r="D1897">
        <v>4.9031599999999997</v>
      </c>
      <c r="E1897">
        <v>0.49886940000000002</v>
      </c>
      <c r="F1897" t="s">
        <v>59</v>
      </c>
      <c r="G1897">
        <v>-419.6823</v>
      </c>
      <c r="H1897" s="1">
        <v>3.9655740000000003E-6</v>
      </c>
      <c r="I1897">
        <v>214.1319</v>
      </c>
      <c r="J1897">
        <v>-438.77760000000001</v>
      </c>
      <c r="K1897">
        <v>1.10407099999999</v>
      </c>
      <c r="L1897">
        <v>213.89930000000001</v>
      </c>
      <c r="M1897">
        <v>0.99945430000000002</v>
      </c>
      <c r="N1897">
        <v>0</v>
      </c>
      <c r="O1897">
        <v>-3.285946E-2</v>
      </c>
      <c r="P1897">
        <v>0.99944759999999999</v>
      </c>
      <c r="Q1897">
        <v>3.1556290000000001E-2</v>
      </c>
      <c r="R1897">
        <v>1.043285E-2</v>
      </c>
      <c r="S1897">
        <v>3.0068359999999998</v>
      </c>
      <c r="T1897">
        <v>-0.16593720000000001</v>
      </c>
      <c r="U1897">
        <v>3.041077E-2</v>
      </c>
      <c r="V1897">
        <v>-4.3374929999999999E-2</v>
      </c>
      <c r="W1897">
        <v>3.4828119999999997E-2</v>
      </c>
      <c r="X1897">
        <v>0.99845159999999999</v>
      </c>
      <c r="Y1897">
        <v>-4.2850680000000002E-2</v>
      </c>
      <c r="Z1897">
        <v>2.9932840000000001E-3</v>
      </c>
      <c r="AA1897">
        <v>0.99907699999999999</v>
      </c>
      <c r="AB1897">
        <v>45</v>
      </c>
      <c r="AC1897">
        <v>19.095300000000002</v>
      </c>
      <c r="AD1897">
        <v>-1.10406703442599</v>
      </c>
      <c r="AE1897">
        <v>0.23259999999999001</v>
      </c>
      <c r="AF1897">
        <v>-0.85707441552428298</v>
      </c>
      <c r="AG1897">
        <v>-1.10406703442599</v>
      </c>
      <c r="AH1897">
        <v>19.013791027425601</v>
      </c>
      <c r="AI1897">
        <v>93.319878406521397</v>
      </c>
      <c r="AJ1897">
        <v>92.580943871951007</v>
      </c>
      <c r="AK1897">
        <v>19.065093490588101</v>
      </c>
      <c r="AL1897">
        <v>88.004092051562495</v>
      </c>
      <c r="AM1897">
        <v>92.487490446818498</v>
      </c>
      <c r="AN1897">
        <v>0.99999999001889905</v>
      </c>
    </row>
    <row r="1898" spans="1:40" x14ac:dyDescent="0.3">
      <c r="A1898" t="str">
        <f>"20200111153911275"</f>
        <v>20200111153911275</v>
      </c>
      <c r="B1898" t="str">
        <f>"1578728351262389"</f>
        <v>1578728351262389</v>
      </c>
      <c r="C1898" t="s">
        <v>40</v>
      </c>
      <c r="D1898">
        <v>4.9013640000000001</v>
      </c>
      <c r="E1898">
        <v>0.49887939999999997</v>
      </c>
      <c r="F1898" t="s">
        <v>59</v>
      </c>
      <c r="G1898">
        <v>-419.11630000000002</v>
      </c>
      <c r="H1898" s="1">
        <v>3.8633729999999996E-6</v>
      </c>
      <c r="I1898">
        <v>214.15260000000001</v>
      </c>
      <c r="J1898">
        <v>-438.33920000000001</v>
      </c>
      <c r="K1898">
        <v>1.1040589999999999</v>
      </c>
      <c r="L1898">
        <v>213.8854</v>
      </c>
      <c r="M1898">
        <v>0.99948700000000001</v>
      </c>
      <c r="N1898">
        <v>0</v>
      </c>
      <c r="O1898">
        <v>-3.1844039999999997E-2</v>
      </c>
      <c r="P1898">
        <v>0.99945130000000004</v>
      </c>
      <c r="Q1898">
        <v>3.1208340000000001E-2</v>
      </c>
      <c r="R1898">
        <v>1.11128999999999E-2</v>
      </c>
      <c r="S1898">
        <v>3.0065919999999999</v>
      </c>
      <c r="T1898">
        <v>-0.16883299999999901</v>
      </c>
      <c r="U1898">
        <v>3.8742070000000003E-2</v>
      </c>
      <c r="V1898">
        <v>-4.3038819999999998E-2</v>
      </c>
      <c r="W1898">
        <v>3.4499299999999997E-2</v>
      </c>
      <c r="X1898">
        <v>0.99847759999999997</v>
      </c>
      <c r="Y1898">
        <v>-4.4599279999999998E-2</v>
      </c>
      <c r="Z1898">
        <v>3.037756E-3</v>
      </c>
      <c r="AA1898">
        <v>0.99900029999999995</v>
      </c>
      <c r="AB1898">
        <v>45</v>
      </c>
      <c r="AC1898">
        <v>19.2228999999999</v>
      </c>
      <c r="AD1898">
        <v>-1.1040551366269999</v>
      </c>
      <c r="AE1898">
        <v>0.26720000000000199</v>
      </c>
      <c r="AF1898">
        <v>-0.87631272330430299</v>
      </c>
      <c r="AG1898">
        <v>-1.1040551366269999</v>
      </c>
      <c r="AH1898">
        <v>19.141512175866701</v>
      </c>
      <c r="AI1898">
        <v>93.297635156438204</v>
      </c>
      <c r="AJ1898">
        <v>92.621213353252003</v>
      </c>
      <c r="AK1898">
        <v>19.193341296204601</v>
      </c>
      <c r="AL1898">
        <v>88.022943457592703</v>
      </c>
      <c r="AM1898">
        <v>92.468174756037797</v>
      </c>
      <c r="AN1898">
        <v>1.0000000297146201</v>
      </c>
    </row>
    <row r="1899" spans="1:40" x14ac:dyDescent="0.3">
      <c r="A1899" t="str">
        <f>"20200111153911298"</f>
        <v>20200111153911298</v>
      </c>
      <c r="B1899" t="str">
        <f>"1578728351292645"</f>
        <v>1578728351292645</v>
      </c>
      <c r="C1899" t="s">
        <v>40</v>
      </c>
      <c r="D1899">
        <v>5.0911169999999997</v>
      </c>
      <c r="E1899">
        <v>0.49884420000000002</v>
      </c>
      <c r="F1899" t="s">
        <v>59</v>
      </c>
      <c r="G1899">
        <v>-418.81220000000002</v>
      </c>
      <c r="H1899" s="1">
        <v>3.809671E-6</v>
      </c>
      <c r="I1899">
        <v>214.1497</v>
      </c>
      <c r="J1899">
        <v>-437.86309999999997</v>
      </c>
      <c r="K1899">
        <v>1.1040399999999999</v>
      </c>
      <c r="L1899">
        <v>213.8708</v>
      </c>
      <c r="M1899">
        <v>0.99952070000000004</v>
      </c>
      <c r="N1899">
        <v>0</v>
      </c>
      <c r="O1899">
        <v>-3.0769729999999999E-2</v>
      </c>
      <c r="P1899">
        <v>0.99945519999999999</v>
      </c>
      <c r="Q1899">
        <v>3.1009249999999999E-2</v>
      </c>
      <c r="R1899">
        <v>1.131135E-2</v>
      </c>
      <c r="S1899">
        <v>3.0065</v>
      </c>
      <c r="T1899">
        <v>-0.16998679999999999</v>
      </c>
      <c r="U1899">
        <v>4.0695189999999999E-2</v>
      </c>
      <c r="V1899">
        <v>-4.2162539999999998E-2</v>
      </c>
      <c r="W1899">
        <v>3.4322510000000001E-2</v>
      </c>
      <c r="X1899">
        <v>0.99852099999999999</v>
      </c>
      <c r="Y1899">
        <v>-4.4175499999999999E-2</v>
      </c>
      <c r="Z1899">
        <v>2.9859219999999998E-3</v>
      </c>
      <c r="AA1899">
        <v>0.99901930000000005</v>
      </c>
      <c r="AB1899">
        <v>45</v>
      </c>
      <c r="AC1899">
        <v>19.050899999999899</v>
      </c>
      <c r="AD1899">
        <v>-1.1040361903289999</v>
      </c>
      <c r="AE1899">
        <v>0.27889999999999299</v>
      </c>
      <c r="AF1899">
        <v>-0.86206781713815095</v>
      </c>
      <c r="AG1899">
        <v>-1.1040361903289999</v>
      </c>
      <c r="AH1899">
        <v>18.969603227803599</v>
      </c>
      <c r="AI1899">
        <v>93.327446401690693</v>
      </c>
      <c r="AJ1899">
        <v>92.601998928780503</v>
      </c>
      <c r="AK1899">
        <v>19.0212487353275</v>
      </c>
      <c r="AL1899">
        <v>88.033078625640798</v>
      </c>
      <c r="AM1899">
        <v>92.417877458438795</v>
      </c>
      <c r="AN1899">
        <v>0.99999995095647398</v>
      </c>
    </row>
    <row r="1900" spans="1:40" x14ac:dyDescent="0.3">
      <c r="A1900" t="str">
        <f>"20200111153911318"</f>
        <v>20200111153911318</v>
      </c>
      <c r="B1900" t="str">
        <f>"1578728351313141"</f>
        <v>1578728351313141</v>
      </c>
      <c r="C1900" t="s">
        <v>40</v>
      </c>
      <c r="D1900">
        <v>5.0493949999999996</v>
      </c>
      <c r="E1900">
        <v>0.5332498</v>
      </c>
      <c r="F1900" t="s">
        <v>59</v>
      </c>
      <c r="G1900">
        <v>-418.60759999999999</v>
      </c>
      <c r="H1900" s="1">
        <v>3.7745960000000001E-6</v>
      </c>
      <c r="I1900">
        <v>214.13589999999999</v>
      </c>
      <c r="J1900">
        <v>-437.43</v>
      </c>
      <c r="K1900">
        <v>1.1040219999999901</v>
      </c>
      <c r="L1900">
        <v>213.858</v>
      </c>
      <c r="M1900">
        <v>0.99954940000000003</v>
      </c>
      <c r="N1900">
        <v>0</v>
      </c>
      <c r="O1900">
        <v>-2.98181E-2</v>
      </c>
      <c r="P1900">
        <v>0.99947629999999998</v>
      </c>
      <c r="Q1900">
        <v>3.0475240000000001E-2</v>
      </c>
      <c r="R1900">
        <v>1.0888119999999999E-2</v>
      </c>
      <c r="S1900">
        <v>3.006561</v>
      </c>
      <c r="T1900">
        <v>-0.1723847</v>
      </c>
      <c r="U1900">
        <v>4.1381840000000003E-2</v>
      </c>
      <c r="V1900">
        <v>-4.0786709999999997E-2</v>
      </c>
      <c r="W1900">
        <v>3.3812099999999998E-2</v>
      </c>
      <c r="X1900">
        <v>0.99859560000000003</v>
      </c>
      <c r="Y1900">
        <v>-4.345156E-2</v>
      </c>
      <c r="Z1900">
        <v>2.9526719999999999E-3</v>
      </c>
      <c r="AA1900">
        <v>0.99905120000000003</v>
      </c>
      <c r="AB1900">
        <v>45</v>
      </c>
      <c r="AC1900">
        <v>18.822399999999998</v>
      </c>
      <c r="AD1900">
        <v>-1.1040182254040001</v>
      </c>
      <c r="AE1900">
        <v>0.27789999999998799</v>
      </c>
      <c r="AF1900">
        <v>-0.83615193917293296</v>
      </c>
      <c r="AG1900">
        <v>-1.1040182254040001</v>
      </c>
      <c r="AH1900">
        <v>18.7412813680852</v>
      </c>
      <c r="AI1900">
        <v>93.367961896267502</v>
      </c>
      <c r="AJ1900">
        <v>92.554586661772007</v>
      </c>
      <c r="AK1900">
        <v>18.792382329687399</v>
      </c>
      <c r="AL1900">
        <v>88.062340032870296</v>
      </c>
      <c r="AM1900">
        <v>92.338892878111295</v>
      </c>
      <c r="AN1900">
        <v>0.99999999307919696</v>
      </c>
    </row>
    <row r="1901" spans="1:40" x14ac:dyDescent="0.3">
      <c r="A1901" t="str">
        <f>"20200111153911341"</f>
        <v>20200111153911341</v>
      </c>
      <c r="B1901" t="str">
        <f>"1578728351332661"</f>
        <v>1578728351332661</v>
      </c>
      <c r="C1901" t="s">
        <v>40</v>
      </c>
      <c r="D1901">
        <v>5.0826510000000003</v>
      </c>
      <c r="E1901">
        <v>0.54669860000000003</v>
      </c>
      <c r="F1901" t="s">
        <v>41</v>
      </c>
      <c r="G1901">
        <v>-436.39769999999999</v>
      </c>
      <c r="H1901">
        <v>1.032052</v>
      </c>
      <c r="I1901">
        <v>213.77680000000001</v>
      </c>
      <c r="J1901">
        <v>-436.98349999999999</v>
      </c>
      <c r="K1901">
        <v>1.1040049999999999</v>
      </c>
      <c r="L1901">
        <v>213.8451</v>
      </c>
      <c r="M1901">
        <v>0.99957750000000001</v>
      </c>
      <c r="N1901">
        <v>0</v>
      </c>
      <c r="O1901">
        <v>-2.8861810000000002E-2</v>
      </c>
      <c r="P1901">
        <v>0.9994845</v>
      </c>
      <c r="Q1901">
        <v>3.0216900000000001E-2</v>
      </c>
      <c r="R1901">
        <v>1.087291E-2</v>
      </c>
      <c r="S1901">
        <v>3.010529</v>
      </c>
      <c r="T1901">
        <v>-0.21022070000000001</v>
      </c>
      <c r="U1901">
        <v>-0.2346039</v>
      </c>
      <c r="V1901">
        <v>-3.9814670000000003E-2</v>
      </c>
      <c r="W1901">
        <v>3.3576199999999903E-2</v>
      </c>
      <c r="X1901">
        <v>0.99864280000000005</v>
      </c>
      <c r="Y1901">
        <v>4.8836820000000003E-2</v>
      </c>
      <c r="Z1901">
        <v>3.0867010000000002E-4</v>
      </c>
      <c r="AA1901">
        <v>0.99880670000000005</v>
      </c>
      <c r="AB1901">
        <v>46</v>
      </c>
      <c r="AC1901">
        <v>0.58580000000000598</v>
      </c>
      <c r="AD1901">
        <v>-7.1952999999999906E-2</v>
      </c>
      <c r="AE1901">
        <v>-6.8299999999993505E-2</v>
      </c>
      <c r="AF1901">
        <v>5.0610879328074197E-2</v>
      </c>
      <c r="AG1901">
        <v>-7.1952999999999906E-2</v>
      </c>
      <c r="AH1901">
        <v>0.57891042344752597</v>
      </c>
      <c r="AI1901">
        <v>97.058331428506705</v>
      </c>
      <c r="AJ1901">
        <v>85.0036557591948</v>
      </c>
      <c r="AK1901">
        <v>0.58555612343442798</v>
      </c>
      <c r="AL1901">
        <v>88.075863810340806</v>
      </c>
      <c r="AM1901">
        <v>92.283103656046805</v>
      </c>
      <c r="AN1901">
        <v>1.00000000557274</v>
      </c>
    </row>
    <row r="1902" spans="1:40" x14ac:dyDescent="0.3">
      <c r="A1902" t="str">
        <f>"20200111153911364"</f>
        <v>20200111153911364</v>
      </c>
      <c r="B1902" t="str">
        <f>"1578728351352919"</f>
        <v>1578728351352919</v>
      </c>
      <c r="C1902" t="s">
        <v>40</v>
      </c>
      <c r="D1902">
        <v>5.1213480000000002</v>
      </c>
      <c r="E1902">
        <v>0.55141790000000002</v>
      </c>
      <c r="F1902" t="s">
        <v>41</v>
      </c>
      <c r="G1902">
        <v>-435.9898</v>
      </c>
      <c r="H1902">
        <v>1.030106</v>
      </c>
      <c r="I1902">
        <v>213.73220000000001</v>
      </c>
      <c r="J1902">
        <v>-436.51900000000001</v>
      </c>
      <c r="K1902">
        <v>1.103988</v>
      </c>
      <c r="L1902">
        <v>213.8322</v>
      </c>
      <c r="M1902">
        <v>0.99960490000000002</v>
      </c>
      <c r="N1902">
        <v>0</v>
      </c>
      <c r="O1902">
        <v>-2.789146E-2</v>
      </c>
      <c r="P1902">
        <v>0.99949310000000002</v>
      </c>
      <c r="Q1902">
        <v>2.9970610000000002E-2</v>
      </c>
      <c r="R1902">
        <v>1.074434E-2</v>
      </c>
      <c r="S1902">
        <v>3.0120849999999999</v>
      </c>
      <c r="T1902">
        <v>-0.22410930000000001</v>
      </c>
      <c r="U1902">
        <v>-0.34202579999999999</v>
      </c>
      <c r="V1902">
        <v>-3.8714930000000002E-2</v>
      </c>
      <c r="W1902">
        <v>3.3354599999999998E-2</v>
      </c>
      <c r="X1902">
        <v>0.99869350000000001</v>
      </c>
      <c r="Y1902">
        <v>8.4913210000000003E-2</v>
      </c>
      <c r="Z1902">
        <v>-1.0797510000000001E-3</v>
      </c>
      <c r="AA1902">
        <v>0.99638780000000005</v>
      </c>
      <c r="AB1902">
        <v>46</v>
      </c>
      <c r="AC1902">
        <v>0.529200000000003</v>
      </c>
      <c r="AD1902">
        <v>-7.3882000000000003E-2</v>
      </c>
      <c r="AE1902">
        <v>-9.9999999999994302E-2</v>
      </c>
      <c r="AF1902">
        <v>8.3627053543498503E-2</v>
      </c>
      <c r="AG1902">
        <v>-7.3882000000000003E-2</v>
      </c>
      <c r="AH1902">
        <v>0.52196041733559195</v>
      </c>
      <c r="AI1902">
        <v>97.9563845990766</v>
      </c>
      <c r="AJ1902">
        <v>80.897587662034496</v>
      </c>
      <c r="AK1902">
        <v>0.533755291564882</v>
      </c>
      <c r="AL1902">
        <v>88.088567738591607</v>
      </c>
      <c r="AM1902">
        <v>92.219992364805805</v>
      </c>
      <c r="AN1902">
        <v>1.0000000410441501</v>
      </c>
    </row>
    <row r="1903" spans="1:40" x14ac:dyDescent="0.3">
      <c r="A1903" t="str">
        <f>"20200111153911386"</f>
        <v>20200111153911386</v>
      </c>
      <c r="B1903" t="str">
        <f>"1578728351372439"</f>
        <v>1578728351372439</v>
      </c>
      <c r="C1903" t="s">
        <v>40</v>
      </c>
      <c r="D1903">
        <v>5.0987580000000001</v>
      </c>
      <c r="E1903">
        <v>0.55294750000000004</v>
      </c>
      <c r="F1903" t="s">
        <v>41</v>
      </c>
      <c r="G1903">
        <v>-435.57850000000002</v>
      </c>
      <c r="H1903">
        <v>1.0307459999999999</v>
      </c>
      <c r="I1903">
        <v>213.71299999999999</v>
      </c>
      <c r="J1903">
        <v>-436.06040000000002</v>
      </c>
      <c r="K1903">
        <v>1.1039699999999999</v>
      </c>
      <c r="L1903">
        <v>213.81989999999999</v>
      </c>
      <c r="M1903">
        <v>0.99963060000000004</v>
      </c>
      <c r="N1903">
        <v>0</v>
      </c>
      <c r="O1903">
        <v>-2.695413E-2</v>
      </c>
      <c r="P1903">
        <v>0.9994767</v>
      </c>
      <c r="Q1903">
        <v>3.0252339999999999E-2</v>
      </c>
      <c r="R1903">
        <v>1.144704E-2</v>
      </c>
      <c r="S1903">
        <v>3.0126650000000001</v>
      </c>
      <c r="T1903">
        <v>-0.23481840000000001</v>
      </c>
      <c r="U1903">
        <v>-0.38035580000000002</v>
      </c>
      <c r="V1903">
        <v>-3.8480239999999999E-2</v>
      </c>
      <c r="W1903">
        <v>3.3658649999999998E-2</v>
      </c>
      <c r="X1903">
        <v>0.99869229999999998</v>
      </c>
      <c r="Y1903">
        <v>9.8257750000000005E-2</v>
      </c>
      <c r="Z1903">
        <v>-1.720035E-3</v>
      </c>
      <c r="AA1903">
        <v>0.99515949999999997</v>
      </c>
      <c r="AB1903">
        <v>46</v>
      </c>
      <c r="AC1903">
        <v>0.481899999999996</v>
      </c>
      <c r="AD1903">
        <v>-7.3224000000000095E-2</v>
      </c>
      <c r="AE1903">
        <v>-0.106899999999996</v>
      </c>
      <c r="AF1903">
        <v>9.1850666079875104E-2</v>
      </c>
      <c r="AG1903">
        <v>-7.3224000000000095E-2</v>
      </c>
      <c r="AH1903">
        <v>0.47417193480601599</v>
      </c>
      <c r="AI1903">
        <v>98.620784078695607</v>
      </c>
      <c r="AJ1903">
        <v>79.037149600223501</v>
      </c>
      <c r="AK1903">
        <v>0.48850519218632399</v>
      </c>
      <c r="AL1903">
        <v>88.071137036588794</v>
      </c>
      <c r="AM1903">
        <v>92.206550757256196</v>
      </c>
      <c r="AN1903">
        <v>0.99999997183478395</v>
      </c>
    </row>
    <row r="1904" spans="1:40" x14ac:dyDescent="0.3">
      <c r="A1904" t="str">
        <f>"20200111153911408"</f>
        <v>20200111153911408</v>
      </c>
      <c r="B1904" t="str">
        <f>"1578728351402695"</f>
        <v>1578728351402695</v>
      </c>
      <c r="C1904" t="s">
        <v>40</v>
      </c>
      <c r="D1904">
        <v>5.2014930000000001</v>
      </c>
      <c r="E1904">
        <v>0.55544850000000001</v>
      </c>
      <c r="F1904" t="s">
        <v>41</v>
      </c>
      <c r="G1904">
        <v>-435.1651</v>
      </c>
      <c r="H1904">
        <v>1.032454</v>
      </c>
      <c r="I1904">
        <v>213.7037</v>
      </c>
      <c r="J1904">
        <v>-435.59629999999999</v>
      </c>
      <c r="K1904">
        <v>1.103947</v>
      </c>
      <c r="L1904">
        <v>213.80779999999999</v>
      </c>
      <c r="M1904">
        <v>0.99965510000000002</v>
      </c>
      <c r="N1904">
        <v>0</v>
      </c>
      <c r="O1904">
        <v>-2.602312E-2</v>
      </c>
      <c r="P1904">
        <v>0.99946630000000003</v>
      </c>
      <c r="Q1904">
        <v>3.0141330000000001E-2</v>
      </c>
      <c r="R1904">
        <v>1.2594889999999999E-2</v>
      </c>
      <c r="S1904">
        <v>3.0133359999999998</v>
      </c>
      <c r="T1904">
        <v>-0.240837</v>
      </c>
      <c r="U1904">
        <v>-0.39050289999999999</v>
      </c>
      <c r="V1904">
        <v>-3.8695609999999998E-2</v>
      </c>
      <c r="W1904">
        <v>3.3568580000000001E-2</v>
      </c>
      <c r="X1904">
        <v>0.99868699999999999</v>
      </c>
      <c r="Y1904">
        <v>0.1024265</v>
      </c>
      <c r="Z1904">
        <v>-2.0027809999999999E-3</v>
      </c>
      <c r="AA1904">
        <v>0.99473860000000003</v>
      </c>
      <c r="AB1904">
        <v>46</v>
      </c>
      <c r="AC1904">
        <v>0.43119999999998898</v>
      </c>
      <c r="AD1904">
        <v>-7.1493000000000001E-2</v>
      </c>
      <c r="AE1904">
        <v>-0.10409999999998799</v>
      </c>
      <c r="AF1904">
        <v>9.0492887853957205E-2</v>
      </c>
      <c r="AG1904">
        <v>-7.1493000000000001E-2</v>
      </c>
      <c r="AH1904">
        <v>0.422780952306963</v>
      </c>
      <c r="AI1904">
        <v>99.389260366874595</v>
      </c>
      <c r="AJ1904">
        <v>77.918593403689002</v>
      </c>
      <c r="AK1904">
        <v>0.438228188772392</v>
      </c>
      <c r="AL1904">
        <v>88.076300566352003</v>
      </c>
      <c r="AM1904">
        <v>92.218900051847001</v>
      </c>
      <c r="AN1904">
        <v>0.99999996188274298</v>
      </c>
    </row>
    <row r="1905" spans="1:40" x14ac:dyDescent="0.3">
      <c r="A1905" t="str">
        <f>"20200111153911431"</f>
        <v>20200111153911431</v>
      </c>
      <c r="B1905" t="str">
        <f>"1578728351423192"</f>
        <v>1578728351423192</v>
      </c>
      <c r="C1905" t="s">
        <v>40</v>
      </c>
      <c r="D1905">
        <v>5.1541459999999999</v>
      </c>
      <c r="E1905">
        <v>0.55654380000000003</v>
      </c>
      <c r="F1905" t="s">
        <v>41</v>
      </c>
      <c r="G1905">
        <v>-434.75</v>
      </c>
      <c r="H1905">
        <v>1.0353399999999999</v>
      </c>
      <c r="I1905">
        <v>213.69329999999999</v>
      </c>
      <c r="J1905">
        <v>-435.11399999999998</v>
      </c>
      <c r="K1905">
        <v>1.1039319999999999</v>
      </c>
      <c r="L1905">
        <v>213.79580000000001</v>
      </c>
      <c r="M1905">
        <v>0.9996794</v>
      </c>
      <c r="N1905">
        <v>0</v>
      </c>
      <c r="O1905">
        <v>-2.5069939999999999E-2</v>
      </c>
      <c r="P1905">
        <v>0.99946020000000002</v>
      </c>
      <c r="Q1905">
        <v>2.9739189999999999E-2</v>
      </c>
      <c r="R1905">
        <v>1.3964819999999999E-2</v>
      </c>
      <c r="S1905">
        <v>3.01416</v>
      </c>
      <c r="T1905">
        <v>-0.2445455</v>
      </c>
      <c r="U1905">
        <v>-0.40684510000000002</v>
      </c>
      <c r="V1905">
        <v>-3.9110880000000001E-2</v>
      </c>
      <c r="W1905">
        <v>3.3188280000000001E-2</v>
      </c>
      <c r="X1905">
        <v>0.9986836</v>
      </c>
      <c r="Y1905">
        <v>0.1086087</v>
      </c>
      <c r="Z1905">
        <v>-2.3583219999999999E-3</v>
      </c>
      <c r="AA1905">
        <v>0.99408180000000002</v>
      </c>
      <c r="AB1905">
        <v>46</v>
      </c>
      <c r="AC1905">
        <v>0.36400000000003202</v>
      </c>
      <c r="AD1905">
        <v>-6.8591999999999903E-2</v>
      </c>
      <c r="AE1905">
        <v>-0.10250000000002001</v>
      </c>
      <c r="AF1905">
        <v>9.03690698921924E-2</v>
      </c>
      <c r="AG1905">
        <v>-6.8591999999999903E-2</v>
      </c>
      <c r="AH1905">
        <v>0.35478270776964199</v>
      </c>
      <c r="AI1905">
        <v>100.61151663531101</v>
      </c>
      <c r="AJ1905">
        <v>75.709691659285696</v>
      </c>
      <c r="AK1905">
        <v>0.37248114179047898</v>
      </c>
      <c r="AL1905">
        <v>88.098102426096602</v>
      </c>
      <c r="AM1905">
        <v>92.242696081244802</v>
      </c>
      <c r="AN1905">
        <v>1.0000000278863399</v>
      </c>
    </row>
    <row r="1906" spans="1:40" x14ac:dyDescent="0.3">
      <c r="A1906" t="str">
        <f>"20200111153911455"</f>
        <v>20200111153911455</v>
      </c>
      <c r="B1906" t="str">
        <f>"1578728351442712"</f>
        <v>1578728351442712</v>
      </c>
      <c r="C1906" t="s">
        <v>40</v>
      </c>
      <c r="D1906">
        <v>5.1972319999999996</v>
      </c>
      <c r="E1906">
        <v>0.55749989999999905</v>
      </c>
      <c r="F1906" t="s">
        <v>41</v>
      </c>
      <c r="G1906">
        <v>-434.33260000000001</v>
      </c>
      <c r="H1906">
        <v>1.039847</v>
      </c>
      <c r="I1906">
        <v>213.68879999999999</v>
      </c>
      <c r="J1906">
        <v>-434.6388</v>
      </c>
      <c r="K1906">
        <v>1.103918</v>
      </c>
      <c r="L1906">
        <v>213.7843</v>
      </c>
      <c r="M1906">
        <v>0.99970230000000004</v>
      </c>
      <c r="N1906">
        <v>0</v>
      </c>
      <c r="O1906">
        <v>-2.4140600000000002E-2</v>
      </c>
      <c r="P1906">
        <v>0.99945589999999995</v>
      </c>
      <c r="Q1906">
        <v>2.9272630000000001E-2</v>
      </c>
      <c r="R1906">
        <v>1.5213020000000001E-2</v>
      </c>
      <c r="S1906">
        <v>3.0147400000000002</v>
      </c>
      <c r="T1906">
        <v>-0.247526</v>
      </c>
      <c r="U1906">
        <v>-0.41125489999999998</v>
      </c>
      <c r="V1906">
        <v>-3.942814E-2</v>
      </c>
      <c r="W1906">
        <v>3.2743149999999999E-2</v>
      </c>
      <c r="X1906">
        <v>0.99868579999999996</v>
      </c>
      <c r="Y1906">
        <v>0.1109178</v>
      </c>
      <c r="Z1906">
        <v>-2.5562419999999998E-3</v>
      </c>
      <c r="AA1906">
        <v>0.99382630000000005</v>
      </c>
      <c r="AB1906">
        <v>46</v>
      </c>
      <c r="AC1906">
        <v>0.30619999999998898</v>
      </c>
      <c r="AD1906">
        <v>-6.4070999999999906E-2</v>
      </c>
      <c r="AE1906">
        <v>-9.5500000000015406E-2</v>
      </c>
      <c r="AF1906">
        <v>8.4700527198166994E-2</v>
      </c>
      <c r="AG1906">
        <v>-6.4070999999999906E-2</v>
      </c>
      <c r="AH1906">
        <v>0.296581914775497</v>
      </c>
      <c r="AI1906">
        <v>101.734946737911</v>
      </c>
      <c r="AJ1906">
        <v>74.061241839290403</v>
      </c>
      <c r="AK1906">
        <v>0.31502397451709602</v>
      </c>
      <c r="AL1906">
        <v>88.123620331053701</v>
      </c>
      <c r="AM1906">
        <v>92.260864626208104</v>
      </c>
      <c r="AN1906">
        <v>1.00000000960871</v>
      </c>
    </row>
    <row r="1907" spans="1:40" x14ac:dyDescent="0.3">
      <c r="A1907" t="str">
        <f>"20200111153911520"</f>
        <v>20200111153911520</v>
      </c>
      <c r="B1907" t="str">
        <f>"1578728351512983"</f>
        <v>1578728351512983</v>
      </c>
      <c r="C1907" t="s">
        <v>40</v>
      </c>
      <c r="D1907">
        <v>5.1175680000000003</v>
      </c>
      <c r="E1907">
        <v>0.49712319999999999</v>
      </c>
      <c r="F1907" t="s">
        <v>41</v>
      </c>
      <c r="G1907">
        <v>-432.66829999999999</v>
      </c>
      <c r="H1907">
        <v>1.020767</v>
      </c>
      <c r="I1907">
        <v>213.62119999999999</v>
      </c>
      <c r="J1907">
        <v>-433.25470000000001</v>
      </c>
      <c r="K1907">
        <v>1.103899</v>
      </c>
      <c r="L1907">
        <v>213.7534</v>
      </c>
      <c r="M1907">
        <v>0.99976299999999996</v>
      </c>
      <c r="N1907">
        <v>0</v>
      </c>
      <c r="O1907">
        <v>-2.1465229999999998E-2</v>
      </c>
      <c r="P1907">
        <v>0.99938700000000003</v>
      </c>
      <c r="Q1907">
        <v>3.0113129999999998E-2</v>
      </c>
      <c r="R1907">
        <v>1.7864479999999999E-2</v>
      </c>
      <c r="S1907">
        <v>3.0162960000000001</v>
      </c>
      <c r="T1907">
        <v>-0.24595520000000001</v>
      </c>
      <c r="U1907">
        <v>-0.41715999999999998</v>
      </c>
      <c r="V1907">
        <v>-3.9406469999999999E-2</v>
      </c>
      <c r="W1907">
        <v>3.3650079999999999E-2</v>
      </c>
      <c r="X1907">
        <v>0.99865649999999995</v>
      </c>
      <c r="Y1907">
        <v>0.11539779999999999</v>
      </c>
      <c r="Z1907">
        <v>-2.9365039999999999E-3</v>
      </c>
      <c r="AA1907">
        <v>0.99331499999999995</v>
      </c>
      <c r="AB1907">
        <v>47</v>
      </c>
      <c r="AC1907">
        <v>0.58640000000002601</v>
      </c>
      <c r="AD1907">
        <v>-8.31319999999999E-2</v>
      </c>
      <c r="AE1907">
        <v>-0.132200000000011</v>
      </c>
      <c r="AF1907">
        <v>0.117338068809328</v>
      </c>
      <c r="AG1907">
        <v>-8.31319999999999E-2</v>
      </c>
      <c r="AH1907">
        <v>0.57804703363968202</v>
      </c>
      <c r="AI1907">
        <v>98.022474233836803</v>
      </c>
      <c r="AJ1907">
        <v>78.525408578394504</v>
      </c>
      <c r="AK1907">
        <v>0.59566561501864301</v>
      </c>
      <c r="AL1907">
        <v>88.071628396730901</v>
      </c>
      <c r="AM1907">
        <v>92.259689553833397</v>
      </c>
      <c r="AN1907">
        <v>1.00000000137705</v>
      </c>
    </row>
    <row r="1908" spans="1:40" x14ac:dyDescent="0.3">
      <c r="A1908" t="str">
        <f>"20200111153911543"</f>
        <v>20200111153911543</v>
      </c>
      <c r="B1908" t="str">
        <f>"1578728351532503"</f>
        <v>1578728351532503</v>
      </c>
      <c r="C1908" t="s">
        <v>40</v>
      </c>
      <c r="D1908">
        <v>5.2106760000000003</v>
      </c>
      <c r="E1908">
        <v>0.490589</v>
      </c>
      <c r="F1908" t="s">
        <v>41</v>
      </c>
      <c r="G1908">
        <v>-432.24700000000001</v>
      </c>
      <c r="H1908">
        <v>1.0093129999999999</v>
      </c>
      <c r="I1908">
        <v>213.77780000000001</v>
      </c>
      <c r="J1908">
        <v>-432.78539999999998</v>
      </c>
      <c r="K1908">
        <v>1.1038939999999999</v>
      </c>
      <c r="L1908">
        <v>213.74379999999999</v>
      </c>
      <c r="M1908">
        <v>0.99978180000000005</v>
      </c>
      <c r="N1908">
        <v>0</v>
      </c>
      <c r="O1908">
        <v>-2.056318E-2</v>
      </c>
      <c r="P1908">
        <v>0.9993668</v>
      </c>
      <c r="Q1908">
        <v>3.053353E-2</v>
      </c>
      <c r="R1908">
        <v>1.8269609999999999E-2</v>
      </c>
      <c r="S1908">
        <v>3.0090029999999999</v>
      </c>
      <c r="T1908">
        <v>-0.28264810000000001</v>
      </c>
      <c r="U1908">
        <v>7.3806759999999999E-2</v>
      </c>
      <c r="V1908">
        <v>-3.891112E-2</v>
      </c>
      <c r="W1908">
        <v>3.4094230000000003E-2</v>
      </c>
      <c r="X1908">
        <v>0.99866089999999996</v>
      </c>
      <c r="Y1908">
        <v>-4.4785699999999998E-2</v>
      </c>
      <c r="Z1908">
        <v>4.0256069999999996E-3</v>
      </c>
      <c r="AA1908">
        <v>0.99898849999999995</v>
      </c>
      <c r="AB1908">
        <v>47</v>
      </c>
      <c r="AC1908">
        <v>0.53840000000002397</v>
      </c>
      <c r="AD1908">
        <v>-9.4581000000000207E-2</v>
      </c>
      <c r="AE1908">
        <v>3.4000000000020202E-2</v>
      </c>
      <c r="AF1908">
        <v>-4.3720248477259402E-2</v>
      </c>
      <c r="AG1908">
        <v>-9.4581000000000207E-2</v>
      </c>
      <c r="AH1908">
        <v>0.52155566212203797</v>
      </c>
      <c r="AI1908">
        <v>100.24338405588</v>
      </c>
      <c r="AJ1908">
        <v>94.791708887443605</v>
      </c>
      <c r="AK1908">
        <v>0.53186213850909803</v>
      </c>
      <c r="AL1908">
        <v>88.046165945367406</v>
      </c>
      <c r="AM1908">
        <v>92.231303716482799</v>
      </c>
      <c r="AN1908">
        <v>1.00000004248387</v>
      </c>
    </row>
    <row r="1909" spans="1:40" x14ac:dyDescent="0.3">
      <c r="A1909" t="str">
        <f>"20200111153911564"</f>
        <v>20200111153911564</v>
      </c>
      <c r="B1909" t="str">
        <f>"1578728351552531"</f>
        <v>1578728351552531</v>
      </c>
      <c r="C1909" t="s">
        <v>40</v>
      </c>
      <c r="D1909">
        <v>5.133464</v>
      </c>
      <c r="E1909">
        <v>0.48977549999999997</v>
      </c>
      <c r="F1909" t="s">
        <v>59</v>
      </c>
      <c r="G1909">
        <v>-419.58960000000002</v>
      </c>
      <c r="H1909" s="1">
        <v>3.9340799999999996E-6</v>
      </c>
      <c r="I1909">
        <v>214.30410000000001</v>
      </c>
      <c r="J1909">
        <v>-432.32389999999998</v>
      </c>
      <c r="K1909">
        <v>1.1038920000000001</v>
      </c>
      <c r="L1909">
        <v>213.7347</v>
      </c>
      <c r="M1909">
        <v>0.99979969999999996</v>
      </c>
      <c r="N1909">
        <v>0</v>
      </c>
      <c r="O1909">
        <v>-1.9678060000000001E-2</v>
      </c>
      <c r="P1909">
        <v>0.99936340000000001</v>
      </c>
      <c r="Q1909">
        <v>3.0145580000000002E-2</v>
      </c>
      <c r="R1909">
        <v>1.9082149999999999E-2</v>
      </c>
      <c r="S1909">
        <v>3.007263</v>
      </c>
      <c r="T1909">
        <v>-0.25157200000000002</v>
      </c>
      <c r="U1909">
        <v>0.1277008</v>
      </c>
      <c r="V1909">
        <v>-3.8837320000000002E-2</v>
      </c>
      <c r="W1909">
        <v>3.3728229999999998E-2</v>
      </c>
      <c r="X1909">
        <v>0.99867620000000001</v>
      </c>
      <c r="Y1909">
        <v>-6.179403E-2</v>
      </c>
      <c r="Z1909">
        <v>4.221682E-3</v>
      </c>
      <c r="AA1909">
        <v>0.99807999999999997</v>
      </c>
      <c r="AB1909">
        <v>47</v>
      </c>
      <c r="AC1909">
        <v>12.7342999999999</v>
      </c>
      <c r="AD1909">
        <v>-1.1038880659200001</v>
      </c>
      <c r="AE1909">
        <v>0.56940000000000102</v>
      </c>
      <c r="AF1909">
        <v>-0.81377482784258404</v>
      </c>
      <c r="AG1909">
        <v>-1.1038880659200001</v>
      </c>
      <c r="AH1909">
        <v>12.62594115477</v>
      </c>
      <c r="AI1909">
        <v>94.986379490568495</v>
      </c>
      <c r="AJ1909">
        <v>93.687761534242298</v>
      </c>
      <c r="AK1909">
        <v>12.7002042651379</v>
      </c>
      <c r="AL1909">
        <v>88.067148266357407</v>
      </c>
      <c r="AM1909">
        <v>92.227041939055297</v>
      </c>
      <c r="AN1909">
        <v>1.0000000416850701</v>
      </c>
    </row>
    <row r="1910" spans="1:40" x14ac:dyDescent="0.3">
      <c r="A1910" t="str">
        <f>"20200111153911587"</f>
        <v>20200111153911587</v>
      </c>
      <c r="B1910" t="str">
        <f>"1578728351582786"</f>
        <v>1578728351582786</v>
      </c>
      <c r="C1910" t="s">
        <v>40</v>
      </c>
      <c r="D1910">
        <v>5.0726639999999996</v>
      </c>
      <c r="E1910">
        <v>0.49054920000000002</v>
      </c>
      <c r="F1910" t="s">
        <v>59</v>
      </c>
      <c r="G1910">
        <v>-418.68020000000001</v>
      </c>
      <c r="H1910" s="1">
        <v>3.7683189999999999E-6</v>
      </c>
      <c r="I1910">
        <v>214.35499999999999</v>
      </c>
      <c r="J1910">
        <v>-431.84649999999999</v>
      </c>
      <c r="K1910">
        <v>1.1038870000000001</v>
      </c>
      <c r="L1910">
        <v>213.72569999999999</v>
      </c>
      <c r="M1910">
        <v>0.99981710000000001</v>
      </c>
      <c r="N1910">
        <v>0</v>
      </c>
      <c r="O1910">
        <v>-1.8763620000000002E-2</v>
      </c>
      <c r="P1910">
        <v>0.9993512</v>
      </c>
      <c r="Q1910">
        <v>3.011956E-2</v>
      </c>
      <c r="R1910">
        <v>1.9742679999999999E-2</v>
      </c>
      <c r="S1910">
        <v>3.0066830000000002</v>
      </c>
      <c r="T1910">
        <v>-0.24326500000000001</v>
      </c>
      <c r="U1910">
        <v>0.13668820000000001</v>
      </c>
      <c r="V1910">
        <v>-3.8584449999999999E-2</v>
      </c>
      <c r="W1910">
        <v>3.3726319999999997E-2</v>
      </c>
      <c r="X1910">
        <v>0.99868599999999996</v>
      </c>
      <c r="Y1910">
        <v>-6.3881399999999894E-2</v>
      </c>
      <c r="Z1910">
        <v>4.0936990000000001E-3</v>
      </c>
      <c r="AA1910">
        <v>0.99794910000000003</v>
      </c>
      <c r="AB1910">
        <v>47</v>
      </c>
      <c r="AC1910">
        <v>13.1662999999999</v>
      </c>
      <c r="AD1910">
        <v>-1.1038832316809899</v>
      </c>
      <c r="AE1910">
        <v>0.62929999999999997</v>
      </c>
      <c r="AF1910">
        <v>-0.87013575193888204</v>
      </c>
      <c r="AG1910">
        <v>-1.1038832316809899</v>
      </c>
      <c r="AH1910">
        <v>13.060575123860399</v>
      </c>
      <c r="AI1910">
        <v>94.820536094268405</v>
      </c>
      <c r="AJ1910">
        <v>93.811588591563407</v>
      </c>
      <c r="AK1910">
        <v>13.1359931859753</v>
      </c>
      <c r="AL1910">
        <v>88.067257635657597</v>
      </c>
      <c r="AM1910">
        <v>92.212534425285895</v>
      </c>
      <c r="AN1910">
        <v>0.999999975519272</v>
      </c>
    </row>
    <row r="1911" spans="1:40" x14ac:dyDescent="0.3">
      <c r="A1911" t="str">
        <f>"20200111153911610"</f>
        <v>20200111153911610</v>
      </c>
      <c r="B1911" t="str">
        <f>"1578728351602306"</f>
        <v>1578728351602306</v>
      </c>
      <c r="C1911" t="s">
        <v>40</v>
      </c>
      <c r="D1911">
        <v>5.0733920000000001</v>
      </c>
      <c r="E1911">
        <v>0.49071419999999999</v>
      </c>
      <c r="F1911" t="s">
        <v>59</v>
      </c>
      <c r="G1911">
        <v>-417.54480000000001</v>
      </c>
      <c r="H1911" s="1">
        <v>3.5666969999999998E-6</v>
      </c>
      <c r="I1911">
        <v>214.35759999999999</v>
      </c>
      <c r="J1911">
        <v>-431.36320000000001</v>
      </c>
      <c r="K1911">
        <v>1.1038749999999999</v>
      </c>
      <c r="L1911">
        <v>213.71709999999999</v>
      </c>
      <c r="M1911">
        <v>0.999834</v>
      </c>
      <c r="N1911">
        <v>0</v>
      </c>
      <c r="O1911">
        <v>-1.7839520000000001E-2</v>
      </c>
      <c r="P1911">
        <v>0.99935350000000001</v>
      </c>
      <c r="Q1911">
        <v>3.0076519999999999E-2</v>
      </c>
      <c r="R1911">
        <v>1.9707969999999998E-2</v>
      </c>
      <c r="S1911">
        <v>3.006348</v>
      </c>
      <c r="T1911">
        <v>-0.23204659999999999</v>
      </c>
      <c r="U1911">
        <v>0.132827799999999</v>
      </c>
      <c r="V1911">
        <v>-3.7626800000000002E-2</v>
      </c>
      <c r="W1911">
        <v>3.3709160000000002E-2</v>
      </c>
      <c r="X1911">
        <v>0.99872309999999997</v>
      </c>
      <c r="Y1911">
        <v>-6.1718389999999998E-2</v>
      </c>
      <c r="Z1911">
        <v>3.751524E-3</v>
      </c>
      <c r="AA1911">
        <v>0.99808660000000005</v>
      </c>
      <c r="AB1911">
        <v>47</v>
      </c>
      <c r="AC1911">
        <v>13.818399999999899</v>
      </c>
      <c r="AD1911">
        <v>-1.103871433303</v>
      </c>
      <c r="AE1911">
        <v>0.64050000000000296</v>
      </c>
      <c r="AF1911">
        <v>-0.881301434889178</v>
      </c>
      <c r="AG1911">
        <v>-1.103871433303</v>
      </c>
      <c r="AH1911">
        <v>13.7174248434638</v>
      </c>
      <c r="AI1911">
        <v>94.591378122099997</v>
      </c>
      <c r="AJ1911">
        <v>93.676021531564999</v>
      </c>
      <c r="AK1911">
        <v>13.789958980957</v>
      </c>
      <c r="AL1911">
        <v>88.068241354856596</v>
      </c>
      <c r="AM1911">
        <v>92.157592727792306</v>
      </c>
      <c r="AN1911">
        <v>0.99999995700987598</v>
      </c>
    </row>
    <row r="1912" spans="1:40" x14ac:dyDescent="0.3">
      <c r="A1912" t="str">
        <f>"20200111153911631"</f>
        <v>20200111153911631</v>
      </c>
      <c r="B1912" t="str">
        <f>"1578728351622802"</f>
        <v>1578728351622802</v>
      </c>
      <c r="C1912" t="s">
        <v>40</v>
      </c>
      <c r="D1912">
        <v>5.0805369999999996</v>
      </c>
      <c r="E1912">
        <v>0.4914018</v>
      </c>
      <c r="F1912" t="s">
        <v>59</v>
      </c>
      <c r="G1912">
        <v>-416.9205</v>
      </c>
      <c r="H1912" s="1">
        <v>3.456858E-6</v>
      </c>
      <c r="I1912">
        <v>214.34719999999999</v>
      </c>
      <c r="J1912">
        <v>-430.88979999999998</v>
      </c>
      <c r="K1912">
        <v>1.1038760000000001</v>
      </c>
      <c r="L1912">
        <v>213.709</v>
      </c>
      <c r="M1912">
        <v>0.99984960000000001</v>
      </c>
      <c r="N1912">
        <v>0</v>
      </c>
      <c r="O1912">
        <v>-1.693557E-2</v>
      </c>
      <c r="P1912">
        <v>0.99934889999999998</v>
      </c>
      <c r="Q1912">
        <v>2.9938269999999999E-2</v>
      </c>
      <c r="R1912">
        <v>2.0139230000000001E-2</v>
      </c>
      <c r="S1912">
        <v>3.0062259999999998</v>
      </c>
      <c r="T1912">
        <v>-0.2297689</v>
      </c>
      <c r="U1912">
        <v>0.13116459999999999</v>
      </c>
      <c r="V1912">
        <v>-3.7154510000000002E-2</v>
      </c>
      <c r="W1912">
        <v>3.3594789999999999E-2</v>
      </c>
      <c r="X1912">
        <v>0.99874470000000004</v>
      </c>
      <c r="Y1912">
        <v>-6.0278039999999998E-2</v>
      </c>
      <c r="Z1912">
        <v>3.5911010000000002E-3</v>
      </c>
      <c r="AA1912">
        <v>0.99817509999999998</v>
      </c>
      <c r="AB1912">
        <v>48</v>
      </c>
      <c r="AC1912">
        <v>13.969299999999899</v>
      </c>
      <c r="AD1912">
        <v>-1.103872543142</v>
      </c>
      <c r="AE1912">
        <v>0.638199999999983</v>
      </c>
      <c r="AF1912">
        <v>-0.86927143380724803</v>
      </c>
      <c r="AG1912">
        <v>-1.103872543142</v>
      </c>
      <c r="AH1912">
        <v>13.870058807260699</v>
      </c>
      <c r="AI1912">
        <v>94.541519040171707</v>
      </c>
      <c r="AJ1912">
        <v>93.586180046564394</v>
      </c>
      <c r="AK1912">
        <v>13.941043674488901</v>
      </c>
      <c r="AL1912">
        <v>88.074798111542094</v>
      </c>
      <c r="AM1912">
        <v>92.130489796239502</v>
      </c>
      <c r="AN1912">
        <v>1.0000000216532801</v>
      </c>
    </row>
    <row r="1913" spans="1:40" x14ac:dyDescent="0.3">
      <c r="A1913" t="str">
        <f>"20200111153911654"</f>
        <v>20200111153911654</v>
      </c>
      <c r="B1913" t="str">
        <f>"1578728351642321"</f>
        <v>1578728351642321</v>
      </c>
      <c r="C1913" t="s">
        <v>40</v>
      </c>
      <c r="D1913">
        <v>5.1095319999999997</v>
      </c>
      <c r="E1913">
        <v>0.49145660000000002</v>
      </c>
      <c r="F1913" t="s">
        <v>59</v>
      </c>
      <c r="G1913">
        <v>-416.21100000000001</v>
      </c>
      <c r="H1913" s="1">
        <v>3.3325459999999999E-6</v>
      </c>
      <c r="I1913">
        <v>214.3296</v>
      </c>
      <c r="J1913">
        <v>-430.41109999999998</v>
      </c>
      <c r="K1913">
        <v>1.1038709999999901</v>
      </c>
      <c r="L1913">
        <v>213.7013</v>
      </c>
      <c r="M1913">
        <v>0.99986459999999999</v>
      </c>
      <c r="N1913">
        <v>0</v>
      </c>
      <c r="O1913">
        <v>-1.602315E-2</v>
      </c>
      <c r="P1913">
        <v>0.99933499999999997</v>
      </c>
      <c r="Q1913">
        <v>3.0380150000000002E-2</v>
      </c>
      <c r="R1913">
        <v>2.01631E-2</v>
      </c>
      <c r="S1913">
        <v>3.006195</v>
      </c>
      <c r="T1913">
        <v>-0.2260711</v>
      </c>
      <c r="U1913">
        <v>0.1270905</v>
      </c>
      <c r="V1913">
        <v>-3.6267649999999999E-2</v>
      </c>
      <c r="W1913">
        <v>3.4062290000000002E-2</v>
      </c>
      <c r="X1913">
        <v>0.99876140000000002</v>
      </c>
      <c r="Y1913">
        <v>-5.8033229999999998E-2</v>
      </c>
      <c r="Z1913">
        <v>3.3808610000000002E-3</v>
      </c>
      <c r="AA1913">
        <v>0.998309</v>
      </c>
      <c r="AB1913">
        <v>48</v>
      </c>
      <c r="AC1913">
        <v>14.2000999999999</v>
      </c>
      <c r="AD1913">
        <v>-1.10386766745399</v>
      </c>
      <c r="AE1913">
        <v>0.62829999999999497</v>
      </c>
      <c r="AF1913">
        <v>-0.85062102503547599</v>
      </c>
      <c r="AG1913">
        <v>-1.10386766745399</v>
      </c>
      <c r="AH1913">
        <v>14.1031510143904</v>
      </c>
      <c r="AI1913">
        <v>94.467387715846399</v>
      </c>
      <c r="AJ1913">
        <v>93.451570835529097</v>
      </c>
      <c r="AK1913">
        <v>14.171836454397299</v>
      </c>
      <c r="AL1913">
        <v>88.047996871230396</v>
      </c>
      <c r="AM1913">
        <v>92.079646502270407</v>
      </c>
      <c r="AN1913">
        <v>0.99999995808326203</v>
      </c>
    </row>
    <row r="1914" spans="1:40" x14ac:dyDescent="0.3">
      <c r="A1914" t="str">
        <f>"20200111153911676"</f>
        <v>20200111153911676</v>
      </c>
      <c r="B1914" t="str">
        <f>"1578728351673085"</f>
        <v>1578728351673085</v>
      </c>
      <c r="C1914" t="s">
        <v>40</v>
      </c>
      <c r="D1914">
        <v>5.078576</v>
      </c>
      <c r="E1914">
        <v>0.49174210000000002</v>
      </c>
      <c r="F1914" t="s">
        <v>59</v>
      </c>
      <c r="G1914">
        <v>-415.74759999999998</v>
      </c>
      <c r="H1914" s="1">
        <v>3.251257E-6</v>
      </c>
      <c r="I1914">
        <v>214.31909999999999</v>
      </c>
      <c r="J1914">
        <v>-429.94049999999999</v>
      </c>
      <c r="K1914">
        <v>1.10388</v>
      </c>
      <c r="L1914">
        <v>213.69409999999999</v>
      </c>
      <c r="M1914">
        <v>0.9998783</v>
      </c>
      <c r="N1914">
        <v>0</v>
      </c>
      <c r="O1914">
        <v>-1.512718E-2</v>
      </c>
      <c r="P1914">
        <v>0.99929730000000005</v>
      </c>
      <c r="Q1914">
        <v>3.1388069999999997E-2</v>
      </c>
      <c r="R1914">
        <v>2.0490769999999998E-2</v>
      </c>
      <c r="S1914">
        <v>3.0062869999999999</v>
      </c>
      <c r="T1914">
        <v>-0.2263124</v>
      </c>
      <c r="U1914">
        <v>0.1266632</v>
      </c>
      <c r="V1914">
        <v>-3.5702970000000001E-2</v>
      </c>
      <c r="W1914">
        <v>3.509404E-2</v>
      </c>
      <c r="X1914">
        <v>0.99874600000000002</v>
      </c>
      <c r="Y1914">
        <v>-5.7000740000000001E-2</v>
      </c>
      <c r="Z1914">
        <v>3.2782480000000001E-3</v>
      </c>
      <c r="AA1914">
        <v>0.9983687</v>
      </c>
      <c r="AB1914">
        <v>48</v>
      </c>
      <c r="AC1914">
        <v>14.1929</v>
      </c>
      <c r="AD1914">
        <v>-1.1038767487429999</v>
      </c>
      <c r="AE1914">
        <v>0.625</v>
      </c>
      <c r="AF1914">
        <v>-0.83458976023643405</v>
      </c>
      <c r="AG1914">
        <v>-1.1038767487429999</v>
      </c>
      <c r="AH1914">
        <v>14.0967124587636</v>
      </c>
      <c r="AI1914">
        <v>94.469750659093094</v>
      </c>
      <c r="AJ1914">
        <v>93.388216751958595</v>
      </c>
      <c r="AK1914">
        <v>14.164476202435701</v>
      </c>
      <c r="AL1914">
        <v>87.988846523274802</v>
      </c>
      <c r="AM1914">
        <v>92.047326138152698</v>
      </c>
      <c r="AN1914">
        <v>0.99999993311316904</v>
      </c>
    </row>
    <row r="1915" spans="1:40" x14ac:dyDescent="0.3">
      <c r="A1915" t="str">
        <f>"20200111153911699"</f>
        <v>20200111153911699</v>
      </c>
      <c r="B1915" t="str">
        <f>"1578728351692606"</f>
        <v>1578728351692606</v>
      </c>
      <c r="C1915" t="s">
        <v>40</v>
      </c>
      <c r="D1915">
        <v>5.13889</v>
      </c>
      <c r="E1915">
        <v>0.49194860000000001</v>
      </c>
      <c r="F1915" t="s">
        <v>59</v>
      </c>
      <c r="G1915">
        <v>-414.8827</v>
      </c>
      <c r="H1915" s="1">
        <v>3.0975169999999998E-6</v>
      </c>
      <c r="I1915">
        <v>214.3228</v>
      </c>
      <c r="J1915">
        <v>-429.44650000000001</v>
      </c>
      <c r="K1915">
        <v>1.1038889999999999</v>
      </c>
      <c r="L1915">
        <v>213.68709999999999</v>
      </c>
      <c r="M1915">
        <v>0.999892</v>
      </c>
      <c r="N1915">
        <v>0</v>
      </c>
      <c r="O1915">
        <v>-1.4188289999999999E-2</v>
      </c>
      <c r="P1915">
        <v>0.9992413</v>
      </c>
      <c r="Q1915">
        <v>3.2605750000000003E-2</v>
      </c>
      <c r="R1915">
        <v>2.130667E-2</v>
      </c>
      <c r="S1915">
        <v>3.0064700000000002</v>
      </c>
      <c r="T1915">
        <v>-0.22040190000000001</v>
      </c>
      <c r="U1915">
        <v>0.12551880000000001</v>
      </c>
      <c r="V1915">
        <v>-3.5584230000000001E-2</v>
      </c>
      <c r="W1915">
        <v>3.6335880000000001E-2</v>
      </c>
      <c r="X1915">
        <v>0.99870590000000004</v>
      </c>
      <c r="Y1915">
        <v>-5.5697829999999997E-2</v>
      </c>
      <c r="Z1915">
        <v>3.0763079999999998E-3</v>
      </c>
      <c r="AA1915">
        <v>0.99844290000000002</v>
      </c>
      <c r="AB1915">
        <v>48</v>
      </c>
      <c r="AC1915">
        <v>14.563800000000001</v>
      </c>
      <c r="AD1915">
        <v>-1.1038859024829999</v>
      </c>
      <c r="AE1915">
        <v>0.63570000000001403</v>
      </c>
      <c r="AF1915">
        <v>-0.83747072618358398</v>
      </c>
      <c r="AG1915">
        <v>-1.1038859024829999</v>
      </c>
      <c r="AH1915">
        <v>14.4703387264036</v>
      </c>
      <c r="AI1915">
        <v>94.355163320206302</v>
      </c>
      <c r="AJ1915">
        <v>93.312297834858896</v>
      </c>
      <c r="AK1915">
        <v>14.5365272386416</v>
      </c>
      <c r="AL1915">
        <v>87.917649048215694</v>
      </c>
      <c r="AM1915">
        <v>92.040604821909298</v>
      </c>
      <c r="AN1915">
        <v>1.00000000414743</v>
      </c>
    </row>
    <row r="1916" spans="1:40" x14ac:dyDescent="0.3">
      <c r="A1916" t="str">
        <f>"20200111153911722"</f>
        <v>20200111153911722</v>
      </c>
      <c r="B1916" t="str">
        <f>"1578728351713101"</f>
        <v>1578728351713101</v>
      </c>
      <c r="C1916" t="s">
        <v>40</v>
      </c>
      <c r="D1916">
        <v>5.1512520000000004</v>
      </c>
      <c r="E1916">
        <v>0.49219889999999999</v>
      </c>
      <c r="F1916" t="s">
        <v>59</v>
      </c>
      <c r="G1916">
        <v>-414.07560000000001</v>
      </c>
      <c r="H1916" s="1">
        <v>2.9534299999999999E-6</v>
      </c>
      <c r="I1916">
        <v>214.33340000000001</v>
      </c>
      <c r="J1916">
        <v>-428.93619999999999</v>
      </c>
      <c r="K1916">
        <v>1.1039030000000001</v>
      </c>
      <c r="L1916">
        <v>213.68029999999999</v>
      </c>
      <c r="M1916">
        <v>0.99990509999999999</v>
      </c>
      <c r="N1916">
        <v>0</v>
      </c>
      <c r="O1916">
        <v>-1.321961E-2</v>
      </c>
      <c r="P1916">
        <v>0.9991487</v>
      </c>
      <c r="Q1916">
        <v>3.4724909999999998E-2</v>
      </c>
      <c r="R1916">
        <v>2.226738E-2</v>
      </c>
      <c r="S1916">
        <v>3.006653</v>
      </c>
      <c r="T1916">
        <v>-0.2159278</v>
      </c>
      <c r="U1916">
        <v>0.12641910000000001</v>
      </c>
      <c r="V1916">
        <v>-3.5582330000000002E-2</v>
      </c>
      <c r="W1916">
        <v>3.8479190000000003E-2</v>
      </c>
      <c r="X1916">
        <v>0.99862569999999995</v>
      </c>
      <c r="Y1916">
        <v>-5.5038179999999999E-2</v>
      </c>
      <c r="Z1916">
        <v>2.9207220000000002E-3</v>
      </c>
      <c r="AA1916">
        <v>0.99848000000000003</v>
      </c>
      <c r="AB1916">
        <v>48</v>
      </c>
      <c r="AC1916">
        <v>14.8605999999999</v>
      </c>
      <c r="AD1916">
        <v>-1.10390004657</v>
      </c>
      <c r="AE1916">
        <v>0.653100000000023</v>
      </c>
      <c r="AF1916">
        <v>-0.844842831640366</v>
      </c>
      <c r="AG1916">
        <v>-1.10390004657</v>
      </c>
      <c r="AH1916">
        <v>14.7693266289722</v>
      </c>
      <c r="AI1916">
        <v>94.267545551744305</v>
      </c>
      <c r="AJ1916">
        <v>93.273895717364397</v>
      </c>
      <c r="AK1916">
        <v>14.834600223675</v>
      </c>
      <c r="AL1916">
        <v>87.794760431143004</v>
      </c>
      <c r="AM1916">
        <v>92.040659691509603</v>
      </c>
      <c r="AN1916">
        <v>1.00000001948588</v>
      </c>
    </row>
    <row r="1917" spans="1:40" x14ac:dyDescent="0.3">
      <c r="A1917" t="str">
        <f>"20200111153911744"</f>
        <v>20200111153911744</v>
      </c>
      <c r="B1917" t="str">
        <f>"1578728351732622"</f>
        <v>1578728351732622</v>
      </c>
      <c r="C1917" t="s">
        <v>40</v>
      </c>
      <c r="D1917">
        <v>5.1409399999999996</v>
      </c>
      <c r="E1917">
        <v>0.49230889999999999</v>
      </c>
      <c r="F1917" t="s">
        <v>59</v>
      </c>
      <c r="G1917">
        <v>-413.0136</v>
      </c>
      <c r="H1917" s="1">
        <v>2.7630850000000001E-6</v>
      </c>
      <c r="I1917">
        <v>214.35579999999999</v>
      </c>
      <c r="J1917">
        <v>-428.47179999999997</v>
      </c>
      <c r="K1917">
        <v>1.103918</v>
      </c>
      <c r="L1917">
        <v>213.67449999999999</v>
      </c>
      <c r="M1917">
        <v>0.99991629999999998</v>
      </c>
      <c r="N1917">
        <v>0</v>
      </c>
      <c r="O1917">
        <v>-1.233949E-2</v>
      </c>
      <c r="P1917">
        <v>0.99906340000000005</v>
      </c>
      <c r="Q1917">
        <v>3.6419130000000001E-2</v>
      </c>
      <c r="R1917">
        <v>2.3367260000000001E-2</v>
      </c>
      <c r="S1917">
        <v>3.006958</v>
      </c>
      <c r="T1917">
        <v>-0.2084695</v>
      </c>
      <c r="U1917">
        <v>0.12757869999999999</v>
      </c>
      <c r="V1917">
        <v>-3.5807520000000002E-2</v>
      </c>
      <c r="W1917">
        <v>4.0194479999999998E-2</v>
      </c>
      <c r="X1917">
        <v>0.9985501</v>
      </c>
      <c r="Y1917">
        <v>-5.4554659999999998E-2</v>
      </c>
      <c r="Z1917">
        <v>2.7421210000000001E-3</v>
      </c>
      <c r="AA1917">
        <v>0.99850700000000003</v>
      </c>
      <c r="AB1917">
        <v>49</v>
      </c>
      <c r="AC1917">
        <v>15.4581999999999</v>
      </c>
      <c r="AD1917">
        <v>-1.103915236915</v>
      </c>
      <c r="AE1917">
        <v>0.68129999999999302</v>
      </c>
      <c r="AF1917">
        <v>-0.86757996497590695</v>
      </c>
      <c r="AG1917">
        <v>-1.103915236915</v>
      </c>
      <c r="AH1917">
        <v>15.3703821328912</v>
      </c>
      <c r="AI1917">
        <v>94.1014767107756</v>
      </c>
      <c r="AJ1917">
        <v>93.230627550820202</v>
      </c>
      <c r="AK1917">
        <v>15.4343762671843</v>
      </c>
      <c r="AL1917">
        <v>87.696405460955205</v>
      </c>
      <c r="AM1917">
        <v>92.053718739697601</v>
      </c>
      <c r="AN1917">
        <v>1.0000000384605101</v>
      </c>
    </row>
    <row r="1918" spans="1:40" x14ac:dyDescent="0.3">
      <c r="A1918" t="str">
        <f>"20200111153911768"</f>
        <v>20200111153911768</v>
      </c>
      <c r="B1918" t="str">
        <f>"1578728351762411"</f>
        <v>1578728351762411</v>
      </c>
      <c r="C1918" t="s">
        <v>40</v>
      </c>
      <c r="D1918">
        <v>5.1773119999999997</v>
      </c>
      <c r="E1918">
        <v>0.49259360000000002</v>
      </c>
      <c r="F1918" t="s">
        <v>59</v>
      </c>
      <c r="G1918">
        <v>-412.2192</v>
      </c>
      <c r="H1918" s="1">
        <v>2.6203760000000001E-6</v>
      </c>
      <c r="I1918">
        <v>214.37649999999999</v>
      </c>
      <c r="J1918">
        <v>-427.95330000000001</v>
      </c>
      <c r="K1918">
        <v>1.1039270000000001</v>
      </c>
      <c r="L1918">
        <v>213.66849999999999</v>
      </c>
      <c r="M1918">
        <v>0.99992789999999998</v>
      </c>
      <c r="N1918">
        <v>0</v>
      </c>
      <c r="O1918">
        <v>-1.1358170000000001E-2</v>
      </c>
      <c r="P1918">
        <v>0.99900219999999995</v>
      </c>
      <c r="Q1918">
        <v>3.7822269999999998E-2</v>
      </c>
      <c r="R1918">
        <v>2.375567E-2</v>
      </c>
      <c r="S1918">
        <v>3.007263</v>
      </c>
      <c r="T1918">
        <v>-0.20426059999999999</v>
      </c>
      <c r="U1918">
        <v>0.12988279999999999</v>
      </c>
      <c r="V1918">
        <v>-3.5219319999999998E-2</v>
      </c>
      <c r="W1918">
        <v>4.1623790000000001E-2</v>
      </c>
      <c r="X1918">
        <v>0.99851239999999997</v>
      </c>
      <c r="Y1918">
        <v>-5.4343250000000003E-2</v>
      </c>
      <c r="Z1918">
        <v>2.6128530000000001E-3</v>
      </c>
      <c r="AA1918">
        <v>0.99851889999999999</v>
      </c>
      <c r="AB1918">
        <v>49</v>
      </c>
      <c r="AC1918">
        <v>15.7341</v>
      </c>
      <c r="AD1918">
        <v>-1.1039243796239999</v>
      </c>
      <c r="AE1918">
        <v>0.70799999999999796</v>
      </c>
      <c r="AF1918">
        <v>-0.88233167650821598</v>
      </c>
      <c r="AG1918">
        <v>-1.1039243796239999</v>
      </c>
      <c r="AH1918">
        <v>15.6481693189809</v>
      </c>
      <c r="AI1918">
        <v>94.0289556409017</v>
      </c>
      <c r="AJ1918">
        <v>93.227240591583197</v>
      </c>
      <c r="AK1918">
        <v>15.7118541636177</v>
      </c>
      <c r="AL1918">
        <v>87.6144432661861</v>
      </c>
      <c r="AM1918">
        <v>92.020087269033098</v>
      </c>
      <c r="AN1918">
        <v>0.99999997667449203</v>
      </c>
    </row>
    <row r="1919" spans="1:40" x14ac:dyDescent="0.3">
      <c r="A1919" t="str">
        <f>"20200111153911789"</f>
        <v>20200111153911789</v>
      </c>
      <c r="B1919" t="str">
        <f>"1578728351782905"</f>
        <v>1578728351782905</v>
      </c>
      <c r="C1919" t="s">
        <v>40</v>
      </c>
      <c r="D1919">
        <v>5.1813849999999997</v>
      </c>
      <c r="E1919">
        <v>0.4926857</v>
      </c>
      <c r="F1919" t="s">
        <v>59</v>
      </c>
      <c r="G1919">
        <v>-411.20359999999999</v>
      </c>
      <c r="H1919" s="1">
        <v>2.4393460000000001E-6</v>
      </c>
      <c r="I1919">
        <v>214.38650000000001</v>
      </c>
      <c r="J1919">
        <v>-427.48360000000002</v>
      </c>
      <c r="K1919">
        <v>1.103942</v>
      </c>
      <c r="L1919">
        <v>213.6635</v>
      </c>
      <c r="M1919">
        <v>0.99993750000000003</v>
      </c>
      <c r="N1919">
        <v>0</v>
      </c>
      <c r="O1919">
        <v>-1.0470299999999899E-2</v>
      </c>
      <c r="P1919">
        <v>0.99896479999999999</v>
      </c>
      <c r="Q1919">
        <v>3.8831450000000003E-2</v>
      </c>
      <c r="R1919">
        <v>2.3697849999999999E-2</v>
      </c>
      <c r="S1919">
        <v>3.0074459999999998</v>
      </c>
      <c r="T1919">
        <v>-0.1982121</v>
      </c>
      <c r="U1919">
        <v>0.12892149999999999</v>
      </c>
      <c r="V1919">
        <v>-3.4277929999999998E-2</v>
      </c>
      <c r="W1919">
        <v>4.2658080000000001E-2</v>
      </c>
      <c r="X1919">
        <v>0.99850150000000004</v>
      </c>
      <c r="Y1919">
        <v>-5.3148750000000002E-2</v>
      </c>
      <c r="Z1919">
        <v>2.437781E-3</v>
      </c>
      <c r="AA1919">
        <v>0.99858360000000002</v>
      </c>
      <c r="AB1919">
        <v>49</v>
      </c>
      <c r="AC1919">
        <v>16.28</v>
      </c>
      <c r="AD1919">
        <v>-1.1039395606539999</v>
      </c>
      <c r="AE1919">
        <v>0.72300000000001297</v>
      </c>
      <c r="AF1919">
        <v>-0.889336919376429</v>
      </c>
      <c r="AG1919">
        <v>-1.1039395606539999</v>
      </c>
      <c r="AH1919">
        <v>16.1972071535473</v>
      </c>
      <c r="AI1919">
        <v>93.893184839827896</v>
      </c>
      <c r="AJ1919">
        <v>93.1427725829613</v>
      </c>
      <c r="AK1919">
        <v>16.259124277914399</v>
      </c>
      <c r="AL1919">
        <v>87.555130097131894</v>
      </c>
      <c r="AM1919">
        <v>91.9661560284366</v>
      </c>
      <c r="AN1919">
        <v>0.99999996688831005</v>
      </c>
    </row>
    <row r="1920" spans="1:40" x14ac:dyDescent="0.3">
      <c r="A1920" t="str">
        <f>"20200111153911810"</f>
        <v>20200111153911810</v>
      </c>
      <c r="B1920" t="str">
        <f>"1578728351802425"</f>
        <v>1578728351802425</v>
      </c>
      <c r="C1920" t="s">
        <v>40</v>
      </c>
      <c r="D1920">
        <v>5.1114649999999999</v>
      </c>
      <c r="E1920">
        <v>0.49267250000000001</v>
      </c>
      <c r="F1920" t="s">
        <v>59</v>
      </c>
      <c r="G1920">
        <v>-410.45929999999998</v>
      </c>
      <c r="H1920" s="1">
        <v>2.3070690000000001E-6</v>
      </c>
      <c r="I1920">
        <v>214.38929999999999</v>
      </c>
      <c r="J1920">
        <v>-427.00869999999998</v>
      </c>
      <c r="K1920">
        <v>1.103969</v>
      </c>
      <c r="L1920">
        <v>213.65889999999999</v>
      </c>
      <c r="M1920">
        <v>0.99994640000000001</v>
      </c>
      <c r="N1920">
        <v>0</v>
      </c>
      <c r="O1920">
        <v>-9.5739759999999997E-3</v>
      </c>
      <c r="P1920">
        <v>0.99889589999999995</v>
      </c>
      <c r="Q1920">
        <v>4.089218E-2</v>
      </c>
      <c r="R1920">
        <v>2.3120959999999999E-2</v>
      </c>
      <c r="S1920">
        <v>3.00766</v>
      </c>
      <c r="T1920">
        <v>-0.19503190000000001</v>
      </c>
      <c r="U1920">
        <v>0.12823490000000001</v>
      </c>
      <c r="V1920">
        <v>-3.2811760000000002E-2</v>
      </c>
      <c r="W1920">
        <v>4.4746059999999997E-2</v>
      </c>
      <c r="X1920">
        <v>0.9984594</v>
      </c>
      <c r="Y1920">
        <v>-5.2031639999999997E-2</v>
      </c>
      <c r="Z1920">
        <v>2.3043870000000002E-3</v>
      </c>
      <c r="AA1920">
        <v>0.99864280000000005</v>
      </c>
      <c r="AB1920">
        <v>49</v>
      </c>
      <c r="AC1920">
        <v>16.549399999999899</v>
      </c>
      <c r="AD1920">
        <v>-1.1039666929309999</v>
      </c>
      <c r="AE1920">
        <v>0.73040000000000205</v>
      </c>
      <c r="AF1920">
        <v>-0.88488136028838305</v>
      </c>
      <c r="AG1920">
        <v>-1.1039666929309999</v>
      </c>
      <c r="AH1920">
        <v>16.468508343688999</v>
      </c>
      <c r="AI1920">
        <v>93.829577976425298</v>
      </c>
      <c r="AJ1920">
        <v>93.075643444712895</v>
      </c>
      <c r="AK1920">
        <v>16.529171925630202</v>
      </c>
      <c r="AL1920">
        <v>87.435383302838702</v>
      </c>
      <c r="AM1920">
        <v>91.882198768631397</v>
      </c>
      <c r="AN1920">
        <v>0.99999999746408996</v>
      </c>
    </row>
    <row r="1921" spans="1:40" x14ac:dyDescent="0.3">
      <c r="A1921" t="str">
        <f>"20200111153911832"</f>
        <v>20200111153911832</v>
      </c>
      <c r="B1921" t="str">
        <f>"1578728351822921"</f>
        <v>1578728351822921</v>
      </c>
      <c r="C1921" t="s">
        <v>40</v>
      </c>
      <c r="D1921">
        <v>5.3349190000000002</v>
      </c>
      <c r="E1921">
        <v>0.49281710000000001</v>
      </c>
      <c r="F1921" t="s">
        <v>59</v>
      </c>
      <c r="G1921">
        <v>-409.43990000000002</v>
      </c>
      <c r="H1921" s="1">
        <v>4.261225E-6</v>
      </c>
      <c r="I1921">
        <v>214.39769999999999</v>
      </c>
      <c r="J1921">
        <v>-426.52370000000002</v>
      </c>
      <c r="K1921">
        <v>1.1039890000000001</v>
      </c>
      <c r="L1921">
        <v>213.65459999999999</v>
      </c>
      <c r="M1921">
        <v>0.99995460000000003</v>
      </c>
      <c r="N1921">
        <v>0</v>
      </c>
      <c r="O1921">
        <v>-8.6595279999999997E-3</v>
      </c>
      <c r="P1921">
        <v>0.99874110000000005</v>
      </c>
      <c r="Q1921">
        <v>4.4645850000000001E-2</v>
      </c>
      <c r="R1921">
        <v>2.2871369999999999E-2</v>
      </c>
      <c r="S1921">
        <v>3.0080870000000002</v>
      </c>
      <c r="T1921">
        <v>-0.18901789999999999</v>
      </c>
      <c r="U1921">
        <v>0.12649540000000001</v>
      </c>
      <c r="V1921">
        <v>-3.1659220000000002E-2</v>
      </c>
      <c r="W1921">
        <v>4.8525649999999997E-2</v>
      </c>
      <c r="X1921">
        <v>0.99831999999999999</v>
      </c>
      <c r="Y1921">
        <v>-5.0548429999999998E-2</v>
      </c>
      <c r="Z1921">
        <v>2.1292659999999999E-3</v>
      </c>
      <c r="AA1921">
        <v>0.99871929999999998</v>
      </c>
      <c r="AB1921">
        <v>49</v>
      </c>
      <c r="AC1921">
        <v>17.083799999999901</v>
      </c>
      <c r="AD1921">
        <v>-1.1039847387749999</v>
      </c>
      <c r="AE1921">
        <v>0.74309999999999798</v>
      </c>
      <c r="AF1921">
        <v>-0.887312559801122</v>
      </c>
      <c r="AG1921">
        <v>-1.1039847387749999</v>
      </c>
      <c r="AH1921">
        <v>17.005842747783898</v>
      </c>
      <c r="AI1921">
        <v>93.709281993828597</v>
      </c>
      <c r="AJ1921">
        <v>92.986809021069504</v>
      </c>
      <c r="AK1921">
        <v>17.064723655675898</v>
      </c>
      <c r="AL1921">
        <v>87.218592561825901</v>
      </c>
      <c r="AM1921">
        <v>91.816383497164495</v>
      </c>
      <c r="AN1921">
        <v>0.99999993365946305</v>
      </c>
    </row>
    <row r="1922" spans="1:40" x14ac:dyDescent="0.3">
      <c r="A1922" t="str">
        <f>"20200111153911855"</f>
        <v>20200111153911855</v>
      </c>
      <c r="B1922" t="str">
        <f>"1578728351852711"</f>
        <v>1578728351852711</v>
      </c>
      <c r="C1922" t="s">
        <v>40</v>
      </c>
      <c r="D1922">
        <v>5.2088150000000004</v>
      </c>
      <c r="E1922">
        <v>0.51523890000000006</v>
      </c>
      <c r="F1922" t="s">
        <v>59</v>
      </c>
      <c r="G1922">
        <v>-407.84100000000001</v>
      </c>
      <c r="H1922" s="1">
        <v>4.9641200000000002E-6</v>
      </c>
      <c r="I1922">
        <v>214.42750000000001</v>
      </c>
      <c r="J1922">
        <v>-426.02109999999999</v>
      </c>
      <c r="K1922">
        <v>1.1040019999999999</v>
      </c>
      <c r="L1922">
        <v>213.6506</v>
      </c>
      <c r="M1922">
        <v>0.99996220000000002</v>
      </c>
      <c r="N1922">
        <v>0</v>
      </c>
      <c r="O1922">
        <v>-7.713251E-3</v>
      </c>
      <c r="P1922">
        <v>0.99862240000000002</v>
      </c>
      <c r="Q1922">
        <v>4.7924979999999999E-2</v>
      </c>
      <c r="R1922">
        <v>2.1367500000000001E-2</v>
      </c>
      <c r="S1922">
        <v>3.0088810000000001</v>
      </c>
      <c r="T1922">
        <v>-0.17779890000000001</v>
      </c>
      <c r="U1922">
        <v>0.1244812</v>
      </c>
      <c r="V1922">
        <v>-2.9219809999999999E-2</v>
      </c>
      <c r="W1922">
        <v>5.1835480000000003E-2</v>
      </c>
      <c r="X1922">
        <v>0.99822809999999995</v>
      </c>
      <c r="Y1922">
        <v>-4.8942739999999998E-2</v>
      </c>
      <c r="Z1922">
        <v>1.8993840000000001E-3</v>
      </c>
      <c r="AA1922">
        <v>0.99879980000000002</v>
      </c>
      <c r="AB1922">
        <v>49</v>
      </c>
      <c r="AC1922">
        <v>18.1800999999999</v>
      </c>
      <c r="AD1922">
        <v>-1.10399703588</v>
      </c>
      <c r="AE1922">
        <v>0.77690000000001103</v>
      </c>
      <c r="AF1922">
        <v>-0.91374232233875097</v>
      </c>
      <c r="AG1922">
        <v>-1.10399703588</v>
      </c>
      <c r="AH1922">
        <v>18.106917428917502</v>
      </c>
      <c r="AI1922">
        <v>93.4846391115572</v>
      </c>
      <c r="AJ1922">
        <v>92.888907272335899</v>
      </c>
      <c r="AK1922">
        <v>18.163540218374301</v>
      </c>
      <c r="AL1922">
        <v>87.028714233018604</v>
      </c>
      <c r="AM1922">
        <v>91.676664758342895</v>
      </c>
      <c r="AN1922">
        <v>1.00000002695643</v>
      </c>
    </row>
    <row r="1923" spans="1:40" x14ac:dyDescent="0.3">
      <c r="A1923" t="str">
        <f>"20200111153911880"</f>
        <v>20200111153911880</v>
      </c>
      <c r="B1923" t="str">
        <f>"1578728351872232"</f>
        <v>1578728351872232</v>
      </c>
      <c r="C1923" t="s">
        <v>40</v>
      </c>
      <c r="D1923">
        <v>5.2433370000000004</v>
      </c>
      <c r="E1923">
        <v>0.51464679999999996</v>
      </c>
      <c r="F1923" t="s">
        <v>41</v>
      </c>
      <c r="G1923">
        <v>-424.86450000000002</v>
      </c>
      <c r="H1923">
        <v>1.047105</v>
      </c>
      <c r="I1923">
        <v>213.62780000000001</v>
      </c>
      <c r="J1923">
        <v>-425.49329999999998</v>
      </c>
      <c r="K1923">
        <v>1.1040209999999999</v>
      </c>
      <c r="L1923">
        <v>213.64689999999999</v>
      </c>
      <c r="M1923">
        <v>0.99996940000000001</v>
      </c>
      <c r="N1923">
        <v>0</v>
      </c>
      <c r="O1923">
        <v>-6.7209610000000001E-3</v>
      </c>
      <c r="P1923">
        <v>0.99866250000000001</v>
      </c>
      <c r="Q1923">
        <v>4.8241140000000002E-2</v>
      </c>
      <c r="R1923">
        <v>1.8607510000000001E-2</v>
      </c>
      <c r="S1923">
        <v>3.0125120000000001</v>
      </c>
      <c r="T1923">
        <v>-0.14842269999999999</v>
      </c>
      <c r="U1923">
        <v>-5.799866E-2</v>
      </c>
      <c r="V1923">
        <v>-2.547118E-2</v>
      </c>
      <c r="W1923">
        <v>5.2188819999999997E-2</v>
      </c>
      <c r="X1923">
        <v>0.99831239999999999</v>
      </c>
      <c r="Y1923">
        <v>1.252178E-2</v>
      </c>
      <c r="Z1923" s="1">
        <v>2.264659E-5</v>
      </c>
      <c r="AA1923">
        <v>0.99992159999999997</v>
      </c>
      <c r="AB1923">
        <v>49</v>
      </c>
      <c r="AC1923">
        <v>0.62879999999995495</v>
      </c>
      <c r="AD1923">
        <v>-5.6915999999999897E-2</v>
      </c>
      <c r="AE1923">
        <v>-1.9099999999980299E-2</v>
      </c>
      <c r="AF1923">
        <v>1.4752637316882601E-2</v>
      </c>
      <c r="AG1923">
        <v>-5.6915999999999897E-2</v>
      </c>
      <c r="AH1923">
        <v>0.62380801285168397</v>
      </c>
      <c r="AI1923">
        <v>95.211761277494105</v>
      </c>
      <c r="AJ1923">
        <v>88.645246121057696</v>
      </c>
      <c r="AK1923">
        <v>0.62657282758013899</v>
      </c>
      <c r="AL1923">
        <v>87.008441975055604</v>
      </c>
      <c r="AM1923">
        <v>91.46154105718</v>
      </c>
      <c r="AN1923">
        <v>1.00000005096867</v>
      </c>
    </row>
    <row r="1924" spans="1:40" x14ac:dyDescent="0.3">
      <c r="A1924" t="str">
        <f>"20200111153911901"</f>
        <v>20200111153911901</v>
      </c>
      <c r="B1924" t="str">
        <f>"1578728351892727"</f>
        <v>1578728351892727</v>
      </c>
      <c r="C1924" t="s">
        <v>40</v>
      </c>
      <c r="D1924">
        <v>5.2648630000000001</v>
      </c>
      <c r="E1924">
        <v>0.5137391</v>
      </c>
      <c r="F1924" t="s">
        <v>59</v>
      </c>
      <c r="G1924">
        <v>-400.4205</v>
      </c>
      <c r="H1924" s="1">
        <v>8.5203939999999992E-6</v>
      </c>
      <c r="I1924">
        <v>213.142</v>
      </c>
      <c r="J1924">
        <v>-425.01220000000001</v>
      </c>
      <c r="K1924">
        <v>1.104023</v>
      </c>
      <c r="L1924">
        <v>213.64400000000001</v>
      </c>
      <c r="M1924">
        <v>0.99997499999999995</v>
      </c>
      <c r="N1924">
        <v>0</v>
      </c>
      <c r="O1924">
        <v>-5.8173610000000001E-3</v>
      </c>
      <c r="P1924">
        <v>0.99876330000000002</v>
      </c>
      <c r="Q1924">
        <v>4.6687739999999998E-2</v>
      </c>
      <c r="R1924">
        <v>1.709113E-2</v>
      </c>
      <c r="S1924">
        <v>3.011536</v>
      </c>
      <c r="T1924">
        <v>-0.1326051</v>
      </c>
      <c r="U1924">
        <v>-6.063843E-2</v>
      </c>
      <c r="V1924">
        <v>-2.3049440000000001E-2</v>
      </c>
      <c r="W1924">
        <v>5.0666379999999997E-2</v>
      </c>
      <c r="X1924">
        <v>0.99844960000000005</v>
      </c>
      <c r="Y1924">
        <v>1.430651E-2</v>
      </c>
      <c r="Z1924" s="1">
        <v>-5.8790959999999997E-5</v>
      </c>
      <c r="AA1924">
        <v>0.9998977</v>
      </c>
      <c r="AB1924">
        <v>50</v>
      </c>
      <c r="AC1924">
        <v>24.591699999999999</v>
      </c>
      <c r="AD1924">
        <v>-1.1040144796060001</v>
      </c>
      <c r="AE1924">
        <v>-0.50200000000000899</v>
      </c>
      <c r="AF1924">
        <v>0.35820989916146101</v>
      </c>
      <c r="AG1924">
        <v>-1.1040144796060001</v>
      </c>
      <c r="AH1924">
        <v>24.5447560467926</v>
      </c>
      <c r="AI1924">
        <v>92.575134230105306</v>
      </c>
      <c r="AJ1924">
        <v>89.163876046507696</v>
      </c>
      <c r="AK1924">
        <v>24.572183698230798</v>
      </c>
      <c r="AL1924">
        <v>87.095786744381201</v>
      </c>
      <c r="AM1924">
        <v>91.322451434636903</v>
      </c>
      <c r="AN1924">
        <v>0.99999998124338796</v>
      </c>
    </row>
    <row r="1925" spans="1:40" x14ac:dyDescent="0.3">
      <c r="A1925" t="str">
        <f>"20200111153911922"</f>
        <v>20200111153911922</v>
      </c>
      <c r="B1925" t="str">
        <f>"1578728351912248"</f>
        <v>1578728351912248</v>
      </c>
      <c r="C1925" t="s">
        <v>40</v>
      </c>
      <c r="D1925">
        <v>5.2786249999999999</v>
      </c>
      <c r="E1925">
        <v>0.5127043</v>
      </c>
      <c r="F1925" t="s">
        <v>55</v>
      </c>
      <c r="G1925">
        <v>-399.52499999999998</v>
      </c>
      <c r="H1925" s="1">
        <v>3.5319360000000002E-6</v>
      </c>
      <c r="I1925">
        <v>213.1524</v>
      </c>
      <c r="J1925">
        <v>-424.53339999999997</v>
      </c>
      <c r="K1925">
        <v>1.104023</v>
      </c>
      <c r="L1925">
        <v>213.64150000000001</v>
      </c>
      <c r="M1925">
        <v>0.99997959999999997</v>
      </c>
      <c r="N1925">
        <v>0</v>
      </c>
      <c r="O1925">
        <v>-4.9194829999999997E-3</v>
      </c>
      <c r="P1925">
        <v>0.99889419999999995</v>
      </c>
      <c r="Q1925">
        <v>4.3771669999999999E-2</v>
      </c>
      <c r="R1925">
        <v>1.7163629999999999E-2</v>
      </c>
      <c r="S1925">
        <v>3.0108030000000001</v>
      </c>
      <c r="T1925">
        <v>-0.130417899999999</v>
      </c>
      <c r="U1925">
        <v>-5.807495E-2</v>
      </c>
      <c r="V1925">
        <v>-2.2218000000000002E-2</v>
      </c>
      <c r="W1925">
        <v>4.7776449999999998E-2</v>
      </c>
      <c r="X1925">
        <v>0.99861089999999997</v>
      </c>
      <c r="Y1925">
        <v>1.435758E-2</v>
      </c>
      <c r="Z1925" s="1">
        <v>-9.7812109999999999E-5</v>
      </c>
      <c r="AA1925">
        <v>0.99989689999999998</v>
      </c>
      <c r="AB1925">
        <v>50</v>
      </c>
      <c r="AC1925">
        <v>25.008399999999899</v>
      </c>
      <c r="AD1925">
        <v>-1.1040194680640001</v>
      </c>
      <c r="AE1925">
        <v>-0.48910000000000697</v>
      </c>
      <c r="AF1925">
        <v>0.36535291065044301</v>
      </c>
      <c r="AG1925">
        <v>-1.1040194680640001</v>
      </c>
      <c r="AH1925">
        <v>24.9618748021703</v>
      </c>
      <c r="AI1925">
        <v>92.532169483987801</v>
      </c>
      <c r="AJ1925">
        <v>89.161453802425797</v>
      </c>
      <c r="AK1925">
        <v>24.988948264671102</v>
      </c>
      <c r="AL1925">
        <v>87.261568537542502</v>
      </c>
      <c r="AM1925">
        <v>91.274558129812903</v>
      </c>
      <c r="AN1925">
        <v>0.99999997914870598</v>
      </c>
    </row>
    <row r="1926" spans="1:40" x14ac:dyDescent="0.3">
      <c r="A1926" t="str">
        <f>"20200111153911944"</f>
        <v>20200111153911944</v>
      </c>
      <c r="B1926" t="str">
        <f>"1578728351932742"</f>
        <v>1578728351932742</v>
      </c>
      <c r="C1926" t="s">
        <v>40</v>
      </c>
      <c r="D1926">
        <v>5.287865</v>
      </c>
      <c r="E1926">
        <v>0.51213310000000001</v>
      </c>
      <c r="F1926" t="s">
        <v>59</v>
      </c>
      <c r="G1926">
        <v>-400.5034</v>
      </c>
      <c r="H1926" s="1">
        <v>8.4623789999999997E-6</v>
      </c>
      <c r="I1926">
        <v>213.245</v>
      </c>
      <c r="J1926">
        <v>-424.03820000000002</v>
      </c>
      <c r="K1926">
        <v>1.1040160000000001</v>
      </c>
      <c r="L1926">
        <v>213.63939999999999</v>
      </c>
      <c r="M1926">
        <v>0.99998379999999998</v>
      </c>
      <c r="N1926">
        <v>0</v>
      </c>
      <c r="O1926">
        <v>-3.9920420000000003E-3</v>
      </c>
      <c r="P1926">
        <v>0.9989749</v>
      </c>
      <c r="Q1926">
        <v>4.2031060000000002E-2</v>
      </c>
      <c r="R1926">
        <v>1.6822299999999998E-2</v>
      </c>
      <c r="S1926">
        <v>3.0102229999999999</v>
      </c>
      <c r="T1926">
        <v>-0.13829929999999999</v>
      </c>
      <c r="U1926">
        <v>-4.9667360000000001E-2</v>
      </c>
      <c r="V1926">
        <v>-2.0946369999999999E-2</v>
      </c>
      <c r="W1926">
        <v>4.6064590000000002E-2</v>
      </c>
      <c r="X1926">
        <v>0.99871889999999997</v>
      </c>
      <c r="Y1926">
        <v>1.249668E-2</v>
      </c>
      <c r="Z1926">
        <v>-1.036003E-4</v>
      </c>
      <c r="AA1926">
        <v>0.99992190000000003</v>
      </c>
      <c r="AB1926">
        <v>50</v>
      </c>
      <c r="AC1926">
        <v>23.534800000000001</v>
      </c>
      <c r="AD1926">
        <v>-1.1040075376209999</v>
      </c>
      <c r="AE1926">
        <v>-0.39439999999998998</v>
      </c>
      <c r="AF1926">
        <v>0.29978468029396699</v>
      </c>
      <c r="AG1926">
        <v>-1.1040075376209999</v>
      </c>
      <c r="AH1926">
        <v>23.4845235554284</v>
      </c>
      <c r="AI1926">
        <v>92.691274349349598</v>
      </c>
      <c r="AJ1926">
        <v>89.268647540265405</v>
      </c>
      <c r="AK1926">
        <v>23.512370151117</v>
      </c>
      <c r="AL1926">
        <v>87.359759286788702</v>
      </c>
      <c r="AM1926">
        <v>91.201501916633106</v>
      </c>
      <c r="AN1926">
        <v>1.0000000690426201</v>
      </c>
    </row>
    <row r="1927" spans="1:40" x14ac:dyDescent="0.3">
      <c r="A1927" t="str">
        <f>"20200111153911969"</f>
        <v>20200111153911969</v>
      </c>
      <c r="B1927" t="str">
        <f>"1578728351962530"</f>
        <v>1578728351962530</v>
      </c>
      <c r="C1927" t="s">
        <v>40</v>
      </c>
      <c r="D1927">
        <v>5.302753</v>
      </c>
      <c r="E1927">
        <v>0.51140549999999996</v>
      </c>
      <c r="F1927" t="s">
        <v>59</v>
      </c>
      <c r="G1927">
        <v>-400.66669999999999</v>
      </c>
      <c r="H1927" s="1">
        <v>8.3824680000000006E-6</v>
      </c>
      <c r="I1927">
        <v>213.28139999999999</v>
      </c>
      <c r="J1927">
        <v>-423.49029999999999</v>
      </c>
      <c r="K1927">
        <v>1.1040110000000001</v>
      </c>
      <c r="L1927">
        <v>213.63759999999999</v>
      </c>
      <c r="M1927">
        <v>0.99998710000000002</v>
      </c>
      <c r="N1927">
        <v>0</v>
      </c>
      <c r="O1927">
        <v>-2.966612E-3</v>
      </c>
      <c r="P1927">
        <v>0.99898909999999996</v>
      </c>
      <c r="Q1927">
        <v>4.213389E-2</v>
      </c>
      <c r="R1927">
        <v>1.5671589999999999E-2</v>
      </c>
      <c r="S1927">
        <v>3.0097960000000001</v>
      </c>
      <c r="T1927">
        <v>-0.14217449999999901</v>
      </c>
      <c r="U1927">
        <v>-4.6112060000000003E-2</v>
      </c>
      <c r="V1927">
        <v>-1.8772710000000001E-2</v>
      </c>
      <c r="W1927">
        <v>4.6200819999999997E-2</v>
      </c>
      <c r="X1927">
        <v>0.99875579999999997</v>
      </c>
      <c r="Y1927">
        <v>1.234205E-2</v>
      </c>
      <c r="Z1927">
        <v>-1.512742E-4</v>
      </c>
      <c r="AA1927">
        <v>0.99992380000000003</v>
      </c>
      <c r="AB1927">
        <v>50</v>
      </c>
      <c r="AC1927">
        <v>22.823599999999999</v>
      </c>
      <c r="AD1927">
        <v>-1.1040026175319999</v>
      </c>
      <c r="AE1927">
        <v>-0.35620000000000102</v>
      </c>
      <c r="AF1927">
        <v>0.28781583448444698</v>
      </c>
      <c r="AG1927">
        <v>-1.1040026175319999</v>
      </c>
      <c r="AH1927">
        <v>22.7712898288022</v>
      </c>
      <c r="AI1927">
        <v>92.775431697278094</v>
      </c>
      <c r="AJ1927">
        <v>89.275853293854695</v>
      </c>
      <c r="AK1927">
        <v>22.7998530741189</v>
      </c>
      <c r="AL1927">
        <v>87.351945485141201</v>
      </c>
      <c r="AM1927">
        <v>91.076810180040695</v>
      </c>
      <c r="AN1927">
        <v>1.00000003922152</v>
      </c>
    </row>
    <row r="1928" spans="1:40" x14ac:dyDescent="0.3">
      <c r="A1928" t="str">
        <f>"20200111153912011"</f>
        <v>20200111153912011</v>
      </c>
      <c r="B1928" t="str">
        <f>"1578728352002547"</f>
        <v>1578728352002547</v>
      </c>
      <c r="C1928" t="s">
        <v>40</v>
      </c>
      <c r="D1928">
        <v>5.273015</v>
      </c>
      <c r="E1928">
        <v>0.51070559999999998</v>
      </c>
      <c r="F1928" t="s">
        <v>55</v>
      </c>
      <c r="G1928">
        <v>-399.6189</v>
      </c>
      <c r="H1928" s="1">
        <v>3.581916E-6</v>
      </c>
      <c r="I1928">
        <v>213.29140000000001</v>
      </c>
      <c r="J1928">
        <v>-422.52960000000002</v>
      </c>
      <c r="K1928">
        <v>1.103996</v>
      </c>
      <c r="L1928">
        <v>213.63570000000001</v>
      </c>
      <c r="M1928">
        <v>0.99999059999999995</v>
      </c>
      <c r="N1928">
        <v>0</v>
      </c>
      <c r="O1928">
        <v>-1.1745550000000001E-3</v>
      </c>
      <c r="P1928">
        <v>0.99913569999999996</v>
      </c>
      <c r="Q1928">
        <v>3.9771559999999997E-2</v>
      </c>
      <c r="R1928">
        <v>1.2096640000000001E-2</v>
      </c>
      <c r="S1928">
        <v>3.0095519999999998</v>
      </c>
      <c r="T1928">
        <v>-0.139185999999999</v>
      </c>
      <c r="U1928">
        <v>-4.3640140000000001E-2</v>
      </c>
      <c r="V1928">
        <v>-1.3402300000000001E-2</v>
      </c>
      <c r="W1928">
        <v>4.3902419999999998E-2</v>
      </c>
      <c r="X1928">
        <v>0.998946</v>
      </c>
      <c r="Y1928">
        <v>1.33116E-2</v>
      </c>
      <c r="Z1928">
        <v>-2.5334799999999997E-4</v>
      </c>
      <c r="AA1928">
        <v>0.99991140000000001</v>
      </c>
      <c r="AB1928">
        <v>50</v>
      </c>
      <c r="AC1928">
        <v>22.910699999999999</v>
      </c>
      <c r="AD1928">
        <v>-1.1039924180839999</v>
      </c>
      <c r="AE1928">
        <v>-0.34430000000000399</v>
      </c>
      <c r="AF1928">
        <v>0.31665455643193002</v>
      </c>
      <c r="AG1928">
        <v>-1.1039924180839999</v>
      </c>
      <c r="AH1928">
        <v>22.858025073558501</v>
      </c>
      <c r="AI1928">
        <v>92.764846760360697</v>
      </c>
      <c r="AJ1928">
        <v>89.206326481572901</v>
      </c>
      <c r="AK1928">
        <v>22.886860414454599</v>
      </c>
      <c r="AL1928">
        <v>87.483768069858897</v>
      </c>
      <c r="AM1928">
        <v>90.768659323730105</v>
      </c>
      <c r="AN1928">
        <v>1.0000000775215701</v>
      </c>
    </row>
    <row r="1929" spans="1:40" x14ac:dyDescent="0.3">
      <c r="A1929" t="str">
        <f>"20200111153912033"</f>
        <v>20200111153912033</v>
      </c>
      <c r="B1929" t="str">
        <f>"1578728352023043"</f>
        <v>1578728352023043</v>
      </c>
      <c r="C1929" t="s">
        <v>40</v>
      </c>
      <c r="D1929">
        <v>5.3240850000000002</v>
      </c>
      <c r="E1929">
        <v>0.51035509999999995</v>
      </c>
      <c r="F1929" t="s">
        <v>59</v>
      </c>
      <c r="G1929">
        <v>-400.48469999999998</v>
      </c>
      <c r="H1929" s="1">
        <v>8.4640129999999995E-6</v>
      </c>
      <c r="I1929">
        <v>213.27709999999999</v>
      </c>
      <c r="J1929">
        <v>-422.01769999999999</v>
      </c>
      <c r="K1929">
        <v>1.1039810000000001</v>
      </c>
      <c r="L1929">
        <v>213.6354</v>
      </c>
      <c r="M1929">
        <v>0.99999119999999997</v>
      </c>
      <c r="N1929">
        <v>0</v>
      </c>
      <c r="O1929">
        <v>-2.2506340000000001E-4</v>
      </c>
      <c r="P1929">
        <v>0.99924950000000001</v>
      </c>
      <c r="Q1929">
        <v>3.729727E-2</v>
      </c>
      <c r="R1929">
        <v>1.046828E-2</v>
      </c>
      <c r="S1929">
        <v>3.0091549999999998</v>
      </c>
      <c r="T1929">
        <v>-0.150696</v>
      </c>
      <c r="U1929">
        <v>-4.8950199999999902E-2</v>
      </c>
      <c r="V1929">
        <v>-1.081785E-2</v>
      </c>
      <c r="W1929">
        <v>4.1461810000000002E-2</v>
      </c>
      <c r="X1929">
        <v>0.99908160000000001</v>
      </c>
      <c r="Y1929">
        <v>1.6020110000000001E-2</v>
      </c>
      <c r="Z1929">
        <v>-3.8959610000000001E-4</v>
      </c>
      <c r="AA1929">
        <v>0.99987159999999997</v>
      </c>
      <c r="AB1929">
        <v>50</v>
      </c>
      <c r="AC1929">
        <v>21.533000000000001</v>
      </c>
      <c r="AD1929">
        <v>-1.1039725359869901</v>
      </c>
      <c r="AE1929">
        <v>-0.358300000000014</v>
      </c>
      <c r="AF1929">
        <v>0.35252729780896802</v>
      </c>
      <c r="AG1929">
        <v>-1.1039725359869901</v>
      </c>
      <c r="AH1929">
        <v>21.476644429353399</v>
      </c>
      <c r="AI1929">
        <v>92.942212270931506</v>
      </c>
      <c r="AJ1929">
        <v>89.059605766274402</v>
      </c>
      <c r="AK1929">
        <v>21.5078889433806</v>
      </c>
      <c r="AL1929">
        <v>87.623732290556902</v>
      </c>
      <c r="AM1929">
        <v>90.620362668496796</v>
      </c>
      <c r="AN1929">
        <v>1.00000007551282</v>
      </c>
    </row>
    <row r="1930" spans="1:40" x14ac:dyDescent="0.3">
      <c r="A1930" t="str">
        <f>"20200111153912056"</f>
        <v>20200111153912056</v>
      </c>
      <c r="B1930" t="str">
        <f>"1578728352052830"</f>
        <v>1578728352052830</v>
      </c>
      <c r="C1930" t="s">
        <v>40</v>
      </c>
      <c r="D1930">
        <v>5.3098029999999996</v>
      </c>
      <c r="E1930">
        <v>0.51011439999999997</v>
      </c>
      <c r="F1930" t="s">
        <v>59</v>
      </c>
      <c r="G1930">
        <v>-401.0797</v>
      </c>
      <c r="H1930" s="1">
        <v>8.1993969999999999E-6</v>
      </c>
      <c r="I1930">
        <v>213.2809</v>
      </c>
      <c r="J1930">
        <v>-421.51440000000002</v>
      </c>
      <c r="K1930">
        <v>1.10397099999999</v>
      </c>
      <c r="L1930">
        <v>213.63560000000001</v>
      </c>
      <c r="M1930">
        <v>0.99999099999999996</v>
      </c>
      <c r="N1930">
        <v>0</v>
      </c>
      <c r="O1930">
        <v>7.0422149999999897E-4</v>
      </c>
      <c r="P1930">
        <v>0.99932339999999997</v>
      </c>
      <c r="Q1930">
        <v>3.5320070000000002E-2</v>
      </c>
      <c r="R1930">
        <v>1.027347E-2</v>
      </c>
      <c r="S1930">
        <v>3.0087280000000001</v>
      </c>
      <c r="T1930">
        <v>-0.15863740000000001</v>
      </c>
      <c r="U1930">
        <v>-5.0949099999999997E-2</v>
      </c>
      <c r="V1930">
        <v>-9.6890610000000005E-3</v>
      </c>
      <c r="W1930">
        <v>3.9512659999999998E-2</v>
      </c>
      <c r="X1930">
        <v>0.99917210000000001</v>
      </c>
      <c r="Y1930">
        <v>1.7610029999999999E-2</v>
      </c>
      <c r="Z1930">
        <v>-5.0099819999999996E-4</v>
      </c>
      <c r="AA1930">
        <v>0.99984479999999998</v>
      </c>
      <c r="AB1930">
        <v>51</v>
      </c>
      <c r="AC1930">
        <v>20.434699999999999</v>
      </c>
      <c r="AD1930">
        <v>-1.10396280060299</v>
      </c>
      <c r="AE1930">
        <v>-0.35470000000000801</v>
      </c>
      <c r="AF1930">
        <v>0.368016828199136</v>
      </c>
      <c r="AG1930">
        <v>-1.10396280060299</v>
      </c>
      <c r="AH1930">
        <v>20.374996894121399</v>
      </c>
      <c r="AI1930">
        <v>93.100875855342906</v>
      </c>
      <c r="AJ1930">
        <v>88.965225929792098</v>
      </c>
      <c r="AK1930">
        <v>20.4082010154351</v>
      </c>
      <c r="AL1930">
        <v>87.735501857828197</v>
      </c>
      <c r="AM1930">
        <v>90.555584871776603</v>
      </c>
      <c r="AN1930">
        <v>1.0000000068108701</v>
      </c>
    </row>
    <row r="1931" spans="1:40" x14ac:dyDescent="0.3">
      <c r="A1931" t="str">
        <f>"20200111153912078"</f>
        <v>20200111153912078</v>
      </c>
      <c r="B1931" t="str">
        <f>"1578728352072350"</f>
        <v>1578728352072350</v>
      </c>
      <c r="C1931" t="s">
        <v>40</v>
      </c>
      <c r="D1931">
        <v>5.3292900000000003</v>
      </c>
      <c r="E1931">
        <v>0.50993080000000002</v>
      </c>
      <c r="F1931" t="s">
        <v>41</v>
      </c>
      <c r="G1931">
        <v>-420.36579999999998</v>
      </c>
      <c r="H1931">
        <v>1.0408269999999999</v>
      </c>
      <c r="I1931">
        <v>213.6165</v>
      </c>
      <c r="J1931">
        <v>-421.0136</v>
      </c>
      <c r="K1931">
        <v>1.1039620000000001</v>
      </c>
      <c r="L1931">
        <v>213.63630000000001</v>
      </c>
      <c r="M1931">
        <v>0.99998969999999998</v>
      </c>
      <c r="N1931">
        <v>0</v>
      </c>
      <c r="O1931">
        <v>1.626354E-3</v>
      </c>
      <c r="P1931">
        <v>0.99936530000000001</v>
      </c>
      <c r="Q1931">
        <v>3.385063E-2</v>
      </c>
      <c r="R1931">
        <v>1.1111309999999999E-2</v>
      </c>
      <c r="S1931">
        <v>3.0084230000000001</v>
      </c>
      <c r="T1931">
        <v>-0.16552720000000001</v>
      </c>
      <c r="U1931">
        <v>-4.9453740000000003E-2</v>
      </c>
      <c r="V1931">
        <v>-9.6014589999999997E-3</v>
      </c>
      <c r="W1931">
        <v>3.8067980000000001E-2</v>
      </c>
      <c r="X1931">
        <v>0.99922900000000003</v>
      </c>
      <c r="Y1931">
        <v>1.8032610000000001E-2</v>
      </c>
      <c r="Z1931">
        <v>-5.8509149999999999E-4</v>
      </c>
      <c r="AA1931">
        <v>0.99983719999999998</v>
      </c>
      <c r="AB1931">
        <v>51</v>
      </c>
      <c r="AC1931">
        <v>0.64780000000001703</v>
      </c>
      <c r="AD1931">
        <v>-6.3135000000000094E-2</v>
      </c>
      <c r="AE1931">
        <v>-1.9800000000003599E-2</v>
      </c>
      <c r="AF1931">
        <v>2.0657501690709099E-2</v>
      </c>
      <c r="AG1931">
        <v>-6.3135000000000094E-2</v>
      </c>
      <c r="AH1931">
        <v>0.641677606692443</v>
      </c>
      <c r="AI1931">
        <v>95.616384867173906</v>
      </c>
      <c r="AJ1931">
        <v>88.156116063490003</v>
      </c>
      <c r="AK1931">
        <v>0.64510689930556697</v>
      </c>
      <c r="AL1931">
        <v>87.818338210682299</v>
      </c>
      <c r="AM1931">
        <v>90.550530606887904</v>
      </c>
      <c r="AN1931">
        <v>0.99999997677860397</v>
      </c>
    </row>
    <row r="1932" spans="1:40" x14ac:dyDescent="0.3">
      <c r="A1932" t="str">
        <f>"20200111153912101"</f>
        <v>20200111153912101</v>
      </c>
      <c r="B1932" t="str">
        <f>"1578728352092846"</f>
        <v>1578728352092846</v>
      </c>
      <c r="C1932" t="s">
        <v>40</v>
      </c>
      <c r="D1932">
        <v>5.2819839999999996</v>
      </c>
      <c r="E1932">
        <v>0.50981529999999997</v>
      </c>
      <c r="F1932" t="s">
        <v>41</v>
      </c>
      <c r="G1932">
        <v>-419.90820000000002</v>
      </c>
      <c r="H1932">
        <v>1.0417609999999999</v>
      </c>
      <c r="I1932">
        <v>213.61920000000001</v>
      </c>
      <c r="J1932">
        <v>-420.47030000000001</v>
      </c>
      <c r="K1932">
        <v>1.103958</v>
      </c>
      <c r="L1932">
        <v>213.63759999999999</v>
      </c>
      <c r="M1932">
        <v>0.99998750000000003</v>
      </c>
      <c r="N1932">
        <v>0</v>
      </c>
      <c r="O1932">
        <v>2.6233480000000002E-3</v>
      </c>
      <c r="P1932">
        <v>0.99936970000000003</v>
      </c>
      <c r="Q1932">
        <v>3.3266560000000001E-2</v>
      </c>
      <c r="R1932">
        <v>1.2398650000000001E-2</v>
      </c>
      <c r="S1932">
        <v>3.0081790000000002</v>
      </c>
      <c r="T1932">
        <v>-0.1694503</v>
      </c>
      <c r="U1932">
        <v>-4.5410159999999998E-2</v>
      </c>
      <c r="V1932">
        <v>-9.8908840000000008E-3</v>
      </c>
      <c r="W1932">
        <v>3.7510479999999999E-2</v>
      </c>
      <c r="X1932">
        <v>0.99924729999999995</v>
      </c>
      <c r="Y1932">
        <v>1.7684680000000001E-2</v>
      </c>
      <c r="Z1932">
        <v>-6.4531440000000005E-4</v>
      </c>
      <c r="AA1932">
        <v>0.99984340000000005</v>
      </c>
      <c r="AB1932">
        <v>51</v>
      </c>
      <c r="AC1932">
        <v>0.56209999999998606</v>
      </c>
      <c r="AD1932">
        <v>-6.2196999999999801E-2</v>
      </c>
      <c r="AE1932">
        <v>-1.8399999999985501E-2</v>
      </c>
      <c r="AF1932">
        <v>1.96343941811923E-2</v>
      </c>
      <c r="AG1932">
        <v>-6.2196999999999801E-2</v>
      </c>
      <c r="AH1932">
        <v>0.55525866743677699</v>
      </c>
      <c r="AI1932">
        <v>96.387354507595603</v>
      </c>
      <c r="AJ1932">
        <v>87.974818844497406</v>
      </c>
      <c r="AK1932">
        <v>0.559076170130267</v>
      </c>
      <c r="AL1932">
        <v>87.850303525288098</v>
      </c>
      <c r="AM1932">
        <v>90.567114268798406</v>
      </c>
      <c r="AN1932">
        <v>1.00000001612671</v>
      </c>
    </row>
    <row r="1933" spans="1:40" x14ac:dyDescent="0.3">
      <c r="A1933" t="str">
        <f>"20200111153912124"</f>
        <v>20200111153912124</v>
      </c>
      <c r="B1933" t="str">
        <f>"1578728352112366"</f>
        <v>1578728352112366</v>
      </c>
      <c r="C1933" t="s">
        <v>40</v>
      </c>
      <c r="D1933">
        <v>5.2785929999999999</v>
      </c>
      <c r="E1933">
        <v>0.50970720000000003</v>
      </c>
      <c r="F1933" t="s">
        <v>41</v>
      </c>
      <c r="G1933">
        <v>-419.44650000000001</v>
      </c>
      <c r="H1933">
        <v>1.045914</v>
      </c>
      <c r="I1933">
        <v>213.62350000000001</v>
      </c>
      <c r="J1933">
        <v>-419.95949999999999</v>
      </c>
      <c r="K1933">
        <v>1.103961</v>
      </c>
      <c r="L1933">
        <v>213.63919999999999</v>
      </c>
      <c r="M1933">
        <v>0.9999846</v>
      </c>
      <c r="N1933">
        <v>0</v>
      </c>
      <c r="O1933">
        <v>3.5580569999999999E-3</v>
      </c>
      <c r="P1933">
        <v>0.99933320000000003</v>
      </c>
      <c r="Q1933">
        <v>3.3690169999999998E-2</v>
      </c>
      <c r="R1933">
        <v>1.4082590000000001E-2</v>
      </c>
      <c r="S1933">
        <v>3.0081180000000001</v>
      </c>
      <c r="T1933">
        <v>-0.17067079999999901</v>
      </c>
      <c r="U1933">
        <v>-4.0634160000000002E-2</v>
      </c>
      <c r="V1933">
        <v>-1.064258E-2</v>
      </c>
      <c r="W1933">
        <v>3.7956950000000003E-2</v>
      </c>
      <c r="X1933">
        <v>0.99922270000000002</v>
      </c>
      <c r="Y1933">
        <v>1.703151E-2</v>
      </c>
      <c r="Z1933">
        <v>-6.8444999999999997E-4</v>
      </c>
      <c r="AA1933">
        <v>0.99985469999999999</v>
      </c>
      <c r="AB1933">
        <v>51</v>
      </c>
      <c r="AC1933">
        <v>0.51299999999997603</v>
      </c>
      <c r="AD1933">
        <v>-5.8046999999999897E-2</v>
      </c>
      <c r="AE1933">
        <v>-1.5699999999981101E-2</v>
      </c>
      <c r="AF1933">
        <v>1.7303859737693099E-2</v>
      </c>
      <c r="AG1933">
        <v>-5.8046999999999897E-2</v>
      </c>
      <c r="AH1933">
        <v>0.50646252345665599</v>
      </c>
      <c r="AI1933">
        <v>96.534510436452095</v>
      </c>
      <c r="AJ1933">
        <v>88.043186652750904</v>
      </c>
      <c r="AK1933">
        <v>0.51007172577678295</v>
      </c>
      <c r="AL1933">
        <v>87.824704411458796</v>
      </c>
      <c r="AM1933">
        <v>90.610226189732998</v>
      </c>
      <c r="AN1933">
        <v>0.999999999378824</v>
      </c>
    </row>
    <row r="1934" spans="1:40" x14ac:dyDescent="0.3">
      <c r="A1934" t="str">
        <f>"20200111153912145"</f>
        <v>20200111153912145</v>
      </c>
      <c r="B1934" t="str">
        <f>"1578728352132862"</f>
        <v>1578728352132862</v>
      </c>
      <c r="C1934" t="s">
        <v>40</v>
      </c>
      <c r="D1934">
        <v>5.3085579999999997</v>
      </c>
      <c r="E1934">
        <v>0.50964390000000004</v>
      </c>
      <c r="F1934" t="s">
        <v>41</v>
      </c>
      <c r="G1934">
        <v>-418.98379999999997</v>
      </c>
      <c r="H1934">
        <v>1.0492939999999999</v>
      </c>
      <c r="I1934">
        <v>213.62719999999999</v>
      </c>
      <c r="J1934">
        <v>-419.47329999999999</v>
      </c>
      <c r="K1934">
        <v>1.1039669999999999</v>
      </c>
      <c r="L1934">
        <v>213.6412</v>
      </c>
      <c r="M1934">
        <v>0.99998069999999895</v>
      </c>
      <c r="N1934">
        <v>0</v>
      </c>
      <c r="O1934">
        <v>4.4462149999999999E-3</v>
      </c>
      <c r="P1934">
        <v>0.99929679999999999</v>
      </c>
      <c r="Q1934">
        <v>3.433539E-2</v>
      </c>
      <c r="R1934">
        <v>1.506738E-2</v>
      </c>
      <c r="S1934">
        <v>3.0081479999999998</v>
      </c>
      <c r="T1934">
        <v>-0.168853799999999</v>
      </c>
      <c r="U1934">
        <v>-3.507996E-2</v>
      </c>
      <c r="V1934">
        <v>-1.0742369999999999E-2</v>
      </c>
      <c r="W1934">
        <v>3.8625939999999997E-2</v>
      </c>
      <c r="X1934">
        <v>0.99919599999999997</v>
      </c>
      <c r="Y1934">
        <v>1.6074390000000001E-2</v>
      </c>
      <c r="Z1934">
        <v>-7.0014890000000003E-4</v>
      </c>
      <c r="AA1934">
        <v>0.9998705</v>
      </c>
      <c r="AB1934">
        <v>51</v>
      </c>
      <c r="AC1934">
        <v>0.48950000000001997</v>
      </c>
      <c r="AD1934">
        <v>-5.4672999999999902E-2</v>
      </c>
      <c r="AE1934">
        <v>-1.4000000000009999E-2</v>
      </c>
      <c r="AF1934">
        <v>1.59771523421521E-2</v>
      </c>
      <c r="AG1934">
        <v>-5.4672999999999902E-2</v>
      </c>
      <c r="AH1934">
        <v>0.48340733811244402</v>
      </c>
      <c r="AI1934">
        <v>96.449197165325103</v>
      </c>
      <c r="AJ1934">
        <v>88.106999594230004</v>
      </c>
      <c r="AK1934">
        <v>0.48675153915208502</v>
      </c>
      <c r="AL1934">
        <v>87.786345986051003</v>
      </c>
      <c r="AM1934">
        <v>90.615963985902198</v>
      </c>
      <c r="AN1934">
        <v>1.0000000040850501</v>
      </c>
    </row>
    <row r="1935" spans="1:40" x14ac:dyDescent="0.3">
      <c r="A1935" t="str">
        <f>"20200111153912168"</f>
        <v>20200111153912168</v>
      </c>
      <c r="B1935" t="str">
        <f>"1578728352162782"</f>
        <v>1578728352162782</v>
      </c>
      <c r="C1935" t="s">
        <v>40</v>
      </c>
      <c r="D1935">
        <v>5.2523569999999999</v>
      </c>
      <c r="E1935">
        <v>0.5095153</v>
      </c>
      <c r="F1935" t="s">
        <v>41</v>
      </c>
      <c r="G1935">
        <v>-418.52030000000002</v>
      </c>
      <c r="H1935">
        <v>1.0516760000000001</v>
      </c>
      <c r="I1935">
        <v>213.6311</v>
      </c>
      <c r="J1935">
        <v>-418.94049999999999</v>
      </c>
      <c r="K1935">
        <v>1.1039730000000001</v>
      </c>
      <c r="L1935">
        <v>213.6439</v>
      </c>
      <c r="M1935">
        <v>0.99997590000000003</v>
      </c>
      <c r="N1935">
        <v>0</v>
      </c>
      <c r="O1935">
        <v>5.4170440000000002E-3</v>
      </c>
      <c r="P1935">
        <v>0.99929029999999996</v>
      </c>
      <c r="Q1935">
        <v>3.459305E-2</v>
      </c>
      <c r="R1935">
        <v>1.490851E-2</v>
      </c>
      <c r="S1935">
        <v>3.0082399999999998</v>
      </c>
      <c r="T1935">
        <v>-0.16505220000000001</v>
      </c>
      <c r="U1935">
        <v>-3.1723019999999998E-2</v>
      </c>
      <c r="V1935">
        <v>-9.6144850000000007E-3</v>
      </c>
      <c r="W1935">
        <v>3.8913259999999998E-2</v>
      </c>
      <c r="X1935">
        <v>0.99919639999999998</v>
      </c>
      <c r="Y1935">
        <v>1.5929329999999998E-2</v>
      </c>
      <c r="Z1935">
        <v>-7.3364209999999999E-4</v>
      </c>
      <c r="AA1935">
        <v>0.99987289999999995</v>
      </c>
      <c r="AB1935">
        <v>51</v>
      </c>
      <c r="AC1935">
        <v>0.42019999999996499</v>
      </c>
      <c r="AD1935">
        <v>-5.2296999999999802E-2</v>
      </c>
      <c r="AE1935">
        <v>-1.27999999999985E-2</v>
      </c>
      <c r="AF1935">
        <v>1.4846324437911699E-2</v>
      </c>
      <c r="AG1935">
        <v>-5.2296999999999802E-2</v>
      </c>
      <c r="AH1935">
        <v>0.41372202945974001</v>
      </c>
      <c r="AI1935">
        <v>97.199742882256899</v>
      </c>
      <c r="AJ1935">
        <v>87.944835352197202</v>
      </c>
      <c r="AK1935">
        <v>0.41727845285684501</v>
      </c>
      <c r="AL1935">
        <v>87.769871508033404</v>
      </c>
      <c r="AM1935">
        <v>90.551295433518604</v>
      </c>
      <c r="AN1935">
        <v>1.00000006294929</v>
      </c>
    </row>
    <row r="1936" spans="1:40" x14ac:dyDescent="0.3">
      <c r="A1936" t="str">
        <f>"20200111153912190"</f>
        <v>20200111153912190</v>
      </c>
      <c r="B1936" t="str">
        <f>"1578728352182302"</f>
        <v>1578728352182302</v>
      </c>
      <c r="C1936" t="s">
        <v>40</v>
      </c>
      <c r="D1936">
        <v>5.2512359999999996</v>
      </c>
      <c r="E1936">
        <v>0.50945949999999995</v>
      </c>
      <c r="F1936" t="s">
        <v>55</v>
      </c>
      <c r="G1936">
        <v>-398.51150000000001</v>
      </c>
      <c r="H1936" s="1">
        <v>2.992634E-6</v>
      </c>
      <c r="I1936">
        <v>213.43180000000001</v>
      </c>
      <c r="J1936">
        <v>-418.43950000000001</v>
      </c>
      <c r="K1936">
        <v>1.1039810000000001</v>
      </c>
      <c r="L1936">
        <v>213.64689999999999</v>
      </c>
      <c r="M1936">
        <v>0.99997049999999998</v>
      </c>
      <c r="N1936">
        <v>0</v>
      </c>
      <c r="O1936">
        <v>6.3288060000000002E-3</v>
      </c>
      <c r="P1936">
        <v>0.99928130000000004</v>
      </c>
      <c r="Q1936">
        <v>3.5365090000000002E-2</v>
      </c>
      <c r="R1936">
        <v>1.3649700000000001E-2</v>
      </c>
      <c r="S1936">
        <v>3.0082089999999999</v>
      </c>
      <c r="T1936">
        <v>-0.16256180000000001</v>
      </c>
      <c r="U1936">
        <v>-3.123474E-2</v>
      </c>
      <c r="V1936">
        <v>-7.4477939999999998E-3</v>
      </c>
      <c r="W1936">
        <v>3.971707E-2</v>
      </c>
      <c r="X1936">
        <v>0.99918320000000005</v>
      </c>
      <c r="Y1936">
        <v>1.6677359999999999E-2</v>
      </c>
      <c r="Z1936">
        <v>-7.9202729999999896E-4</v>
      </c>
      <c r="AA1936">
        <v>0.99986059999999999</v>
      </c>
      <c r="AB1936">
        <v>52</v>
      </c>
      <c r="AC1936">
        <v>19.928000000000001</v>
      </c>
      <c r="AD1936">
        <v>-1.1039780073659999</v>
      </c>
      <c r="AE1936">
        <v>-0.215099999999978</v>
      </c>
      <c r="AF1936">
        <v>0.34017347036119899</v>
      </c>
      <c r="AG1936">
        <v>-1.1039780073659999</v>
      </c>
      <c r="AH1936">
        <v>19.865280597142299</v>
      </c>
      <c r="AI1936">
        <v>93.180374945884495</v>
      </c>
      <c r="AJ1936">
        <v>89.018961785437696</v>
      </c>
      <c r="AK1936">
        <v>19.898840635420999</v>
      </c>
      <c r="AL1936">
        <v>87.723780791360397</v>
      </c>
      <c r="AM1936">
        <v>90.4270680893231</v>
      </c>
      <c r="AN1936">
        <v>0.99999999122354499</v>
      </c>
    </row>
    <row r="1937" spans="1:40" x14ac:dyDescent="0.3">
      <c r="A1937" t="str">
        <f>"20200111153912212"</f>
        <v>20200111153912212</v>
      </c>
      <c r="B1937" t="str">
        <f>"1578728352202798"</f>
        <v>1578728352202798</v>
      </c>
      <c r="C1937" t="s">
        <v>40</v>
      </c>
      <c r="D1937">
        <v>5.0826269999999996</v>
      </c>
      <c r="E1937">
        <v>0.50940549999999996</v>
      </c>
      <c r="F1937" t="s">
        <v>55</v>
      </c>
      <c r="G1937">
        <v>-397.65410000000003</v>
      </c>
      <c r="H1937" s="1">
        <v>2.5363269999999999E-6</v>
      </c>
      <c r="I1937">
        <v>213.40889999999999</v>
      </c>
      <c r="J1937">
        <v>-417.9162</v>
      </c>
      <c r="K1937">
        <v>1.103996</v>
      </c>
      <c r="L1937">
        <v>213.65049999999999</v>
      </c>
      <c r="M1937">
        <v>0.99996379999999996</v>
      </c>
      <c r="N1937">
        <v>0</v>
      </c>
      <c r="O1937">
        <v>7.2799049999999997E-3</v>
      </c>
      <c r="P1937">
        <v>0.99921599999999999</v>
      </c>
      <c r="Q1937">
        <v>3.7831080000000003E-2</v>
      </c>
      <c r="R1937">
        <v>1.168453E-2</v>
      </c>
      <c r="S1937">
        <v>3.00827</v>
      </c>
      <c r="T1937">
        <v>-0.15977839999999999</v>
      </c>
      <c r="U1937">
        <v>-3.4439089999999999E-2</v>
      </c>
      <c r="V1937">
        <v>-4.5409689999999997E-3</v>
      </c>
      <c r="W1937">
        <v>4.2217879999999999E-2</v>
      </c>
      <c r="X1937">
        <v>0.99909809999999999</v>
      </c>
      <c r="Y1937">
        <v>1.8689979999999998E-2</v>
      </c>
      <c r="Z1937">
        <v>-8.8235339999999905E-4</v>
      </c>
      <c r="AA1937">
        <v>0.99982490000000002</v>
      </c>
      <c r="AB1937">
        <v>52</v>
      </c>
      <c r="AC1937">
        <v>20.262099999999901</v>
      </c>
      <c r="AD1937">
        <v>-1.103993463673</v>
      </c>
      <c r="AE1937">
        <v>-0.24160000000000501</v>
      </c>
      <c r="AF1937">
        <v>0.38794965526402703</v>
      </c>
      <c r="AG1937">
        <v>-1.103993463673</v>
      </c>
      <c r="AH1937">
        <v>20.199845773541899</v>
      </c>
      <c r="AI1937">
        <v>93.127730344345593</v>
      </c>
      <c r="AJ1937">
        <v>88.8997368684918</v>
      </c>
      <c r="AK1937">
        <v>20.2337113693393</v>
      </c>
      <c r="AL1937">
        <v>87.580374502714093</v>
      </c>
      <c r="AM1937">
        <v>90.2604114321352</v>
      </c>
      <c r="AN1937">
        <v>0.99999999160738096</v>
      </c>
    </row>
    <row r="1938" spans="1:40" x14ac:dyDescent="0.3">
      <c r="A1938" t="str">
        <f>"20200111153912234"</f>
        <v>20200111153912234</v>
      </c>
      <c r="B1938" t="str">
        <f>"1578728352223294"</f>
        <v>1578728352223294</v>
      </c>
      <c r="C1938" t="s">
        <v>40</v>
      </c>
      <c r="D1938">
        <v>5.2922440000000002</v>
      </c>
      <c r="E1938">
        <v>0.50932679999999997</v>
      </c>
      <c r="F1938" t="s">
        <v>55</v>
      </c>
      <c r="G1938">
        <v>-395.70030000000003</v>
      </c>
      <c r="H1938" s="1">
        <v>1.4966289999999999E-6</v>
      </c>
      <c r="I1938">
        <v>213.35480000000001</v>
      </c>
      <c r="J1938">
        <v>-417.40730000000002</v>
      </c>
      <c r="K1938">
        <v>1.1040209999999999</v>
      </c>
      <c r="L1938">
        <v>213.65440000000001</v>
      </c>
      <c r="M1938">
        <v>0.99995670000000003</v>
      </c>
      <c r="N1938">
        <v>0</v>
      </c>
      <c r="O1938">
        <v>8.2035279999999999E-3</v>
      </c>
      <c r="P1938">
        <v>0.99909680000000001</v>
      </c>
      <c r="Q1938">
        <v>4.1184390000000001E-2</v>
      </c>
      <c r="R1938">
        <v>1.0475750000000001E-2</v>
      </c>
      <c r="S1938">
        <v>3.0084840000000002</v>
      </c>
      <c r="T1938">
        <v>-0.14950339999999901</v>
      </c>
      <c r="U1938">
        <v>-4.0039060000000001E-2</v>
      </c>
      <c r="V1938">
        <v>-2.421065E-3</v>
      </c>
      <c r="W1938">
        <v>4.5602539999999997E-2</v>
      </c>
      <c r="X1938">
        <v>0.99895670000000003</v>
      </c>
      <c r="Y1938">
        <v>2.147336E-2</v>
      </c>
      <c r="Z1938">
        <v>-9.405975E-4</v>
      </c>
      <c r="AA1938">
        <v>0.99976900000000002</v>
      </c>
      <c r="AB1938">
        <v>52</v>
      </c>
      <c r="AC1938">
        <v>21.706999999999901</v>
      </c>
      <c r="AD1938">
        <v>-1.1040195033710001</v>
      </c>
      <c r="AE1938">
        <v>-0.29959999999999798</v>
      </c>
      <c r="AF1938">
        <v>0.47643344133472099</v>
      </c>
      <c r="AG1938">
        <v>-1.1040195033710001</v>
      </c>
      <c r="AH1938">
        <v>21.6478249840488</v>
      </c>
      <c r="AI1938">
        <v>92.918798011156696</v>
      </c>
      <c r="AJ1938">
        <v>88.739216556975805</v>
      </c>
      <c r="AK1938">
        <v>21.681194026802402</v>
      </c>
      <c r="AL1938">
        <v>87.386260393820507</v>
      </c>
      <c r="AM1938">
        <v>90.138861408937203</v>
      </c>
      <c r="AN1938">
        <v>0.999999970842537</v>
      </c>
    </row>
    <row r="1939" spans="1:40" x14ac:dyDescent="0.3">
      <c r="A1939" t="str">
        <f>"20200111153912257"</f>
        <v>20200111153912257</v>
      </c>
      <c r="B1939" t="str">
        <f>"1578728352253082"</f>
        <v>1578728352253082</v>
      </c>
      <c r="C1939" t="s">
        <v>40</v>
      </c>
      <c r="D1939">
        <v>5.3613470000000003</v>
      </c>
      <c r="E1939">
        <v>0.50923699999999905</v>
      </c>
      <c r="F1939" t="s">
        <v>55</v>
      </c>
      <c r="G1939">
        <v>-393.36739999999998</v>
      </c>
      <c r="H1939" s="1">
        <v>2.5519819999999999E-7</v>
      </c>
      <c r="I1939">
        <v>213.31100000000001</v>
      </c>
      <c r="J1939">
        <v>-416.863</v>
      </c>
      <c r="K1939">
        <v>1.1040430000000001</v>
      </c>
      <c r="L1939">
        <v>213.6592</v>
      </c>
      <c r="M1939">
        <v>0.9999479</v>
      </c>
      <c r="N1939">
        <v>0</v>
      </c>
      <c r="O1939">
        <v>9.1904489999999998E-3</v>
      </c>
      <c r="P1939">
        <v>0.99895780000000001</v>
      </c>
      <c r="Q1939">
        <v>4.4337149999999999E-2</v>
      </c>
      <c r="R1939">
        <v>1.085061E-2</v>
      </c>
      <c r="S1939">
        <v>3.0088499999999998</v>
      </c>
      <c r="T1939">
        <v>-0.13818039999999901</v>
      </c>
      <c r="U1939">
        <v>-4.2984010000000003E-2</v>
      </c>
      <c r="V1939">
        <v>-1.8215550000000001E-3</v>
      </c>
      <c r="W1939">
        <v>4.878379E-2</v>
      </c>
      <c r="X1939">
        <v>0.99880769999999997</v>
      </c>
      <c r="Y1939">
        <v>2.3439020000000001E-2</v>
      </c>
      <c r="Z1939">
        <v>-9.5973490000000005E-4</v>
      </c>
      <c r="AA1939">
        <v>0.99972479999999997</v>
      </c>
      <c r="AB1939">
        <v>52</v>
      </c>
      <c r="AC1939">
        <v>23.4956</v>
      </c>
      <c r="AD1939">
        <v>-1.1040427448018</v>
      </c>
      <c r="AE1939">
        <v>-0.34820000000001899</v>
      </c>
      <c r="AF1939">
        <v>0.56287997321363803</v>
      </c>
      <c r="AG1939">
        <v>-1.1040427448018</v>
      </c>
      <c r="AH1939">
        <v>23.439664173350302</v>
      </c>
      <c r="AI1939">
        <v>92.695946527782198</v>
      </c>
      <c r="AJ1939">
        <v>88.624363839197102</v>
      </c>
      <c r="AK1939">
        <v>23.472400831743599</v>
      </c>
      <c r="AL1939">
        <v>87.203784873274103</v>
      </c>
      <c r="AM1939">
        <v>90.104491883615694</v>
      </c>
      <c r="AN1939">
        <v>0.999999998904336</v>
      </c>
    </row>
    <row r="1940" spans="1:40" x14ac:dyDescent="0.3">
      <c r="A1940" t="str">
        <f>"20200111153912279"</f>
        <v>20200111153912279</v>
      </c>
      <c r="B1940" t="str">
        <f>"1578728352272600"</f>
        <v>1578728352272600</v>
      </c>
      <c r="C1940" t="s">
        <v>40</v>
      </c>
      <c r="D1940">
        <v>5.3089779999999998</v>
      </c>
      <c r="E1940">
        <v>0.53212119999999996</v>
      </c>
      <c r="F1940" t="s">
        <v>55</v>
      </c>
      <c r="G1940">
        <v>-390.24400000000003</v>
      </c>
      <c r="H1940" s="1">
        <v>-1.406968E-6</v>
      </c>
      <c r="I1940">
        <v>213.29220000000001</v>
      </c>
      <c r="J1940">
        <v>-416.35059999999999</v>
      </c>
      <c r="K1940">
        <v>1.10405</v>
      </c>
      <c r="L1940">
        <v>213.66419999999999</v>
      </c>
      <c r="M1940">
        <v>0.99993889999999996</v>
      </c>
      <c r="N1940">
        <v>0</v>
      </c>
      <c r="O1940">
        <v>1.0118240000000001E-2</v>
      </c>
      <c r="P1940">
        <v>0.9988766</v>
      </c>
      <c r="Q1940">
        <v>4.6165440000000002E-2</v>
      </c>
      <c r="R1940">
        <v>1.069935E-2</v>
      </c>
      <c r="S1940">
        <v>3.009125</v>
      </c>
      <c r="T1940">
        <v>-0.12480579999999999</v>
      </c>
      <c r="U1940">
        <v>-4.1488650000000002E-2</v>
      </c>
      <c r="V1940">
        <v>-7.5083279999999897E-4</v>
      </c>
      <c r="W1940">
        <v>5.0640200000000003E-2</v>
      </c>
      <c r="X1940">
        <v>0.99871670000000001</v>
      </c>
      <c r="Y1940">
        <v>2.3873760000000001E-2</v>
      </c>
      <c r="Z1940">
        <v>-9.1432320000000005E-4</v>
      </c>
      <c r="AA1940">
        <v>0.99971460000000001</v>
      </c>
      <c r="AB1940">
        <v>52</v>
      </c>
      <c r="AC1940">
        <v>26.106599999999901</v>
      </c>
      <c r="AD1940">
        <v>-1.1040514069679901</v>
      </c>
      <c r="AE1940">
        <v>-0.37199999999998501</v>
      </c>
      <c r="AF1940">
        <v>0.63500097854109006</v>
      </c>
      <c r="AG1940">
        <v>-1.1040514069679901</v>
      </c>
      <c r="AH1940">
        <v>26.054910965455601</v>
      </c>
      <c r="AI1940">
        <v>92.425681716865697</v>
      </c>
      <c r="AJ1940">
        <v>88.603884114538999</v>
      </c>
      <c r="AK1940">
        <v>26.086021949883399</v>
      </c>
      <c r="AL1940">
        <v>87.0972887892203</v>
      </c>
      <c r="AM1940">
        <v>90.043074820372098</v>
      </c>
      <c r="AN1940">
        <v>1.00000002023241</v>
      </c>
    </row>
    <row r="1941" spans="1:40" x14ac:dyDescent="0.3">
      <c r="A1941" t="str">
        <f>"20200111153912302"</f>
        <v>20200111153912302</v>
      </c>
      <c r="B1941" t="str">
        <f>"1578728352293097"</f>
        <v>1578728352293097</v>
      </c>
      <c r="C1941" t="s">
        <v>40</v>
      </c>
      <c r="D1941">
        <v>5.2349500000000004</v>
      </c>
      <c r="E1941">
        <v>0.532703699999999</v>
      </c>
      <c r="F1941" t="s">
        <v>55</v>
      </c>
      <c r="G1941">
        <v>-386.75380000000001</v>
      </c>
      <c r="H1941" s="1">
        <v>2.1950939999999998E-6</v>
      </c>
      <c r="I1941">
        <v>211.46279999999999</v>
      </c>
      <c r="J1941">
        <v>-415.81209999999999</v>
      </c>
      <c r="K1941">
        <v>1.104055</v>
      </c>
      <c r="L1941">
        <v>213.66990000000001</v>
      </c>
      <c r="M1941">
        <v>0.99992840000000005</v>
      </c>
      <c r="N1941">
        <v>0</v>
      </c>
      <c r="O1941">
        <v>1.1092350000000001E-2</v>
      </c>
      <c r="P1941">
        <v>0.99886699999999995</v>
      </c>
      <c r="Q1941">
        <v>4.6447460000000003E-2</v>
      </c>
      <c r="R1941">
        <v>1.0373790000000001E-2</v>
      </c>
      <c r="S1941">
        <v>3.0109560000000002</v>
      </c>
      <c r="T1941">
        <v>-0.1123174</v>
      </c>
      <c r="U1941">
        <v>-0.22395319999999999</v>
      </c>
      <c r="V1941">
        <v>5.460994E-4</v>
      </c>
      <c r="W1941">
        <v>5.0953079999999998E-2</v>
      </c>
      <c r="X1941">
        <v>0.9987009</v>
      </c>
      <c r="Y1941">
        <v>8.5165309999999994E-2</v>
      </c>
      <c r="Z1941">
        <v>-1.9988200000000001E-3</v>
      </c>
      <c r="AA1941">
        <v>0.99636480000000005</v>
      </c>
      <c r="AB1941">
        <v>52</v>
      </c>
      <c r="AC1941">
        <v>29.0582999999999</v>
      </c>
      <c r="AD1941">
        <v>-1.1040528049060001</v>
      </c>
      <c r="AE1941">
        <v>-2.20710000000002</v>
      </c>
      <c r="AF1941">
        <v>2.5256672179948501</v>
      </c>
      <c r="AG1941">
        <v>-1.1040528049060001</v>
      </c>
      <c r="AH1941">
        <v>28.9904202757963</v>
      </c>
      <c r="AI1941">
        <v>92.172740148631206</v>
      </c>
      <c r="AJ1941">
        <v>85.020920314979406</v>
      </c>
      <c r="AK1941">
        <v>29.1211674776163</v>
      </c>
      <c r="AL1941">
        <v>87.0793388571782</v>
      </c>
      <c r="AM1941">
        <v>89.968670111645906</v>
      </c>
      <c r="AN1941">
        <v>1.00000000112342</v>
      </c>
    </row>
    <row r="1942" spans="1:40" x14ac:dyDescent="0.3">
      <c r="A1942" t="str">
        <f>"20200111153912323"</f>
        <v>20200111153912323</v>
      </c>
      <c r="B1942" t="str">
        <f>"1578728352312617"</f>
        <v>1578728352312617</v>
      </c>
      <c r="C1942" t="s">
        <v>40</v>
      </c>
      <c r="D1942">
        <v>5.2866839999999904</v>
      </c>
      <c r="E1942">
        <v>0.53269829999999996</v>
      </c>
      <c r="F1942" t="s">
        <v>55</v>
      </c>
      <c r="G1942">
        <v>-387.24419999999998</v>
      </c>
      <c r="H1942" s="1">
        <v>2.4546089999999998E-6</v>
      </c>
      <c r="I1942">
        <v>211.4958</v>
      </c>
      <c r="J1942">
        <v>-415.31380000000001</v>
      </c>
      <c r="K1942">
        <v>1.1040559999999999</v>
      </c>
      <c r="L1942">
        <v>213.67570000000001</v>
      </c>
      <c r="M1942">
        <v>0.99991779999999997</v>
      </c>
      <c r="N1942">
        <v>0</v>
      </c>
      <c r="O1942">
        <v>1.1992549999999999E-2</v>
      </c>
      <c r="P1942">
        <v>0.9988766</v>
      </c>
      <c r="Q1942">
        <v>4.6250220000000002E-2</v>
      </c>
      <c r="R1942">
        <v>1.031763E-2</v>
      </c>
      <c r="S1942">
        <v>3.0112610000000002</v>
      </c>
      <c r="T1942">
        <v>-0.1163751</v>
      </c>
      <c r="U1942">
        <v>-0.22917180000000001</v>
      </c>
      <c r="V1942">
        <v>1.5016700000000001E-3</v>
      </c>
      <c r="W1942">
        <v>5.0783540000000002E-2</v>
      </c>
      <c r="X1942">
        <v>0.9987085</v>
      </c>
      <c r="Y1942">
        <v>8.7764049999999996E-2</v>
      </c>
      <c r="Z1942">
        <v>-2.1554949999999999E-3</v>
      </c>
      <c r="AA1942">
        <v>0.99613890000000005</v>
      </c>
      <c r="AB1942">
        <v>53</v>
      </c>
      <c r="AC1942">
        <v>28.069600000000001</v>
      </c>
      <c r="AD1942">
        <v>-1.1040535453910001</v>
      </c>
      <c r="AE1942">
        <v>-2.1798999999999999</v>
      </c>
      <c r="AF1942">
        <v>2.5125090715805798</v>
      </c>
      <c r="AG1942">
        <v>-1.1040535453910001</v>
      </c>
      <c r="AH1942">
        <v>27.9983829845835</v>
      </c>
      <c r="AI1942">
        <v>92.2491323676132</v>
      </c>
      <c r="AJ1942">
        <v>84.872146604688794</v>
      </c>
      <c r="AK1942">
        <v>28.132562731064599</v>
      </c>
      <c r="AL1942">
        <v>87.089065213713397</v>
      </c>
      <c r="AM1942">
        <v>89.913849448181395</v>
      </c>
      <c r="AN1942">
        <v>0.99999994545998305</v>
      </c>
    </row>
    <row r="1943" spans="1:40" x14ac:dyDescent="0.3">
      <c r="A1943" t="str">
        <f>"20200111153912346"</f>
        <v>20200111153912346</v>
      </c>
      <c r="B1943" t="str">
        <f>"1578728352342873"</f>
        <v>1578728352342873</v>
      </c>
      <c r="C1943" t="s">
        <v>40</v>
      </c>
      <c r="D1943">
        <v>5.3492069999999998</v>
      </c>
      <c r="E1943">
        <v>0.53322749999999997</v>
      </c>
      <c r="F1943" t="s">
        <v>55</v>
      </c>
      <c r="G1943">
        <v>-387.3365</v>
      </c>
      <c r="H1943" s="1">
        <v>2.5016069999999999E-6</v>
      </c>
      <c r="I1943">
        <v>211.5444</v>
      </c>
      <c r="J1943">
        <v>-414.77960000000002</v>
      </c>
      <c r="K1943">
        <v>1.104061</v>
      </c>
      <c r="L1943">
        <v>213.6824</v>
      </c>
      <c r="M1943">
        <v>0.99990579999999996</v>
      </c>
      <c r="N1943">
        <v>0</v>
      </c>
      <c r="O1943">
        <v>1.29564E-2</v>
      </c>
      <c r="P1943">
        <v>0.99892630000000004</v>
      </c>
      <c r="Q1943">
        <v>4.5229789999999999E-2</v>
      </c>
      <c r="R1943">
        <v>1.003945E-2</v>
      </c>
      <c r="S1943">
        <v>3.0112610000000002</v>
      </c>
      <c r="T1943">
        <v>-0.1188319</v>
      </c>
      <c r="U1943">
        <v>-0.22940060000000001</v>
      </c>
      <c r="V1943">
        <v>2.745759E-3</v>
      </c>
      <c r="W1943">
        <v>4.979393E-2</v>
      </c>
      <c r="X1943">
        <v>0.99875579999999997</v>
      </c>
      <c r="Y1943">
        <v>8.8794810000000002E-2</v>
      </c>
      <c r="Z1943">
        <v>-2.2592319999999999E-3</v>
      </c>
      <c r="AA1943">
        <v>0.99604740000000003</v>
      </c>
      <c r="AB1943">
        <v>53</v>
      </c>
      <c r="AC1943">
        <v>27.443100000000001</v>
      </c>
      <c r="AD1943">
        <v>-1.104058498393</v>
      </c>
      <c r="AE1943">
        <v>-2.1379999999999999</v>
      </c>
      <c r="AF1943">
        <v>2.4893831597792602</v>
      </c>
      <c r="AG1943">
        <v>-1.104058498393</v>
      </c>
      <c r="AH1943">
        <v>27.369065258359299</v>
      </c>
      <c r="AI1943">
        <v>92.300552790976795</v>
      </c>
      <c r="AJ1943">
        <v>84.8029003329586</v>
      </c>
      <c r="AK1943">
        <v>27.504212528272799</v>
      </c>
      <c r="AL1943">
        <v>87.145837859356504</v>
      </c>
      <c r="AM1943">
        <v>89.842484012688601</v>
      </c>
      <c r="AN1943">
        <v>1.00000006134548</v>
      </c>
    </row>
    <row r="1944" spans="1:40" x14ac:dyDescent="0.3">
      <c r="A1944" t="str">
        <f>"20200111153912369"</f>
        <v>20200111153912369</v>
      </c>
      <c r="B1944" t="str">
        <f>"1578728352362393"</f>
        <v>1578728352362393</v>
      </c>
      <c r="C1944" t="s">
        <v>40</v>
      </c>
      <c r="D1944">
        <v>5.3096719999999999</v>
      </c>
      <c r="E1944">
        <v>0.53350129999999996</v>
      </c>
      <c r="F1944" t="s">
        <v>55</v>
      </c>
      <c r="G1944">
        <v>-390.58460000000002</v>
      </c>
      <c r="H1944" s="1">
        <v>-1.2256970000000001E-6</v>
      </c>
      <c r="I1944">
        <v>211.79920000000001</v>
      </c>
      <c r="J1944">
        <v>-414.23169999999999</v>
      </c>
      <c r="K1944">
        <v>1.1040570000000001</v>
      </c>
      <c r="L1944">
        <v>213.68969999999999</v>
      </c>
      <c r="M1944">
        <v>0.99989240000000001</v>
      </c>
      <c r="N1944">
        <v>0</v>
      </c>
      <c r="O1944">
        <v>1.394398E-2</v>
      </c>
      <c r="P1944">
        <v>0.99899280000000001</v>
      </c>
      <c r="Q1944">
        <v>4.4004920000000003E-2</v>
      </c>
      <c r="R1944">
        <v>8.794985E-3</v>
      </c>
      <c r="S1944">
        <v>3.0117799999999999</v>
      </c>
      <c r="T1944">
        <v>-0.1374329</v>
      </c>
      <c r="U1944">
        <v>-0.23442080000000001</v>
      </c>
      <c r="V1944">
        <v>4.9807360000000004E-3</v>
      </c>
      <c r="W1944">
        <v>4.8603279999999999E-2</v>
      </c>
      <c r="X1944">
        <v>0.99880579999999997</v>
      </c>
      <c r="Y1944">
        <v>9.1385480000000005E-2</v>
      </c>
      <c r="Z1944">
        <v>-2.7158909999999998E-3</v>
      </c>
      <c r="AA1944">
        <v>0.99581189999999997</v>
      </c>
      <c r="AB1944">
        <v>53</v>
      </c>
      <c r="AC1944">
        <v>23.647099999999899</v>
      </c>
      <c r="AD1944">
        <v>-1.104058225697</v>
      </c>
      <c r="AE1944">
        <v>-1.8904999999999701</v>
      </c>
      <c r="AF1944">
        <v>2.2152560335994602</v>
      </c>
      <c r="AG1944">
        <v>-1.104058225697</v>
      </c>
      <c r="AH1944">
        <v>23.567392265023599</v>
      </c>
      <c r="AI1944">
        <v>92.670412199417399</v>
      </c>
      <c r="AJ1944">
        <v>84.630166130843307</v>
      </c>
      <c r="AK1944">
        <v>23.697009980873599</v>
      </c>
      <c r="AL1944">
        <v>87.214139777728803</v>
      </c>
      <c r="AM1944">
        <v>89.714286014136903</v>
      </c>
      <c r="AN1944">
        <v>1.0000000563357401</v>
      </c>
    </row>
    <row r="1945" spans="1:40" x14ac:dyDescent="0.3">
      <c r="A1945" t="str">
        <f>"20200111153912391"</f>
        <v>20200111153912391</v>
      </c>
      <c r="B1945" t="str">
        <f>"1578728352382889"</f>
        <v>1578728352382889</v>
      </c>
      <c r="C1945" t="s">
        <v>40</v>
      </c>
      <c r="D1945">
        <v>5.3456590000000004</v>
      </c>
      <c r="E1945">
        <v>0.53359760000000001</v>
      </c>
      <c r="F1945" t="s">
        <v>55</v>
      </c>
      <c r="G1945">
        <v>-391.68540000000002</v>
      </c>
      <c r="H1945" s="1">
        <v>-6.3989729999999995E-7</v>
      </c>
      <c r="I1945">
        <v>211.8905</v>
      </c>
      <c r="J1945">
        <v>-413.69529999999997</v>
      </c>
      <c r="K1945">
        <v>1.1040410000000001</v>
      </c>
      <c r="L1945">
        <v>213.69739999999999</v>
      </c>
      <c r="M1945">
        <v>0.99987820000000005</v>
      </c>
      <c r="N1945">
        <v>0</v>
      </c>
      <c r="O1945">
        <v>1.490968E-2</v>
      </c>
      <c r="P1945">
        <v>0.99911209999999995</v>
      </c>
      <c r="Q1945">
        <v>4.1346220000000003E-2</v>
      </c>
      <c r="R1945">
        <v>8.1108450000000002E-3</v>
      </c>
      <c r="S1945">
        <v>3.0115970000000001</v>
      </c>
      <c r="T1945">
        <v>-0.14747360000000001</v>
      </c>
      <c r="U1945">
        <v>-0.24032590000000001</v>
      </c>
      <c r="V1945">
        <v>6.6390809999999998E-3</v>
      </c>
      <c r="W1945">
        <v>4.5976940000000001E-2</v>
      </c>
      <c r="X1945">
        <v>0.99892040000000004</v>
      </c>
      <c r="Y1945">
        <v>9.4271030000000006E-2</v>
      </c>
      <c r="Z1945">
        <v>-3.0317310000000002E-3</v>
      </c>
      <c r="AA1945">
        <v>0.99554189999999998</v>
      </c>
      <c r="AB1945">
        <v>53</v>
      </c>
      <c r="AC1945">
        <v>22.009899999999899</v>
      </c>
      <c r="AD1945">
        <v>-1.1040416398973001</v>
      </c>
      <c r="AE1945">
        <v>-1.80689999999998</v>
      </c>
      <c r="AF1945">
        <v>2.12954085537522</v>
      </c>
      <c r="AG1945">
        <v>-1.1040416398973001</v>
      </c>
      <c r="AH1945">
        <v>21.9257139987104</v>
      </c>
      <c r="AI1945">
        <v>92.869143683627499</v>
      </c>
      <c r="AJ1945">
        <v>84.452532051808603</v>
      </c>
      <c r="AK1945">
        <v>22.056536141257201</v>
      </c>
      <c r="AL1945">
        <v>87.364786303037206</v>
      </c>
      <c r="AM1945">
        <v>89.619203171423393</v>
      </c>
      <c r="AN1945">
        <v>0.99999996097222299</v>
      </c>
    </row>
    <row r="1946" spans="1:40" x14ac:dyDescent="0.3">
      <c r="A1946" t="str">
        <f>"20200111153912412"</f>
        <v>20200111153912412</v>
      </c>
      <c r="B1946" t="str">
        <f>"1578728352402409"</f>
        <v>1578728352402409</v>
      </c>
      <c r="C1946" t="s">
        <v>40</v>
      </c>
      <c r="D1946">
        <v>5.3655819999999999</v>
      </c>
      <c r="E1946">
        <v>0.5335858</v>
      </c>
      <c r="F1946" t="s">
        <v>55</v>
      </c>
      <c r="G1946">
        <v>-392.93009999999998</v>
      </c>
      <c r="H1946" s="1">
        <v>2.2478449999999999E-8</v>
      </c>
      <c r="I1946">
        <v>212.02070000000001</v>
      </c>
      <c r="J1946">
        <v>-413.19979999999998</v>
      </c>
      <c r="K1946">
        <v>1.104023</v>
      </c>
      <c r="L1946">
        <v>213.70500000000001</v>
      </c>
      <c r="M1946">
        <v>0.99986439999999999</v>
      </c>
      <c r="N1946">
        <v>0</v>
      </c>
      <c r="O1946">
        <v>1.5800999999999999E-2</v>
      </c>
      <c r="P1946">
        <v>0.99922889999999998</v>
      </c>
      <c r="Q1946">
        <v>3.8442759999999999E-2</v>
      </c>
      <c r="R1946">
        <v>7.99536E-3</v>
      </c>
      <c r="S1946">
        <v>3.0112000000000001</v>
      </c>
      <c r="T1946">
        <v>-0.1600994</v>
      </c>
      <c r="U1946">
        <v>-0.2431488</v>
      </c>
      <c r="V1946">
        <v>7.6558249999999998E-3</v>
      </c>
      <c r="W1946">
        <v>4.3102090000000003E-2</v>
      </c>
      <c r="X1946">
        <v>0.99904130000000002</v>
      </c>
      <c r="Y1946">
        <v>9.6069020000000005E-2</v>
      </c>
      <c r="Z1946">
        <v>-3.3862279999999998E-3</v>
      </c>
      <c r="AA1946">
        <v>0.9953689</v>
      </c>
      <c r="AB1946">
        <v>53</v>
      </c>
      <c r="AC1946">
        <v>20.2697</v>
      </c>
      <c r="AD1946">
        <v>-1.10402297752155</v>
      </c>
      <c r="AE1946">
        <v>-1.6842999999999999</v>
      </c>
      <c r="AF1946">
        <v>1.99848660551934</v>
      </c>
      <c r="AG1946">
        <v>-1.10402297752155</v>
      </c>
      <c r="AH1946">
        <v>20.181096441463399</v>
      </c>
      <c r="AI1946">
        <v>93.116078767789503</v>
      </c>
      <c r="AJ1946">
        <v>84.344571966056805</v>
      </c>
      <c r="AK1946">
        <v>20.309836755301198</v>
      </c>
      <c r="AL1946">
        <v>87.529666760635394</v>
      </c>
      <c r="AM1946">
        <v>89.560941199221901</v>
      </c>
      <c r="AN1946">
        <v>0.99999996046224304</v>
      </c>
    </row>
    <row r="1947" spans="1:40" x14ac:dyDescent="0.3">
      <c r="A1947" t="str">
        <f>"20200111153912435"</f>
        <v>20200111153912435</v>
      </c>
      <c r="B1947" t="str">
        <f>"1578728352432665"</f>
        <v>1578728352432665</v>
      </c>
      <c r="C1947" t="s">
        <v>40</v>
      </c>
      <c r="D1947">
        <v>5.3513769999999896</v>
      </c>
      <c r="E1947">
        <v>0.53368280000000001</v>
      </c>
      <c r="F1947" t="s">
        <v>41</v>
      </c>
      <c r="G1947">
        <v>-412.41370000000001</v>
      </c>
      <c r="H1947">
        <v>1.0586500000000001</v>
      </c>
      <c r="I1947">
        <v>213.6412</v>
      </c>
      <c r="J1947">
        <v>-412.6703</v>
      </c>
      <c r="K1947">
        <v>1.104001</v>
      </c>
      <c r="L1947">
        <v>213.71360000000001</v>
      </c>
      <c r="M1947">
        <v>0.99984879999999998</v>
      </c>
      <c r="N1947">
        <v>0</v>
      </c>
      <c r="O1947">
        <v>1.6752220000000002E-2</v>
      </c>
      <c r="P1947">
        <v>0.99933470000000002</v>
      </c>
      <c r="Q1947">
        <v>3.5324090000000002E-2</v>
      </c>
      <c r="R1947">
        <v>9.0880370000000002E-3</v>
      </c>
      <c r="S1947">
        <v>3.0109859999999999</v>
      </c>
      <c r="T1947">
        <v>-0.17396349999999999</v>
      </c>
      <c r="U1947">
        <v>-0.24353030000000001</v>
      </c>
      <c r="V1947">
        <v>7.5250200000000003E-3</v>
      </c>
      <c r="W1947">
        <v>4.0010080000000003E-2</v>
      </c>
      <c r="X1947">
        <v>0.99917100000000003</v>
      </c>
      <c r="Y1947">
        <v>9.7115160000000006E-2</v>
      </c>
      <c r="Z1947">
        <v>-3.7642219999999998E-3</v>
      </c>
      <c r="AA1947">
        <v>0.99526599999999998</v>
      </c>
      <c r="AB1947">
        <v>53</v>
      </c>
      <c r="AC1947">
        <v>0.256599999999991</v>
      </c>
      <c r="AD1947">
        <v>-4.5350999999999898E-2</v>
      </c>
      <c r="AE1947">
        <v>-7.2400000000015993E-2</v>
      </c>
      <c r="AF1947">
        <v>7.4532068340586302E-2</v>
      </c>
      <c r="AG1947">
        <v>-4.5350999999999898E-2</v>
      </c>
      <c r="AH1947">
        <v>0.24817078599947801</v>
      </c>
      <c r="AI1947">
        <v>99.927275208132201</v>
      </c>
      <c r="AJ1947">
        <v>73.283636199470493</v>
      </c>
      <c r="AK1947">
        <v>0.26305984382973502</v>
      </c>
      <c r="AL1947">
        <v>87.706979357156101</v>
      </c>
      <c r="AM1947">
        <v>89.568498549903595</v>
      </c>
      <c r="AN1947">
        <v>1.0000000598343</v>
      </c>
    </row>
    <row r="1948" spans="1:40" x14ac:dyDescent="0.3">
      <c r="A1948" t="str">
        <f>"20200111153912459"</f>
        <v>20200111153912459</v>
      </c>
      <c r="B1948" t="str">
        <f>"1578728352452184"</f>
        <v>1578728352452184</v>
      </c>
      <c r="C1948" t="s">
        <v>40</v>
      </c>
      <c r="D1948">
        <v>5.3557589999999999</v>
      </c>
      <c r="E1948">
        <v>0.533856</v>
      </c>
      <c r="F1948" t="s">
        <v>41</v>
      </c>
      <c r="G1948">
        <v>-411.4753</v>
      </c>
      <c r="H1948">
        <v>1.029655</v>
      </c>
      <c r="I1948">
        <v>213.61770000000001</v>
      </c>
      <c r="J1948">
        <v>-412.10090000000002</v>
      </c>
      <c r="K1948">
        <v>1.103966</v>
      </c>
      <c r="L1948">
        <v>213.7235</v>
      </c>
      <c r="M1948">
        <v>0.99983109999999997</v>
      </c>
      <c r="N1948">
        <v>0</v>
      </c>
      <c r="O1948">
        <v>1.7773710000000002E-2</v>
      </c>
      <c r="P1948">
        <v>0.99942580000000003</v>
      </c>
      <c r="Q1948">
        <v>3.2182309999999999E-2</v>
      </c>
      <c r="R1948">
        <v>1.059481E-2</v>
      </c>
      <c r="S1948">
        <v>3.0108030000000001</v>
      </c>
      <c r="T1948">
        <v>-0.18742600000000001</v>
      </c>
      <c r="U1948">
        <v>-0.24101259999999999</v>
      </c>
      <c r="V1948">
        <v>7.0506340000000001E-3</v>
      </c>
      <c r="W1948">
        <v>3.6895789999999998E-2</v>
      </c>
      <c r="X1948">
        <v>0.99929420000000002</v>
      </c>
      <c r="Y1948">
        <v>9.7277260000000004E-2</v>
      </c>
      <c r="Z1948">
        <v>-4.1238359999999996E-3</v>
      </c>
      <c r="AA1948">
        <v>0.99524880000000004</v>
      </c>
      <c r="AB1948">
        <v>53</v>
      </c>
      <c r="AC1948">
        <v>0.62560000000001903</v>
      </c>
      <c r="AD1948">
        <v>-7.4311000000000002E-2</v>
      </c>
      <c r="AE1948">
        <v>-0.105799999999987</v>
      </c>
      <c r="AF1948">
        <v>0.115320762044286</v>
      </c>
      <c r="AG1948">
        <v>-7.4311000000000002E-2</v>
      </c>
      <c r="AH1948">
        <v>0.61518211188069905</v>
      </c>
      <c r="AI1948">
        <v>96.770864623383005</v>
      </c>
      <c r="AJ1948">
        <v>79.382673601143495</v>
      </c>
      <c r="AK1948">
        <v>0.63029360908823495</v>
      </c>
      <c r="AL1948">
        <v>87.885546935794395</v>
      </c>
      <c r="AM1948">
        <v>89.595749812387993</v>
      </c>
      <c r="AN1948">
        <v>0.99999995445658196</v>
      </c>
    </row>
    <row r="1949" spans="1:40" x14ac:dyDescent="0.3">
      <c r="A1949" t="str">
        <f>"20200111153912480"</f>
        <v>20200111153912480</v>
      </c>
      <c r="B1949" t="str">
        <f>"1578728352472681"</f>
        <v>1578728352472681</v>
      </c>
      <c r="C1949" t="s">
        <v>40</v>
      </c>
      <c r="D1949">
        <v>5.3480780000000001</v>
      </c>
      <c r="E1949">
        <v>0.53362549999999997</v>
      </c>
      <c r="F1949" t="s">
        <v>41</v>
      </c>
      <c r="G1949">
        <v>-410.99459999999999</v>
      </c>
      <c r="H1949">
        <v>1.0315449999999999</v>
      </c>
      <c r="I1949">
        <v>213.63589999999999</v>
      </c>
      <c r="J1949">
        <v>-411.58120000000002</v>
      </c>
      <c r="K1949">
        <v>1.1039399999999999</v>
      </c>
      <c r="L1949">
        <v>213.733</v>
      </c>
      <c r="M1949">
        <v>0.99981390000000003</v>
      </c>
      <c r="N1949">
        <v>0</v>
      </c>
      <c r="O1949">
        <v>1.870496E-2</v>
      </c>
      <c r="P1949">
        <v>0.99948979999999998</v>
      </c>
      <c r="Q1949">
        <v>2.8856719999999999E-2</v>
      </c>
      <c r="R1949">
        <v>1.3693769999999999E-2</v>
      </c>
      <c r="S1949">
        <v>3.0106199999999999</v>
      </c>
      <c r="T1949">
        <v>-0.19718620000000001</v>
      </c>
      <c r="U1949">
        <v>-0.23802190000000001</v>
      </c>
      <c r="V1949">
        <v>4.8945949999999998E-3</v>
      </c>
      <c r="W1949">
        <v>3.3589550000000003E-2</v>
      </c>
      <c r="X1949">
        <v>0.99942370000000003</v>
      </c>
      <c r="Y1949">
        <v>9.7201120000000002E-2</v>
      </c>
      <c r="Z1949">
        <v>-4.3969320000000001E-3</v>
      </c>
      <c r="AA1949">
        <v>0.99525509999999995</v>
      </c>
      <c r="AB1949">
        <v>54</v>
      </c>
      <c r="AC1949">
        <v>0.58660000000003198</v>
      </c>
      <c r="AD1949">
        <v>-7.2394999999999696E-2</v>
      </c>
      <c r="AE1949">
        <v>-9.7100000000011705E-2</v>
      </c>
      <c r="AF1949">
        <v>0.106476947611946</v>
      </c>
      <c r="AG1949">
        <v>-7.2394999999999696E-2</v>
      </c>
      <c r="AH1949">
        <v>0.57613985137450996</v>
      </c>
      <c r="AI1949">
        <v>97.043924695193397</v>
      </c>
      <c r="AJ1949">
        <v>79.529256071406493</v>
      </c>
      <c r="AK1949">
        <v>0.59035201764675904</v>
      </c>
      <c r="AL1949">
        <v>88.075098418282494</v>
      </c>
      <c r="AM1949">
        <v>89.719400896865295</v>
      </c>
      <c r="AN1949">
        <v>0.99999997352555203</v>
      </c>
    </row>
    <row r="1950" spans="1:40" x14ac:dyDescent="0.3">
      <c r="A1950" t="str">
        <f>"20200111153912502"</f>
        <v>20200111153912502</v>
      </c>
      <c r="B1950" t="str">
        <f>"1578728352492200"</f>
        <v>1578728352492200</v>
      </c>
      <c r="C1950" t="s">
        <v>40</v>
      </c>
      <c r="D1950">
        <v>5.2841879999999897</v>
      </c>
      <c r="E1950">
        <v>0.5038205</v>
      </c>
      <c r="F1950" t="s">
        <v>41</v>
      </c>
      <c r="G1950">
        <v>-410.5138</v>
      </c>
      <c r="H1950">
        <v>1.0310079999999999</v>
      </c>
      <c r="I1950">
        <v>213.65209999999999</v>
      </c>
      <c r="J1950">
        <v>-411.03460000000001</v>
      </c>
      <c r="K1950">
        <v>1.103915</v>
      </c>
      <c r="L1950">
        <v>213.74340000000001</v>
      </c>
      <c r="M1950">
        <v>0.99979510000000005</v>
      </c>
      <c r="N1950">
        <v>0</v>
      </c>
      <c r="O1950">
        <v>1.968145E-2</v>
      </c>
      <c r="P1950">
        <v>0.99948650000000006</v>
      </c>
      <c r="Q1950">
        <v>2.6536290000000001E-2</v>
      </c>
      <c r="R1950">
        <v>1.7971379999999999E-2</v>
      </c>
      <c r="S1950">
        <v>3.0105590000000002</v>
      </c>
      <c r="T1950">
        <v>-0.2058296</v>
      </c>
      <c r="U1950">
        <v>-0.2274323</v>
      </c>
      <c r="V1950">
        <v>1.6011329999999901E-3</v>
      </c>
      <c r="W1950">
        <v>3.12862E-2</v>
      </c>
      <c r="X1950">
        <v>0.99950919999999999</v>
      </c>
      <c r="Y1950">
        <v>9.4675809999999999E-2</v>
      </c>
      <c r="Z1950">
        <v>-4.5704300000000003E-3</v>
      </c>
      <c r="AA1950">
        <v>0.99549759999999998</v>
      </c>
      <c r="AB1950">
        <v>54</v>
      </c>
      <c r="AC1950">
        <v>0.52080000000000803</v>
      </c>
      <c r="AD1950">
        <v>-7.2907E-2</v>
      </c>
      <c r="AE1950">
        <v>-9.1300000000018103E-2</v>
      </c>
      <c r="AF1950">
        <v>9.9638110213311301E-2</v>
      </c>
      <c r="AG1950">
        <v>-7.2907E-2</v>
      </c>
      <c r="AH1950">
        <v>0.50922037963550704</v>
      </c>
      <c r="AI1950">
        <v>97.998226243554697</v>
      </c>
      <c r="AJ1950">
        <v>78.928926583435498</v>
      </c>
      <c r="AK1950">
        <v>0.52397383397647801</v>
      </c>
      <c r="AL1950">
        <v>88.207140246425993</v>
      </c>
      <c r="AM1950">
        <v>89.908216867970694</v>
      </c>
      <c r="AN1950">
        <v>1.00000001541098</v>
      </c>
    </row>
    <row r="1951" spans="1:40" x14ac:dyDescent="0.3">
      <c r="A1951" t="str">
        <f>"20200111153912570"</f>
        <v>20200111153912570</v>
      </c>
      <c r="B1951" t="str">
        <f>"1578728352562472"</f>
        <v>1578728352562472</v>
      </c>
      <c r="C1951" t="s">
        <v>40</v>
      </c>
      <c r="D1951">
        <v>5.2965839999999904</v>
      </c>
      <c r="E1951">
        <v>0.49702420000000003</v>
      </c>
      <c r="F1951" t="s">
        <v>41</v>
      </c>
      <c r="G1951">
        <v>-409.06420000000003</v>
      </c>
      <c r="H1951">
        <v>1.031498</v>
      </c>
      <c r="I1951">
        <v>213.79759999999999</v>
      </c>
      <c r="J1951">
        <v>-409.40410000000003</v>
      </c>
      <c r="K1951">
        <v>1.1038380000000001</v>
      </c>
      <c r="L1951">
        <v>213.77760000000001</v>
      </c>
      <c r="M1951">
        <v>0.99973579999999995</v>
      </c>
      <c r="N1951">
        <v>0</v>
      </c>
      <c r="O1951">
        <v>2.247876E-2</v>
      </c>
      <c r="P1951">
        <v>0.99943249999999995</v>
      </c>
      <c r="Q1951">
        <v>2.1680109999999999E-2</v>
      </c>
      <c r="R1951">
        <v>2.5789289999999999E-2</v>
      </c>
      <c r="S1951">
        <v>3.0047609999999998</v>
      </c>
      <c r="T1951">
        <v>-0.24460979999999999</v>
      </c>
      <c r="U1951">
        <v>0.10803219999999999</v>
      </c>
      <c r="V1951">
        <v>-3.4018109999999998E-3</v>
      </c>
      <c r="W1951">
        <v>2.6493610000000001E-2</v>
      </c>
      <c r="X1951">
        <v>0.99964319999999895</v>
      </c>
      <c r="Y1951">
        <v>-1.348658E-2</v>
      </c>
      <c r="Z1951">
        <v>-1.2781789999999999E-3</v>
      </c>
      <c r="AA1951">
        <v>0.99990820000000002</v>
      </c>
      <c r="AB1951">
        <v>54</v>
      </c>
      <c r="AC1951">
        <v>0.33989999999999998</v>
      </c>
      <c r="AD1951">
        <v>-7.2339999999999793E-2</v>
      </c>
      <c r="AE1951">
        <v>1.99999999999818E-2</v>
      </c>
      <c r="AF1951">
        <v>-1.1820748886661301E-2</v>
      </c>
      <c r="AG1951">
        <v>-7.2339999999999793E-2</v>
      </c>
      <c r="AH1951">
        <v>0.325567828653197</v>
      </c>
      <c r="AI1951">
        <v>102.51940891832901</v>
      </c>
      <c r="AJ1951">
        <v>92.079387407077405</v>
      </c>
      <c r="AK1951">
        <v>0.33371727069212198</v>
      </c>
      <c r="AL1951">
        <v>88.481850334862898</v>
      </c>
      <c r="AM1951">
        <v>90.194978228850403</v>
      </c>
      <c r="AN1951">
        <v>1.00000000549757</v>
      </c>
    </row>
    <row r="1952" spans="1:40" x14ac:dyDescent="0.3">
      <c r="A1952" t="str">
        <f>"20200111153912591"</f>
        <v>20200111153912591</v>
      </c>
      <c r="B1952" t="str">
        <f>"1578728352582969"</f>
        <v>1578728352582969</v>
      </c>
      <c r="C1952" t="s">
        <v>40</v>
      </c>
      <c r="D1952">
        <v>5.3117599999999996</v>
      </c>
      <c r="E1952">
        <v>0.49806339999999999</v>
      </c>
      <c r="F1952" t="s">
        <v>41</v>
      </c>
      <c r="G1952">
        <v>-408.57679999999999</v>
      </c>
      <c r="H1952">
        <v>1.034214</v>
      </c>
      <c r="I1952">
        <v>213.80529999999999</v>
      </c>
      <c r="J1952">
        <v>-408.88639999999998</v>
      </c>
      <c r="K1952">
        <v>1.1038300000000001</v>
      </c>
      <c r="L1952">
        <v>213.7894</v>
      </c>
      <c r="M1952">
        <v>0.99971679999999996</v>
      </c>
      <c r="N1952">
        <v>0</v>
      </c>
      <c r="O1952">
        <v>2.3299919999999998E-2</v>
      </c>
      <c r="P1952">
        <v>0.99942200000000003</v>
      </c>
      <c r="Q1952">
        <v>2.2882690000000001E-2</v>
      </c>
      <c r="R1952">
        <v>2.5147599999999999E-2</v>
      </c>
      <c r="S1952">
        <v>3.0046080000000002</v>
      </c>
      <c r="T1952">
        <v>-0.2530596</v>
      </c>
      <c r="U1952">
        <v>0.1015778</v>
      </c>
      <c r="V1952">
        <v>-1.941712E-3</v>
      </c>
      <c r="W1952">
        <v>2.772531E-2</v>
      </c>
      <c r="X1952">
        <v>0.99961369999999905</v>
      </c>
      <c r="Y1952">
        <v>-1.0537080000000001E-2</v>
      </c>
      <c r="Z1952">
        <v>-1.5152550000000001E-3</v>
      </c>
      <c r="AA1952">
        <v>0.99994329999999998</v>
      </c>
      <c r="AB1952">
        <v>54</v>
      </c>
      <c r="AC1952">
        <v>0.309599999999989</v>
      </c>
      <c r="AD1952">
        <v>-6.96159999999999E-2</v>
      </c>
      <c r="AE1952">
        <v>1.5899999999987799E-2</v>
      </c>
      <c r="AF1952">
        <v>-8.2651482008959994E-3</v>
      </c>
      <c r="AG1952">
        <v>-6.96159999999999E-2</v>
      </c>
      <c r="AH1952">
        <v>0.29500965548183899</v>
      </c>
      <c r="AI1952">
        <v>103.272657628323</v>
      </c>
      <c r="AJ1952">
        <v>91.604809387627498</v>
      </c>
      <c r="AK1952">
        <v>0.30322499395382302</v>
      </c>
      <c r="AL1952">
        <v>88.411253173677096</v>
      </c>
      <c r="AM1952">
        <v>90.111294755870603</v>
      </c>
      <c r="AN1952">
        <v>1.0000000061438801</v>
      </c>
    </row>
    <row r="1953" spans="1:40" x14ac:dyDescent="0.3">
      <c r="A1953" t="str">
        <f>"20200111153912614"</f>
        <v>20200111153912614</v>
      </c>
      <c r="B1953" t="str">
        <f>"1578728352602489"</f>
        <v>1578728352602489</v>
      </c>
      <c r="C1953" t="s">
        <v>40</v>
      </c>
      <c r="D1953">
        <v>5.347232</v>
      </c>
      <c r="E1953">
        <v>0.49897999999999998</v>
      </c>
      <c r="F1953" t="s">
        <v>41</v>
      </c>
      <c r="G1953">
        <v>-408.0872</v>
      </c>
      <c r="H1953">
        <v>1.0381339999999999</v>
      </c>
      <c r="I1953">
        <v>213.81370000000001</v>
      </c>
      <c r="J1953">
        <v>-408.33440000000002</v>
      </c>
      <c r="K1953">
        <v>1.1038269999999999</v>
      </c>
      <c r="L1953">
        <v>213.8023</v>
      </c>
      <c r="M1953">
        <v>0.99969730000000001</v>
      </c>
      <c r="N1953">
        <v>0</v>
      </c>
      <c r="O1953">
        <v>2.412021E-2</v>
      </c>
      <c r="P1953">
        <v>0.99938159999999998</v>
      </c>
      <c r="Q1953">
        <v>2.7320520000000001E-2</v>
      </c>
      <c r="R1953">
        <v>2.2150300000000001E-2</v>
      </c>
      <c r="S1953">
        <v>3.0050659999999998</v>
      </c>
      <c r="T1953">
        <v>-0.24705759999999999</v>
      </c>
      <c r="U1953">
        <v>9.2010499999999995E-2</v>
      </c>
      <c r="V1953">
        <v>1.862292E-3</v>
      </c>
      <c r="W1953">
        <v>3.2201269999999997E-2</v>
      </c>
      <c r="X1953">
        <v>0.99947969999999997</v>
      </c>
      <c r="Y1953">
        <v>-6.5452409999999898E-3</v>
      </c>
      <c r="Z1953">
        <v>-1.710369E-3</v>
      </c>
      <c r="AA1953">
        <v>0.99997709999999995</v>
      </c>
      <c r="AB1953">
        <v>54</v>
      </c>
      <c r="AC1953">
        <v>0.24720000000001999</v>
      </c>
      <c r="AD1953">
        <v>-6.5693000000000001E-2</v>
      </c>
      <c r="AE1953">
        <v>1.14000000000089E-2</v>
      </c>
      <c r="AF1953">
        <v>-5.07635469706682E-3</v>
      </c>
      <c r="AG1953">
        <v>-6.5693000000000001E-2</v>
      </c>
      <c r="AH1953">
        <v>0.23111578574403699</v>
      </c>
      <c r="AI1953">
        <v>105.863785596501</v>
      </c>
      <c r="AJ1953">
        <v>91.258273807429305</v>
      </c>
      <c r="AK1953">
        <v>0.240324459941335</v>
      </c>
      <c r="AL1953">
        <v>88.154684188219704</v>
      </c>
      <c r="AM1953">
        <v>89.893243106046796</v>
      </c>
      <c r="AN1953">
        <v>1.0000000303165899</v>
      </c>
    </row>
    <row r="1954" spans="1:40" x14ac:dyDescent="0.3">
      <c r="A1954" t="str">
        <f>"20200111153912638"</f>
        <v>20200111153912638</v>
      </c>
      <c r="B1954" t="str">
        <f>"1578728352632745"</f>
        <v>1578728352632745</v>
      </c>
      <c r="C1954" t="s">
        <v>40</v>
      </c>
      <c r="D1954">
        <v>5.359534</v>
      </c>
      <c r="E1954">
        <v>0.50009159999999997</v>
      </c>
      <c r="F1954" t="s">
        <v>41</v>
      </c>
      <c r="G1954">
        <v>-407.58909999999997</v>
      </c>
      <c r="H1954">
        <v>1.0464690000000001</v>
      </c>
      <c r="I1954">
        <v>213.82069999999999</v>
      </c>
      <c r="J1954">
        <v>-407.76249999999999</v>
      </c>
      <c r="K1954">
        <v>1.1038049999999999</v>
      </c>
      <c r="L1954">
        <v>213.81620000000001</v>
      </c>
      <c r="M1954">
        <v>0.99967810000000001</v>
      </c>
      <c r="N1954">
        <v>0</v>
      </c>
      <c r="O1954">
        <v>2.489266E-2</v>
      </c>
      <c r="P1954">
        <v>0.99929699999999999</v>
      </c>
      <c r="Q1954">
        <v>3.1578910000000002E-2</v>
      </c>
      <c r="R1954">
        <v>2.021003E-2</v>
      </c>
      <c r="S1954">
        <v>3.0064700000000002</v>
      </c>
      <c r="T1954">
        <v>-0.2316482</v>
      </c>
      <c r="U1954">
        <v>7.5897220000000001E-2</v>
      </c>
      <c r="V1954">
        <v>4.5637009999999999E-3</v>
      </c>
      <c r="W1954">
        <v>3.6493610000000003E-2</v>
      </c>
      <c r="X1954">
        <v>0.99932350000000003</v>
      </c>
      <c r="Y1954">
        <v>-4.1621900000000001E-4</v>
      </c>
      <c r="Z1954">
        <v>-1.8985510000000001E-3</v>
      </c>
      <c r="AA1954">
        <v>0.9999981</v>
      </c>
      <c r="AB1954">
        <v>55</v>
      </c>
      <c r="AC1954">
        <v>0.17340000000001499</v>
      </c>
      <c r="AD1954">
        <v>-5.7335999999999797E-2</v>
      </c>
      <c r="AE1954">
        <v>4.4999999999788499E-3</v>
      </c>
      <c r="AF1954">
        <v>-1.6422324108028699E-4</v>
      </c>
      <c r="AG1954">
        <v>-5.7335999999999797E-2</v>
      </c>
      <c r="AH1954">
        <v>0.156372867633325</v>
      </c>
      <c r="AI1954">
        <v>110.136061272012</v>
      </c>
      <c r="AJ1954">
        <v>90.060172172417197</v>
      </c>
      <c r="AK1954">
        <v>0.16655304739674501</v>
      </c>
      <c r="AL1954">
        <v>87.908605850196395</v>
      </c>
      <c r="AM1954">
        <v>89.7383440012119</v>
      </c>
      <c r="AN1954">
        <v>1.00000003429494</v>
      </c>
    </row>
    <row r="1955" spans="1:40" x14ac:dyDescent="0.3">
      <c r="A1955" t="str">
        <f>"20200111153912659"</f>
        <v>20200111153912659</v>
      </c>
      <c r="B1955" t="str">
        <f>"1578728352652265"</f>
        <v>1578728352652265</v>
      </c>
      <c r="C1955" t="s">
        <v>40</v>
      </c>
      <c r="D1955">
        <v>5.3509919999999997</v>
      </c>
      <c r="E1955">
        <v>0.50050699999999904</v>
      </c>
      <c r="F1955" t="s">
        <v>41</v>
      </c>
      <c r="G1955">
        <v>-406.62759999999997</v>
      </c>
      <c r="H1955">
        <v>1.022607</v>
      </c>
      <c r="I1955">
        <v>213.83860000000001</v>
      </c>
      <c r="J1955">
        <v>-407.23200000000003</v>
      </c>
      <c r="K1955">
        <v>1.103766</v>
      </c>
      <c r="L1955">
        <v>213.8295</v>
      </c>
      <c r="M1955">
        <v>0.99966169999999999</v>
      </c>
      <c r="N1955">
        <v>0</v>
      </c>
      <c r="O1955">
        <v>2.5539019999999999E-2</v>
      </c>
      <c r="P1955">
        <v>0.99922820000000001</v>
      </c>
      <c r="Q1955">
        <v>3.4083229999999999E-2</v>
      </c>
      <c r="R1955">
        <v>1.9531179999999999E-2</v>
      </c>
      <c r="S1955">
        <v>3.0076900000000002</v>
      </c>
      <c r="T1955">
        <v>-0.21543180000000001</v>
      </c>
      <c r="U1955">
        <v>6.0409549999999999E-2</v>
      </c>
      <c r="V1955">
        <v>5.8841980000000002E-3</v>
      </c>
      <c r="W1955">
        <v>3.9026190000000002E-2</v>
      </c>
      <c r="X1955">
        <v>0.99922080000000002</v>
      </c>
      <c r="Y1955">
        <v>5.3805950000000002E-3</v>
      </c>
      <c r="Z1955">
        <v>-2.018948E-3</v>
      </c>
      <c r="AA1955">
        <v>0.99998350000000003</v>
      </c>
      <c r="AB1955">
        <v>55</v>
      </c>
      <c r="AC1955">
        <v>0.60439999999999805</v>
      </c>
      <c r="AD1955">
        <v>-8.1158999999999898E-2</v>
      </c>
      <c r="AE1955">
        <v>9.1000000000178698E-3</v>
      </c>
      <c r="AF1955">
        <v>6.2266898580705197E-3</v>
      </c>
      <c r="AG1955">
        <v>-8.1158999999999898E-2</v>
      </c>
      <c r="AH1955">
        <v>0.59373199370835805</v>
      </c>
      <c r="AI1955">
        <v>97.783268377817905</v>
      </c>
      <c r="AJ1955">
        <v>89.399139722439301</v>
      </c>
      <c r="AK1955">
        <v>0.59928560411584297</v>
      </c>
      <c r="AL1955">
        <v>87.763395895998499</v>
      </c>
      <c r="AM1955">
        <v>89.662601284709197</v>
      </c>
      <c r="AN1955">
        <v>0.99999993722232705</v>
      </c>
    </row>
    <row r="1956" spans="1:40" x14ac:dyDescent="0.3">
      <c r="A1956" t="str">
        <f>"20200111153912683"</f>
        <v>20200111153912683</v>
      </c>
      <c r="B1956" t="str">
        <f>"1578728352672761"</f>
        <v>1578728352672761</v>
      </c>
      <c r="C1956" t="s">
        <v>40</v>
      </c>
      <c r="D1956">
        <v>5.0797739999999996</v>
      </c>
      <c r="E1956">
        <v>0.5007355</v>
      </c>
      <c r="F1956" t="s">
        <v>41</v>
      </c>
      <c r="G1956">
        <v>-406.13310000000001</v>
      </c>
      <c r="H1956">
        <v>1.028437</v>
      </c>
      <c r="I1956">
        <v>213.8494</v>
      </c>
      <c r="J1956">
        <v>-406.66300000000001</v>
      </c>
      <c r="K1956">
        <v>1.103712</v>
      </c>
      <c r="L1956">
        <v>213.84399999999999</v>
      </c>
      <c r="M1956">
        <v>0.99964560000000002</v>
      </c>
      <c r="N1956">
        <v>0</v>
      </c>
      <c r="O1956">
        <v>2.6160909999999999E-2</v>
      </c>
      <c r="P1956">
        <v>0.99919690000000005</v>
      </c>
      <c r="Q1956">
        <v>3.5122680000000003E-2</v>
      </c>
      <c r="R1956">
        <v>1.92967E-2</v>
      </c>
      <c r="S1956">
        <v>3.0083009999999999</v>
      </c>
      <c r="T1956">
        <v>-0.20621100000000001</v>
      </c>
      <c r="U1956">
        <v>5.4290770000000002E-2</v>
      </c>
      <c r="V1956">
        <v>6.7428560000000002E-3</v>
      </c>
      <c r="W1956">
        <v>4.0094419999999999E-2</v>
      </c>
      <c r="X1956">
        <v>0.99917319999999998</v>
      </c>
      <c r="Y1956">
        <v>8.0388869999999998E-3</v>
      </c>
      <c r="Z1956">
        <v>-2.0659530000000001E-3</v>
      </c>
      <c r="AA1956">
        <v>0.99996549999999995</v>
      </c>
      <c r="AB1956">
        <v>55</v>
      </c>
      <c r="AC1956">
        <v>0.52989999999999704</v>
      </c>
      <c r="AD1956">
        <v>-7.5274999999999898E-2</v>
      </c>
      <c r="AE1956">
        <v>5.3999999999802999E-3</v>
      </c>
      <c r="AF1956">
        <v>8.2972642112417797E-3</v>
      </c>
      <c r="AG1956">
        <v>-7.5274999999999898E-2</v>
      </c>
      <c r="AH1956">
        <v>0.51938008376736899</v>
      </c>
      <c r="AI1956">
        <v>98.245555891514499</v>
      </c>
      <c r="AJ1956">
        <v>89.084759312909895</v>
      </c>
      <c r="AK1956">
        <v>0.52487221457473898</v>
      </c>
      <c r="AL1956">
        <v>87.702143142201805</v>
      </c>
      <c r="AM1956">
        <v>89.613348990897606</v>
      </c>
      <c r="AN1956">
        <v>1.0000000561102</v>
      </c>
    </row>
    <row r="1957" spans="1:40" x14ac:dyDescent="0.3">
      <c r="A1957" t="str">
        <f>"20200111153912706"</f>
        <v>20200111153912706</v>
      </c>
      <c r="B1957" t="str">
        <f>"1578728352703017"</f>
        <v>1578728352703017</v>
      </c>
      <c r="C1957" t="s">
        <v>40</v>
      </c>
      <c r="D1957">
        <v>5.3892740000000003</v>
      </c>
      <c r="E1957">
        <v>0.50050410000000001</v>
      </c>
      <c r="F1957" t="s">
        <v>41</v>
      </c>
      <c r="G1957">
        <v>-405.63709999999998</v>
      </c>
      <c r="H1957">
        <v>1.034843</v>
      </c>
      <c r="I1957">
        <v>213.8614</v>
      </c>
      <c r="J1957">
        <v>-406.06180000000001</v>
      </c>
      <c r="K1957">
        <v>1.103639</v>
      </c>
      <c r="L1957">
        <v>213.8597</v>
      </c>
      <c r="M1957">
        <v>0.99963020000000002</v>
      </c>
      <c r="N1957">
        <v>0</v>
      </c>
      <c r="O1957">
        <v>2.6734049999999999E-2</v>
      </c>
      <c r="P1957">
        <v>0.99912939999999995</v>
      </c>
      <c r="Q1957">
        <v>3.6186139999999999E-2</v>
      </c>
      <c r="R1957">
        <v>2.0767339999999999E-2</v>
      </c>
      <c r="S1957">
        <v>3.0085449999999998</v>
      </c>
      <c r="T1957">
        <v>-0.20202919999999999</v>
      </c>
      <c r="U1957">
        <v>5.155945E-2</v>
      </c>
      <c r="V1957">
        <v>5.8483060000000002E-3</v>
      </c>
      <c r="W1957">
        <v>4.1183099999999903E-2</v>
      </c>
      <c r="X1957">
        <v>0.99913450000000004</v>
      </c>
      <c r="Y1957">
        <v>9.5198239999999996E-3</v>
      </c>
      <c r="Z1957">
        <v>-2.1121030000000002E-3</v>
      </c>
      <c r="AA1957">
        <v>0.99995239999999996</v>
      </c>
      <c r="AB1957">
        <v>55</v>
      </c>
      <c r="AC1957">
        <v>0.424700000000029</v>
      </c>
      <c r="AD1957">
        <v>-6.8795999999999996E-2</v>
      </c>
      <c r="AE1957">
        <v>1.6999999999995901E-3</v>
      </c>
      <c r="AF1957">
        <v>9.4078424833891599E-3</v>
      </c>
      <c r="AG1957">
        <v>-6.8795999999999996E-2</v>
      </c>
      <c r="AH1957">
        <v>0.413737402929023</v>
      </c>
      <c r="AI1957">
        <v>99.4383350394735</v>
      </c>
      <c r="AJ1957">
        <v>88.697394066166495</v>
      </c>
      <c r="AK1957">
        <v>0.419523581814712</v>
      </c>
      <c r="AL1957">
        <v>87.6397146684847</v>
      </c>
      <c r="AM1957">
        <v>89.664630313226596</v>
      </c>
      <c r="AN1957">
        <v>0.99999999974946396</v>
      </c>
    </row>
    <row r="1958" spans="1:40" x14ac:dyDescent="0.3">
      <c r="A1958" t="str">
        <f>"20200111153912773"</f>
        <v>20200111153912773</v>
      </c>
      <c r="B1958" t="str">
        <f>"1578728352762554"</f>
        <v>1578728352762554</v>
      </c>
      <c r="C1958" t="s">
        <v>40</v>
      </c>
      <c r="D1958">
        <v>5.4128990000000003</v>
      </c>
      <c r="E1958">
        <v>0.50030759999999996</v>
      </c>
      <c r="F1958" t="s">
        <v>55</v>
      </c>
      <c r="G1958">
        <v>-387.13130000000001</v>
      </c>
      <c r="H1958" s="1">
        <v>2.2709350000000001E-6</v>
      </c>
      <c r="I1958">
        <v>214.32380000000001</v>
      </c>
      <c r="J1958">
        <v>-404.41239999999999</v>
      </c>
      <c r="K1958">
        <v>1.103343</v>
      </c>
      <c r="L1958">
        <v>213.90430000000001</v>
      </c>
      <c r="M1958">
        <v>0.99960090000000001</v>
      </c>
      <c r="N1958">
        <v>0</v>
      </c>
      <c r="O1958">
        <v>2.7793410000000001E-2</v>
      </c>
      <c r="P1958">
        <v>0.9990386</v>
      </c>
      <c r="Q1958">
        <v>3.4838580000000001E-2</v>
      </c>
      <c r="R1958">
        <v>2.6610749999999999E-2</v>
      </c>
      <c r="S1958">
        <v>3.0079349999999998</v>
      </c>
      <c r="T1958">
        <v>-0.18573990000000001</v>
      </c>
      <c r="U1958">
        <v>7.3318480000000005E-2</v>
      </c>
      <c r="V1958">
        <v>1.0913450000000001E-3</v>
      </c>
      <c r="W1958">
        <v>3.9902880000000002E-2</v>
      </c>
      <c r="X1958">
        <v>0.99920299999999995</v>
      </c>
      <c r="Y1958">
        <v>3.3678380000000002E-3</v>
      </c>
      <c r="Z1958">
        <v>-1.817934E-3</v>
      </c>
      <c r="AA1958">
        <v>0.99999269999999996</v>
      </c>
      <c r="AB1958">
        <v>55</v>
      </c>
      <c r="AC1958">
        <v>17.281099999999899</v>
      </c>
      <c r="AD1958">
        <v>-1.1033407290649999</v>
      </c>
      <c r="AE1958">
        <v>0.41949999999999898</v>
      </c>
      <c r="AF1958">
        <v>6.0721520122951698E-2</v>
      </c>
      <c r="AG1958">
        <v>-1.1033407290649999</v>
      </c>
      <c r="AH1958">
        <v>17.215945718697501</v>
      </c>
      <c r="AI1958">
        <v>93.666951496370004</v>
      </c>
      <c r="AJ1958">
        <v>89.797915696360704</v>
      </c>
      <c r="AK1958">
        <v>17.251371970268298</v>
      </c>
      <c r="AL1958">
        <v>87.713126311919595</v>
      </c>
      <c r="AM1958">
        <v>89.937420686658996</v>
      </c>
      <c r="AN1958">
        <v>1.0000000330376</v>
      </c>
    </row>
    <row r="1959" spans="1:40" x14ac:dyDescent="0.3">
      <c r="A1959" t="str">
        <f>"20200111153912816"</f>
        <v>20200111153912816</v>
      </c>
      <c r="B1959" t="str">
        <f>"1578728352812328"</f>
        <v>1578728352812328</v>
      </c>
      <c r="C1959" t="s">
        <v>40</v>
      </c>
      <c r="D1959">
        <v>5.206747</v>
      </c>
      <c r="E1959">
        <v>0.46785939999999998</v>
      </c>
      <c r="F1959" t="s">
        <v>55</v>
      </c>
      <c r="G1959">
        <v>-386.80610000000001</v>
      </c>
      <c r="H1959" s="1">
        <v>2.0964010000000002E-6</v>
      </c>
      <c r="I1959">
        <v>214.35740000000001</v>
      </c>
      <c r="J1959">
        <v>-403.37020000000001</v>
      </c>
      <c r="K1959">
        <v>1.1031439999999999</v>
      </c>
      <c r="L1959">
        <v>213.9332</v>
      </c>
      <c r="M1959">
        <v>0.99959180000000003</v>
      </c>
      <c r="N1959">
        <v>0</v>
      </c>
      <c r="O1959">
        <v>2.811023E-2</v>
      </c>
      <c r="P1959">
        <v>0.99897809999999998</v>
      </c>
      <c r="Q1959">
        <v>3.1741760000000001E-2</v>
      </c>
      <c r="R1959">
        <v>3.2180840000000002E-2</v>
      </c>
      <c r="S1959">
        <v>3.0074160000000001</v>
      </c>
      <c r="T1959">
        <v>-0.1884672</v>
      </c>
      <c r="U1959">
        <v>7.7392580000000002E-2</v>
      </c>
      <c r="V1959">
        <v>-4.1407140000000002E-3</v>
      </c>
      <c r="W1959">
        <v>3.6849090000000001E-2</v>
      </c>
      <c r="X1959">
        <v>0.99931230000000004</v>
      </c>
      <c r="Y1959">
        <v>2.3264100000000001E-3</v>
      </c>
      <c r="Z1959">
        <v>-1.832083E-3</v>
      </c>
      <c r="AA1959">
        <v>0.99999559999999998</v>
      </c>
      <c r="AB1959">
        <v>56</v>
      </c>
      <c r="AC1959">
        <v>16.5640999999999</v>
      </c>
      <c r="AD1959">
        <v>-1.103141903599</v>
      </c>
      <c r="AE1959">
        <v>0.42420000000001301</v>
      </c>
      <c r="AF1959">
        <v>4.1410810210383599E-2</v>
      </c>
      <c r="AG1959">
        <v>-1.103141903599</v>
      </c>
      <c r="AH1959">
        <v>16.496359663644601</v>
      </c>
      <c r="AI1959">
        <v>93.825766136050106</v>
      </c>
      <c r="AJ1959">
        <v>89.856170711853807</v>
      </c>
      <c r="AK1959">
        <v>16.533254944716699</v>
      </c>
      <c r="AL1959">
        <v>87.888224643858194</v>
      </c>
      <c r="AM1959">
        <v>90.237407343649906</v>
      </c>
      <c r="AN1959">
        <v>1.00000003693877</v>
      </c>
    </row>
    <row r="1960" spans="1:40" x14ac:dyDescent="0.3">
      <c r="A1960" t="str">
        <f>"20200111153912837"</f>
        <v>20200111153912837</v>
      </c>
      <c r="B1960" t="str">
        <f>"1578728352832826"</f>
        <v>1578728352832826</v>
      </c>
      <c r="C1960" t="s">
        <v>40</v>
      </c>
      <c r="D1960">
        <v>5.0608490000000002</v>
      </c>
      <c r="E1960">
        <v>0.38741100000000001</v>
      </c>
      <c r="F1960" t="s">
        <v>55</v>
      </c>
      <c r="G1960">
        <v>-391.45639999999997</v>
      </c>
      <c r="H1960" s="1">
        <v>-7.6175069999999899E-7</v>
      </c>
      <c r="I1960">
        <v>215.3305</v>
      </c>
      <c r="J1960">
        <v>-402.81689999999998</v>
      </c>
      <c r="K1960">
        <v>1.1030450000000001</v>
      </c>
      <c r="L1960">
        <v>213.9487</v>
      </c>
      <c r="M1960">
        <v>0.99958930000000001</v>
      </c>
      <c r="N1960">
        <v>0</v>
      </c>
      <c r="O1960">
        <v>2.8190349999999999E-2</v>
      </c>
      <c r="P1960">
        <v>0.99881790000000004</v>
      </c>
      <c r="Q1960">
        <v>3.0685239999999999E-2</v>
      </c>
      <c r="R1960">
        <v>3.7700659999999997E-2</v>
      </c>
      <c r="S1960">
        <v>3.0005489999999999</v>
      </c>
      <c r="T1960">
        <v>-0.27783360000000001</v>
      </c>
      <c r="U1960">
        <v>0.35191349999999999</v>
      </c>
      <c r="V1960">
        <v>-9.5736680000000005E-3</v>
      </c>
      <c r="W1960">
        <v>3.5813599999999897E-2</v>
      </c>
      <c r="X1960">
        <v>0.9993126</v>
      </c>
      <c r="Y1960">
        <v>-8.8186520000000004E-2</v>
      </c>
      <c r="Z1960">
        <v>1.4656789999999999E-3</v>
      </c>
      <c r="AA1960">
        <v>0.99610290000000001</v>
      </c>
      <c r="AB1960">
        <v>56</v>
      </c>
      <c r="AC1960">
        <v>11.3605</v>
      </c>
      <c r="AD1960">
        <v>-1.1030457617506999</v>
      </c>
      <c r="AE1960">
        <v>1.3817999999999899</v>
      </c>
      <c r="AF1960">
        <v>-1.0512242627381301</v>
      </c>
      <c r="AG1960">
        <v>-1.1030457617506999</v>
      </c>
      <c r="AH1960">
        <v>11.2900546285637</v>
      </c>
      <c r="AI1960">
        <v>95.556243583897597</v>
      </c>
      <c r="AJ1960">
        <v>95.319509676448604</v>
      </c>
      <c r="AK1960">
        <v>11.392414841421401</v>
      </c>
      <c r="AL1960">
        <v>87.947592910330201</v>
      </c>
      <c r="AM1960">
        <v>90.548891298047295</v>
      </c>
      <c r="AN1960">
        <v>0.99999997079134595</v>
      </c>
    </row>
    <row r="1961" spans="1:40" x14ac:dyDescent="0.3">
      <c r="A1961" t="str">
        <f>"20200111153912859"</f>
        <v>20200111153912859</v>
      </c>
      <c r="B1961" t="str">
        <f>"1578728352852345"</f>
        <v>1578728352852345</v>
      </c>
      <c r="C1961" t="s">
        <v>40</v>
      </c>
      <c r="D1961">
        <v>5.2742100000000001</v>
      </c>
      <c r="E1961">
        <v>0.32028259999999997</v>
      </c>
      <c r="F1961" t="s">
        <v>55</v>
      </c>
      <c r="G1961">
        <v>-391.58870000000002</v>
      </c>
      <c r="H1961" s="1">
        <v>-6.9136750000000001E-7</v>
      </c>
      <c r="I1961">
        <v>217.75909999999999</v>
      </c>
      <c r="J1961">
        <v>-402.26069999999999</v>
      </c>
      <c r="K1961">
        <v>1.102959</v>
      </c>
      <c r="L1961">
        <v>213.96440000000001</v>
      </c>
      <c r="M1961">
        <v>0.99958829999999999</v>
      </c>
      <c r="N1961">
        <v>0</v>
      </c>
      <c r="O1961">
        <v>2.8225299999999998E-2</v>
      </c>
      <c r="P1961">
        <v>0.99853409999999998</v>
      </c>
      <c r="Q1961">
        <v>3.028368E-2</v>
      </c>
      <c r="R1961">
        <v>4.4864080000000001E-2</v>
      </c>
      <c r="S1961">
        <v>2.9744570000000001</v>
      </c>
      <c r="T1961">
        <v>-0.2922071</v>
      </c>
      <c r="U1961">
        <v>1.0093989999999999</v>
      </c>
      <c r="V1961">
        <v>-1.6699789999999999E-2</v>
      </c>
      <c r="W1961">
        <v>3.5433329999999999E-2</v>
      </c>
      <c r="X1961">
        <v>0.99923249999999997</v>
      </c>
      <c r="Y1961">
        <v>-0.29335729999999999</v>
      </c>
      <c r="Z1961">
        <v>1.1298000000000001E-2</v>
      </c>
      <c r="AA1961">
        <v>0.95593609999999896</v>
      </c>
      <c r="AB1961">
        <v>56</v>
      </c>
      <c r="AC1961">
        <v>10.671999999999899</v>
      </c>
      <c r="AD1961">
        <v>-1.1029596913674999</v>
      </c>
      <c r="AE1961">
        <v>3.79469999999997</v>
      </c>
      <c r="AF1961">
        <v>-3.4591622597609701</v>
      </c>
      <c r="AG1961">
        <v>-1.1029596913674999</v>
      </c>
      <c r="AH1961">
        <v>10.673643373097301</v>
      </c>
      <c r="AI1961">
        <v>95.614218859739594</v>
      </c>
      <c r="AJ1961">
        <v>107.956705174481</v>
      </c>
      <c r="AK1961">
        <v>11.2742621255762</v>
      </c>
      <c r="AL1961">
        <v>87.969394667230603</v>
      </c>
      <c r="AM1961">
        <v>90.957473277093897</v>
      </c>
      <c r="AN1961">
        <v>0.99999999645859095</v>
      </c>
    </row>
    <row r="1962" spans="1:40" x14ac:dyDescent="0.3">
      <c r="A1962" t="str">
        <f>"20200111153912881"</f>
        <v>20200111153912881</v>
      </c>
      <c r="B1962" t="str">
        <f>"1578728352872841"</f>
        <v>1578728352872841</v>
      </c>
      <c r="C1962" t="s">
        <v>40</v>
      </c>
      <c r="D1962">
        <v>5.4430170000000002</v>
      </c>
      <c r="E1962">
        <v>0.3087491</v>
      </c>
      <c r="F1962" t="s">
        <v>55</v>
      </c>
      <c r="G1962">
        <v>-393.88639999999998</v>
      </c>
      <c r="H1962" s="1">
        <v>5.3135730000000001E-7</v>
      </c>
      <c r="I1962">
        <v>218.41640000000001</v>
      </c>
      <c r="J1962">
        <v>-401.70150000000001</v>
      </c>
      <c r="K1962">
        <v>1.1028819999999999</v>
      </c>
      <c r="L1962">
        <v>213.98009999999999</v>
      </c>
      <c r="M1962">
        <v>0.99958849999999999</v>
      </c>
      <c r="N1962">
        <v>0</v>
      </c>
      <c r="O1962">
        <v>2.8211340000000001E-2</v>
      </c>
      <c r="P1962">
        <v>0.99821119999999997</v>
      </c>
      <c r="Q1962">
        <v>3.136071E-2</v>
      </c>
      <c r="R1962">
        <v>5.0901960000000003E-2</v>
      </c>
      <c r="S1962">
        <v>2.94577</v>
      </c>
      <c r="T1962">
        <v>-0.38798090000000002</v>
      </c>
      <c r="U1962">
        <v>1.566071</v>
      </c>
      <c r="V1962">
        <v>-2.2751629999999998E-2</v>
      </c>
      <c r="W1962">
        <v>3.6535060000000001E-2</v>
      </c>
      <c r="X1962">
        <v>0.99907330000000005</v>
      </c>
      <c r="Y1962">
        <v>-0.44154690000000002</v>
      </c>
      <c r="Z1962">
        <v>2.3707249999999999E-2</v>
      </c>
      <c r="AA1962">
        <v>0.89692490000000002</v>
      </c>
      <c r="AB1962">
        <v>56</v>
      </c>
      <c r="AC1962">
        <v>7.8151000000000197</v>
      </c>
      <c r="AD1962">
        <v>-1.1028814686427</v>
      </c>
      <c r="AE1962">
        <v>4.4363000000000099</v>
      </c>
      <c r="AF1962">
        <v>-4.1515268965410597</v>
      </c>
      <c r="AG1962">
        <v>-1.1028814686427</v>
      </c>
      <c r="AH1962">
        <v>7.8193703865635298</v>
      </c>
      <c r="AI1962">
        <v>97.101065012806998</v>
      </c>
      <c r="AJ1962">
        <v>117.965108127012</v>
      </c>
      <c r="AK1962">
        <v>8.9215512299625299</v>
      </c>
      <c r="AL1962">
        <v>87.9062291851655</v>
      </c>
      <c r="AM1962">
        <v>91.304556035134794</v>
      </c>
      <c r="AN1962">
        <v>0.99999995302487399</v>
      </c>
    </row>
    <row r="1963" spans="1:40" x14ac:dyDescent="0.3">
      <c r="A1963" t="str">
        <f>"20200111153912904"</f>
        <v>20200111153912904</v>
      </c>
      <c r="B1963" t="str">
        <f>"1578728352892364"</f>
        <v>1578728352892364</v>
      </c>
      <c r="C1963" t="s">
        <v>40</v>
      </c>
      <c r="D1963">
        <v>5.430383</v>
      </c>
      <c r="E1963">
        <v>0.29905900000000002</v>
      </c>
      <c r="F1963" t="s">
        <v>55</v>
      </c>
      <c r="G1963">
        <v>-394.53199999999998</v>
      </c>
      <c r="H1963" s="1">
        <v>8.7490919999999905E-7</v>
      </c>
      <c r="I1963">
        <v>218.07300000000001</v>
      </c>
      <c r="J1963">
        <v>-401.12040000000002</v>
      </c>
      <c r="K1963">
        <v>1.102803</v>
      </c>
      <c r="L1963">
        <v>213.99639999999999</v>
      </c>
      <c r="M1963">
        <v>0.99959019999999998</v>
      </c>
      <c r="N1963">
        <v>0</v>
      </c>
      <c r="O1963">
        <v>2.814846E-2</v>
      </c>
      <c r="P1963">
        <v>0.99787060000000005</v>
      </c>
      <c r="Q1963">
        <v>3.294089E-2</v>
      </c>
      <c r="R1963">
        <v>5.6297310000000003E-2</v>
      </c>
      <c r="S1963">
        <v>2.9342039999999998</v>
      </c>
      <c r="T1963">
        <v>-0.45136799999999999</v>
      </c>
      <c r="U1963">
        <v>1.675079</v>
      </c>
      <c r="V1963">
        <v>-2.8210969999999998E-2</v>
      </c>
      <c r="W1963">
        <v>3.8143740000000002E-2</v>
      </c>
      <c r="X1963">
        <v>0.99887389999999998</v>
      </c>
      <c r="Y1963">
        <v>-0.46725220000000001</v>
      </c>
      <c r="Z1963">
        <v>2.9251829999999999E-2</v>
      </c>
      <c r="AA1963">
        <v>0.88364010000000004</v>
      </c>
      <c r="AB1963">
        <v>56</v>
      </c>
      <c r="AC1963">
        <v>6.5884000000000302</v>
      </c>
      <c r="AD1963">
        <v>-1.1028021250908</v>
      </c>
      <c r="AE1963">
        <v>4.0765999999999796</v>
      </c>
      <c r="AF1963">
        <v>-3.8122885106959501</v>
      </c>
      <c r="AG1963">
        <v>-1.1028021250908</v>
      </c>
      <c r="AH1963">
        <v>6.5674780488070601</v>
      </c>
      <c r="AI1963">
        <v>98.262992039014307</v>
      </c>
      <c r="AJ1963">
        <v>120.13430052739</v>
      </c>
      <c r="AK1963">
        <v>7.6734271442069302</v>
      </c>
      <c r="AL1963">
        <v>87.813994238025998</v>
      </c>
      <c r="AM1963">
        <v>91.617761715976599</v>
      </c>
      <c r="AN1963">
        <v>0.99999993591536696</v>
      </c>
    </row>
    <row r="1964" spans="1:40" x14ac:dyDescent="0.3">
      <c r="A1964" t="str">
        <f>"20200111153912927"</f>
        <v>20200111153912927</v>
      </c>
      <c r="B1964" t="str">
        <f>"1578728352922616"</f>
        <v>1578728352922616</v>
      </c>
      <c r="C1964" t="s">
        <v>40</v>
      </c>
      <c r="D1964">
        <v>5.3846379999999998</v>
      </c>
      <c r="E1964">
        <v>0.29364069999999998</v>
      </c>
      <c r="F1964" t="s">
        <v>55</v>
      </c>
      <c r="G1964">
        <v>-394.69110000000001</v>
      </c>
      <c r="H1964" s="1">
        <v>9.5960560000000008E-7</v>
      </c>
      <c r="I1964">
        <v>217.88499999999999</v>
      </c>
      <c r="J1964">
        <v>-400.53250000000003</v>
      </c>
      <c r="K1964">
        <v>1.1027229999999999</v>
      </c>
      <c r="L1964">
        <v>214.0129</v>
      </c>
      <c r="M1964">
        <v>0.99959279999999995</v>
      </c>
      <c r="N1964">
        <v>0</v>
      </c>
      <c r="O1964">
        <v>2.8042899999999999E-2</v>
      </c>
      <c r="P1964">
        <v>0.99757229999999997</v>
      </c>
      <c r="Q1964">
        <v>3.2945410000000001E-2</v>
      </c>
      <c r="R1964">
        <v>6.1352709999999998E-2</v>
      </c>
      <c r="S1964">
        <v>2.923187</v>
      </c>
      <c r="T1964">
        <v>-0.50141139999999995</v>
      </c>
      <c r="U1964">
        <v>1.7680209999999901</v>
      </c>
      <c r="V1964">
        <v>-3.3370280000000002E-2</v>
      </c>
      <c r="W1964">
        <v>3.8179959999999999E-2</v>
      </c>
      <c r="X1964">
        <v>0.99871359999999998</v>
      </c>
      <c r="Y1964">
        <v>-0.48841830000000003</v>
      </c>
      <c r="Z1964">
        <v>3.4007410000000002E-2</v>
      </c>
      <c r="AA1964">
        <v>0.87194669999999896</v>
      </c>
      <c r="AB1964">
        <v>56</v>
      </c>
      <c r="AC1964">
        <v>5.8414000000000197</v>
      </c>
      <c r="AD1964">
        <v>-1.10272204039439</v>
      </c>
      <c r="AE1964">
        <v>3.8720999999999801</v>
      </c>
      <c r="AF1964">
        <v>-3.6172098915854001</v>
      </c>
      <c r="AG1964">
        <v>-1.10272204039439</v>
      </c>
      <c r="AH1964">
        <v>5.8039933244558899</v>
      </c>
      <c r="AI1964">
        <v>99.159682944013298</v>
      </c>
      <c r="AJ1964">
        <v>121.93230711160599</v>
      </c>
      <c r="AK1964">
        <v>6.9272319008737897</v>
      </c>
      <c r="AL1964">
        <v>87.811917765248594</v>
      </c>
      <c r="AM1964">
        <v>91.913726960309205</v>
      </c>
      <c r="AN1964">
        <v>1.00000006987891</v>
      </c>
    </row>
    <row r="1965" spans="1:40" x14ac:dyDescent="0.3">
      <c r="A1965" t="str">
        <f>"20200111153912948"</f>
        <v>20200111153912948</v>
      </c>
      <c r="B1965" t="str">
        <f>"1578728352943113"</f>
        <v>1578728352943113</v>
      </c>
      <c r="C1965" t="s">
        <v>40</v>
      </c>
      <c r="D1965">
        <v>5.3804410000000003</v>
      </c>
      <c r="E1965">
        <v>0.29291430000000002</v>
      </c>
      <c r="F1965" t="s">
        <v>55</v>
      </c>
      <c r="G1965">
        <v>-394.61470000000003</v>
      </c>
      <c r="H1965" s="1">
        <v>9.1891550000000001E-7</v>
      </c>
      <c r="I1965">
        <v>217.7234</v>
      </c>
      <c r="J1965">
        <v>-400.00380000000001</v>
      </c>
      <c r="K1965">
        <v>1.102652</v>
      </c>
      <c r="L1965">
        <v>214.02770000000001</v>
      </c>
      <c r="M1965">
        <v>0.99959629999999999</v>
      </c>
      <c r="N1965">
        <v>0</v>
      </c>
      <c r="O1965">
        <v>2.791826E-2</v>
      </c>
      <c r="P1965">
        <v>0.99727759999999999</v>
      </c>
      <c r="Q1965">
        <v>3.296085E-2</v>
      </c>
      <c r="R1965">
        <v>6.5962989999999999E-2</v>
      </c>
      <c r="S1965">
        <v>2.912903</v>
      </c>
      <c r="T1965">
        <v>-0.54278519999999997</v>
      </c>
      <c r="U1965">
        <v>1.826355</v>
      </c>
      <c r="V1965">
        <v>-3.8105390000000003E-2</v>
      </c>
      <c r="W1965">
        <v>3.8224750000000002E-2</v>
      </c>
      <c r="X1965">
        <v>0.99854240000000005</v>
      </c>
      <c r="Y1965">
        <v>-0.50150850000000002</v>
      </c>
      <c r="Z1965">
        <v>3.7845219999999999E-2</v>
      </c>
      <c r="AA1965">
        <v>0.864324599999999</v>
      </c>
      <c r="AB1965">
        <v>57</v>
      </c>
      <c r="AC1965">
        <v>5.3890999999999796</v>
      </c>
      <c r="AD1965">
        <v>-1.1026510810845001</v>
      </c>
      <c r="AE1965">
        <v>3.69569999999998</v>
      </c>
      <c r="AF1965">
        <v>-3.4456917997879399</v>
      </c>
      <c r="AG1965">
        <v>-1.1026510810845001</v>
      </c>
      <c r="AH1965">
        <v>5.3381810765764097</v>
      </c>
      <c r="AI1965">
        <v>99.845385685155705</v>
      </c>
      <c r="AJ1965">
        <v>122.841454078724</v>
      </c>
      <c r="AK1965">
        <v>6.44862842719761</v>
      </c>
      <c r="AL1965">
        <v>87.809349543842799</v>
      </c>
      <c r="AM1965">
        <v>92.185404585512202</v>
      </c>
      <c r="AN1965">
        <v>1.00000003842868</v>
      </c>
    </row>
    <row r="1966" spans="1:40" x14ac:dyDescent="0.3">
      <c r="A1966" t="str">
        <f>"20200111153912970"</f>
        <v>20200111153912970</v>
      </c>
      <c r="B1966" t="str">
        <f>"1578728352962633"</f>
        <v>1578728352962633</v>
      </c>
      <c r="C1966" t="s">
        <v>40</v>
      </c>
      <c r="D1966">
        <v>5.3870909999999999</v>
      </c>
      <c r="E1966">
        <v>0.29292420000000002</v>
      </c>
      <c r="F1966" t="s">
        <v>55</v>
      </c>
      <c r="G1966">
        <v>-394.2303</v>
      </c>
      <c r="H1966" s="1">
        <v>7.1439899999999996E-7</v>
      </c>
      <c r="I1966">
        <v>217.6969</v>
      </c>
      <c r="J1966">
        <v>-399.44</v>
      </c>
      <c r="K1966">
        <v>1.1025720000000001</v>
      </c>
      <c r="L1966">
        <v>214.04349999999999</v>
      </c>
      <c r="M1966">
        <v>0.9996005</v>
      </c>
      <c r="N1966">
        <v>0</v>
      </c>
      <c r="O1966">
        <v>2.7761839999999999E-2</v>
      </c>
      <c r="P1966">
        <v>0.997035</v>
      </c>
      <c r="Q1966">
        <v>3.2240369999999997E-2</v>
      </c>
      <c r="R1966">
        <v>6.9872450000000003E-2</v>
      </c>
      <c r="S1966">
        <v>2.9044189999999999</v>
      </c>
      <c r="T1966">
        <v>-0.55470750000000002</v>
      </c>
      <c r="U1966">
        <v>1.845825</v>
      </c>
      <c r="V1966">
        <v>-4.2170039999999999E-2</v>
      </c>
      <c r="W1966">
        <v>3.753716E-2</v>
      </c>
      <c r="X1966">
        <v>0.99840499999999999</v>
      </c>
      <c r="Y1966">
        <v>-0.50657940000000001</v>
      </c>
      <c r="Z1966">
        <v>3.9164570000000003E-2</v>
      </c>
      <c r="AA1966">
        <v>0.86130339999999905</v>
      </c>
      <c r="AB1966">
        <v>57</v>
      </c>
      <c r="AC1966">
        <v>5.20969999999999</v>
      </c>
      <c r="AD1966">
        <v>-1.1025712856009999</v>
      </c>
      <c r="AE1966">
        <v>3.6534</v>
      </c>
      <c r="AF1966">
        <v>-3.4051200216613702</v>
      </c>
      <c r="AG1966">
        <v>-1.1025712856009999</v>
      </c>
      <c r="AH1966">
        <v>5.1543585999794201</v>
      </c>
      <c r="AI1966">
        <v>100.119597412776</v>
      </c>
      <c r="AJ1966">
        <v>123.449917449732</v>
      </c>
      <c r="AK1966">
        <v>6.2751827366964203</v>
      </c>
      <c r="AL1966">
        <v>87.848773648532699</v>
      </c>
      <c r="AM1966">
        <v>92.418587685342203</v>
      </c>
      <c r="AN1966">
        <v>0.99999994733973196</v>
      </c>
    </row>
    <row r="1967" spans="1:40" x14ac:dyDescent="0.3">
      <c r="A1967" t="str">
        <f>"20200111153912993"</f>
        <v>20200111153912993</v>
      </c>
      <c r="B1967" t="str">
        <f>"1578728352983129"</f>
        <v>1578728352983129</v>
      </c>
      <c r="C1967" t="s">
        <v>40</v>
      </c>
      <c r="D1967">
        <v>5.2968229999999998</v>
      </c>
      <c r="E1967">
        <v>0.29312650000000001</v>
      </c>
      <c r="F1967" t="s">
        <v>55</v>
      </c>
      <c r="G1967">
        <v>-393.76769999999999</v>
      </c>
      <c r="H1967" s="1">
        <v>4.6818040000000002E-7</v>
      </c>
      <c r="I1967">
        <v>217.68109999999999</v>
      </c>
      <c r="J1967">
        <v>-398.84120000000001</v>
      </c>
      <c r="K1967">
        <v>1.102498</v>
      </c>
      <c r="L1967">
        <v>214.06010000000001</v>
      </c>
      <c r="M1967">
        <v>0.99960559999999998</v>
      </c>
      <c r="N1967">
        <v>0</v>
      </c>
      <c r="O1967">
        <v>2.757569E-2</v>
      </c>
      <c r="P1967">
        <v>0.99676819999999999</v>
      </c>
      <c r="Q1967">
        <v>3.0887270000000001E-2</v>
      </c>
      <c r="R1967">
        <v>7.4158420000000003E-2</v>
      </c>
      <c r="S1967">
        <v>2.8969420000000001</v>
      </c>
      <c r="T1967">
        <v>-0.56309690000000001</v>
      </c>
      <c r="U1967">
        <v>1.8578030000000001</v>
      </c>
      <c r="V1967">
        <v>-4.6641750000000003E-2</v>
      </c>
      <c r="W1967">
        <v>3.6219130000000002E-2</v>
      </c>
      <c r="X1967">
        <v>0.9982548</v>
      </c>
      <c r="Y1967">
        <v>-0.51002320000000001</v>
      </c>
      <c r="Z1967">
        <v>4.0130720000000002E-2</v>
      </c>
      <c r="AA1967">
        <v>0.85922399999999999</v>
      </c>
      <c r="AB1967">
        <v>57</v>
      </c>
      <c r="AC1967">
        <v>5.0735000000000197</v>
      </c>
      <c r="AD1967">
        <v>-1.1024975318196</v>
      </c>
      <c r="AE1967">
        <v>3.62099999999998</v>
      </c>
      <c r="AF1967">
        <v>-3.3741540433531099</v>
      </c>
      <c r="AG1967">
        <v>-1.1024975318196</v>
      </c>
      <c r="AH1967">
        <v>5.0145417420576699</v>
      </c>
      <c r="AI1967">
        <v>100.33768785611301</v>
      </c>
      <c r="AJ1967">
        <v>123.93557899516399</v>
      </c>
      <c r="AK1967">
        <v>6.1437810181339696</v>
      </c>
      <c r="AL1967">
        <v>87.924342648958998</v>
      </c>
      <c r="AM1967">
        <v>92.675101897880097</v>
      </c>
      <c r="AN1967">
        <v>0.99999996197202901</v>
      </c>
    </row>
    <row r="1968" spans="1:40" x14ac:dyDescent="0.3">
      <c r="A1968" t="str">
        <f>"20200111153913038"</f>
        <v>20200111153913038</v>
      </c>
      <c r="B1968" t="str">
        <f>"1578728353032904"</f>
        <v>1578728353032904</v>
      </c>
      <c r="C1968" t="s">
        <v>40</v>
      </c>
      <c r="D1968">
        <v>5.3513510000000002</v>
      </c>
      <c r="E1968">
        <v>0.29413869999999998</v>
      </c>
      <c r="F1968" t="s">
        <v>55</v>
      </c>
      <c r="G1968">
        <v>-393.2901</v>
      </c>
      <c r="H1968" s="1">
        <v>2.140509E-7</v>
      </c>
      <c r="I1968">
        <v>217.6491</v>
      </c>
      <c r="J1968">
        <v>-397.70359999999999</v>
      </c>
      <c r="K1968">
        <v>1.102379</v>
      </c>
      <c r="L1968">
        <v>214.09129999999999</v>
      </c>
      <c r="M1968">
        <v>0.99961630000000001</v>
      </c>
      <c r="N1968">
        <v>0</v>
      </c>
      <c r="O1968">
        <v>2.7173289999999999E-2</v>
      </c>
      <c r="P1968">
        <v>0.99654379999999998</v>
      </c>
      <c r="Q1968">
        <v>2.9613960000000002E-2</v>
      </c>
      <c r="R1968">
        <v>7.761287E-2</v>
      </c>
      <c r="S1968">
        <v>2.88855</v>
      </c>
      <c r="T1968">
        <v>-0.57368920000000001</v>
      </c>
      <c r="U1968">
        <v>1.8675839999999999</v>
      </c>
      <c r="V1968">
        <v>-5.0494450000000003E-2</v>
      </c>
      <c r="W1968">
        <v>3.5013500000000003E-2</v>
      </c>
      <c r="X1968">
        <v>0.99811039999999995</v>
      </c>
      <c r="Y1968">
        <v>-0.51324340000000002</v>
      </c>
      <c r="Z1968">
        <v>4.1301419999999998E-2</v>
      </c>
      <c r="AA1968">
        <v>0.85724869999999898</v>
      </c>
      <c r="AB1968">
        <v>57</v>
      </c>
      <c r="AC1968">
        <v>4.4134999999999902</v>
      </c>
      <c r="AD1968">
        <v>-1.1023787859491001</v>
      </c>
      <c r="AE1968">
        <v>3.5578000000000101</v>
      </c>
      <c r="AF1968">
        <v>-3.3113388110626398</v>
      </c>
      <c r="AG1968">
        <v>-1.1023787859491001</v>
      </c>
      <c r="AH1968">
        <v>4.3442726086419903</v>
      </c>
      <c r="AI1968">
        <v>101.40976063114501</v>
      </c>
      <c r="AJ1968">
        <v>127.315769404167</v>
      </c>
      <c r="AK1968">
        <v>5.5725136345779802</v>
      </c>
      <c r="AL1968">
        <v>87.993464102953894</v>
      </c>
      <c r="AM1968">
        <v>92.896127008181594</v>
      </c>
      <c r="AN1968">
        <v>1.0000000026256</v>
      </c>
    </row>
    <row r="1969" spans="1:40" x14ac:dyDescent="0.3">
      <c r="A1969" t="str">
        <f>"20200111153913061"</f>
        <v>20200111153913061</v>
      </c>
      <c r="B1969" t="str">
        <f>"1578728353052426"</f>
        <v>1578728353052426</v>
      </c>
      <c r="C1969" t="s">
        <v>40</v>
      </c>
      <c r="D1969">
        <v>5.3485120000000004</v>
      </c>
      <c r="E1969">
        <v>0.29462189999999999</v>
      </c>
      <c r="F1969" t="s">
        <v>55</v>
      </c>
      <c r="G1969">
        <v>-392.24720000000002</v>
      </c>
      <c r="H1969" s="1">
        <v>-3.40937E-7</v>
      </c>
      <c r="I1969">
        <v>217.62899999999999</v>
      </c>
      <c r="J1969">
        <v>-397.12580000000003</v>
      </c>
      <c r="K1969">
        <v>1.1023160000000001</v>
      </c>
      <c r="L1969">
        <v>214.107</v>
      </c>
      <c r="M1969">
        <v>0.99962209999999996</v>
      </c>
      <c r="N1969">
        <v>0</v>
      </c>
      <c r="O1969">
        <v>2.6949919999999999E-2</v>
      </c>
      <c r="P1969">
        <v>0.99605920000000003</v>
      </c>
      <c r="Q1969">
        <v>2.7771230000000001E-2</v>
      </c>
      <c r="R1969">
        <v>8.423021E-2</v>
      </c>
      <c r="S1969">
        <v>2.8821720000000002</v>
      </c>
      <c r="T1969">
        <v>-0.58229679999999995</v>
      </c>
      <c r="U1969">
        <v>1.8686830000000001</v>
      </c>
      <c r="V1969">
        <v>-5.7342610000000002E-2</v>
      </c>
      <c r="W1969">
        <v>3.3204949999999997E-2</v>
      </c>
      <c r="X1969">
        <v>0.99780219999999997</v>
      </c>
      <c r="Y1969">
        <v>-0.51428660000000004</v>
      </c>
      <c r="Z1969">
        <v>4.2120730000000002E-2</v>
      </c>
      <c r="AA1969">
        <v>0.85658339999999999</v>
      </c>
      <c r="AB1969">
        <v>57</v>
      </c>
      <c r="AC1969">
        <v>4.8785999999999996</v>
      </c>
      <c r="AD1969">
        <v>-1.102316340937</v>
      </c>
      <c r="AE1969">
        <v>3.5220000000000198</v>
      </c>
      <c r="AF1969">
        <v>-3.2791865129240101</v>
      </c>
      <c r="AG1969">
        <v>-1.102316340937</v>
      </c>
      <c r="AH1969">
        <v>4.8103059282547296</v>
      </c>
      <c r="AI1969">
        <v>100.72181677842001</v>
      </c>
      <c r="AJ1969">
        <v>124.282262090755</v>
      </c>
      <c r="AK1969">
        <v>5.9251336377707204</v>
      </c>
      <c r="AL1969">
        <v>88.097146700888601</v>
      </c>
      <c r="AM1969">
        <v>93.289108523136804</v>
      </c>
      <c r="AN1969">
        <v>0.99999998697547698</v>
      </c>
    </row>
    <row r="1970" spans="1:40" x14ac:dyDescent="0.3">
      <c r="A1970" t="str">
        <f>"20200111153913082"</f>
        <v>20200111153913082</v>
      </c>
      <c r="B1970" t="str">
        <f>"1578728353072920"</f>
        <v>1578728353072920</v>
      </c>
      <c r="C1970" t="s">
        <v>40</v>
      </c>
      <c r="D1970">
        <v>5.356357</v>
      </c>
      <c r="E1970">
        <v>0.2951143</v>
      </c>
      <c r="F1970" t="s">
        <v>55</v>
      </c>
      <c r="G1970">
        <v>-391.76859999999999</v>
      </c>
      <c r="H1970" s="1">
        <v>-5.9565679999999996E-7</v>
      </c>
      <c r="I1970">
        <v>217.6217</v>
      </c>
      <c r="J1970">
        <v>-396.56720000000001</v>
      </c>
      <c r="K1970">
        <v>1.1022650000000001</v>
      </c>
      <c r="L1970">
        <v>214.12209999999999</v>
      </c>
      <c r="M1970">
        <v>0.99962799999999996</v>
      </c>
      <c r="N1970">
        <v>0</v>
      </c>
      <c r="O1970">
        <v>2.6723360000000002E-2</v>
      </c>
      <c r="P1970">
        <v>0.99580250000000003</v>
      </c>
      <c r="Q1970">
        <v>2.5987960000000001E-2</v>
      </c>
      <c r="R1970">
        <v>8.7760950000000004E-2</v>
      </c>
      <c r="S1970">
        <v>2.8691409999999999</v>
      </c>
      <c r="T1970">
        <v>-0.59035959999999998</v>
      </c>
      <c r="U1970">
        <v>1.882355</v>
      </c>
      <c r="V1970">
        <v>-6.1102490000000002E-2</v>
      </c>
      <c r="W1970">
        <v>3.1455400000000001E-2</v>
      </c>
      <c r="X1970">
        <v>0.99763570000000001</v>
      </c>
      <c r="Y1970">
        <v>-0.51881259999999996</v>
      </c>
      <c r="Z1970">
        <v>4.3268040000000001E-2</v>
      </c>
      <c r="AA1970">
        <v>0.85379229999999995</v>
      </c>
      <c r="AB1970">
        <v>57</v>
      </c>
      <c r="AC1970">
        <v>4.79860000000002</v>
      </c>
      <c r="AD1970">
        <v>-1.1022655956567999</v>
      </c>
      <c r="AE1970">
        <v>3.4996000000000098</v>
      </c>
      <c r="AF1970">
        <v>-3.2578966811774599</v>
      </c>
      <c r="AG1970">
        <v>-1.1022655956567999</v>
      </c>
      <c r="AH1970">
        <v>4.7275695875676096</v>
      </c>
      <c r="AI1970">
        <v>100.867703443691</v>
      </c>
      <c r="AJ1970">
        <v>124.571782513244</v>
      </c>
      <c r="AK1970">
        <v>5.8462632881089096</v>
      </c>
      <c r="AL1970">
        <v>88.197440950739306</v>
      </c>
      <c r="AM1970">
        <v>93.504833518607299</v>
      </c>
      <c r="AN1970">
        <v>0.99999997319392397</v>
      </c>
    </row>
    <row r="1971" spans="1:40" x14ac:dyDescent="0.3">
      <c r="A1971" t="str">
        <f>"20200111153913106"</f>
        <v>20200111153913106</v>
      </c>
      <c r="B1971" t="str">
        <f>"1578728353102201"</f>
        <v>1578728353102201</v>
      </c>
      <c r="C1971" t="s">
        <v>40</v>
      </c>
      <c r="D1971">
        <v>5.2761079999999998</v>
      </c>
      <c r="E1971">
        <v>0.29586289999999998</v>
      </c>
      <c r="F1971" t="s">
        <v>55</v>
      </c>
      <c r="G1971">
        <v>-391.28870000000001</v>
      </c>
      <c r="H1971" s="1">
        <v>-8.5101209999999898E-7</v>
      </c>
      <c r="I1971">
        <v>217.6046</v>
      </c>
      <c r="J1971">
        <v>-395.97710000000001</v>
      </c>
      <c r="K1971">
        <v>1.1022080000000001</v>
      </c>
      <c r="L1971">
        <v>214.1379</v>
      </c>
      <c r="M1971">
        <v>0.99963460000000004</v>
      </c>
      <c r="N1971">
        <v>0</v>
      </c>
      <c r="O1971">
        <v>2.6469550000000001E-2</v>
      </c>
      <c r="P1971">
        <v>0.99559050000000004</v>
      </c>
      <c r="Q1971">
        <v>2.4399560000000001E-2</v>
      </c>
      <c r="R1971">
        <v>9.0576779999999996E-2</v>
      </c>
      <c r="S1971">
        <v>2.861847</v>
      </c>
      <c r="T1971">
        <v>-0.59761169999999997</v>
      </c>
      <c r="U1971">
        <v>1.8880920000000001</v>
      </c>
      <c r="V1971">
        <v>-6.4174549999999997E-2</v>
      </c>
      <c r="W1971">
        <v>2.9902600000000001E-2</v>
      </c>
      <c r="X1971">
        <v>0.99749060000000001</v>
      </c>
      <c r="Y1971">
        <v>-0.52098319999999998</v>
      </c>
      <c r="Z1971">
        <v>4.4113600000000003E-2</v>
      </c>
      <c r="AA1971">
        <v>0.85242619999999902</v>
      </c>
      <c r="AB1971">
        <v>58</v>
      </c>
      <c r="AC1971">
        <v>4.6883999999999997</v>
      </c>
      <c r="AD1971">
        <v>-1.1022088510121</v>
      </c>
      <c r="AE1971">
        <v>3.4666999999999999</v>
      </c>
      <c r="AF1971">
        <v>-3.2261075297992501</v>
      </c>
      <c r="AG1971">
        <v>-1.1022088510121</v>
      </c>
      <c r="AH1971">
        <v>4.61366401554515</v>
      </c>
      <c r="AI1971">
        <v>101.07748850789</v>
      </c>
      <c r="AJ1971">
        <v>124.963194624053</v>
      </c>
      <c r="AK1971">
        <v>5.7365956623604797</v>
      </c>
      <c r="AL1971">
        <v>88.286451823237201</v>
      </c>
      <c r="AM1971">
        <v>93.681107714288999</v>
      </c>
      <c r="AN1971">
        <v>1.0000000177214099</v>
      </c>
    </row>
    <row r="1972" spans="1:40" x14ac:dyDescent="0.3">
      <c r="A1972" t="str">
        <f>"20200111153913128"</f>
        <v>20200111153913128</v>
      </c>
      <c r="B1972" t="str">
        <f>"1578728353122697"</f>
        <v>1578728353122697</v>
      </c>
      <c r="C1972" t="s">
        <v>40</v>
      </c>
      <c r="D1972">
        <v>5.2827739999999999</v>
      </c>
      <c r="E1972">
        <v>0.29609780000000002</v>
      </c>
      <c r="F1972" t="s">
        <v>55</v>
      </c>
      <c r="G1972">
        <v>-390.7756</v>
      </c>
      <c r="H1972" s="1">
        <v>-1.124047E-6</v>
      </c>
      <c r="I1972">
        <v>217.57820000000001</v>
      </c>
      <c r="J1972">
        <v>-395.37619999999998</v>
      </c>
      <c r="K1972">
        <v>1.1021570000000001</v>
      </c>
      <c r="L1972">
        <v>214.15379999999999</v>
      </c>
      <c r="M1972">
        <v>0.99964169999999997</v>
      </c>
      <c r="N1972">
        <v>0</v>
      </c>
      <c r="O1972">
        <v>2.619368E-2</v>
      </c>
      <c r="P1972">
        <v>0.99541590000000002</v>
      </c>
      <c r="Q1972">
        <v>2.2820739999999999E-2</v>
      </c>
      <c r="R1972">
        <v>9.2877790000000002E-2</v>
      </c>
      <c r="S1972">
        <v>2.856293</v>
      </c>
      <c r="T1972">
        <v>-0.60525479999999998</v>
      </c>
      <c r="U1972">
        <v>1.8892059999999999</v>
      </c>
      <c r="V1972">
        <v>-6.6752909999999999E-2</v>
      </c>
      <c r="W1972">
        <v>2.8359249999999999E-2</v>
      </c>
      <c r="X1972">
        <v>0.99736639999999999</v>
      </c>
      <c r="Y1972">
        <v>-0.52197850000000001</v>
      </c>
      <c r="Z1972">
        <v>4.4883199999999998E-2</v>
      </c>
      <c r="AA1972">
        <v>0.85177700000000001</v>
      </c>
      <c r="AB1972">
        <v>58</v>
      </c>
      <c r="AC1972">
        <v>4.6005999999999796</v>
      </c>
      <c r="AD1972">
        <v>-1.102158124047</v>
      </c>
      <c r="AE1972">
        <v>3.4244000000000199</v>
      </c>
      <c r="AF1972">
        <v>-3.1850864817009898</v>
      </c>
      <c r="AG1972">
        <v>-1.102158124047</v>
      </c>
      <c r="AH1972">
        <v>4.52172624856696</v>
      </c>
      <c r="AI1972">
        <v>101.269878523692</v>
      </c>
      <c r="AJ1972">
        <v>125.16071816994</v>
      </c>
      <c r="AK1972">
        <v>5.63963976627024</v>
      </c>
      <c r="AL1972">
        <v>88.374916733399402</v>
      </c>
      <c r="AM1972">
        <v>93.829048622660906</v>
      </c>
      <c r="AN1972">
        <v>0.99999996695149396</v>
      </c>
    </row>
    <row r="1973" spans="1:40" x14ac:dyDescent="0.3">
      <c r="A1973" t="str">
        <f>"20200111153913150"</f>
        <v>20200111153913150</v>
      </c>
      <c r="B1973" t="str">
        <f>"1578728353142217"</f>
        <v>1578728353142217</v>
      </c>
      <c r="C1973" t="s">
        <v>40</v>
      </c>
      <c r="D1973">
        <v>5.3159679999999998</v>
      </c>
      <c r="E1973">
        <v>0.29654170000000002</v>
      </c>
      <c r="F1973" t="s">
        <v>55</v>
      </c>
      <c r="G1973">
        <v>-390.22969999999998</v>
      </c>
      <c r="H1973" s="1">
        <v>-1.4145420000000001E-6</v>
      </c>
      <c r="I1973">
        <v>217.56960000000001</v>
      </c>
      <c r="J1973">
        <v>-394.82490000000001</v>
      </c>
      <c r="K1973">
        <v>1.1021080000000001</v>
      </c>
      <c r="L1973">
        <v>214.16820000000001</v>
      </c>
      <c r="M1973">
        <v>0.9996486</v>
      </c>
      <c r="N1973">
        <v>0</v>
      </c>
      <c r="O1973">
        <v>2.5923979999999999E-2</v>
      </c>
      <c r="P1973">
        <v>0.99526389999999998</v>
      </c>
      <c r="Q1973">
        <v>2.1600169999999998E-2</v>
      </c>
      <c r="R1973">
        <v>9.4780180000000006E-2</v>
      </c>
      <c r="S1973">
        <v>2.8512270000000002</v>
      </c>
      <c r="T1973">
        <v>-0.61061699999999997</v>
      </c>
      <c r="U1973">
        <v>1.8924559999999999</v>
      </c>
      <c r="V1973">
        <v>-6.8926050000000003E-2</v>
      </c>
      <c r="W1973">
        <v>2.7171910000000001E-2</v>
      </c>
      <c r="X1973">
        <v>0.99725169999999996</v>
      </c>
      <c r="Y1973">
        <v>-0.52339820000000004</v>
      </c>
      <c r="Z1973">
        <v>4.5516349999999997E-2</v>
      </c>
      <c r="AA1973">
        <v>0.85087169999999901</v>
      </c>
      <c r="AB1973">
        <v>58</v>
      </c>
      <c r="AC1973">
        <v>4.5952000000000304</v>
      </c>
      <c r="AD1973">
        <v>-1.1021094145420001</v>
      </c>
      <c r="AE1973">
        <v>3.40139999999999</v>
      </c>
      <c r="AF1973">
        <v>-3.1635655742435498</v>
      </c>
      <c r="AG1973">
        <v>-1.1021094145420001</v>
      </c>
      <c r="AH1973">
        <v>4.5140836431790499</v>
      </c>
      <c r="AI1973">
        <v>101.30649252836101</v>
      </c>
      <c r="AJ1973">
        <v>125.023586565261</v>
      </c>
      <c r="AK1973">
        <v>5.6213649091459699</v>
      </c>
      <c r="AL1973">
        <v>88.442972651641995</v>
      </c>
      <c r="AM1973">
        <v>93.953767438899504</v>
      </c>
      <c r="AN1973">
        <v>1.00000003310726</v>
      </c>
    </row>
    <row r="1974" spans="1:40" x14ac:dyDescent="0.3">
      <c r="A1974" t="str">
        <f>"20200111153913171"</f>
        <v>20200111153913171</v>
      </c>
      <c r="B1974" t="str">
        <f>"1578728353162713"</f>
        <v>1578728353162713</v>
      </c>
      <c r="C1974" t="s">
        <v>40</v>
      </c>
      <c r="D1974">
        <v>5.2430209999999997</v>
      </c>
      <c r="E1974">
        <v>0.2970642</v>
      </c>
      <c r="F1974" t="s">
        <v>55</v>
      </c>
      <c r="G1974">
        <v>-389.73360000000002</v>
      </c>
      <c r="H1974" s="1">
        <v>3.5145680000000002E-6</v>
      </c>
      <c r="I1974">
        <v>217.55350000000001</v>
      </c>
      <c r="J1974">
        <v>-394.2525</v>
      </c>
      <c r="K1974">
        <v>1.1020639999999999</v>
      </c>
      <c r="L1974">
        <v>214.18299999999999</v>
      </c>
      <c r="M1974">
        <v>0.99965610000000005</v>
      </c>
      <c r="N1974">
        <v>0</v>
      </c>
      <c r="O1974">
        <v>2.562859E-2</v>
      </c>
      <c r="P1974">
        <v>0.99513090000000004</v>
      </c>
      <c r="Q1974">
        <v>2.082937E-2</v>
      </c>
      <c r="R1974">
        <v>9.6337060000000002E-2</v>
      </c>
      <c r="S1974">
        <v>2.8473510000000002</v>
      </c>
      <c r="T1974">
        <v>-0.61636359999999901</v>
      </c>
      <c r="U1974">
        <v>1.893265</v>
      </c>
      <c r="V1974">
        <v>-7.0779030000000007E-2</v>
      </c>
      <c r="W1974">
        <v>2.6435940000000002E-2</v>
      </c>
      <c r="X1974">
        <v>0.99714170000000002</v>
      </c>
      <c r="Y1974">
        <v>-0.524169</v>
      </c>
      <c r="Z1974">
        <v>4.6117940000000003E-2</v>
      </c>
      <c r="AA1974">
        <v>0.85036460000000003</v>
      </c>
      <c r="AB1974">
        <v>58</v>
      </c>
      <c r="AC1974">
        <v>4.5188999999999702</v>
      </c>
      <c r="AD1974">
        <v>-1.102060485432</v>
      </c>
      <c r="AE1974">
        <v>3.3705000000000198</v>
      </c>
      <c r="AF1974">
        <v>-3.1338156528166801</v>
      </c>
      <c r="AG1974">
        <v>-1.102060485432</v>
      </c>
      <c r="AH1974">
        <v>4.4343348986516702</v>
      </c>
      <c r="AI1974">
        <v>101.472933557736</v>
      </c>
      <c r="AJ1974">
        <v>125.24946217798799</v>
      </c>
      <c r="AK1974">
        <v>5.5406374951615103</v>
      </c>
      <c r="AL1974">
        <v>88.485155807526297</v>
      </c>
      <c r="AM1974">
        <v>94.060154500489901</v>
      </c>
      <c r="AN1974">
        <v>1.00000004994515</v>
      </c>
    </row>
    <row r="1975" spans="1:40" x14ac:dyDescent="0.3">
      <c r="A1975" t="str">
        <f>"20200111153913194"</f>
        <v>20200111153913194</v>
      </c>
      <c r="B1975" t="str">
        <f>"1578728353182233"</f>
        <v>1578728353182233</v>
      </c>
      <c r="C1975" t="s">
        <v>40</v>
      </c>
      <c r="D1975">
        <v>5.2559760000000004</v>
      </c>
      <c r="E1975">
        <v>0.29677500000000001</v>
      </c>
      <c r="F1975" t="s">
        <v>55</v>
      </c>
      <c r="G1975">
        <v>-389.2133</v>
      </c>
      <c r="H1975" s="1">
        <v>3.238486E-6</v>
      </c>
      <c r="I1975">
        <v>217.5351</v>
      </c>
      <c r="J1975">
        <v>-393.67619999999999</v>
      </c>
      <c r="K1975">
        <v>1.102025</v>
      </c>
      <c r="L1975">
        <v>214.1978</v>
      </c>
      <c r="M1975">
        <v>0.99966390000000005</v>
      </c>
      <c r="N1975">
        <v>0</v>
      </c>
      <c r="O1975">
        <v>2.531856E-2</v>
      </c>
      <c r="P1975">
        <v>0.99507679999999998</v>
      </c>
      <c r="Q1975">
        <v>2.032285E-2</v>
      </c>
      <c r="R1975">
        <v>9.7002389999999994E-2</v>
      </c>
      <c r="S1975">
        <v>2.8445130000000001</v>
      </c>
      <c r="T1975">
        <v>-0.62208379999999996</v>
      </c>
      <c r="U1975">
        <v>1.892166</v>
      </c>
      <c r="V1975">
        <v>-7.1753199999999906E-2</v>
      </c>
      <c r="W1975">
        <v>2.5962599999999999E-2</v>
      </c>
      <c r="X1975">
        <v>0.99708439999999998</v>
      </c>
      <c r="Y1975">
        <v>-0.52442259999999996</v>
      </c>
      <c r="Z1975">
        <v>4.6666680000000002E-2</v>
      </c>
      <c r="AA1975">
        <v>0.85017830000000005</v>
      </c>
      <c r="AB1975">
        <v>58</v>
      </c>
      <c r="AC1975">
        <v>4.4628999999999897</v>
      </c>
      <c r="AD1975">
        <v>-1.102021761514</v>
      </c>
      <c r="AE1975">
        <v>3.3372999999999902</v>
      </c>
      <c r="AF1975">
        <v>-3.1019288312275699</v>
      </c>
      <c r="AG1975">
        <v>-1.102021761514</v>
      </c>
      <c r="AH1975">
        <v>4.37488030517481</v>
      </c>
      <c r="AI1975">
        <v>101.611894855906</v>
      </c>
      <c r="AJ1975">
        <v>125.337849563736</v>
      </c>
      <c r="AK1975">
        <v>5.4750335269711101</v>
      </c>
      <c r="AL1975">
        <v>88.512285338909294</v>
      </c>
      <c r="AM1975">
        <v>94.116081563632505</v>
      </c>
      <c r="AN1975">
        <v>0.99999993951617805</v>
      </c>
    </row>
    <row r="1976" spans="1:40" x14ac:dyDescent="0.3">
      <c r="A1976" t="str">
        <f>"20200111153913217"</f>
        <v>20200111153913217</v>
      </c>
      <c r="B1976" t="str">
        <f>"1578728353212489"</f>
        <v>1578728353212489</v>
      </c>
      <c r="C1976" t="s">
        <v>40</v>
      </c>
      <c r="D1976">
        <v>5.2301859999999998</v>
      </c>
      <c r="E1976">
        <v>0.29616779999999998</v>
      </c>
      <c r="F1976" t="s">
        <v>55</v>
      </c>
      <c r="G1976">
        <v>-388.66340000000002</v>
      </c>
      <c r="H1976" s="1">
        <v>2.9456109999999999E-6</v>
      </c>
      <c r="I1976">
        <v>217.5411</v>
      </c>
      <c r="J1976">
        <v>-393.10129999999998</v>
      </c>
      <c r="K1976">
        <v>1.101988</v>
      </c>
      <c r="L1976">
        <v>214.2123</v>
      </c>
      <c r="M1976">
        <v>0.9996718</v>
      </c>
      <c r="N1976">
        <v>0</v>
      </c>
      <c r="O1976">
        <v>2.4997640000000002E-2</v>
      </c>
      <c r="P1976">
        <v>0.99508989999999997</v>
      </c>
      <c r="Q1976">
        <v>2.066169E-2</v>
      </c>
      <c r="R1976">
        <v>9.6794930000000001E-2</v>
      </c>
      <c r="S1976">
        <v>2.8427730000000002</v>
      </c>
      <c r="T1976">
        <v>-0.62496260000000003</v>
      </c>
      <c r="U1976">
        <v>1.896042</v>
      </c>
      <c r="V1976">
        <v>-7.1863759999999999E-2</v>
      </c>
      <c r="W1976">
        <v>2.6333929999999998E-2</v>
      </c>
      <c r="X1976">
        <v>0.99706669999999997</v>
      </c>
      <c r="Y1976">
        <v>-0.52563409999999999</v>
      </c>
      <c r="Z1976">
        <v>4.7069720000000002E-2</v>
      </c>
      <c r="AA1976">
        <v>0.84940759999999904</v>
      </c>
      <c r="AB1976">
        <v>58</v>
      </c>
      <c r="AC1976">
        <v>4.4378999999999502</v>
      </c>
      <c r="AD1976">
        <v>-1.101985054389</v>
      </c>
      <c r="AE1976">
        <v>3.3288000000000002</v>
      </c>
      <c r="AF1976">
        <v>-3.0947082790620102</v>
      </c>
      <c r="AG1976">
        <v>-1.101985054389</v>
      </c>
      <c r="AH1976">
        <v>4.3481547254675403</v>
      </c>
      <c r="AI1976">
        <v>101.666473772288</v>
      </c>
      <c r="AJ1976">
        <v>125.440565076208</v>
      </c>
      <c r="AK1976">
        <v>5.4495908019958197</v>
      </c>
      <c r="AL1976">
        <v>88.491002419364406</v>
      </c>
      <c r="AM1976">
        <v>94.122474855546798</v>
      </c>
      <c r="AN1976">
        <v>0.99999994005973403</v>
      </c>
    </row>
    <row r="1977" spans="1:40" x14ac:dyDescent="0.3">
      <c r="A1977" t="str">
        <f>"20200111153913238"</f>
        <v>20200111153913238</v>
      </c>
      <c r="B1977" t="str">
        <f>"1578728353232986"</f>
        <v>1578728353232986</v>
      </c>
      <c r="C1977" t="s">
        <v>40</v>
      </c>
      <c r="D1977">
        <v>5.1516679999999999</v>
      </c>
      <c r="E1977">
        <v>0.29600720000000003</v>
      </c>
      <c r="F1977" t="s">
        <v>55</v>
      </c>
      <c r="G1977">
        <v>-388.10599999999999</v>
      </c>
      <c r="H1977" s="1">
        <v>2.64857E-6</v>
      </c>
      <c r="I1977">
        <v>217.5497</v>
      </c>
      <c r="J1977">
        <v>-392.52870000000001</v>
      </c>
      <c r="K1977">
        <v>1.1019600000000001</v>
      </c>
      <c r="L1977">
        <v>214.22659999999999</v>
      </c>
      <c r="M1977">
        <v>0.99967980000000001</v>
      </c>
      <c r="N1977">
        <v>0</v>
      </c>
      <c r="O1977">
        <v>2.4669719999999999E-2</v>
      </c>
      <c r="P1977">
        <v>0.9951122</v>
      </c>
      <c r="Q1977">
        <v>2.057612E-2</v>
      </c>
      <c r="R1977">
        <v>9.6584470000000006E-2</v>
      </c>
      <c r="S1977">
        <v>2.8430789999999999</v>
      </c>
      <c r="T1977">
        <v>-0.62719069999999899</v>
      </c>
      <c r="U1977">
        <v>1.899475</v>
      </c>
      <c r="V1977">
        <v>-7.1977949999999999E-2</v>
      </c>
      <c r="W1977">
        <v>2.6279589999999999E-2</v>
      </c>
      <c r="X1977">
        <v>0.9970599</v>
      </c>
      <c r="Y1977">
        <v>-0.52650710000000001</v>
      </c>
      <c r="Z1977">
        <v>4.7367869999999999E-2</v>
      </c>
      <c r="AA1977">
        <v>0.84885010000000005</v>
      </c>
      <c r="AB1977">
        <v>58</v>
      </c>
      <c r="AC1977">
        <v>4.4227000000000096</v>
      </c>
      <c r="AD1977">
        <v>-1.1019573514299901</v>
      </c>
      <c r="AE1977">
        <v>3.3231000000000099</v>
      </c>
      <c r="AF1977">
        <v>-3.0903575142874802</v>
      </c>
      <c r="AG1977">
        <v>-1.1019573514299901</v>
      </c>
      <c r="AH1977">
        <v>4.3314665119407199</v>
      </c>
      <c r="AI1977">
        <v>101.70054931193501</v>
      </c>
      <c r="AJ1977">
        <v>125.506596561001</v>
      </c>
      <c r="AK1977">
        <v>5.4338036139105697</v>
      </c>
      <c r="AL1977">
        <v>88.494116954768799</v>
      </c>
      <c r="AM1977">
        <v>94.129030805920493</v>
      </c>
      <c r="AN1977">
        <v>0.99999994316238805</v>
      </c>
    </row>
    <row r="1978" spans="1:40" x14ac:dyDescent="0.3">
      <c r="A1978" t="str">
        <f>"20200111153913260"</f>
        <v>20200111153913260</v>
      </c>
      <c r="B1978" t="str">
        <f>"1578728353252505"</f>
        <v>1578728353252505</v>
      </c>
      <c r="C1978" t="s">
        <v>40</v>
      </c>
      <c r="D1978">
        <v>5.1737919999999997</v>
      </c>
      <c r="E1978">
        <v>0.29588300000000001</v>
      </c>
      <c r="F1978" t="s">
        <v>55</v>
      </c>
      <c r="G1978">
        <v>-387.54180000000002</v>
      </c>
      <c r="H1978" s="1">
        <v>2.3479340000000001E-6</v>
      </c>
      <c r="I1978">
        <v>217.55940000000001</v>
      </c>
      <c r="J1978">
        <v>-391.93270000000001</v>
      </c>
      <c r="K1978">
        <v>1.101936</v>
      </c>
      <c r="L1978">
        <v>214.24119999999999</v>
      </c>
      <c r="M1978">
        <v>0.99968800000000002</v>
      </c>
      <c r="N1978">
        <v>0</v>
      </c>
      <c r="O1978">
        <v>2.4322489999999999E-2</v>
      </c>
      <c r="P1978">
        <v>0.99521519999999997</v>
      </c>
      <c r="Q1978">
        <v>2.0679050000000001E-2</v>
      </c>
      <c r="R1978">
        <v>9.5495650000000001E-2</v>
      </c>
      <c r="S1978">
        <v>2.8433229999999998</v>
      </c>
      <c r="T1978">
        <v>-0.62828390000000001</v>
      </c>
      <c r="U1978">
        <v>1.9002079999999999</v>
      </c>
      <c r="V1978">
        <v>-7.1232199999999996E-2</v>
      </c>
      <c r="W1978">
        <v>2.6414489999999999E-2</v>
      </c>
      <c r="X1978">
        <v>0.99710989999999999</v>
      </c>
      <c r="Y1978">
        <v>-0.52687910000000004</v>
      </c>
      <c r="Z1978">
        <v>4.7548359999999998E-2</v>
      </c>
      <c r="AA1978">
        <v>0.84860910000000001</v>
      </c>
      <c r="AB1978">
        <v>59</v>
      </c>
      <c r="AC1978">
        <v>4.3908999999999798</v>
      </c>
      <c r="AD1978">
        <v>-1.1019336520659999</v>
      </c>
      <c r="AE1978">
        <v>3.3182000000000098</v>
      </c>
      <c r="AF1978">
        <v>-3.0866826882701801</v>
      </c>
      <c r="AG1978">
        <v>-1.1019336520659999</v>
      </c>
      <c r="AH1978">
        <v>4.2980140586879303</v>
      </c>
      <c r="AI1978">
        <v>101.763377682498</v>
      </c>
      <c r="AJ1978">
        <v>125.68457943831601</v>
      </c>
      <c r="AK1978">
        <v>5.4050710115873102</v>
      </c>
      <c r="AL1978">
        <v>88.486385083182597</v>
      </c>
      <c r="AM1978">
        <v>94.086192156441896</v>
      </c>
      <c r="AN1978">
        <v>0.99999995213840298</v>
      </c>
    </row>
    <row r="1979" spans="1:40" x14ac:dyDescent="0.3">
      <c r="A1979" t="str">
        <f>"20200111153913282"</f>
        <v>20200111153913282</v>
      </c>
      <c r="B1979" t="str">
        <f>"1578728353273001"</f>
        <v>1578728353273001</v>
      </c>
      <c r="C1979" t="s">
        <v>40</v>
      </c>
      <c r="D1979">
        <v>5.1453800000000003</v>
      </c>
      <c r="E1979">
        <v>0.29585660000000003</v>
      </c>
      <c r="F1979" t="s">
        <v>55</v>
      </c>
      <c r="G1979">
        <v>-386.93549999999999</v>
      </c>
      <c r="H1979" s="1">
        <v>2.0246320000000001E-6</v>
      </c>
      <c r="I1979">
        <v>217.57480000000001</v>
      </c>
      <c r="J1979">
        <v>-391.3417</v>
      </c>
      <c r="K1979">
        <v>1.101915</v>
      </c>
      <c r="L1979">
        <v>214.25559999999999</v>
      </c>
      <c r="M1979">
        <v>0.99969629999999998</v>
      </c>
      <c r="N1979">
        <v>0</v>
      </c>
      <c r="O1979">
        <v>2.3973850000000001E-2</v>
      </c>
      <c r="P1979">
        <v>0.99533130000000003</v>
      </c>
      <c r="Q1979">
        <v>2.0627199999999998E-2</v>
      </c>
      <c r="R1979">
        <v>9.4288159999999996E-2</v>
      </c>
      <c r="S1979">
        <v>2.8453369999999998</v>
      </c>
      <c r="T1979">
        <v>-0.62743179999999998</v>
      </c>
      <c r="U1979">
        <v>1.898102</v>
      </c>
      <c r="V1979">
        <v>-7.036829E-2</v>
      </c>
      <c r="W1979">
        <v>2.6393509999999998E-2</v>
      </c>
      <c r="X1979">
        <v>0.99717180000000005</v>
      </c>
      <c r="Y1979">
        <v>-0.52649000000000001</v>
      </c>
      <c r="Z1979">
        <v>4.7496459999999997E-2</v>
      </c>
      <c r="AA1979">
        <v>0.84885359999999999</v>
      </c>
      <c r="AB1979">
        <v>59</v>
      </c>
      <c r="AC1979">
        <v>4.4062000000000099</v>
      </c>
      <c r="AD1979">
        <v>-1.1019129753679999</v>
      </c>
      <c r="AE1979">
        <v>3.3192000000000199</v>
      </c>
      <c r="AF1979">
        <v>-3.0893469716125899</v>
      </c>
      <c r="AG1979">
        <v>-1.1019129753679999</v>
      </c>
      <c r="AH1979">
        <v>4.3124440518128599</v>
      </c>
      <c r="AI1979">
        <v>101.73453636942401</v>
      </c>
      <c r="AJ1979">
        <v>125.617039514041</v>
      </c>
      <c r="AK1979">
        <v>5.4180670553540002</v>
      </c>
      <c r="AL1979">
        <v>88.487587574022299</v>
      </c>
      <c r="AM1979">
        <v>94.036549561983193</v>
      </c>
      <c r="AN1979">
        <v>0.99999995616144099</v>
      </c>
    </row>
    <row r="1980" spans="1:40" x14ac:dyDescent="0.3">
      <c r="A1980" t="str">
        <f>"20200111153913306"</f>
        <v>20200111153913306</v>
      </c>
      <c r="B1980" t="str">
        <f>"1578728353302281"</f>
        <v>1578728353302281</v>
      </c>
      <c r="C1980" t="s">
        <v>40</v>
      </c>
      <c r="D1980">
        <v>5.1315189999999999</v>
      </c>
      <c r="E1980">
        <v>0.29579699999999998</v>
      </c>
      <c r="F1980" t="s">
        <v>55</v>
      </c>
      <c r="G1980">
        <v>-386.34440000000001</v>
      </c>
      <c r="H1980" s="1">
        <v>1.709802E-6</v>
      </c>
      <c r="I1980">
        <v>217.58090000000001</v>
      </c>
      <c r="J1980">
        <v>-390.73579999999998</v>
      </c>
      <c r="K1980">
        <v>1.1019000000000001</v>
      </c>
      <c r="L1980">
        <v>214.27010000000001</v>
      </c>
      <c r="M1980">
        <v>0.99970460000000005</v>
      </c>
      <c r="N1980">
        <v>0</v>
      </c>
      <c r="O1980">
        <v>2.361545E-2</v>
      </c>
      <c r="P1980">
        <v>0.99552569999999996</v>
      </c>
      <c r="Q1980">
        <v>2.046868E-2</v>
      </c>
      <c r="R1980">
        <v>9.2248129999999998E-2</v>
      </c>
      <c r="S1980">
        <v>2.8475649999999999</v>
      </c>
      <c r="T1980">
        <v>-0.62788869999999997</v>
      </c>
      <c r="U1980">
        <v>1.894806</v>
      </c>
      <c r="V1980">
        <v>-6.8681409999999998E-2</v>
      </c>
      <c r="W1980">
        <v>2.6265770000000001E-2</v>
      </c>
      <c r="X1980">
        <v>0.99729279999999998</v>
      </c>
      <c r="Y1980">
        <v>-0.52580300000000002</v>
      </c>
      <c r="Z1980">
        <v>4.7516170000000003E-2</v>
      </c>
      <c r="AA1980">
        <v>0.84927819999999898</v>
      </c>
      <c r="AB1980">
        <v>59</v>
      </c>
      <c r="AC1980">
        <v>4.3913999999999698</v>
      </c>
      <c r="AD1980">
        <v>-1.1018982901979999</v>
      </c>
      <c r="AE1980">
        <v>3.3108</v>
      </c>
      <c r="AF1980">
        <v>-3.0824297149207101</v>
      </c>
      <c r="AG1980">
        <v>-1.1018982901979999</v>
      </c>
      <c r="AH1980">
        <v>4.2959086550290504</v>
      </c>
      <c r="AI1980">
        <v>101.77207337486399</v>
      </c>
      <c r="AJ1980">
        <v>125.660454358602</v>
      </c>
      <c r="AK1980">
        <v>5.4009613923560797</v>
      </c>
      <c r="AL1980">
        <v>88.494909108118094</v>
      </c>
      <c r="AM1980">
        <v>93.939616705864793</v>
      </c>
      <c r="AN1980">
        <v>0.99999997784256001</v>
      </c>
    </row>
    <row r="1981" spans="1:40" x14ac:dyDescent="0.3">
      <c r="A1981" t="str">
        <f>"20200111153913327"</f>
        <v>20200111153913327</v>
      </c>
      <c r="B1981" t="str">
        <f>"1578728353322777"</f>
        <v>1578728353322777</v>
      </c>
      <c r="C1981" t="s">
        <v>40</v>
      </c>
      <c r="D1981">
        <v>5.0834669999999997</v>
      </c>
      <c r="E1981">
        <v>0.29576560000000002</v>
      </c>
      <c r="F1981" t="s">
        <v>55</v>
      </c>
      <c r="G1981">
        <v>-385.72989999999999</v>
      </c>
      <c r="H1981" s="1">
        <v>1.3825159999999999E-6</v>
      </c>
      <c r="I1981">
        <v>217.58779999999999</v>
      </c>
      <c r="J1981">
        <v>-390.16840000000002</v>
      </c>
      <c r="K1981">
        <v>1.101882</v>
      </c>
      <c r="L1981">
        <v>214.2835</v>
      </c>
      <c r="M1981">
        <v>0.9997123</v>
      </c>
      <c r="N1981">
        <v>0</v>
      </c>
      <c r="O1981">
        <v>2.3284389999999999E-2</v>
      </c>
      <c r="P1981">
        <v>0.99572749999999999</v>
      </c>
      <c r="Q1981">
        <v>2.0737740000000001E-2</v>
      </c>
      <c r="R1981">
        <v>8.9982060000000003E-2</v>
      </c>
      <c r="S1981">
        <v>2.8512569999999999</v>
      </c>
      <c r="T1981">
        <v>-0.62762709999999999</v>
      </c>
      <c r="U1981">
        <v>1.8897250000000001</v>
      </c>
      <c r="V1981">
        <v>-6.674004E-2</v>
      </c>
      <c r="W1981">
        <v>2.6562249999999999E-2</v>
      </c>
      <c r="X1981">
        <v>0.99741679999999999</v>
      </c>
      <c r="Y1981">
        <v>-0.52455419999999997</v>
      </c>
      <c r="Z1981">
        <v>4.7408600000000002E-2</v>
      </c>
      <c r="AA1981">
        <v>0.85005609999999998</v>
      </c>
      <c r="AB1981">
        <v>59</v>
      </c>
      <c r="AC1981">
        <v>4.4385000000000296</v>
      </c>
      <c r="AD1981">
        <v>-1.1018806174839999</v>
      </c>
      <c r="AE1981">
        <v>3.30429999999998</v>
      </c>
      <c r="AF1981">
        <v>-3.07800082511219</v>
      </c>
      <c r="AG1981">
        <v>-1.1018806174839999</v>
      </c>
      <c r="AH1981">
        <v>4.3420582497789297</v>
      </c>
      <c r="AI1981">
        <v>101.696614341908</v>
      </c>
      <c r="AJ1981">
        <v>125.332087647618</v>
      </c>
      <c r="AK1981">
        <v>5.4352276694772899</v>
      </c>
      <c r="AL1981">
        <v>88.4779162045687</v>
      </c>
      <c r="AM1981">
        <v>93.828119703876396</v>
      </c>
      <c r="AN1981">
        <v>1.0000000294932501</v>
      </c>
    </row>
    <row r="1982" spans="1:40" x14ac:dyDescent="0.3">
      <c r="A1982" t="str">
        <f>"20200111153913351"</f>
        <v>20200111153913351</v>
      </c>
      <c r="B1982" t="str">
        <f>"1578728353342296"</f>
        <v>1578728353342296</v>
      </c>
      <c r="C1982" t="s">
        <v>40</v>
      </c>
      <c r="D1982">
        <v>5.043736</v>
      </c>
      <c r="E1982">
        <v>0.29573199999999999</v>
      </c>
      <c r="F1982" t="s">
        <v>55</v>
      </c>
      <c r="G1982">
        <v>-385.13409999999999</v>
      </c>
      <c r="H1982" s="1">
        <v>1.0647069999999999E-6</v>
      </c>
      <c r="I1982">
        <v>217.6046</v>
      </c>
      <c r="J1982">
        <v>-389.54790000000003</v>
      </c>
      <c r="K1982">
        <v>1.1018749999999999</v>
      </c>
      <c r="L1982">
        <v>214.2979</v>
      </c>
      <c r="M1982">
        <v>0.99972019999999995</v>
      </c>
      <c r="N1982">
        <v>0</v>
      </c>
      <c r="O1982">
        <v>2.2935850000000001E-2</v>
      </c>
      <c r="P1982">
        <v>0.99599000000000004</v>
      </c>
      <c r="Q1982">
        <v>2.0744849999999999E-2</v>
      </c>
      <c r="R1982">
        <v>8.7026419999999993E-2</v>
      </c>
      <c r="S1982">
        <v>2.8556210000000002</v>
      </c>
      <c r="T1982">
        <v>-0.6250213</v>
      </c>
      <c r="U1982">
        <v>1.8838349999999999</v>
      </c>
      <c r="V1982">
        <v>-6.4126779999999994E-2</v>
      </c>
      <c r="W1982">
        <v>2.6597530000000001E-2</v>
      </c>
      <c r="X1982">
        <v>0.99758729999999995</v>
      </c>
      <c r="Y1982">
        <v>-0.52312519999999996</v>
      </c>
      <c r="Z1982">
        <v>4.7107349999999999E-2</v>
      </c>
      <c r="AA1982">
        <v>0.85095299999999996</v>
      </c>
      <c r="AB1982">
        <v>59</v>
      </c>
      <c r="AC1982">
        <v>4.4138000000000304</v>
      </c>
      <c r="AD1982">
        <v>-1.101873935293</v>
      </c>
      <c r="AE1982">
        <v>3.3067000000000002</v>
      </c>
      <c r="AF1982">
        <v>-3.08158502114473</v>
      </c>
      <c r="AG1982">
        <v>-1.101873935293</v>
      </c>
      <c r="AH1982">
        <v>4.3161906143032001</v>
      </c>
      <c r="AI1982">
        <v>101.737289700709</v>
      </c>
      <c r="AJ1982">
        <v>125.525297217434</v>
      </c>
      <c r="AK1982">
        <v>5.4166219944556504</v>
      </c>
      <c r="AL1982">
        <v>88.475894121511601</v>
      </c>
      <c r="AM1982">
        <v>93.678019531139597</v>
      </c>
      <c r="AN1982">
        <v>1.0000000468182699</v>
      </c>
    </row>
    <row r="1983" spans="1:40" x14ac:dyDescent="0.3">
      <c r="A1983" t="str">
        <f>"20200111153913372"</f>
        <v>20200111153913372</v>
      </c>
      <c r="B1983" t="str">
        <f>"1578728353362793"</f>
        <v>1578728353362793</v>
      </c>
      <c r="C1983" t="s">
        <v>40</v>
      </c>
      <c r="D1983">
        <v>5.0066519999999999</v>
      </c>
      <c r="E1983">
        <v>0.29564699999999999</v>
      </c>
      <c r="F1983" t="s">
        <v>55</v>
      </c>
      <c r="G1983">
        <v>-384.49720000000002</v>
      </c>
      <c r="H1983" s="1">
        <v>7.2556140000000004E-7</v>
      </c>
      <c r="I1983">
        <v>217.60919999999999</v>
      </c>
      <c r="J1983">
        <v>-388.98630000000003</v>
      </c>
      <c r="K1983">
        <v>1.101877</v>
      </c>
      <c r="L1983">
        <v>214.3108</v>
      </c>
      <c r="M1983">
        <v>0.99972689999999997</v>
      </c>
      <c r="N1983">
        <v>0</v>
      </c>
      <c r="O1983">
        <v>2.264031E-2</v>
      </c>
      <c r="P1983">
        <v>0.9962415</v>
      </c>
      <c r="Q1983">
        <v>2.0944109999999998E-2</v>
      </c>
      <c r="R1983">
        <v>8.4048890000000001E-2</v>
      </c>
      <c r="S1983">
        <v>2.8612060000000001</v>
      </c>
      <c r="T1983">
        <v>-0.62419999999999998</v>
      </c>
      <c r="U1983">
        <v>1.8758090000000001</v>
      </c>
      <c r="V1983">
        <v>-6.1439029999999999E-2</v>
      </c>
      <c r="W1983">
        <v>2.6820130000000001E-2</v>
      </c>
      <c r="X1983">
        <v>0.99775049999999998</v>
      </c>
      <c r="Y1983">
        <v>-0.52100570000000002</v>
      </c>
      <c r="Z1983">
        <v>4.6852480000000002E-2</v>
      </c>
      <c r="AA1983">
        <v>0.85226639999999998</v>
      </c>
      <c r="AB1983">
        <v>59</v>
      </c>
      <c r="AC1983">
        <v>4.4890999999999996</v>
      </c>
      <c r="AD1983">
        <v>-1.1018762744385999</v>
      </c>
      <c r="AE1983">
        <v>3.29839999999998</v>
      </c>
      <c r="AF1983">
        <v>-3.0755834696808302</v>
      </c>
      <c r="AG1983">
        <v>-1.1018762744385999</v>
      </c>
      <c r="AH1983">
        <v>4.3908324326011599</v>
      </c>
      <c r="AI1983">
        <v>101.614906077607</v>
      </c>
      <c r="AJ1983">
        <v>125.00953854100599</v>
      </c>
      <c r="AK1983">
        <v>5.4729109671478202</v>
      </c>
      <c r="AL1983">
        <v>88.463135561054301</v>
      </c>
      <c r="AM1983">
        <v>93.523684451662206</v>
      </c>
      <c r="AN1983">
        <v>1.0000000670153999</v>
      </c>
    </row>
    <row r="1984" spans="1:40" x14ac:dyDescent="0.3">
      <c r="A1984" t="str">
        <f>"20200111153913395"</f>
        <v>20200111153913395</v>
      </c>
      <c r="B1984" t="str">
        <f>"1578728353393050"</f>
        <v>1578728353393050</v>
      </c>
      <c r="C1984" t="s">
        <v>40</v>
      </c>
      <c r="D1984">
        <v>5.0391579999999996</v>
      </c>
      <c r="E1984">
        <v>0.29550609999999999</v>
      </c>
      <c r="F1984" t="s">
        <v>55</v>
      </c>
      <c r="G1984">
        <v>-383.92090000000002</v>
      </c>
      <c r="H1984" s="1">
        <v>4.188503E-7</v>
      </c>
      <c r="I1984">
        <v>217.61060000000001</v>
      </c>
      <c r="J1984">
        <v>-388.37709999999998</v>
      </c>
      <c r="K1984">
        <v>1.10188</v>
      </c>
      <c r="L1984">
        <v>214.3246</v>
      </c>
      <c r="M1984">
        <v>0.99973330000000005</v>
      </c>
      <c r="N1984">
        <v>0</v>
      </c>
      <c r="O1984">
        <v>2.2347220000000001E-2</v>
      </c>
      <c r="P1984">
        <v>0.99650640000000001</v>
      </c>
      <c r="Q1984">
        <v>2.1368100000000001E-2</v>
      </c>
      <c r="R1984">
        <v>8.0738489999999996E-2</v>
      </c>
      <c r="S1984">
        <v>2.8669129999999998</v>
      </c>
      <c r="T1984">
        <v>-0.62363959999999996</v>
      </c>
      <c r="U1984">
        <v>1.8675839999999999</v>
      </c>
      <c r="V1984">
        <v>-5.8416460000000003E-2</v>
      </c>
      <c r="W1984">
        <v>2.7268669999999998E-2</v>
      </c>
      <c r="X1984">
        <v>0.99791980000000002</v>
      </c>
      <c r="Y1984">
        <v>-0.51881750000000004</v>
      </c>
      <c r="Z1984">
        <v>4.6609350000000001E-2</v>
      </c>
      <c r="AA1984">
        <v>0.85361350000000003</v>
      </c>
      <c r="AB1984">
        <v>59</v>
      </c>
      <c r="AC1984">
        <v>4.45619999999996</v>
      </c>
      <c r="AD1984">
        <v>-1.1018795811497</v>
      </c>
      <c r="AE1984">
        <v>3.286</v>
      </c>
      <c r="AF1984">
        <v>-3.0642323690855799</v>
      </c>
      <c r="AG1984">
        <v>-1.1018795811497</v>
      </c>
      <c r="AH1984">
        <v>4.35599818552146</v>
      </c>
      <c r="AI1984">
        <v>101.689246296986</v>
      </c>
      <c r="AJ1984">
        <v>125.12451792670799</v>
      </c>
      <c r="AK1984">
        <v>5.43860081412239</v>
      </c>
      <c r="AL1984">
        <v>88.437426597929004</v>
      </c>
      <c r="AM1984">
        <v>93.350170376459602</v>
      </c>
      <c r="AN1984">
        <v>0.99999999519727001</v>
      </c>
    </row>
    <row r="1985" spans="1:40" x14ac:dyDescent="0.3">
      <c r="A1985" t="str">
        <f>"20200111153913417"</f>
        <v>20200111153913417</v>
      </c>
      <c r="B1985" t="str">
        <f>"1578728353412569"</f>
        <v>1578728353412569</v>
      </c>
      <c r="C1985" t="s">
        <v>40</v>
      </c>
      <c r="D1985">
        <v>4.8810260000000003</v>
      </c>
      <c r="E1985">
        <v>0.29562719999999998</v>
      </c>
      <c r="F1985" t="s">
        <v>55</v>
      </c>
      <c r="G1985">
        <v>-383.27620000000002</v>
      </c>
      <c r="H1985" s="1">
        <v>7.503854E-8</v>
      </c>
      <c r="I1985">
        <v>217.6266</v>
      </c>
      <c r="J1985">
        <v>-387.80509999999998</v>
      </c>
      <c r="K1985">
        <v>1.1018920000000001</v>
      </c>
      <c r="L1985">
        <v>214.33750000000001</v>
      </c>
      <c r="M1985">
        <v>0.99973849999999997</v>
      </c>
      <c r="N1985">
        <v>0</v>
      </c>
      <c r="O1985">
        <v>2.2103419999999999E-2</v>
      </c>
      <c r="P1985">
        <v>0.99678679999999997</v>
      </c>
      <c r="Q1985">
        <v>2.1180290000000001E-2</v>
      </c>
      <c r="R1985">
        <v>7.7249620000000005E-2</v>
      </c>
      <c r="S1985">
        <v>2.873138</v>
      </c>
      <c r="T1985">
        <v>-0.62064090000000005</v>
      </c>
      <c r="U1985">
        <v>1.8598479999999999</v>
      </c>
      <c r="V1985">
        <v>-5.516687E-2</v>
      </c>
      <c r="W1985">
        <v>2.7102790000000002E-2</v>
      </c>
      <c r="X1985">
        <v>0.99810920000000003</v>
      </c>
      <c r="Y1985">
        <v>-0.51668179999999997</v>
      </c>
      <c r="Z1985">
        <v>4.6175199999999902E-2</v>
      </c>
      <c r="AA1985">
        <v>0.85493140000000001</v>
      </c>
      <c r="AB1985">
        <v>59</v>
      </c>
      <c r="AC1985">
        <v>4.5288999999999602</v>
      </c>
      <c r="AD1985">
        <v>-1.10189192496146</v>
      </c>
      <c r="AE1985">
        <v>3.2890999999999901</v>
      </c>
      <c r="AF1985">
        <v>-3.0692414706942999</v>
      </c>
      <c r="AG1985">
        <v>-1.10189192496146</v>
      </c>
      <c r="AH1985">
        <v>4.4288540265224796</v>
      </c>
      <c r="AI1985">
        <v>101.55723839068401</v>
      </c>
      <c r="AJ1985">
        <v>124.722358062331</v>
      </c>
      <c r="AK1985">
        <v>5.49992336382694</v>
      </c>
      <c r="AL1985">
        <v>88.446934281195894</v>
      </c>
      <c r="AM1985">
        <v>93.1635977389749</v>
      </c>
      <c r="AN1985">
        <v>0.99999995994800905</v>
      </c>
    </row>
    <row r="1986" spans="1:40" x14ac:dyDescent="0.3">
      <c r="A1986" t="str">
        <f>"20200111153913439"</f>
        <v>20200111153913439</v>
      </c>
      <c r="B1986" t="str">
        <f>"1578728353433066"</f>
        <v>1578728353433066</v>
      </c>
      <c r="C1986" t="s">
        <v>40</v>
      </c>
      <c r="D1986">
        <v>4.7673949999999996</v>
      </c>
      <c r="E1986">
        <v>0.3403119</v>
      </c>
      <c r="F1986" t="s">
        <v>55</v>
      </c>
      <c r="G1986">
        <v>-382.6961</v>
      </c>
      <c r="H1986" s="1">
        <v>-2.3324609999999999E-7</v>
      </c>
      <c r="I1986">
        <v>217.61799999999999</v>
      </c>
      <c r="J1986">
        <v>-387.19299999999998</v>
      </c>
      <c r="K1986">
        <v>1.101901</v>
      </c>
      <c r="L1986">
        <v>214.351</v>
      </c>
      <c r="M1986">
        <v>0.9997433</v>
      </c>
      <c r="N1986">
        <v>0</v>
      </c>
      <c r="O1986">
        <v>2.187186E-2</v>
      </c>
      <c r="P1986">
        <v>0.99703589999999997</v>
      </c>
      <c r="Q1986">
        <v>2.1072509999999999E-2</v>
      </c>
      <c r="R1986">
        <v>7.3996720000000002E-2</v>
      </c>
      <c r="S1986">
        <v>2.879578</v>
      </c>
      <c r="T1986">
        <v>-0.62105719999999998</v>
      </c>
      <c r="U1986">
        <v>1.8489990000000001</v>
      </c>
      <c r="V1986">
        <v>-5.2142170000000002E-2</v>
      </c>
      <c r="W1986">
        <v>2.7018899999999998E-2</v>
      </c>
      <c r="X1986">
        <v>0.99827410000000005</v>
      </c>
      <c r="Y1986">
        <v>-0.51377029999999901</v>
      </c>
      <c r="Z1986">
        <v>4.5922789999999998E-2</v>
      </c>
      <c r="AA1986">
        <v>0.85669779999999995</v>
      </c>
      <c r="AB1986">
        <v>60</v>
      </c>
      <c r="AC1986">
        <v>4.4969000000000303</v>
      </c>
      <c r="AD1986">
        <v>-1.1019012332461</v>
      </c>
      <c r="AE1986">
        <v>3.2669999999999901</v>
      </c>
      <c r="AF1986">
        <v>-3.0480722042990198</v>
      </c>
      <c r="AG1986">
        <v>-1.1019012332461</v>
      </c>
      <c r="AH1986">
        <v>4.3945744667393303</v>
      </c>
      <c r="AI1986">
        <v>101.641910825349</v>
      </c>
      <c r="AJ1986">
        <v>124.74513596046501</v>
      </c>
      <c r="AK1986">
        <v>5.4605141913712503</v>
      </c>
      <c r="AL1986">
        <v>88.451742651537401</v>
      </c>
      <c r="AM1986">
        <v>92.989974239519995</v>
      </c>
      <c r="AN1986">
        <v>1.0000000027901601</v>
      </c>
    </row>
    <row r="1987" spans="1:40" x14ac:dyDescent="0.3">
      <c r="A1987" t="str">
        <f>"20200111153913462"</f>
        <v>20200111153913462</v>
      </c>
      <c r="B1987" t="str">
        <f>"1578728353452584"</f>
        <v>1578728353452584</v>
      </c>
      <c r="C1987" t="s">
        <v>40</v>
      </c>
      <c r="D1987">
        <v>4.7163040000000001</v>
      </c>
      <c r="E1987">
        <v>0.42356769999999999</v>
      </c>
      <c r="F1987" t="s">
        <v>41</v>
      </c>
      <c r="G1987">
        <v>-386.09859999999998</v>
      </c>
      <c r="H1987">
        <v>0.96132260000000003</v>
      </c>
      <c r="I1987">
        <v>214.91050000000001</v>
      </c>
      <c r="J1987">
        <v>-386.58629999999999</v>
      </c>
      <c r="K1987">
        <v>1.1019159999999999</v>
      </c>
      <c r="L1987">
        <v>214.36429999999999</v>
      </c>
      <c r="M1987">
        <v>0.99974759999999996</v>
      </c>
      <c r="N1987">
        <v>0</v>
      </c>
      <c r="O1987">
        <v>2.167204E-2</v>
      </c>
      <c r="P1987">
        <v>0.99730870000000005</v>
      </c>
      <c r="Q1987">
        <v>1.9968989999999999E-2</v>
      </c>
      <c r="R1987">
        <v>7.0544410000000002E-2</v>
      </c>
      <c r="S1987">
        <v>2.9065249999999998</v>
      </c>
      <c r="T1987">
        <v>-0.37333359999999999</v>
      </c>
      <c r="U1987">
        <v>1.486588</v>
      </c>
      <c r="V1987">
        <v>-4.8886400000000003E-2</v>
      </c>
      <c r="W1987">
        <v>2.593877E-2</v>
      </c>
      <c r="X1987">
        <v>0.99846749999999995</v>
      </c>
      <c r="Y1987">
        <v>-0.433284</v>
      </c>
      <c r="Z1987">
        <v>2.3512459999999999E-2</v>
      </c>
      <c r="AA1987">
        <v>0.90095069999999999</v>
      </c>
      <c r="AB1987">
        <v>60</v>
      </c>
      <c r="AC1987">
        <v>0.48770000000001701</v>
      </c>
      <c r="AD1987">
        <v>-0.14059339999999901</v>
      </c>
      <c r="AE1987">
        <v>0.546200000000027</v>
      </c>
      <c r="AF1987">
        <v>-0.516462659860913</v>
      </c>
      <c r="AG1987">
        <v>-0.14059339999999901</v>
      </c>
      <c r="AH1987">
        <v>0.48166628445705501</v>
      </c>
      <c r="AI1987">
        <v>101.259286894805</v>
      </c>
      <c r="AJ1987">
        <v>136.99661415484999</v>
      </c>
      <c r="AK1987">
        <v>0.72007124143159196</v>
      </c>
      <c r="AL1987">
        <v>88.513651283327704</v>
      </c>
      <c r="AM1987">
        <v>92.803045082175203</v>
      </c>
      <c r="AN1987">
        <v>1.0000000242251601</v>
      </c>
    </row>
    <row r="1988" spans="1:40" x14ac:dyDescent="0.3">
      <c r="A1988" t="str">
        <f>"20200111153913528"</f>
        <v>20200111153913528</v>
      </c>
      <c r="B1988" t="str">
        <f>"1578728353522856"</f>
        <v>1578728353522856</v>
      </c>
      <c r="C1988" t="s">
        <v>40</v>
      </c>
      <c r="D1988">
        <v>5.2627449999999998</v>
      </c>
      <c r="E1988">
        <v>0.53748479999999998</v>
      </c>
      <c r="F1988" t="s">
        <v>55</v>
      </c>
      <c r="G1988">
        <v>-380.15609999999998</v>
      </c>
      <c r="H1988" s="1">
        <v>-1.5197959999999999E-6</v>
      </c>
      <c r="I1988">
        <v>216.1277</v>
      </c>
      <c r="J1988">
        <v>-384.80549999999999</v>
      </c>
      <c r="K1988">
        <v>1.101985</v>
      </c>
      <c r="L1988">
        <v>214.40280000000001</v>
      </c>
      <c r="M1988">
        <v>0.99975619999999998</v>
      </c>
      <c r="N1988">
        <v>0</v>
      </c>
      <c r="O1988">
        <v>2.1250359999999999E-2</v>
      </c>
      <c r="P1988">
        <v>0.99814740000000002</v>
      </c>
      <c r="Q1988">
        <v>1.8518570000000002E-2</v>
      </c>
      <c r="R1988">
        <v>5.795757E-2</v>
      </c>
      <c r="S1988">
        <v>2.9608150000000002</v>
      </c>
      <c r="T1988">
        <v>-0.50738409999999901</v>
      </c>
      <c r="U1988">
        <v>0.81196590000000002</v>
      </c>
      <c r="V1988">
        <v>-3.6712210000000002E-2</v>
      </c>
      <c r="W1988">
        <v>2.4554949999999999E-2</v>
      </c>
      <c r="X1988">
        <v>0.99902420000000003</v>
      </c>
      <c r="Y1988">
        <v>-0.24094309999999999</v>
      </c>
      <c r="Z1988">
        <v>1.658314E-2</v>
      </c>
      <c r="AA1988">
        <v>0.97039750000000002</v>
      </c>
      <c r="AB1988">
        <v>60</v>
      </c>
      <c r="AC1988">
        <v>4.6494000000000097</v>
      </c>
      <c r="AD1988">
        <v>-1.1019865197959999</v>
      </c>
      <c r="AE1988">
        <v>1.7248999999999901</v>
      </c>
      <c r="AF1988">
        <v>-1.5492067296199501</v>
      </c>
      <c r="AG1988">
        <v>-1.1019865197959999</v>
      </c>
      <c r="AH1988">
        <v>4.4645441973591504</v>
      </c>
      <c r="AI1988">
        <v>103.126252384103</v>
      </c>
      <c r="AJ1988">
        <v>109.136887498814</v>
      </c>
      <c r="AK1988">
        <v>4.8524808779721296</v>
      </c>
      <c r="AL1988">
        <v>88.592963639477304</v>
      </c>
      <c r="AM1988">
        <v>92.104562238392703</v>
      </c>
      <c r="AN1988">
        <v>1.00000004205911</v>
      </c>
    </row>
    <row r="1989" spans="1:40" x14ac:dyDescent="0.3">
      <c r="A1989" t="str">
        <f>"20200111153913552"</f>
        <v>20200111153913552</v>
      </c>
      <c r="B1989" t="str">
        <f>"1578728353542377"</f>
        <v>1578728353542377</v>
      </c>
      <c r="C1989" t="s">
        <v>40</v>
      </c>
      <c r="D1989">
        <v>5.8536190000000001</v>
      </c>
      <c r="E1989">
        <v>0.53809609999999997</v>
      </c>
      <c r="F1989" t="s">
        <v>55</v>
      </c>
      <c r="G1989">
        <v>-350.4196</v>
      </c>
      <c r="H1989" s="1">
        <v>-1.240966E-6</v>
      </c>
      <c r="I1989">
        <v>212.95689999999999</v>
      </c>
      <c r="J1989">
        <v>-384.17579999999998</v>
      </c>
      <c r="K1989">
        <v>1.102014</v>
      </c>
      <c r="L1989">
        <v>214.4162</v>
      </c>
      <c r="M1989">
        <v>0.99975789999999998</v>
      </c>
      <c r="N1989">
        <v>0</v>
      </c>
      <c r="O1989">
        <v>2.11551E-2</v>
      </c>
      <c r="P1989">
        <v>0.99836650000000005</v>
      </c>
      <c r="Q1989">
        <v>1.8658629999999999E-2</v>
      </c>
      <c r="R1989">
        <v>5.3997900000000001E-2</v>
      </c>
      <c r="S1989">
        <v>3.0147400000000002</v>
      </c>
      <c r="T1989">
        <v>-9.6615080000000006E-2</v>
      </c>
      <c r="U1989">
        <v>-0.12676999999999999</v>
      </c>
      <c r="V1989">
        <v>-3.2845590000000001E-2</v>
      </c>
      <c r="W1989">
        <v>2.471988E-2</v>
      </c>
      <c r="X1989">
        <v>0.99915469999999895</v>
      </c>
      <c r="Y1989">
        <v>6.3097159999999999E-2</v>
      </c>
      <c r="Z1989">
        <v>-1.6878959999999999E-3</v>
      </c>
      <c r="AA1989">
        <v>0.99800599999999995</v>
      </c>
      <c r="AB1989">
        <v>60</v>
      </c>
      <c r="AC1989">
        <v>33.7561999999999</v>
      </c>
      <c r="AD1989">
        <v>-1.102015240966</v>
      </c>
      <c r="AE1989">
        <v>-1.45930000000001</v>
      </c>
      <c r="AF1989">
        <v>2.17079298680355</v>
      </c>
      <c r="AG1989">
        <v>-1.102015240966</v>
      </c>
      <c r="AH1989">
        <v>33.681942458788797</v>
      </c>
      <c r="AI1989">
        <v>91.870073755928004</v>
      </c>
      <c r="AJ1989">
        <v>86.312401137764297</v>
      </c>
      <c r="AK1989">
        <v>33.7698094098862</v>
      </c>
      <c r="AL1989">
        <v>88.583510932045101</v>
      </c>
      <c r="AM1989">
        <v>91.882827773841896</v>
      </c>
      <c r="AN1989">
        <v>1.0000000098908699</v>
      </c>
    </row>
    <row r="1990" spans="1:40" x14ac:dyDescent="0.3">
      <c r="A1990" t="str">
        <f>"20200111153913574"</f>
        <v>20200111153913574</v>
      </c>
      <c r="B1990" t="str">
        <f>"1578728353562403"</f>
        <v>1578728353562403</v>
      </c>
      <c r="C1990" t="s">
        <v>40</v>
      </c>
      <c r="D1990">
        <v>5.0306899999999999</v>
      </c>
      <c r="E1990">
        <v>0.5323618</v>
      </c>
      <c r="F1990" t="s">
        <v>55</v>
      </c>
      <c r="G1990">
        <v>-335.0521</v>
      </c>
      <c r="H1990" s="1">
        <v>1.262438E-6</v>
      </c>
      <c r="I1990">
        <v>212.08260000000001</v>
      </c>
      <c r="J1990">
        <v>-383.57589999999999</v>
      </c>
      <c r="K1990">
        <v>1.1020380000000001</v>
      </c>
      <c r="L1990">
        <v>214.4289</v>
      </c>
      <c r="M1990">
        <v>0.99975930000000002</v>
      </c>
      <c r="N1990">
        <v>0</v>
      </c>
      <c r="O1990">
        <v>2.108672E-2</v>
      </c>
      <c r="P1990">
        <v>0.9985714</v>
      </c>
      <c r="Q1990">
        <v>1.7758909999999999E-2</v>
      </c>
      <c r="R1990">
        <v>5.0400059999999997E-2</v>
      </c>
      <c r="S1990">
        <v>3.0138850000000001</v>
      </c>
      <c r="T1990">
        <v>-6.7611690000000002E-2</v>
      </c>
      <c r="U1990">
        <v>-0.1431732</v>
      </c>
      <c r="V1990">
        <v>-2.9315150000000002E-2</v>
      </c>
      <c r="W1990">
        <v>2.3843240000000002E-2</v>
      </c>
      <c r="X1990">
        <v>0.9992858</v>
      </c>
      <c r="Y1990">
        <v>6.8481349999999996E-2</v>
      </c>
      <c r="Z1990">
        <v>-1.2403679999999999E-3</v>
      </c>
      <c r="AA1990">
        <v>0.99765159999999997</v>
      </c>
      <c r="AB1990">
        <v>60</v>
      </c>
      <c r="AC1990">
        <v>48.523800000000001</v>
      </c>
      <c r="AD1990">
        <v>-1.1020367375619999</v>
      </c>
      <c r="AE1990">
        <v>-2.3462999999999798</v>
      </c>
      <c r="AF1990">
        <v>3.3672720460394698</v>
      </c>
      <c r="AG1990">
        <v>-1.1020367375619999</v>
      </c>
      <c r="AH1990">
        <v>48.438607254813</v>
      </c>
      <c r="AI1990">
        <v>91.300186528514502</v>
      </c>
      <c r="AJ1990">
        <v>86.023407651509402</v>
      </c>
      <c r="AK1990">
        <v>48.568010858887298</v>
      </c>
      <c r="AL1990">
        <v>88.633753497282299</v>
      </c>
      <c r="AM1990">
        <v>91.680352892517902</v>
      </c>
      <c r="AN1990">
        <v>0.99999999409743001</v>
      </c>
    </row>
    <row r="1991" spans="1:40" x14ac:dyDescent="0.3">
      <c r="A1991" t="str">
        <f>"20200111153913596"</f>
        <v>20200111153913596</v>
      </c>
      <c r="B1991" t="str">
        <f>"1578728353592660"</f>
        <v>1578728353592660</v>
      </c>
      <c r="C1991" t="s">
        <v>40</v>
      </c>
      <c r="D1991">
        <v>5.0826900000000004</v>
      </c>
      <c r="E1991">
        <v>0.52460469999999904</v>
      </c>
      <c r="F1991" t="s">
        <v>55</v>
      </c>
      <c r="G1991">
        <v>-343.65370000000001</v>
      </c>
      <c r="H1991" s="1">
        <v>4.0754050000000002E-7</v>
      </c>
      <c r="I1991">
        <v>212.98840000000001</v>
      </c>
      <c r="J1991">
        <v>-382.97820000000002</v>
      </c>
      <c r="K1991">
        <v>1.1020589999999999</v>
      </c>
      <c r="L1991">
        <v>214.44159999999999</v>
      </c>
      <c r="M1991">
        <v>0.99976019999999999</v>
      </c>
      <c r="N1991">
        <v>0</v>
      </c>
      <c r="O1991">
        <v>2.1036510000000001E-2</v>
      </c>
      <c r="P1991">
        <v>0.99870300000000001</v>
      </c>
      <c r="Q1991">
        <v>1.714688E-2</v>
      </c>
      <c r="R1991">
        <v>4.7940259999999998E-2</v>
      </c>
      <c r="S1991">
        <v>3.0112920000000001</v>
      </c>
      <c r="T1991">
        <v>-8.3125710000000005E-2</v>
      </c>
      <c r="U1991">
        <v>-0.1086578</v>
      </c>
      <c r="V1991">
        <v>-2.6905330000000002E-2</v>
      </c>
      <c r="W1991">
        <v>2.3255939999999999E-2</v>
      </c>
      <c r="X1991">
        <v>0.99936740000000002</v>
      </c>
      <c r="Y1991">
        <v>5.7045529999999997E-2</v>
      </c>
      <c r="Z1991">
        <v>-1.3673960000000001E-3</v>
      </c>
      <c r="AA1991">
        <v>0.9983706</v>
      </c>
      <c r="AB1991">
        <v>60</v>
      </c>
      <c r="AC1991">
        <v>39.3245</v>
      </c>
      <c r="AD1991">
        <v>-1.1020585924594899</v>
      </c>
      <c r="AE1991">
        <v>-1.4531999999999801</v>
      </c>
      <c r="AF1991">
        <v>2.27835700342581</v>
      </c>
      <c r="AG1991">
        <v>-1.1020585924594899</v>
      </c>
      <c r="AH1991">
        <v>39.254438835819201</v>
      </c>
      <c r="AI1991">
        <v>91.605441861012295</v>
      </c>
      <c r="AJ1991">
        <v>86.678236778191106</v>
      </c>
      <c r="AK1991">
        <v>39.335943004983903</v>
      </c>
      <c r="AL1991">
        <v>88.667412608990205</v>
      </c>
      <c r="AM1991">
        <v>91.542165142670598</v>
      </c>
      <c r="AN1991">
        <v>0.99999996785522505</v>
      </c>
    </row>
    <row r="1992" spans="1:40" x14ac:dyDescent="0.3">
      <c r="A1992" t="str">
        <f>"20200111153913618"</f>
        <v>20200111153913618</v>
      </c>
      <c r="B1992" t="str">
        <f>"1578728353613156"</f>
        <v>1578728353613156</v>
      </c>
      <c r="C1992" t="s">
        <v>40</v>
      </c>
      <c r="D1992">
        <v>5.0794129999999997</v>
      </c>
      <c r="E1992">
        <v>0.52167920000000001</v>
      </c>
      <c r="F1992" t="s">
        <v>41</v>
      </c>
      <c r="G1992">
        <v>-381.74020000000002</v>
      </c>
      <c r="H1992">
        <v>1.0540259999999999</v>
      </c>
      <c r="I1992">
        <v>214.4187</v>
      </c>
      <c r="J1992">
        <v>-382.38409999999999</v>
      </c>
      <c r="K1992">
        <v>1.1020829999999999</v>
      </c>
      <c r="L1992">
        <v>214.45410000000001</v>
      </c>
      <c r="M1992">
        <v>0.99976089999999995</v>
      </c>
      <c r="N1992">
        <v>0</v>
      </c>
      <c r="O1992">
        <v>2.0998800000000001E-2</v>
      </c>
      <c r="P1992">
        <v>0.99877470000000002</v>
      </c>
      <c r="Q1992">
        <v>1.6529490000000001E-2</v>
      </c>
      <c r="R1992">
        <v>4.6648490000000001E-2</v>
      </c>
      <c r="S1992">
        <v>3.0085449999999998</v>
      </c>
      <c r="T1992">
        <v>-0.1168675</v>
      </c>
      <c r="U1992">
        <v>-5.4443360000000003E-2</v>
      </c>
      <c r="V1992">
        <v>-2.5652370000000001E-2</v>
      </c>
      <c r="W1992">
        <v>2.2664340000000002E-2</v>
      </c>
      <c r="X1992">
        <v>0.99941400000000002</v>
      </c>
      <c r="Y1992">
        <v>3.9039780000000003E-2</v>
      </c>
      <c r="Z1992">
        <v>-1.5732439999999999E-3</v>
      </c>
      <c r="AA1992">
        <v>0.99923640000000002</v>
      </c>
      <c r="AB1992">
        <v>61</v>
      </c>
      <c r="AC1992">
        <v>0.64389999999997305</v>
      </c>
      <c r="AD1992">
        <v>-4.8056999999999697E-2</v>
      </c>
      <c r="AE1992">
        <v>-3.5400000000009799E-2</v>
      </c>
      <c r="AF1992">
        <v>4.86434321367634E-2</v>
      </c>
      <c r="AG1992">
        <v>-4.8056999999999697E-2</v>
      </c>
      <c r="AH1992">
        <v>0.63946339222218296</v>
      </c>
      <c r="AI1992">
        <v>94.285482880777593</v>
      </c>
      <c r="AJ1992">
        <v>85.649936822673695</v>
      </c>
      <c r="AK1992">
        <v>0.64310892446874501</v>
      </c>
      <c r="AL1992">
        <v>88.701317812346105</v>
      </c>
      <c r="AM1992">
        <v>91.470311495687994</v>
      </c>
      <c r="AN1992">
        <v>1.0000000298951199</v>
      </c>
    </row>
    <row r="1993" spans="1:40" x14ac:dyDescent="0.3">
      <c r="A1993" t="str">
        <f>"20200111153913641"</f>
        <v>20200111153913641</v>
      </c>
      <c r="B1993" t="str">
        <f>"1578728353632676"</f>
        <v>1578728353632676</v>
      </c>
      <c r="C1993" t="s">
        <v>40</v>
      </c>
      <c r="D1993">
        <v>5.1035810000000001</v>
      </c>
      <c r="E1993">
        <v>0.51841550000000003</v>
      </c>
      <c r="F1993" t="s">
        <v>41</v>
      </c>
      <c r="G1993">
        <v>-381.19920000000002</v>
      </c>
      <c r="H1993">
        <v>1.050136</v>
      </c>
      <c r="I1993">
        <v>214.44030000000001</v>
      </c>
      <c r="J1993">
        <v>-381.76179999999999</v>
      </c>
      <c r="K1993">
        <v>1.102098</v>
      </c>
      <c r="L1993">
        <v>214.46719999999999</v>
      </c>
      <c r="M1993">
        <v>0.99976120000000002</v>
      </c>
      <c r="N1993">
        <v>0</v>
      </c>
      <c r="O1993">
        <v>2.0969060000000001E-2</v>
      </c>
      <c r="P1993">
        <v>0.9987916</v>
      </c>
      <c r="Q1993">
        <v>1.6225139999999999E-2</v>
      </c>
      <c r="R1993">
        <v>4.6391599999999998E-2</v>
      </c>
      <c r="S1993">
        <v>3.0075069999999999</v>
      </c>
      <c r="T1993">
        <v>-0.13185329999999901</v>
      </c>
      <c r="U1993">
        <v>-3.5003659999999999E-2</v>
      </c>
      <c r="V1993">
        <v>-2.542616E-2</v>
      </c>
      <c r="W1993">
        <v>2.238689E-2</v>
      </c>
      <c r="X1993">
        <v>0.99942600000000004</v>
      </c>
      <c r="Y1993">
        <v>3.2552039999999997E-2</v>
      </c>
      <c r="Z1993">
        <v>-1.6320320000000001E-3</v>
      </c>
      <c r="AA1993">
        <v>0.99946869999999999</v>
      </c>
      <c r="AB1993">
        <v>61</v>
      </c>
      <c r="AC1993">
        <v>0.56259999999997401</v>
      </c>
      <c r="AD1993">
        <v>-5.1962000000000001E-2</v>
      </c>
      <c r="AE1993">
        <v>-2.6899999999983399E-2</v>
      </c>
      <c r="AF1993">
        <v>3.8364977238199802E-2</v>
      </c>
      <c r="AG1993">
        <v>-5.1962000000000001E-2</v>
      </c>
      <c r="AH1993">
        <v>0.55717014088197503</v>
      </c>
      <c r="AI1993">
        <v>95.315511448992297</v>
      </c>
      <c r="AJ1993">
        <v>86.061010884545198</v>
      </c>
      <c r="AK1993">
        <v>0.56090149475012796</v>
      </c>
      <c r="AL1993">
        <v>88.717218516974995</v>
      </c>
      <c r="AM1993">
        <v>91.457333990353902</v>
      </c>
      <c r="AN1993">
        <v>0.999999995966108</v>
      </c>
    </row>
    <row r="1994" spans="1:40" x14ac:dyDescent="0.3">
      <c r="A1994" t="str">
        <f>"20200111153913663"</f>
        <v>20200111153913663</v>
      </c>
      <c r="B1994" t="str">
        <f>"1578728353653172"</f>
        <v>1578728353653172</v>
      </c>
      <c r="C1994" t="s">
        <v>40</v>
      </c>
      <c r="D1994">
        <v>5.0891630000000001</v>
      </c>
      <c r="E1994">
        <v>0.51641300000000001</v>
      </c>
      <c r="F1994" t="s">
        <v>41</v>
      </c>
      <c r="G1994">
        <v>-380.65629999999999</v>
      </c>
      <c r="H1994">
        <v>1.046713</v>
      </c>
      <c r="I1994">
        <v>214.4632</v>
      </c>
      <c r="J1994">
        <v>-381.15289999999999</v>
      </c>
      <c r="K1994">
        <v>1.1021219999999901</v>
      </c>
      <c r="L1994">
        <v>214.48</v>
      </c>
      <c r="M1994">
        <v>0.99976160000000003</v>
      </c>
      <c r="N1994">
        <v>0</v>
      </c>
      <c r="O1994">
        <v>2.0945970000000001E-2</v>
      </c>
      <c r="P1994">
        <v>0.99873409999999996</v>
      </c>
      <c r="Q1994">
        <v>1.584182E-2</v>
      </c>
      <c r="R1994">
        <v>4.7745750000000003E-2</v>
      </c>
      <c r="S1994">
        <v>3.0065309999999998</v>
      </c>
      <c r="T1994">
        <v>-0.1507481</v>
      </c>
      <c r="U1994">
        <v>-1.0025020000000001E-2</v>
      </c>
      <c r="V1994">
        <v>-2.6806E-2</v>
      </c>
      <c r="W1994">
        <v>2.203126E-2</v>
      </c>
      <c r="X1994">
        <v>0.99939789999999995</v>
      </c>
      <c r="Y1994">
        <v>2.422318E-2</v>
      </c>
      <c r="Z1994">
        <v>-1.6564399999999999E-3</v>
      </c>
      <c r="AA1994">
        <v>0.99970519999999996</v>
      </c>
      <c r="AB1994">
        <v>61</v>
      </c>
      <c r="AC1994">
        <v>0.49659999999999999</v>
      </c>
      <c r="AD1994">
        <v>-5.5408999999999799E-2</v>
      </c>
      <c r="AE1994">
        <v>-1.6799999999989199E-2</v>
      </c>
      <c r="AF1994">
        <v>2.68642203263324E-2</v>
      </c>
      <c r="AG1994">
        <v>-5.5408999999999799E-2</v>
      </c>
      <c r="AH1994">
        <v>0.49004536794751202</v>
      </c>
      <c r="AI1994">
        <v>96.441395330526106</v>
      </c>
      <c r="AJ1994">
        <v>86.862193919009201</v>
      </c>
      <c r="AK1994">
        <v>0.493899085098924</v>
      </c>
      <c r="AL1994">
        <v>88.737599710864899</v>
      </c>
      <c r="AM1994">
        <v>91.536427591613005</v>
      </c>
      <c r="AN1994">
        <v>1.00000005028879</v>
      </c>
    </row>
    <row r="1995" spans="1:40" x14ac:dyDescent="0.3">
      <c r="A1995" t="str">
        <f>"20200111153913687"</f>
        <v>20200111153913687</v>
      </c>
      <c r="B1995" t="str">
        <f>"1578728353682958"</f>
        <v>1578728353682958</v>
      </c>
      <c r="C1995" t="s">
        <v>40</v>
      </c>
      <c r="D1995">
        <v>5.1482349999999997</v>
      </c>
      <c r="E1995">
        <v>0.51444089999999998</v>
      </c>
      <c r="F1995" t="s">
        <v>41</v>
      </c>
      <c r="G1995">
        <v>-380.10930000000002</v>
      </c>
      <c r="H1995">
        <v>1.0465549999999999</v>
      </c>
      <c r="I1995">
        <v>214.48349999999999</v>
      </c>
      <c r="J1995">
        <v>-380.49889999999999</v>
      </c>
      <c r="K1995">
        <v>1.1021479999999999</v>
      </c>
      <c r="L1995">
        <v>214.49369999999999</v>
      </c>
      <c r="M1995">
        <v>0.99976169999999998</v>
      </c>
      <c r="N1995">
        <v>0</v>
      </c>
      <c r="O1995">
        <v>2.0926859999999999E-2</v>
      </c>
      <c r="P1995">
        <v>0.99862189999999995</v>
      </c>
      <c r="Q1995">
        <v>1.6307149999999999E-2</v>
      </c>
      <c r="R1995">
        <v>4.9882059999999999E-2</v>
      </c>
      <c r="S1995">
        <v>3.0058590000000001</v>
      </c>
      <c r="T1995">
        <v>-0.16000889999999901</v>
      </c>
      <c r="U1995">
        <v>9.9029540000000003E-3</v>
      </c>
      <c r="V1995">
        <v>-2.8964380000000001E-2</v>
      </c>
      <c r="W1995">
        <v>2.2525610000000001E-2</v>
      </c>
      <c r="X1995">
        <v>0.99932659999999995</v>
      </c>
      <c r="Y1995">
        <v>1.757883E-2</v>
      </c>
      <c r="Z1995">
        <v>-1.580695E-3</v>
      </c>
      <c r="AA1995">
        <v>0.99984430000000002</v>
      </c>
      <c r="AB1995">
        <v>61</v>
      </c>
      <c r="AC1995">
        <v>0.38959999999997302</v>
      </c>
      <c r="AD1995">
        <v>-5.5592999999999997E-2</v>
      </c>
      <c r="AE1995">
        <v>-1.0199999999997499E-2</v>
      </c>
      <c r="AF1995">
        <v>1.7985082120561099E-2</v>
      </c>
      <c r="AG1995">
        <v>-5.5592999999999997E-2</v>
      </c>
      <c r="AH1995">
        <v>0.38153798837268998</v>
      </c>
      <c r="AI1995">
        <v>98.281025642841996</v>
      </c>
      <c r="AJ1995">
        <v>87.3011676331123</v>
      </c>
      <c r="AK1995">
        <v>0.38598611555257101</v>
      </c>
      <c r="AL1995">
        <v>88.709268441572803</v>
      </c>
      <c r="AM1995">
        <v>91.660190229427599</v>
      </c>
      <c r="AN1995">
        <v>0.999999995941108</v>
      </c>
    </row>
    <row r="1996" spans="1:40" x14ac:dyDescent="0.3">
      <c r="A1996" t="str">
        <f>"20200111153913708"</f>
        <v>20200111153913708</v>
      </c>
      <c r="B1996" t="str">
        <f>"1578728353703455"</f>
        <v>1578728353703455</v>
      </c>
      <c r="C1996" t="s">
        <v>40</v>
      </c>
      <c r="D1996">
        <v>5.1761290000000004</v>
      </c>
      <c r="E1996">
        <v>0.51362089999999905</v>
      </c>
      <c r="F1996" t="s">
        <v>55</v>
      </c>
      <c r="G1996">
        <v>-361.03129999999999</v>
      </c>
      <c r="H1996" s="1">
        <v>-9.8800309999999992E-7</v>
      </c>
      <c r="I1996">
        <v>214.7013</v>
      </c>
      <c r="J1996">
        <v>-379.92250000000001</v>
      </c>
      <c r="K1996">
        <v>1.1021639999999999</v>
      </c>
      <c r="L1996">
        <v>214.50579999999999</v>
      </c>
      <c r="M1996">
        <v>0.99976180000000003</v>
      </c>
      <c r="N1996">
        <v>0</v>
      </c>
      <c r="O1996">
        <v>2.0913210000000002E-2</v>
      </c>
      <c r="P1996">
        <v>0.99854120000000002</v>
      </c>
      <c r="Q1996">
        <v>1.6878730000000002E-2</v>
      </c>
      <c r="R1996">
        <v>5.1288640000000003E-2</v>
      </c>
      <c r="S1996">
        <v>3.0053100000000001</v>
      </c>
      <c r="T1996">
        <v>-0.17014409999999999</v>
      </c>
      <c r="U1996">
        <v>3.2043460000000003E-2</v>
      </c>
      <c r="V1996">
        <v>-3.0386819999999998E-2</v>
      </c>
      <c r="W1996">
        <v>2.3122940000000002E-2</v>
      </c>
      <c r="X1996">
        <v>0.99927069999999996</v>
      </c>
      <c r="Y1996">
        <v>1.020327E-2</v>
      </c>
      <c r="Z1996">
        <v>-1.4715220000000001E-3</v>
      </c>
      <c r="AA1996">
        <v>0.99994689999999997</v>
      </c>
      <c r="AB1996">
        <v>61</v>
      </c>
      <c r="AC1996">
        <v>18.891200000000001</v>
      </c>
      <c r="AD1996">
        <v>-1.1021649880030999</v>
      </c>
      <c r="AE1996">
        <v>0.195500000000009</v>
      </c>
      <c r="AF1996">
        <v>0.19894896597778999</v>
      </c>
      <c r="AG1996">
        <v>-1.1021649880030999</v>
      </c>
      <c r="AH1996">
        <v>18.827078612129899</v>
      </c>
      <c r="AI1996">
        <v>93.350169088437397</v>
      </c>
      <c r="AJ1996">
        <v>89.394568213983007</v>
      </c>
      <c r="AK1996">
        <v>18.860361539990802</v>
      </c>
      <c r="AL1996">
        <v>88.675035014460306</v>
      </c>
      <c r="AM1996">
        <v>91.741770459944505</v>
      </c>
      <c r="AN1996">
        <v>0.99999998053122197</v>
      </c>
    </row>
    <row r="1997" spans="1:40" x14ac:dyDescent="0.3">
      <c r="A1997" t="str">
        <f>"20200111153913731"</f>
        <v>20200111153913731</v>
      </c>
      <c r="B1997" t="str">
        <f>"1578728353722975"</f>
        <v>1578728353722975</v>
      </c>
      <c r="C1997" t="s">
        <v>40</v>
      </c>
      <c r="D1997">
        <v>5.149661</v>
      </c>
      <c r="E1997">
        <v>0.51291819999999999</v>
      </c>
      <c r="F1997" t="s">
        <v>55</v>
      </c>
      <c r="G1997">
        <v>-360.72210000000001</v>
      </c>
      <c r="H1997" s="1">
        <v>-1.152509E-6</v>
      </c>
      <c r="I1997">
        <v>214.77879999999999</v>
      </c>
      <c r="J1997">
        <v>-379.274</v>
      </c>
      <c r="K1997">
        <v>1.1021810000000001</v>
      </c>
      <c r="L1997">
        <v>214.51939999999999</v>
      </c>
      <c r="M1997">
        <v>0.99976189999999998</v>
      </c>
      <c r="N1997">
        <v>0</v>
      </c>
      <c r="O1997">
        <v>2.09026E-2</v>
      </c>
      <c r="P1997">
        <v>0.99848150000000002</v>
      </c>
      <c r="Q1997">
        <v>1.685977E-2</v>
      </c>
      <c r="R1997">
        <v>5.244559E-2</v>
      </c>
      <c r="S1997">
        <v>3.005096</v>
      </c>
      <c r="T1997">
        <v>-0.17250270000000001</v>
      </c>
      <c r="U1997">
        <v>4.2724610000000003E-2</v>
      </c>
      <c r="V1997">
        <v>-3.1556569999999999E-2</v>
      </c>
      <c r="W1997">
        <v>2.3132469999999999E-2</v>
      </c>
      <c r="X1997">
        <v>0.99923430000000002</v>
      </c>
      <c r="Y1997">
        <v>6.6427250000000004E-3</v>
      </c>
      <c r="Z1997">
        <v>-1.389237E-3</v>
      </c>
      <c r="AA1997">
        <v>0.999977</v>
      </c>
      <c r="AB1997">
        <v>61</v>
      </c>
      <c r="AC1997">
        <v>18.5518999999999</v>
      </c>
      <c r="AD1997">
        <v>-1.1021821525090001</v>
      </c>
      <c r="AE1997">
        <v>0.25939999999999902</v>
      </c>
      <c r="AF1997">
        <v>0.127995537861506</v>
      </c>
      <c r="AG1997">
        <v>-1.1021821525090001</v>
      </c>
      <c r="AH1997">
        <v>18.488025552225199</v>
      </c>
      <c r="AI1997">
        <v>93.411625702157806</v>
      </c>
      <c r="AJ1997">
        <v>89.603338553824301</v>
      </c>
      <c r="AK1997">
        <v>18.521292535208001</v>
      </c>
      <c r="AL1997">
        <v>88.674488941338794</v>
      </c>
      <c r="AM1997">
        <v>91.808842581838803</v>
      </c>
      <c r="AN1997">
        <v>1.0000000572874701</v>
      </c>
    </row>
    <row r="1998" spans="1:40" x14ac:dyDescent="0.3">
      <c r="A1998" t="str">
        <f>"20200111153913754"</f>
        <v>20200111153913754</v>
      </c>
      <c r="B1998" t="str">
        <f>"1578728353742495"</f>
        <v>1578728353742495</v>
      </c>
      <c r="C1998" t="s">
        <v>40</v>
      </c>
      <c r="D1998">
        <v>5.3484379999999998</v>
      </c>
      <c r="E1998">
        <v>0.51226359999999904</v>
      </c>
      <c r="F1998" t="s">
        <v>55</v>
      </c>
      <c r="G1998">
        <v>-360.4171</v>
      </c>
      <c r="H1998" s="1">
        <v>-1.314858E-6</v>
      </c>
      <c r="I1998">
        <v>214.8442</v>
      </c>
      <c r="J1998">
        <v>-378.66849999999999</v>
      </c>
      <c r="K1998">
        <v>1.1021989999999999</v>
      </c>
      <c r="L1998">
        <v>214.53200000000001</v>
      </c>
      <c r="M1998">
        <v>0.99976180000000003</v>
      </c>
      <c r="N1998">
        <v>0</v>
      </c>
      <c r="O1998">
        <v>2.089949E-2</v>
      </c>
      <c r="P1998">
        <v>0.99843499999999996</v>
      </c>
      <c r="Q1998">
        <v>1.6968319999999999E-2</v>
      </c>
      <c r="R1998">
        <v>5.3291249999999998E-2</v>
      </c>
      <c r="S1998">
        <v>3.0048219999999999</v>
      </c>
      <c r="T1998">
        <v>-0.17563029999999999</v>
      </c>
      <c r="U1998">
        <v>5.1757810000000001E-2</v>
      </c>
      <c r="V1998">
        <v>-3.2406959999999999E-2</v>
      </c>
      <c r="W1998">
        <v>2.3267380000000001E-2</v>
      </c>
      <c r="X1998">
        <v>0.99920390000000003</v>
      </c>
      <c r="Y1998">
        <v>3.6363459999999999E-3</v>
      </c>
      <c r="Z1998">
        <v>-1.3265079999999999E-3</v>
      </c>
      <c r="AA1998">
        <v>0.99999249999999995</v>
      </c>
      <c r="AB1998">
        <v>61</v>
      </c>
      <c r="AC1998">
        <v>18.251399999999901</v>
      </c>
      <c r="AD1998">
        <v>-1.102200314858</v>
      </c>
      <c r="AE1998">
        <v>0.31219999999998999</v>
      </c>
      <c r="AF1998">
        <v>6.9068872418147007E-2</v>
      </c>
      <c r="AG1998">
        <v>-1.102200314858</v>
      </c>
      <c r="AH1998">
        <v>18.187628554699302</v>
      </c>
      <c r="AI1998">
        <v>93.467952575653101</v>
      </c>
      <c r="AJ1998">
        <v>89.782416061016804</v>
      </c>
      <c r="AK1998">
        <v>18.221126432987699</v>
      </c>
      <c r="AL1998">
        <v>88.666757021243797</v>
      </c>
      <c r="AM1998">
        <v>91.8576102484366</v>
      </c>
      <c r="AN1998">
        <v>1.0000000079018501</v>
      </c>
    </row>
    <row r="1999" spans="1:40" x14ac:dyDescent="0.3">
      <c r="A1999" t="str">
        <f>"20200111153913777"</f>
        <v>20200111153913777</v>
      </c>
      <c r="B1999" t="str">
        <f>"1578728353772751"</f>
        <v>1578728353772751</v>
      </c>
      <c r="C1999" t="s">
        <v>40</v>
      </c>
      <c r="D1999">
        <v>5.177308</v>
      </c>
      <c r="E1999">
        <v>0.51170930000000003</v>
      </c>
      <c r="F1999" t="s">
        <v>55</v>
      </c>
      <c r="G1999">
        <v>-359.9511</v>
      </c>
      <c r="H1999" s="1">
        <v>3.7462429999999999E-6</v>
      </c>
      <c r="I1999">
        <v>214.9014</v>
      </c>
      <c r="J1999">
        <v>-378.041</v>
      </c>
      <c r="K1999">
        <v>1.1022110000000001</v>
      </c>
      <c r="L1999">
        <v>214.54519999999999</v>
      </c>
      <c r="M1999">
        <v>0.99976149999999997</v>
      </c>
      <c r="N1999">
        <v>0</v>
      </c>
      <c r="O1999">
        <v>2.090473E-2</v>
      </c>
      <c r="P1999">
        <v>0.99845550000000005</v>
      </c>
      <c r="Q1999">
        <v>1.707233E-2</v>
      </c>
      <c r="R1999">
        <v>5.2869600000000003E-2</v>
      </c>
      <c r="S1999">
        <v>3.0045470000000001</v>
      </c>
      <c r="T1999">
        <v>-0.17692629999999901</v>
      </c>
      <c r="U1999">
        <v>5.9295649999999998E-2</v>
      </c>
      <c r="V1999">
        <v>-3.1980429999999997E-2</v>
      </c>
      <c r="W1999">
        <v>2.3398470000000001E-2</v>
      </c>
      <c r="X1999">
        <v>0.99921459999999995</v>
      </c>
      <c r="Y1999">
        <v>1.135769E-3</v>
      </c>
      <c r="Z1999">
        <v>-1.263117E-3</v>
      </c>
      <c r="AA1999">
        <v>0.99999859999999896</v>
      </c>
      <c r="AB1999">
        <v>61</v>
      </c>
      <c r="AC1999">
        <v>18.0899</v>
      </c>
      <c r="AD1999">
        <v>-1.102207253757</v>
      </c>
      <c r="AE1999">
        <v>0.35620000000000102</v>
      </c>
      <c r="AF1999">
        <v>2.1968345644502799E-2</v>
      </c>
      <c r="AG1999">
        <v>-1.102207253757</v>
      </c>
      <c r="AH1999">
        <v>18.026497564878401</v>
      </c>
      <c r="AI1999">
        <v>93.498918968562194</v>
      </c>
      <c r="AJ1999">
        <v>89.930175406472202</v>
      </c>
      <c r="AK1999">
        <v>18.060176020598799</v>
      </c>
      <c r="AL1999">
        <v>88.659244097206596</v>
      </c>
      <c r="AM1999">
        <v>91.833158155074102</v>
      </c>
      <c r="AN1999">
        <v>1.00000002657724</v>
      </c>
    </row>
    <row r="2000" spans="1:40" x14ac:dyDescent="0.3">
      <c r="A2000" t="str">
        <f>"20200111153913819"</f>
        <v>20200111153913819</v>
      </c>
      <c r="B2000" t="str">
        <f>"1578728353812766"</f>
        <v>1578728353812766</v>
      </c>
      <c r="C2000" t="s">
        <v>40</v>
      </c>
      <c r="D2000">
        <v>5.2571580000000004</v>
      </c>
      <c r="E2000">
        <v>0.51083020000000001</v>
      </c>
      <c r="F2000" t="s">
        <v>41</v>
      </c>
      <c r="G2000">
        <v>-376.82279999999997</v>
      </c>
      <c r="H2000">
        <v>1.0281690000000001</v>
      </c>
      <c r="I2000">
        <v>214.5703</v>
      </c>
      <c r="J2000">
        <v>-376.86309999999997</v>
      </c>
      <c r="K2000">
        <v>1.102236</v>
      </c>
      <c r="L2000">
        <v>214.56979999999999</v>
      </c>
      <c r="M2000">
        <v>0.9997606</v>
      </c>
      <c r="N2000">
        <v>0</v>
      </c>
      <c r="O2000">
        <v>2.0934129999999999E-2</v>
      </c>
      <c r="P2000">
        <v>0.9985908</v>
      </c>
      <c r="Q2000">
        <v>1.7033840000000001E-2</v>
      </c>
      <c r="R2000">
        <v>5.0264820000000002E-2</v>
      </c>
      <c r="S2000">
        <v>3.0044249999999999</v>
      </c>
      <c r="T2000">
        <v>-0.18267459999999999</v>
      </c>
      <c r="U2000">
        <v>6.2438960000000002E-2</v>
      </c>
      <c r="V2000">
        <v>-2.9345949999999999E-2</v>
      </c>
      <c r="W2000">
        <v>2.341182E-2</v>
      </c>
      <c r="X2000">
        <v>0.99929509999999999</v>
      </c>
      <c r="Y2000">
        <v>1.1788509999999999E-4</v>
      </c>
      <c r="Z2000">
        <v>-1.2749899999999999E-3</v>
      </c>
      <c r="AA2000">
        <v>0.99999919999999998</v>
      </c>
      <c r="AB2000">
        <v>62</v>
      </c>
      <c r="AC2000">
        <v>4.0300000000002001E-2</v>
      </c>
      <c r="AD2000">
        <v>-7.40669999999998E-2</v>
      </c>
      <c r="AE2000">
        <v>5.0000000001659795E-4</v>
      </c>
      <c r="AF2000" s="1">
        <v>7.8534784464784693E-5</v>
      </c>
      <c r="AG2000">
        <v>-7.40669999999998E-2</v>
      </c>
      <c r="AH2000">
        <v>9.2069142395294103E-3</v>
      </c>
      <c r="AI2000">
        <v>172.91392774314301</v>
      </c>
      <c r="AJ2000">
        <v>89.511280060975395</v>
      </c>
      <c r="AK2000">
        <v>7.4637081444322295E-2</v>
      </c>
      <c r="AL2000">
        <v>88.658478949950705</v>
      </c>
      <c r="AM2000">
        <v>91.682101697956199</v>
      </c>
      <c r="AN2000">
        <v>0.99999999749056201</v>
      </c>
    </row>
    <row r="2001" spans="1:40" x14ac:dyDescent="0.3">
      <c r="A2001" t="str">
        <f>"20200111153913842"</f>
        <v>20200111153913842</v>
      </c>
      <c r="B2001" t="str">
        <f>"1578728353833263"</f>
        <v>1578728353833263</v>
      </c>
      <c r="C2001" t="s">
        <v>40</v>
      </c>
      <c r="D2001">
        <v>5.2733460000000001</v>
      </c>
      <c r="E2001">
        <v>0.5105305</v>
      </c>
      <c r="F2001" t="s">
        <v>41</v>
      </c>
      <c r="G2001">
        <v>-375.71449999999999</v>
      </c>
      <c r="H2001">
        <v>1.030403</v>
      </c>
      <c r="I2001">
        <v>214.59309999999999</v>
      </c>
      <c r="J2001">
        <v>-376.23820000000001</v>
      </c>
      <c r="K2001">
        <v>1.102241</v>
      </c>
      <c r="L2001">
        <v>214.5829</v>
      </c>
      <c r="M2001">
        <v>0.99975990000000003</v>
      </c>
      <c r="N2001">
        <v>0</v>
      </c>
      <c r="O2001">
        <v>2.095787E-2</v>
      </c>
      <c r="P2001">
        <v>0.99869249999999998</v>
      </c>
      <c r="Q2001">
        <v>1.617679E-2</v>
      </c>
      <c r="R2001">
        <v>4.8491159999999998E-2</v>
      </c>
      <c r="S2001">
        <v>3.0043639999999998</v>
      </c>
      <c r="T2001">
        <v>-0.18796119999999999</v>
      </c>
      <c r="U2001">
        <v>6.1599729999999998E-2</v>
      </c>
      <c r="V2001">
        <v>-2.7547160000000001E-2</v>
      </c>
      <c r="W2001">
        <v>2.258282E-2</v>
      </c>
      <c r="X2001">
        <v>0.99936539999999996</v>
      </c>
      <c r="Y2001">
        <v>4.175211E-4</v>
      </c>
      <c r="Z2001">
        <v>-1.322695E-3</v>
      </c>
      <c r="AA2001">
        <v>0.99999899999999997</v>
      </c>
      <c r="AB2001">
        <v>62</v>
      </c>
      <c r="AC2001">
        <v>0.52370000000001904</v>
      </c>
      <c r="AD2001">
        <v>-7.1837999999999999E-2</v>
      </c>
      <c r="AE2001">
        <v>1.0199999999997499E-2</v>
      </c>
      <c r="AF2001">
        <v>7.6373591979680597E-4</v>
      </c>
      <c r="AG2001">
        <v>-7.1837999999999999E-2</v>
      </c>
      <c r="AH2001">
        <v>0.51412821951421905</v>
      </c>
      <c r="AI2001">
        <v>97.954304501547796</v>
      </c>
      <c r="AJ2001">
        <v>89.914887354907805</v>
      </c>
      <c r="AK2001">
        <v>0.51912340309161198</v>
      </c>
      <c r="AL2001">
        <v>88.705989742259902</v>
      </c>
      <c r="AM2001">
        <v>91.578938436846499</v>
      </c>
      <c r="AN2001">
        <v>1.0000000162501801</v>
      </c>
    </row>
    <row r="2002" spans="1:40" x14ac:dyDescent="0.3">
      <c r="A2002" t="str">
        <f>"20200111153913863"</f>
        <v>20200111153913863</v>
      </c>
      <c r="B2002" t="str">
        <f>"1578728353852785"</f>
        <v>1578728353852785</v>
      </c>
      <c r="C2002" t="s">
        <v>40</v>
      </c>
      <c r="D2002">
        <v>5.2302010000000001</v>
      </c>
      <c r="E2002">
        <v>0.51006899999999999</v>
      </c>
      <c r="F2002" t="s">
        <v>41</v>
      </c>
      <c r="G2002">
        <v>-375.1583</v>
      </c>
      <c r="H2002">
        <v>1.032734</v>
      </c>
      <c r="I2002">
        <v>214.6035</v>
      </c>
      <c r="J2002">
        <v>-375.63290000000001</v>
      </c>
      <c r="K2002">
        <v>1.1022479999999999</v>
      </c>
      <c r="L2002">
        <v>214.59559999999999</v>
      </c>
      <c r="M2002">
        <v>0.99975910000000001</v>
      </c>
      <c r="N2002">
        <v>0</v>
      </c>
      <c r="O2002">
        <v>2.0984869999999999E-2</v>
      </c>
      <c r="P2002">
        <v>0.99883449999999996</v>
      </c>
      <c r="Q2002">
        <v>1.599186E-2</v>
      </c>
      <c r="R2002">
        <v>4.554134E-2</v>
      </c>
      <c r="S2002">
        <v>3.0042420000000001</v>
      </c>
      <c r="T2002">
        <v>-0.19351280000000001</v>
      </c>
      <c r="U2002">
        <v>5.8380130000000002E-2</v>
      </c>
      <c r="V2002">
        <v>-2.4569270000000001E-2</v>
      </c>
      <c r="W2002">
        <v>2.2424550000000001E-2</v>
      </c>
      <c r="X2002">
        <v>0.99944659999999996</v>
      </c>
      <c r="Y2002">
        <v>1.510132E-3</v>
      </c>
      <c r="Z2002">
        <v>-1.3986420000000001E-3</v>
      </c>
      <c r="AA2002">
        <v>0.9999979</v>
      </c>
      <c r="AB2002">
        <v>62</v>
      </c>
      <c r="AC2002">
        <v>0.47460000000000901</v>
      </c>
      <c r="AD2002">
        <v>-6.9513999999999798E-2</v>
      </c>
      <c r="AE2002">
        <v>7.9000000000064505E-3</v>
      </c>
      <c r="AF2002">
        <v>2.0180830112320799E-3</v>
      </c>
      <c r="AG2002">
        <v>-6.9513999999999798E-2</v>
      </c>
      <c r="AH2002">
        <v>0.46469490681428499</v>
      </c>
      <c r="AI2002">
        <v>98.507745668601899</v>
      </c>
      <c r="AJ2002">
        <v>89.751176716916802</v>
      </c>
      <c r="AK2002">
        <v>0.46986979608629598</v>
      </c>
      <c r="AL2002">
        <v>88.715060231377706</v>
      </c>
      <c r="AM2002">
        <v>91.408211314506602</v>
      </c>
      <c r="AN2002">
        <v>1.0000000078612901</v>
      </c>
    </row>
    <row r="2003" spans="1:40" x14ac:dyDescent="0.3">
      <c r="A2003" t="str">
        <f>"20200111153913887"</f>
        <v>20200111153913887</v>
      </c>
      <c r="B2003" t="str">
        <f>"1578728353883038"</f>
        <v>1578728353883038</v>
      </c>
      <c r="C2003" t="s">
        <v>40</v>
      </c>
      <c r="D2003">
        <v>5.3020559999999897</v>
      </c>
      <c r="E2003">
        <v>0.50989689999999999</v>
      </c>
      <c r="F2003" t="s">
        <v>41</v>
      </c>
      <c r="G2003">
        <v>-374.60129999999998</v>
      </c>
      <c r="H2003">
        <v>1.0346409999999999</v>
      </c>
      <c r="I2003">
        <v>214.6139</v>
      </c>
      <c r="J2003">
        <v>-374.96660000000003</v>
      </c>
      <c r="K2003">
        <v>1.102257</v>
      </c>
      <c r="L2003">
        <v>214.6096</v>
      </c>
      <c r="M2003">
        <v>0.99975829999999999</v>
      </c>
      <c r="N2003">
        <v>0</v>
      </c>
      <c r="O2003">
        <v>2.1018410000000001E-2</v>
      </c>
      <c r="P2003">
        <v>0.99901890000000004</v>
      </c>
      <c r="Q2003">
        <v>1.5653259999999999E-2</v>
      </c>
      <c r="R2003">
        <v>4.1430559999999998E-2</v>
      </c>
      <c r="S2003">
        <v>3.0042110000000002</v>
      </c>
      <c r="T2003">
        <v>-0.19687060000000001</v>
      </c>
      <c r="U2003">
        <v>5.33905E-2</v>
      </c>
      <c r="V2003">
        <v>-2.0422539999999999E-2</v>
      </c>
      <c r="W2003">
        <v>2.2116110000000001E-2</v>
      </c>
      <c r="X2003">
        <v>0.99954679999999996</v>
      </c>
      <c r="Y2003">
        <v>3.1984610000000001E-3</v>
      </c>
      <c r="Z2003">
        <v>-1.48035299999999E-3</v>
      </c>
      <c r="AA2003">
        <v>0.99999380000000004</v>
      </c>
      <c r="AB2003">
        <v>62</v>
      </c>
      <c r="AC2003">
        <v>0.36530000000004698</v>
      </c>
      <c r="AD2003">
        <v>-6.7616000000000107E-2</v>
      </c>
      <c r="AE2003">
        <v>4.3000000000006297E-3</v>
      </c>
      <c r="AF2003">
        <v>3.2672123710658701E-3</v>
      </c>
      <c r="AG2003">
        <v>-6.7616000000000107E-2</v>
      </c>
      <c r="AH2003">
        <v>0.35321003818064101</v>
      </c>
      <c r="AI2003">
        <v>100.83672877485699</v>
      </c>
      <c r="AJ2003">
        <v>89.470025988555093</v>
      </c>
      <c r="AK2003">
        <v>0.359638609167936</v>
      </c>
      <c r="AL2003">
        <v>88.732736920631396</v>
      </c>
      <c r="AM2003">
        <v>91.170493030916703</v>
      </c>
      <c r="AN2003">
        <v>1.00000000392591</v>
      </c>
    </row>
    <row r="2004" spans="1:40" x14ac:dyDescent="0.3">
      <c r="A2004" t="str">
        <f>"20200111153913908"</f>
        <v>20200111153913908</v>
      </c>
      <c r="B2004" t="str">
        <f>"1578728353902558"</f>
        <v>1578728353902558</v>
      </c>
      <c r="C2004" t="s">
        <v>40</v>
      </c>
      <c r="D2004">
        <v>5.3170510000000002</v>
      </c>
      <c r="E2004">
        <v>0.51056020000000002</v>
      </c>
      <c r="F2004" t="s">
        <v>41</v>
      </c>
      <c r="G2004">
        <v>-374.03949999999998</v>
      </c>
      <c r="H2004">
        <v>1.040797</v>
      </c>
      <c r="I2004">
        <v>214.6224</v>
      </c>
      <c r="J2004">
        <v>-374.39710000000002</v>
      </c>
      <c r="K2004">
        <v>1.1022620000000001</v>
      </c>
      <c r="L2004">
        <v>214.6215</v>
      </c>
      <c r="M2004">
        <v>0.99975749999999997</v>
      </c>
      <c r="N2004">
        <v>0</v>
      </c>
      <c r="O2004">
        <v>2.1049089999999999E-2</v>
      </c>
      <c r="P2004">
        <v>0.9991662</v>
      </c>
      <c r="Q2004">
        <v>1.524882E-2</v>
      </c>
      <c r="R2004">
        <v>3.7876689999999998E-2</v>
      </c>
      <c r="S2004">
        <v>3.0043329999999999</v>
      </c>
      <c r="T2004">
        <v>-0.1993173</v>
      </c>
      <c r="U2004">
        <v>4.2495730000000002E-2</v>
      </c>
      <c r="V2004">
        <v>-1.6835989999999999E-2</v>
      </c>
      <c r="W2004">
        <v>2.1737599999999999E-2</v>
      </c>
      <c r="X2004">
        <v>0.99962189999999995</v>
      </c>
      <c r="Y2004">
        <v>6.8458629999999998E-3</v>
      </c>
      <c r="Z2004">
        <v>-1.6215909999999999E-3</v>
      </c>
      <c r="AA2004">
        <v>0.99997530000000001</v>
      </c>
      <c r="AB2004">
        <v>62</v>
      </c>
      <c r="AC2004">
        <v>0.35760000000004699</v>
      </c>
      <c r="AD2004">
        <v>-6.1465000000000103E-2</v>
      </c>
      <c r="AE2004">
        <v>9.0000000000145497E-4</v>
      </c>
      <c r="AF2004">
        <v>6.4373320142873296E-3</v>
      </c>
      <c r="AG2004">
        <v>-6.1465000000000103E-2</v>
      </c>
      <c r="AH2004">
        <v>0.34727994084281999</v>
      </c>
      <c r="AI2004">
        <v>100.03513742823201</v>
      </c>
      <c r="AJ2004">
        <v>88.938062129148605</v>
      </c>
      <c r="AK2004">
        <v>0.35273608091639103</v>
      </c>
      <c r="AL2004">
        <v>88.754429104747999</v>
      </c>
      <c r="AM2004">
        <v>90.964904806243695</v>
      </c>
      <c r="AN2004">
        <v>0.99999995838632405</v>
      </c>
    </row>
    <row r="2005" spans="1:40" x14ac:dyDescent="0.3">
      <c r="A2005" t="str">
        <f>"20200111153913932"</f>
        <v>20200111153913932</v>
      </c>
      <c r="B2005" t="str">
        <f>"1578728353923054"</f>
        <v>1578728353923054</v>
      </c>
      <c r="C2005" t="s">
        <v>40</v>
      </c>
      <c r="D2005">
        <v>5.2792050000000001</v>
      </c>
      <c r="E2005">
        <v>0.51154869999999997</v>
      </c>
      <c r="F2005" t="s">
        <v>41</v>
      </c>
      <c r="G2005">
        <v>-373.48140000000001</v>
      </c>
      <c r="H2005">
        <v>1.041447</v>
      </c>
      <c r="I2005">
        <v>214.6293</v>
      </c>
      <c r="J2005">
        <v>-373.71949999999998</v>
      </c>
      <c r="K2005">
        <v>1.1022620000000001</v>
      </c>
      <c r="L2005">
        <v>214.63579999999999</v>
      </c>
      <c r="M2005">
        <v>0.99975630000000004</v>
      </c>
      <c r="N2005">
        <v>0</v>
      </c>
      <c r="O2005">
        <v>2.108821E-2</v>
      </c>
      <c r="P2005">
        <v>0.99926999999999999</v>
      </c>
      <c r="Q2005">
        <v>1.4715519999999999E-2</v>
      </c>
      <c r="R2005">
        <v>3.5257040000000003E-2</v>
      </c>
      <c r="S2005">
        <v>3.0045470000000001</v>
      </c>
      <c r="T2005">
        <v>-0.1996301</v>
      </c>
      <c r="U2005">
        <v>2.6474000000000001E-2</v>
      </c>
      <c r="V2005">
        <v>-1.4176340000000001E-2</v>
      </c>
      <c r="W2005">
        <v>2.12356E-2</v>
      </c>
      <c r="X2005">
        <v>0.99967399999999995</v>
      </c>
      <c r="Y2005">
        <v>1.220544E-2</v>
      </c>
      <c r="Z2005">
        <v>-1.8045330000000001E-3</v>
      </c>
      <c r="AA2005">
        <v>0.99992389999999998</v>
      </c>
      <c r="AB2005">
        <v>62</v>
      </c>
      <c r="AC2005">
        <v>0.238099999999974</v>
      </c>
      <c r="AD2005">
        <v>-6.0815000000000001E-2</v>
      </c>
      <c r="AE2005">
        <v>-6.4999999999883996E-3</v>
      </c>
      <c r="AF2005">
        <v>1.08147535712299E-2</v>
      </c>
      <c r="AG2005">
        <v>-6.0815000000000001E-2</v>
      </c>
      <c r="AH2005">
        <v>0.22334985866260701</v>
      </c>
      <c r="AI2005">
        <v>105.21457617297</v>
      </c>
      <c r="AJ2005">
        <v>87.227864130052396</v>
      </c>
      <c r="AK2005">
        <v>0.23173386132460799</v>
      </c>
      <c r="AL2005">
        <v>88.783198295528507</v>
      </c>
      <c r="AM2005">
        <v>90.812454870424006</v>
      </c>
      <c r="AN2005">
        <v>1.0000000127995701</v>
      </c>
    </row>
    <row r="2006" spans="1:40" x14ac:dyDescent="0.3">
      <c r="A2006" t="str">
        <f>"20200111153913953"</f>
        <v>20200111153913953</v>
      </c>
      <c r="B2006" t="str">
        <f>"1578728353942575"</f>
        <v>1578728353942575</v>
      </c>
      <c r="C2006" t="s">
        <v>40</v>
      </c>
      <c r="D2006">
        <v>5.2071649999999998</v>
      </c>
      <c r="E2006">
        <v>0.51222879999999904</v>
      </c>
      <c r="F2006" t="s">
        <v>41</v>
      </c>
      <c r="G2006">
        <v>-372.91090000000003</v>
      </c>
      <c r="H2006">
        <v>1.048699</v>
      </c>
      <c r="I2006">
        <v>214.63829999999999</v>
      </c>
      <c r="J2006">
        <v>-373.12110000000001</v>
      </c>
      <c r="K2006">
        <v>1.102266</v>
      </c>
      <c r="L2006">
        <v>214.64840000000001</v>
      </c>
      <c r="M2006">
        <v>0.99975550000000002</v>
      </c>
      <c r="N2006">
        <v>0</v>
      </c>
      <c r="O2006">
        <v>2.1123699999999999E-2</v>
      </c>
      <c r="P2006">
        <v>0.99932149999999997</v>
      </c>
      <c r="Q2006">
        <v>1.4558120000000001E-2</v>
      </c>
      <c r="R2006">
        <v>3.383825E-2</v>
      </c>
      <c r="S2006">
        <v>3.004791</v>
      </c>
      <c r="T2006">
        <v>-0.19912930000000001</v>
      </c>
      <c r="U2006">
        <v>1.049805E-2</v>
      </c>
      <c r="V2006">
        <v>-1.272152E-2</v>
      </c>
      <c r="W2006">
        <v>2.1104979999999999E-2</v>
      </c>
      <c r="X2006">
        <v>0.99969629999999998</v>
      </c>
      <c r="Y2006">
        <v>1.7546249999999999E-2</v>
      </c>
      <c r="Z2006">
        <v>-1.9790430000000002E-3</v>
      </c>
      <c r="AA2006">
        <v>0.99984410000000001</v>
      </c>
      <c r="AB2006">
        <v>62</v>
      </c>
      <c r="AC2006">
        <v>0.21019999999998601</v>
      </c>
      <c r="AD2006">
        <v>-5.3566999999999899E-2</v>
      </c>
      <c r="AE2006">
        <v>-1.01000000000226E-2</v>
      </c>
      <c r="AF2006">
        <v>1.3653398999498301E-2</v>
      </c>
      <c r="AG2006">
        <v>-5.3566999999999899E-2</v>
      </c>
      <c r="AH2006">
        <v>0.19716485123088001</v>
      </c>
      <c r="AI2006">
        <v>105.164953729454</v>
      </c>
      <c r="AJ2006">
        <v>86.038668789392901</v>
      </c>
      <c r="AK2006">
        <v>0.20476771560510801</v>
      </c>
      <c r="AL2006">
        <v>88.790683901780696</v>
      </c>
      <c r="AM2006">
        <v>90.729071483486806</v>
      </c>
      <c r="AN2006">
        <v>0.9999999747428</v>
      </c>
    </row>
    <row r="2007" spans="1:40" x14ac:dyDescent="0.3">
      <c r="A2007" t="str">
        <f>"20200111153913978"</f>
        <v>20200111153913978</v>
      </c>
      <c r="B2007" t="str">
        <f>"1578728353972831"</f>
        <v>1578728353972831</v>
      </c>
      <c r="C2007" t="s">
        <v>40</v>
      </c>
      <c r="D2007">
        <v>5.3128549999999999</v>
      </c>
      <c r="E2007">
        <v>0.51311709999999899</v>
      </c>
      <c r="F2007" t="s">
        <v>55</v>
      </c>
      <c r="G2007">
        <v>-356.41489999999999</v>
      </c>
      <c r="H2007" s="1">
        <v>1.8753080000000001E-6</v>
      </c>
      <c r="I2007">
        <v>214.65280000000001</v>
      </c>
      <c r="J2007">
        <v>-372.42919999999998</v>
      </c>
      <c r="K2007">
        <v>1.1022700000000001</v>
      </c>
      <c r="L2007">
        <v>214.66300000000001</v>
      </c>
      <c r="M2007">
        <v>0.99975449999999999</v>
      </c>
      <c r="N2007">
        <v>0</v>
      </c>
      <c r="O2007">
        <v>2.1165730000000001E-2</v>
      </c>
      <c r="P2007">
        <v>0.99934120000000004</v>
      </c>
      <c r="Q2007">
        <v>1.5026980000000001E-2</v>
      </c>
      <c r="R2007">
        <v>3.3044339999999998E-2</v>
      </c>
      <c r="S2007">
        <v>3.0049130000000002</v>
      </c>
      <c r="T2007">
        <v>-0.19826189999999999</v>
      </c>
      <c r="U2007">
        <v>7.9345700000000002E-4</v>
      </c>
      <c r="V2007">
        <v>-1.188575E-2</v>
      </c>
      <c r="W2007">
        <v>2.1605070000000001E-2</v>
      </c>
      <c r="X2007">
        <v>0.99969600000000003</v>
      </c>
      <c r="Y2007">
        <v>2.0810929999999998E-2</v>
      </c>
      <c r="Z2007">
        <v>-2.0807320000000001E-3</v>
      </c>
      <c r="AA2007">
        <v>0.99978129999999998</v>
      </c>
      <c r="AB2007">
        <v>63</v>
      </c>
      <c r="AC2007">
        <v>16.014299999999899</v>
      </c>
      <c r="AD2007">
        <v>-1.1022681246920001</v>
      </c>
      <c r="AE2007">
        <v>-1.01999999999691E-2</v>
      </c>
      <c r="AF2007">
        <v>0.34751296692186701</v>
      </c>
      <c r="AG2007">
        <v>-1.1022681246920001</v>
      </c>
      <c r="AH2007">
        <v>15.9350027697777</v>
      </c>
      <c r="AI2007">
        <v>93.956066352114604</v>
      </c>
      <c r="AJ2007">
        <v>88.750682947019101</v>
      </c>
      <c r="AK2007">
        <v>15.976860566259999</v>
      </c>
      <c r="AL2007">
        <v>88.762024438222994</v>
      </c>
      <c r="AM2007">
        <v>90.681178304081598</v>
      </c>
      <c r="AN2007">
        <v>1.00000007125938</v>
      </c>
    </row>
    <row r="2008" spans="1:40" x14ac:dyDescent="0.3">
      <c r="A2008" t="str">
        <f>"20200111153914002"</f>
        <v>20200111153914002</v>
      </c>
      <c r="B2008" t="str">
        <f>"1578728353993326"</f>
        <v>1578728353993326</v>
      </c>
      <c r="C2008" t="s">
        <v>40</v>
      </c>
      <c r="D2008">
        <v>5.3475630000000001</v>
      </c>
      <c r="E2008">
        <v>0.51361659999999998</v>
      </c>
      <c r="F2008" t="s">
        <v>41</v>
      </c>
      <c r="G2008">
        <v>-371.2484</v>
      </c>
      <c r="H2008">
        <v>1.0255879999999999</v>
      </c>
      <c r="I2008">
        <v>214.65969999999999</v>
      </c>
      <c r="J2008">
        <v>-371.7611</v>
      </c>
      <c r="K2008">
        <v>1.102277</v>
      </c>
      <c r="L2008">
        <v>214.6772</v>
      </c>
      <c r="M2008">
        <v>0.99975329999999996</v>
      </c>
      <c r="N2008">
        <v>0</v>
      </c>
      <c r="O2008">
        <v>2.1207050000000002E-2</v>
      </c>
      <c r="P2008">
        <v>0.99933179999999999</v>
      </c>
      <c r="Q2008">
        <v>1.5542500000000001E-2</v>
      </c>
      <c r="R2008">
        <v>3.3079520000000001E-2</v>
      </c>
      <c r="S2008">
        <v>3.0051570000000001</v>
      </c>
      <c r="T2008">
        <v>-0.1952142</v>
      </c>
      <c r="U2008">
        <v>-8.1939700000000001E-3</v>
      </c>
      <c r="V2008">
        <v>-1.1880369999999999E-2</v>
      </c>
      <c r="W2008">
        <v>2.215044E-2</v>
      </c>
      <c r="X2008">
        <v>0.99968400000000002</v>
      </c>
      <c r="Y2008">
        <v>2.3838499999999999E-2</v>
      </c>
      <c r="Z2008">
        <v>-2.1495680000000001E-3</v>
      </c>
      <c r="AA2008">
        <v>0.99971350000000003</v>
      </c>
      <c r="AB2008">
        <v>63</v>
      </c>
      <c r="AC2008">
        <v>0.51269999999999505</v>
      </c>
      <c r="AD2008">
        <v>-7.6688999999999993E-2</v>
      </c>
      <c r="AE2008">
        <v>-1.7500000000012499E-2</v>
      </c>
      <c r="AF2008">
        <v>2.7749027380424E-2</v>
      </c>
      <c r="AG2008">
        <v>-7.6688999999999993E-2</v>
      </c>
      <c r="AH2008">
        <v>0.50101695761488396</v>
      </c>
      <c r="AI2008">
        <v>98.689415304209106</v>
      </c>
      <c r="AJ2008">
        <v>86.829888852801801</v>
      </c>
      <c r="AK2008">
        <v>0.50761127160380703</v>
      </c>
      <c r="AL2008">
        <v>88.730769396609901</v>
      </c>
      <c r="AM2008">
        <v>90.6808781748651</v>
      </c>
      <c r="AN2008">
        <v>0.99999994251976299</v>
      </c>
    </row>
    <row r="2009" spans="1:40" x14ac:dyDescent="0.3">
      <c r="A2009" t="str">
        <f>"20200111153914022"</f>
        <v>20200111153914022</v>
      </c>
      <c r="B2009" t="str">
        <f>"1578728354012847"</f>
        <v>1578728354012847</v>
      </c>
      <c r="C2009" t="s">
        <v>40</v>
      </c>
      <c r="D2009">
        <v>5.3674650000000002</v>
      </c>
      <c r="E2009">
        <v>0.51405440000000002</v>
      </c>
      <c r="F2009" t="s">
        <v>41</v>
      </c>
      <c r="G2009">
        <v>-370.68189999999998</v>
      </c>
      <c r="H2009">
        <v>1.0329950000000001</v>
      </c>
      <c r="I2009">
        <v>214.67259999999999</v>
      </c>
      <c r="J2009">
        <v>-371.19240000000002</v>
      </c>
      <c r="K2009">
        <v>1.1022860000000001</v>
      </c>
      <c r="L2009">
        <v>214.6892</v>
      </c>
      <c r="M2009">
        <v>0.99975230000000004</v>
      </c>
      <c r="N2009">
        <v>0</v>
      </c>
      <c r="O2009">
        <v>2.124264E-2</v>
      </c>
      <c r="P2009">
        <v>0.99930569999999996</v>
      </c>
      <c r="Q2009">
        <v>1.615312E-2</v>
      </c>
      <c r="R2009">
        <v>3.3576340000000003E-2</v>
      </c>
      <c r="S2009">
        <v>3.0054319999999999</v>
      </c>
      <c r="T2009">
        <v>-0.1930489</v>
      </c>
      <c r="U2009">
        <v>-1.202393E-2</v>
      </c>
      <c r="V2009">
        <v>-1.23421E-2</v>
      </c>
      <c r="W2009">
        <v>2.2786379999999998E-2</v>
      </c>
      <c r="X2009">
        <v>0.9996642</v>
      </c>
      <c r="Y2009">
        <v>2.5147139999999998E-2</v>
      </c>
      <c r="Z2009">
        <v>-2.169851E-3</v>
      </c>
      <c r="AA2009">
        <v>0.99968140000000005</v>
      </c>
      <c r="AB2009">
        <v>63</v>
      </c>
      <c r="AC2009">
        <v>0.51050000000003504</v>
      </c>
      <c r="AD2009">
        <v>-6.9290999999999894E-2</v>
      </c>
      <c r="AE2009">
        <v>-1.6600000000010998E-2</v>
      </c>
      <c r="AF2009">
        <v>2.6944975794826999E-2</v>
      </c>
      <c r="AG2009">
        <v>-6.9290999999999894E-2</v>
      </c>
      <c r="AH2009">
        <v>0.50081535063160698</v>
      </c>
      <c r="AI2009">
        <v>97.865993732357694</v>
      </c>
      <c r="AJ2009">
        <v>86.920329342366102</v>
      </c>
      <c r="AK2009">
        <v>0.50630355502390401</v>
      </c>
      <c r="AL2009">
        <v>88.694323629025803</v>
      </c>
      <c r="AM2009">
        <v>90.707351842109205</v>
      </c>
      <c r="AN2009">
        <v>1.0000000296537701</v>
      </c>
    </row>
    <row r="2010" spans="1:40" x14ac:dyDescent="0.3">
      <c r="A2010" t="str">
        <f>"20200111153914087"</f>
        <v>20200111153914087</v>
      </c>
      <c r="B2010" t="str">
        <f>"1578728354083121"</f>
        <v>1578728354083121</v>
      </c>
      <c r="C2010" t="s">
        <v>40</v>
      </c>
      <c r="D2010">
        <v>5.3734859999999998</v>
      </c>
      <c r="E2010">
        <v>0.51528609999999997</v>
      </c>
      <c r="F2010" t="s">
        <v>41</v>
      </c>
      <c r="G2010">
        <v>-368.98360000000002</v>
      </c>
      <c r="H2010">
        <v>1.0411250000000001</v>
      </c>
      <c r="I2010">
        <v>214.70740000000001</v>
      </c>
      <c r="J2010">
        <v>-369.36959999999999</v>
      </c>
      <c r="K2010">
        <v>1.102317</v>
      </c>
      <c r="L2010">
        <v>214.72800000000001</v>
      </c>
      <c r="M2010">
        <v>0.99974949999999996</v>
      </c>
      <c r="N2010">
        <v>0</v>
      </c>
      <c r="O2010">
        <v>2.1357910000000001E-2</v>
      </c>
      <c r="P2010">
        <v>0.99932270000000001</v>
      </c>
      <c r="Q2010">
        <v>1.785486E-2</v>
      </c>
      <c r="R2010">
        <v>3.2185640000000001E-2</v>
      </c>
      <c r="S2010">
        <v>3.0060419999999999</v>
      </c>
      <c r="T2010">
        <v>-0.1850011</v>
      </c>
      <c r="U2010">
        <v>-2.2811890000000001E-2</v>
      </c>
      <c r="V2010">
        <v>-1.0836760000000001E-2</v>
      </c>
      <c r="W2010">
        <v>2.4569730000000001E-2</v>
      </c>
      <c r="X2010">
        <v>0.99963939999999996</v>
      </c>
      <c r="Y2010">
        <v>2.884952E-2</v>
      </c>
      <c r="Z2010">
        <v>-2.200044E-3</v>
      </c>
      <c r="AA2010">
        <v>0.99958130000000001</v>
      </c>
      <c r="AB2010">
        <v>63</v>
      </c>
      <c r="AC2010">
        <v>0.38599999999996698</v>
      </c>
      <c r="AD2010">
        <v>-6.1191999999999899E-2</v>
      </c>
      <c r="AE2010">
        <v>-2.0599999999973299E-2</v>
      </c>
      <c r="AF2010">
        <v>2.81345883729405E-2</v>
      </c>
      <c r="AG2010">
        <v>-6.1191999999999899E-2</v>
      </c>
      <c r="AH2010">
        <v>0.37604822926798698</v>
      </c>
      <c r="AI2010">
        <v>99.217062868034006</v>
      </c>
      <c r="AJ2010">
        <v>85.721305412628197</v>
      </c>
      <c r="AK2010">
        <v>0.38203178750269401</v>
      </c>
      <c r="AL2010">
        <v>88.592116519173103</v>
      </c>
      <c r="AM2010">
        <v>90.621100259295702</v>
      </c>
      <c r="AN2010">
        <v>1.0000000185159601</v>
      </c>
    </row>
    <row r="2011" spans="1:40" x14ac:dyDescent="0.3">
      <c r="A2011" t="str">
        <f>"20200111153914109"</f>
        <v>20200111153914109</v>
      </c>
      <c r="B2011" t="str">
        <f>"1578728354102638"</f>
        <v>1578728354102638</v>
      </c>
      <c r="C2011" t="s">
        <v>40</v>
      </c>
      <c r="D2011">
        <v>5.3573729999999999</v>
      </c>
      <c r="E2011">
        <v>0.51554920000000004</v>
      </c>
      <c r="F2011" t="s">
        <v>41</v>
      </c>
      <c r="G2011">
        <v>-368.41480000000001</v>
      </c>
      <c r="H2011">
        <v>1.0443100000000001</v>
      </c>
      <c r="I2011">
        <v>214.71889999999999</v>
      </c>
      <c r="J2011">
        <v>-368.73579999999998</v>
      </c>
      <c r="K2011">
        <v>1.1023320000000001</v>
      </c>
      <c r="L2011">
        <v>214.7415</v>
      </c>
      <c r="M2011">
        <v>0.99974830000000003</v>
      </c>
      <c r="N2011">
        <v>0</v>
      </c>
      <c r="O2011">
        <v>2.1398670000000002E-2</v>
      </c>
      <c r="P2011">
        <v>0.99933870000000002</v>
      </c>
      <c r="Q2011">
        <v>1.7998130000000001E-2</v>
      </c>
      <c r="R2011">
        <v>3.1605519999999998E-2</v>
      </c>
      <c r="S2011">
        <v>3.006195</v>
      </c>
      <c r="T2011">
        <v>-0.18268590000000001</v>
      </c>
      <c r="U2011">
        <v>-2.7816770000000001E-2</v>
      </c>
      <c r="V2011">
        <v>-1.0216569999999999E-2</v>
      </c>
      <c r="W2011">
        <v>2.474086E-2</v>
      </c>
      <c r="X2011">
        <v>0.99964169999999997</v>
      </c>
      <c r="Y2011">
        <v>3.055304E-2</v>
      </c>
      <c r="Z2011">
        <v>-2.2266299999999998E-3</v>
      </c>
      <c r="AA2011">
        <v>0.99953069999999999</v>
      </c>
      <c r="AB2011">
        <v>63</v>
      </c>
      <c r="AC2011">
        <v>0.32099999999996898</v>
      </c>
      <c r="AD2011">
        <v>-5.8021999999999803E-2</v>
      </c>
      <c r="AE2011">
        <v>-2.2600000000011201E-2</v>
      </c>
      <c r="AF2011">
        <v>2.8536218171696302E-2</v>
      </c>
      <c r="AG2011">
        <v>-5.8021999999999803E-2</v>
      </c>
      <c r="AH2011">
        <v>0.31035304241181699</v>
      </c>
      <c r="AI2011">
        <v>100.545995275542</v>
      </c>
      <c r="AJ2011">
        <v>84.7465620326291</v>
      </c>
      <c r="AK2011">
        <v>0.317017159103121</v>
      </c>
      <c r="AL2011">
        <v>88.5823084967586</v>
      </c>
      <c r="AM2011">
        <v>90.585555766890906</v>
      </c>
      <c r="AN2011">
        <v>1.00000000841749</v>
      </c>
    </row>
    <row r="2012" spans="1:40" x14ac:dyDescent="0.3">
      <c r="A2012" t="str">
        <f>"20200111153914133"</f>
        <v>20200111153914133</v>
      </c>
      <c r="B2012" t="str">
        <f>"1578728354123135"</f>
        <v>1578728354123135</v>
      </c>
      <c r="C2012" t="s">
        <v>40</v>
      </c>
      <c r="D2012">
        <v>5.3524539999999998</v>
      </c>
      <c r="E2012">
        <v>0.51581650000000001</v>
      </c>
      <c r="F2012" t="s">
        <v>41</v>
      </c>
      <c r="G2012">
        <v>-367.84339999999997</v>
      </c>
      <c r="H2012">
        <v>1.048549</v>
      </c>
      <c r="I2012">
        <v>214.7319</v>
      </c>
      <c r="J2012">
        <v>-368.0326</v>
      </c>
      <c r="K2012">
        <v>1.1023510000000001</v>
      </c>
      <c r="L2012">
        <v>214.75659999999999</v>
      </c>
      <c r="M2012">
        <v>0.99974700000000005</v>
      </c>
      <c r="N2012">
        <v>0</v>
      </c>
      <c r="O2012">
        <v>2.1444299999999999E-2</v>
      </c>
      <c r="P2012">
        <v>0.99934699999999999</v>
      </c>
      <c r="Q2012">
        <v>1.7939460000000001E-2</v>
      </c>
      <c r="R2012">
        <v>3.1365329999999997E-2</v>
      </c>
      <c r="S2012">
        <v>3.006256</v>
      </c>
      <c r="T2012">
        <v>-0.1812599</v>
      </c>
      <c r="U2012">
        <v>-3.1799319999999999E-2</v>
      </c>
      <c r="V2012">
        <v>-9.930576E-3</v>
      </c>
      <c r="W2012">
        <v>2.4713679999999998E-2</v>
      </c>
      <c r="X2012">
        <v>0.99964520000000001</v>
      </c>
      <c r="Y2012">
        <v>3.1921379999999999E-2</v>
      </c>
      <c r="Z2012">
        <v>-2.2531880000000002E-3</v>
      </c>
      <c r="AA2012">
        <v>0.99948780000000004</v>
      </c>
      <c r="AB2012">
        <v>63</v>
      </c>
      <c r="AC2012">
        <v>0.18920000000002801</v>
      </c>
      <c r="AD2012">
        <v>-5.38020000000001E-2</v>
      </c>
      <c r="AE2012">
        <v>-2.4699999999995701E-2</v>
      </c>
      <c r="AF2012">
        <v>2.6634034878727599E-2</v>
      </c>
      <c r="AG2012">
        <v>-5.38020000000001E-2</v>
      </c>
      <c r="AH2012">
        <v>0.17473392066921201</v>
      </c>
      <c r="AI2012">
        <v>106.929849082099</v>
      </c>
      <c r="AJ2012">
        <v>81.333328565806895</v>
      </c>
      <c r="AK2012">
        <v>0.18475922182764201</v>
      </c>
      <c r="AL2012">
        <v>88.583866195411801</v>
      </c>
      <c r="AM2012">
        <v>90.569163316329494</v>
      </c>
      <c r="AN2012">
        <v>0.99999995410093601</v>
      </c>
    </row>
    <row r="2013" spans="1:40" x14ac:dyDescent="0.3">
      <c r="A2013" t="str">
        <f>"20200111153914155"</f>
        <v>20200111153914155</v>
      </c>
      <c r="B2013" t="str">
        <f>"1578728354152414"</f>
        <v>1578728354152414</v>
      </c>
      <c r="C2013" t="s">
        <v>40</v>
      </c>
      <c r="D2013">
        <v>5.3868099999999997</v>
      </c>
      <c r="E2013">
        <v>0.5161268</v>
      </c>
      <c r="F2013" t="s">
        <v>55</v>
      </c>
      <c r="G2013">
        <v>-349.73200000000003</v>
      </c>
      <c r="H2013" s="1">
        <v>3.6420780000000001E-6</v>
      </c>
      <c r="I2013">
        <v>214.54329999999999</v>
      </c>
      <c r="J2013">
        <v>-367.42529999999999</v>
      </c>
      <c r="K2013">
        <v>1.1023750000000001</v>
      </c>
      <c r="L2013">
        <v>214.7696</v>
      </c>
      <c r="M2013">
        <v>0.99974609999999997</v>
      </c>
      <c r="N2013">
        <v>0</v>
      </c>
      <c r="O2013">
        <v>2.148392E-2</v>
      </c>
      <c r="P2013">
        <v>0.99936840000000005</v>
      </c>
      <c r="Q2013">
        <v>1.8071500000000001E-2</v>
      </c>
      <c r="R2013">
        <v>3.0600700000000002E-2</v>
      </c>
      <c r="S2013">
        <v>3.0062869999999999</v>
      </c>
      <c r="T2013">
        <v>-0.18108550000000001</v>
      </c>
      <c r="U2013">
        <v>-3.5034179999999998E-2</v>
      </c>
      <c r="V2013">
        <v>-9.1259219999999999E-3</v>
      </c>
      <c r="W2013">
        <v>2.48729E-2</v>
      </c>
      <c r="X2013">
        <v>0.99964900000000001</v>
      </c>
      <c r="Y2013">
        <v>3.3034309999999997E-2</v>
      </c>
      <c r="Z2013">
        <v>-2.2868630000000001E-3</v>
      </c>
      <c r="AA2013">
        <v>0.9994516</v>
      </c>
      <c r="AB2013">
        <v>64</v>
      </c>
      <c r="AC2013">
        <v>17.693300000000001</v>
      </c>
      <c r="AD2013">
        <v>-1.102371357922</v>
      </c>
      <c r="AE2013">
        <v>-0.22630000000000899</v>
      </c>
      <c r="AF2013">
        <v>0.604033603457798</v>
      </c>
      <c r="AG2013">
        <v>-1.102371357922</v>
      </c>
      <c r="AH2013">
        <v>17.615982842187599</v>
      </c>
      <c r="AI2013">
        <v>93.578683099937294</v>
      </c>
      <c r="AJ2013">
        <v>88.036157133047297</v>
      </c>
      <c r="AK2013">
        <v>17.660773785458002</v>
      </c>
      <c r="AL2013">
        <v>88.574740868851705</v>
      </c>
      <c r="AM2013">
        <v>90.523045878912299</v>
      </c>
      <c r="AN2013">
        <v>1.0000000334038699</v>
      </c>
    </row>
    <row r="2014" spans="1:40" x14ac:dyDescent="0.3">
      <c r="A2014" t="str">
        <f>"20200111153914177"</f>
        <v>20200111153914177</v>
      </c>
      <c r="B2014" t="str">
        <f>"1578728354172910"</f>
        <v>1578728354172910</v>
      </c>
      <c r="C2014" t="s">
        <v>40</v>
      </c>
      <c r="D2014">
        <v>5.4156050000000002</v>
      </c>
      <c r="E2014">
        <v>0.51628069999999904</v>
      </c>
      <c r="F2014" t="s">
        <v>41</v>
      </c>
      <c r="G2014">
        <v>-366.14789999999999</v>
      </c>
      <c r="H2014">
        <v>1.0254799999999999</v>
      </c>
      <c r="I2014">
        <v>214.7525</v>
      </c>
      <c r="J2014">
        <v>-366.78820000000002</v>
      </c>
      <c r="K2014">
        <v>1.102409</v>
      </c>
      <c r="L2014">
        <v>214.7833</v>
      </c>
      <c r="M2014">
        <v>0.99974490000000005</v>
      </c>
      <c r="N2014">
        <v>0</v>
      </c>
      <c r="O2014">
        <v>2.152604E-2</v>
      </c>
      <c r="P2014">
        <v>0.99940030000000002</v>
      </c>
      <c r="Q2014">
        <v>1.82112E-2</v>
      </c>
      <c r="R2014">
        <v>2.945499E-2</v>
      </c>
      <c r="S2014">
        <v>3.0064090000000001</v>
      </c>
      <c r="T2014">
        <v>-0.18099889999999999</v>
      </c>
      <c r="U2014">
        <v>-3.9810180000000001E-2</v>
      </c>
      <c r="V2014">
        <v>-7.9380219999999994E-3</v>
      </c>
      <c r="W2014">
        <v>2.5040699999999999E-2</v>
      </c>
      <c r="X2014">
        <v>0.99965490000000001</v>
      </c>
      <c r="Y2014">
        <v>3.4660490000000002E-2</v>
      </c>
      <c r="Z2014">
        <v>-2.3371009999999998E-3</v>
      </c>
      <c r="AA2014">
        <v>0.99939639999999996</v>
      </c>
      <c r="AB2014">
        <v>64</v>
      </c>
      <c r="AC2014">
        <v>0.64030000000002396</v>
      </c>
      <c r="AD2014">
        <v>-7.6928999999999997E-2</v>
      </c>
      <c r="AE2014">
        <v>-3.07999999999992E-2</v>
      </c>
      <c r="AF2014">
        <v>4.3943454484591998E-2</v>
      </c>
      <c r="AG2014">
        <v>-7.6928999999999997E-2</v>
      </c>
      <c r="AH2014">
        <v>0.63040972880403001</v>
      </c>
      <c r="AI2014">
        <v>96.940737051048004</v>
      </c>
      <c r="AJ2014">
        <v>86.012579918959204</v>
      </c>
      <c r="AK2014">
        <v>0.63660468456005703</v>
      </c>
      <c r="AL2014">
        <v>88.565123570943499</v>
      </c>
      <c r="AM2014">
        <v>90.454962606675394</v>
      </c>
      <c r="AN2014">
        <v>0.99999998397188605</v>
      </c>
    </row>
    <row r="2015" spans="1:40" x14ac:dyDescent="0.3">
      <c r="A2015" t="str">
        <f>"20200111153914200"</f>
        <v>20200111153914200</v>
      </c>
      <c r="B2015" t="str">
        <f>"1578728354192430"</f>
        <v>1578728354192430</v>
      </c>
      <c r="C2015" t="s">
        <v>40</v>
      </c>
      <c r="D2015">
        <v>5.3986489999999998</v>
      </c>
      <c r="E2015">
        <v>0.53937769999999996</v>
      </c>
      <c r="F2015" t="s">
        <v>41</v>
      </c>
      <c r="G2015">
        <v>-365.5745</v>
      </c>
      <c r="H2015">
        <v>1.029709</v>
      </c>
      <c r="I2015">
        <v>214.76519999999999</v>
      </c>
      <c r="J2015">
        <v>-366.15370000000001</v>
      </c>
      <c r="K2015">
        <v>1.1024510000000001</v>
      </c>
      <c r="L2015">
        <v>214.79689999999999</v>
      </c>
      <c r="M2015">
        <v>0.99974390000000002</v>
      </c>
      <c r="N2015">
        <v>0</v>
      </c>
      <c r="O2015">
        <v>2.1567800000000002E-2</v>
      </c>
      <c r="P2015">
        <v>0.99942819999999999</v>
      </c>
      <c r="Q2015">
        <v>1.8998930000000001E-2</v>
      </c>
      <c r="R2015">
        <v>2.796993E-2</v>
      </c>
      <c r="S2015">
        <v>3.0063780000000002</v>
      </c>
      <c r="T2015">
        <v>-0.18009530000000001</v>
      </c>
      <c r="U2015">
        <v>-4.4372559999999998E-2</v>
      </c>
      <c r="V2015">
        <v>-6.410621E-3</v>
      </c>
      <c r="W2015">
        <v>2.5856779999999999E-2</v>
      </c>
      <c r="X2015">
        <v>0.99964509999999995</v>
      </c>
      <c r="Y2015">
        <v>3.6216819999999997E-2</v>
      </c>
      <c r="Z2015">
        <v>-2.3745289999999998E-3</v>
      </c>
      <c r="AA2015">
        <v>0.99934109999999998</v>
      </c>
      <c r="AB2015">
        <v>64</v>
      </c>
      <c r="AC2015">
        <v>0.57920000000001404</v>
      </c>
      <c r="AD2015">
        <v>-7.2742000000000001E-2</v>
      </c>
      <c r="AE2015">
        <v>-3.17000000000007E-2</v>
      </c>
      <c r="AF2015">
        <v>4.3500899897220703E-2</v>
      </c>
      <c r="AG2015">
        <v>-7.2742000000000001E-2</v>
      </c>
      <c r="AH2015">
        <v>0.56942682290047297</v>
      </c>
      <c r="AI2015">
        <v>97.258952933428503</v>
      </c>
      <c r="AJ2015">
        <v>85.631420696599207</v>
      </c>
      <c r="AK2015">
        <v>0.57570012462600295</v>
      </c>
      <c r="AL2015">
        <v>88.518350500783995</v>
      </c>
      <c r="AM2015">
        <v>90.367426892164104</v>
      </c>
      <c r="AN2015">
        <v>0.99999999754379099</v>
      </c>
    </row>
    <row r="2016" spans="1:40" x14ac:dyDescent="0.3">
      <c r="A2016" t="str">
        <f>"20200111153914221"</f>
        <v>20200111153914221</v>
      </c>
      <c r="B2016" t="str">
        <f>"1578728354212926"</f>
        <v>1578728354212926</v>
      </c>
      <c r="C2016" t="s">
        <v>40</v>
      </c>
      <c r="D2016">
        <v>5.4241679999999999</v>
      </c>
      <c r="E2016">
        <v>0.53951709999999997</v>
      </c>
      <c r="F2016" t="s">
        <v>41</v>
      </c>
      <c r="G2016">
        <v>-364.98079999999999</v>
      </c>
      <c r="H2016">
        <v>1.0503910000000001</v>
      </c>
      <c r="I2016">
        <v>214.70599999999999</v>
      </c>
      <c r="J2016">
        <v>-365.52159999999998</v>
      </c>
      <c r="K2016">
        <v>1.1024929999999999</v>
      </c>
      <c r="L2016">
        <v>214.81049999999999</v>
      </c>
      <c r="M2016">
        <v>0.99974289999999999</v>
      </c>
      <c r="N2016">
        <v>0</v>
      </c>
      <c r="O2016">
        <v>2.1609369999999999E-2</v>
      </c>
      <c r="P2016">
        <v>0.99942920000000002</v>
      </c>
      <c r="Q2016">
        <v>2.0908840000000001E-2</v>
      </c>
      <c r="R2016">
        <v>2.6542570000000001E-2</v>
      </c>
      <c r="S2016">
        <v>3.0107729999999999</v>
      </c>
      <c r="T2016">
        <v>-0.13371930000000001</v>
      </c>
      <c r="U2016">
        <v>-0.23243710000000001</v>
      </c>
      <c r="V2016">
        <v>-4.9426970000000002E-3</v>
      </c>
      <c r="W2016">
        <v>2.779442E-2</v>
      </c>
      <c r="X2016">
        <v>0.99960139999999997</v>
      </c>
      <c r="Y2016">
        <v>9.8382949999999997E-2</v>
      </c>
      <c r="Z2016">
        <v>-3.1384770000000002E-3</v>
      </c>
      <c r="AA2016">
        <v>0.99514369999999996</v>
      </c>
      <c r="AB2016">
        <v>64</v>
      </c>
      <c r="AC2016">
        <v>0.54079999999998996</v>
      </c>
      <c r="AD2016">
        <v>-5.2101999999999801E-2</v>
      </c>
      <c r="AE2016">
        <v>-0.10450000000000099</v>
      </c>
      <c r="AF2016">
        <v>0.115132044879696</v>
      </c>
      <c r="AG2016">
        <v>-5.2101999999999801E-2</v>
      </c>
      <c r="AH2016">
        <v>0.53364058601716602</v>
      </c>
      <c r="AI2016">
        <v>95.451742158158098</v>
      </c>
      <c r="AJ2016">
        <v>77.825146459407605</v>
      </c>
      <c r="AK2016">
        <v>0.54839974581223605</v>
      </c>
      <c r="AL2016">
        <v>88.407291861425406</v>
      </c>
      <c r="AM2016">
        <v>90.283306295414803</v>
      </c>
      <c r="AN2016">
        <v>0.99999995945936404</v>
      </c>
    </row>
    <row r="2017" spans="1:40" x14ac:dyDescent="0.3">
      <c r="A2017" t="str">
        <f>"20200111153914244"</f>
        <v>20200111153914244</v>
      </c>
      <c r="B2017" t="str">
        <f>"1578728354232446"</f>
        <v>1578728354232446</v>
      </c>
      <c r="C2017" t="s">
        <v>40</v>
      </c>
      <c r="D2017">
        <v>5.3750739999999997</v>
      </c>
      <c r="E2017">
        <v>0.53923619999999906</v>
      </c>
      <c r="F2017" t="s">
        <v>55</v>
      </c>
      <c r="G2017">
        <v>-340.7869</v>
      </c>
      <c r="H2017" s="1">
        <v>-1.11805E-6</v>
      </c>
      <c r="I2017">
        <v>212.8563</v>
      </c>
      <c r="J2017">
        <v>-364.892</v>
      </c>
      <c r="K2017">
        <v>1.1025339999999999</v>
      </c>
      <c r="L2017">
        <v>214.82409999999999</v>
      </c>
      <c r="M2017">
        <v>0.99974169999999996</v>
      </c>
      <c r="N2017">
        <v>0</v>
      </c>
      <c r="O2017">
        <v>2.1648790000000001E-2</v>
      </c>
      <c r="P2017">
        <v>0.99937520000000002</v>
      </c>
      <c r="Q2017">
        <v>2.4910129999999999E-2</v>
      </c>
      <c r="R2017">
        <v>2.5072509999999999E-2</v>
      </c>
      <c r="S2017">
        <v>3.010834</v>
      </c>
      <c r="T2017">
        <v>-0.13420109999999999</v>
      </c>
      <c r="U2017">
        <v>-0.2378845</v>
      </c>
      <c r="V2017">
        <v>-3.4346440000000002E-3</v>
      </c>
      <c r="W2017">
        <v>3.1824760000000001E-2</v>
      </c>
      <c r="X2017">
        <v>0.99948760000000003</v>
      </c>
      <c r="Y2017">
        <v>0.1002074</v>
      </c>
      <c r="Z2017">
        <v>-3.1918239999999998E-3</v>
      </c>
      <c r="AA2017">
        <v>0.9949614</v>
      </c>
      <c r="AB2017">
        <v>64</v>
      </c>
      <c r="AC2017">
        <v>24.1051</v>
      </c>
      <c r="AD2017">
        <v>-1.10253511805</v>
      </c>
      <c r="AE2017">
        <v>-1.96779999999998</v>
      </c>
      <c r="AF2017">
        <v>2.4840352729827799</v>
      </c>
      <c r="AG2017">
        <v>-1.10253511805</v>
      </c>
      <c r="AH2017">
        <v>24.006958197282302</v>
      </c>
      <c r="AI2017">
        <v>92.615553488675999</v>
      </c>
      <c r="AJ2017">
        <v>84.092543991425103</v>
      </c>
      <c r="AK2017">
        <v>24.160299187096498</v>
      </c>
      <c r="AL2017">
        <v>88.176267697028507</v>
      </c>
      <c r="AM2017">
        <v>90.196890717513597</v>
      </c>
      <c r="AN2017">
        <v>1.00000003734111</v>
      </c>
    </row>
    <row r="2018" spans="1:40" x14ac:dyDescent="0.3">
      <c r="A2018" t="str">
        <f>"20200111153914265"</f>
        <v>20200111153914265</v>
      </c>
      <c r="B2018" t="str">
        <f>"1578728354262703"</f>
        <v>1578728354262703</v>
      </c>
      <c r="C2018" t="s">
        <v>40</v>
      </c>
      <c r="D2018">
        <v>5.3895879999999998</v>
      </c>
      <c r="E2018">
        <v>0.53928799999999999</v>
      </c>
      <c r="F2018" t="s">
        <v>55</v>
      </c>
      <c r="G2018">
        <v>-339.80840000000001</v>
      </c>
      <c r="H2018" s="1">
        <v>3.761111E-6</v>
      </c>
      <c r="I2018">
        <v>212.82400000000001</v>
      </c>
      <c r="J2018">
        <v>-364.2722</v>
      </c>
      <c r="K2018">
        <v>1.102573</v>
      </c>
      <c r="L2018">
        <v>214.83760000000001</v>
      </c>
      <c r="M2018">
        <v>0.99974059999999998</v>
      </c>
      <c r="N2018">
        <v>0</v>
      </c>
      <c r="O2018">
        <v>2.1682119999999999E-2</v>
      </c>
      <c r="P2018">
        <v>0.99931749999999997</v>
      </c>
      <c r="Q2018">
        <v>2.8359240000000001E-2</v>
      </c>
      <c r="R2018">
        <v>2.3663509999999999E-2</v>
      </c>
      <c r="S2018">
        <v>3.0112000000000001</v>
      </c>
      <c r="T2018">
        <v>-0.132355</v>
      </c>
      <c r="U2018">
        <v>-0.2401123</v>
      </c>
      <c r="V2018">
        <v>-1.9946180000000001E-3</v>
      </c>
      <c r="W2018">
        <v>3.5331830000000002E-2</v>
      </c>
      <c r="X2018">
        <v>0.99937370000000003</v>
      </c>
      <c r="Y2018">
        <v>0.1009651</v>
      </c>
      <c r="Z2018">
        <v>-3.1655670000000002E-3</v>
      </c>
      <c r="AA2018">
        <v>0.99488489999999996</v>
      </c>
      <c r="AB2018">
        <v>64</v>
      </c>
      <c r="AC2018">
        <v>24.4637999999999</v>
      </c>
      <c r="AD2018">
        <v>-1.102569238889</v>
      </c>
      <c r="AE2018">
        <v>-2.0135999999999901</v>
      </c>
      <c r="AF2018">
        <v>2.5384450269385899</v>
      </c>
      <c r="AG2018">
        <v>-1.102569238889</v>
      </c>
      <c r="AH2018">
        <v>24.3652295849786</v>
      </c>
      <c r="AI2018">
        <v>92.577037606436093</v>
      </c>
      <c r="AJ2018">
        <v>84.052205781028505</v>
      </c>
      <c r="AK2018">
        <v>24.521903980116502</v>
      </c>
      <c r="AL2018">
        <v>87.975213950133806</v>
      </c>
      <c r="AM2018">
        <v>90.114354661717201</v>
      </c>
      <c r="AN2018">
        <v>1.0000000544819001</v>
      </c>
    </row>
    <row r="2019" spans="1:40" x14ac:dyDescent="0.3">
      <c r="A2019" t="str">
        <f>"20200111153914288"</f>
        <v>20200111153914288</v>
      </c>
      <c r="B2019" t="str">
        <f>"1578728354283198"</f>
        <v>1578728354283198</v>
      </c>
      <c r="C2019" t="s">
        <v>40</v>
      </c>
      <c r="D2019">
        <v>5.3713309999999996</v>
      </c>
      <c r="E2019">
        <v>0.53898999999999997</v>
      </c>
      <c r="F2019" t="s">
        <v>55</v>
      </c>
      <c r="G2019">
        <v>-337.8802</v>
      </c>
      <c r="H2019" s="1">
        <v>2.740706E-6</v>
      </c>
      <c r="I2019">
        <v>212.69380000000001</v>
      </c>
      <c r="J2019">
        <v>-363.6311</v>
      </c>
      <c r="K2019">
        <v>1.1026199999999999</v>
      </c>
      <c r="L2019">
        <v>214.85140000000001</v>
      </c>
      <c r="M2019">
        <v>0.99973889999999999</v>
      </c>
      <c r="N2019">
        <v>0</v>
      </c>
      <c r="O2019">
        <v>2.1709840000000001E-2</v>
      </c>
      <c r="P2019">
        <v>0.99928430000000001</v>
      </c>
      <c r="Q2019">
        <v>3.0648169999999999E-2</v>
      </c>
      <c r="R2019">
        <v>2.217177E-2</v>
      </c>
      <c r="S2019">
        <v>3.0114139999999998</v>
      </c>
      <c r="T2019">
        <v>-0.12580669999999999</v>
      </c>
      <c r="U2019">
        <v>-0.24461359999999999</v>
      </c>
      <c r="V2019">
        <v>-4.7584549999999998E-4</v>
      </c>
      <c r="W2019">
        <v>3.7780179999999997E-2</v>
      </c>
      <c r="X2019">
        <v>0.99928589999999995</v>
      </c>
      <c r="Y2019">
        <v>0.1024746</v>
      </c>
      <c r="Z2019">
        <v>-3.0413229999999999E-3</v>
      </c>
      <c r="AA2019">
        <v>0.99473089999999997</v>
      </c>
      <c r="AB2019">
        <v>64</v>
      </c>
      <c r="AC2019">
        <v>25.750900000000001</v>
      </c>
      <c r="AD2019">
        <v>-1.102617259294</v>
      </c>
      <c r="AE2019">
        <v>-2.1576</v>
      </c>
      <c r="AF2019">
        <v>2.7112174021003601</v>
      </c>
      <c r="AG2019">
        <v>-1.102617259294</v>
      </c>
      <c r="AH2019">
        <v>25.651286195659701</v>
      </c>
      <c r="AI2019">
        <v>92.447718953582907</v>
      </c>
      <c r="AJ2019">
        <v>83.966513168286696</v>
      </c>
      <c r="AK2019">
        <v>25.817725463595501</v>
      </c>
      <c r="AL2019">
        <v>87.834839725894099</v>
      </c>
      <c r="AM2019">
        <v>90.027283419879694</v>
      </c>
      <c r="AN2019">
        <v>0.99999993918428898</v>
      </c>
    </row>
    <row r="2020" spans="1:40" x14ac:dyDescent="0.3">
      <c r="A2020" t="str">
        <f>"20200111153914309"</f>
        <v>20200111153914309</v>
      </c>
      <c r="B2020" t="str">
        <f>"1578728354302718"</f>
        <v>1578728354302718</v>
      </c>
      <c r="C2020" t="s">
        <v>40</v>
      </c>
      <c r="D2020">
        <v>5.419168</v>
      </c>
      <c r="E2020">
        <v>0.53912890000000002</v>
      </c>
      <c r="F2020" t="s">
        <v>55</v>
      </c>
      <c r="G2020">
        <v>-337.20749999999998</v>
      </c>
      <c r="H2020" s="1">
        <v>2.3828989999999998E-6</v>
      </c>
      <c r="I2020">
        <v>212.68960000000001</v>
      </c>
      <c r="J2020">
        <v>-362.99009999999998</v>
      </c>
      <c r="K2020">
        <v>1.102695</v>
      </c>
      <c r="L2020">
        <v>214.86529999999999</v>
      </c>
      <c r="M2020">
        <v>0.99973610000000002</v>
      </c>
      <c r="N2020">
        <v>0</v>
      </c>
      <c r="O2020">
        <v>2.1730969999999999E-2</v>
      </c>
      <c r="P2020">
        <v>0.99926839999999995</v>
      </c>
      <c r="Q2020">
        <v>3.246127E-2</v>
      </c>
      <c r="R2020">
        <v>2.0231840000000001E-2</v>
      </c>
      <c r="S2020">
        <v>3.0114749999999999</v>
      </c>
      <c r="T2020">
        <v>-0.12566449999999901</v>
      </c>
      <c r="U2020">
        <v>-0.24638370000000001</v>
      </c>
      <c r="V2020">
        <v>1.4844229999999999E-3</v>
      </c>
      <c r="W2020">
        <v>3.9912410000000002E-2</v>
      </c>
      <c r="X2020">
        <v>0.99920209999999998</v>
      </c>
      <c r="Y2020">
        <v>0.1030745</v>
      </c>
      <c r="Z2020">
        <v>-3.05113E-3</v>
      </c>
      <c r="AA2020">
        <v>0.99466900000000003</v>
      </c>
      <c r="AB2020">
        <v>64</v>
      </c>
      <c r="AC2020">
        <v>25.782599999999999</v>
      </c>
      <c r="AD2020">
        <v>-1.1026926171009901</v>
      </c>
      <c r="AE2020">
        <v>-2.1756999999999702</v>
      </c>
      <c r="AF2020">
        <v>2.7305233515935701</v>
      </c>
      <c r="AG2020">
        <v>-1.1026926171009901</v>
      </c>
      <c r="AH2020">
        <v>25.682584035289601</v>
      </c>
      <c r="AI2020">
        <v>92.444747116627795</v>
      </c>
      <c r="AJ2020">
        <v>83.9312197066089</v>
      </c>
      <c r="AK2020">
        <v>25.850857074981501</v>
      </c>
      <c r="AL2020">
        <v>87.712579818711006</v>
      </c>
      <c r="AM2020">
        <v>89.914880973186499</v>
      </c>
      <c r="AN2020">
        <v>1.00000002031403</v>
      </c>
    </row>
    <row r="2021" spans="1:40" x14ac:dyDescent="0.3">
      <c r="A2021" t="str">
        <f>"20200111153914332"</f>
        <v>20200111153914332</v>
      </c>
      <c r="B2021" t="str">
        <f>"1578728354323214"</f>
        <v>1578728354323214</v>
      </c>
      <c r="C2021" t="s">
        <v>40</v>
      </c>
      <c r="D2021">
        <v>5.3995989999999896</v>
      </c>
      <c r="E2021">
        <v>0.53890819999999995</v>
      </c>
      <c r="F2021" t="s">
        <v>55</v>
      </c>
      <c r="G2021">
        <v>-335.53190000000001</v>
      </c>
      <c r="H2021" s="1">
        <v>1.497022E-6</v>
      </c>
      <c r="I2021">
        <v>212.5573</v>
      </c>
      <c r="J2021">
        <v>-362.3304</v>
      </c>
      <c r="K2021">
        <v>1.1027830000000001</v>
      </c>
      <c r="L2021">
        <v>214.87970000000001</v>
      </c>
      <c r="M2021">
        <v>0.99973179999999995</v>
      </c>
      <c r="N2021">
        <v>0</v>
      </c>
      <c r="O2021">
        <v>2.1747320000000001E-2</v>
      </c>
      <c r="P2021">
        <v>0.99933749999999999</v>
      </c>
      <c r="Q2021">
        <v>3.2147330000000002E-2</v>
      </c>
      <c r="R2021">
        <v>1.706657E-2</v>
      </c>
      <c r="S2021">
        <v>3.0112610000000002</v>
      </c>
      <c r="T2021">
        <v>-0.12092940000000001</v>
      </c>
      <c r="U2021">
        <v>-0.25311280000000003</v>
      </c>
      <c r="V2021">
        <v>4.6674250000000002E-3</v>
      </c>
      <c r="W2021">
        <v>4.0102039999999999E-2</v>
      </c>
      <c r="X2021">
        <v>0.99918470000000004</v>
      </c>
      <c r="Y2021">
        <v>0.1053101</v>
      </c>
      <c r="Z2021">
        <v>-2.9816479999999999E-3</v>
      </c>
      <c r="AA2021">
        <v>0.99443499999999996</v>
      </c>
      <c r="AB2021">
        <v>64</v>
      </c>
      <c r="AC2021">
        <v>26.798499999999901</v>
      </c>
      <c r="AD2021">
        <v>-1.1027815029779999</v>
      </c>
      <c r="AE2021">
        <v>-2.3224000000000098</v>
      </c>
      <c r="AF2021">
        <v>2.8997908567496502</v>
      </c>
      <c r="AG2021">
        <v>-1.1027815029779999</v>
      </c>
      <c r="AH2021">
        <v>26.6967829764153</v>
      </c>
      <c r="AI2021">
        <v>92.351593590703402</v>
      </c>
      <c r="AJ2021">
        <v>83.800865150948297</v>
      </c>
      <c r="AK2021">
        <v>26.876442014262501</v>
      </c>
      <c r="AL2021">
        <v>87.701706094597299</v>
      </c>
      <c r="AM2021">
        <v>89.732359984475707</v>
      </c>
      <c r="AN2021">
        <v>1.00000001159119</v>
      </c>
    </row>
    <row r="2022" spans="1:40" x14ac:dyDescent="0.3">
      <c r="A2022" t="str">
        <f>"20200111153914356"</f>
        <v>20200111153914356</v>
      </c>
      <c r="B2022" t="str">
        <f>"1578728354352494"</f>
        <v>1578728354352494</v>
      </c>
      <c r="C2022" t="s">
        <v>40</v>
      </c>
      <c r="D2022">
        <v>5.5063180000000003</v>
      </c>
      <c r="E2022">
        <v>0.53882390000000002</v>
      </c>
      <c r="F2022" t="s">
        <v>55</v>
      </c>
      <c r="G2022">
        <v>-335.89620000000002</v>
      </c>
      <c r="H2022" s="1">
        <v>1.689434E-6</v>
      </c>
      <c r="I2022">
        <v>212.5909</v>
      </c>
      <c r="J2022">
        <v>-361.67689999999999</v>
      </c>
      <c r="K2022">
        <v>1.102867</v>
      </c>
      <c r="L2022">
        <v>214.8939</v>
      </c>
      <c r="M2022">
        <v>0.99972660000000002</v>
      </c>
      <c r="N2022">
        <v>0</v>
      </c>
      <c r="O2022">
        <v>2.1757550000000001E-2</v>
      </c>
      <c r="P2022">
        <v>0.99944670000000002</v>
      </c>
      <c r="Q2022">
        <v>3.0023979999999999E-2</v>
      </c>
      <c r="R2022">
        <v>1.4312119999999999E-2</v>
      </c>
      <c r="S2022">
        <v>3.0104679999999999</v>
      </c>
      <c r="T2022">
        <v>-0.1255908</v>
      </c>
      <c r="U2022">
        <v>-0.26065060000000001</v>
      </c>
      <c r="V2022">
        <v>7.4346150000000003E-3</v>
      </c>
      <c r="W2022">
        <v>3.8584489999999999E-2</v>
      </c>
      <c r="X2022">
        <v>0.99922770000000005</v>
      </c>
      <c r="Y2022">
        <v>0.1078037</v>
      </c>
      <c r="Z2022">
        <v>-3.1492989999999999E-3</v>
      </c>
      <c r="AA2022">
        <v>0.99416720000000003</v>
      </c>
      <c r="AB2022">
        <v>64</v>
      </c>
      <c r="AC2022">
        <v>25.7806999999999</v>
      </c>
      <c r="AD2022">
        <v>-1.102865310566</v>
      </c>
      <c r="AE2022">
        <v>-2.3029999999999902</v>
      </c>
      <c r="AF2022">
        <v>2.8582110529922899</v>
      </c>
      <c r="AG2022">
        <v>-1.102865310566</v>
      </c>
      <c r="AH2022">
        <v>25.677868214388798</v>
      </c>
      <c r="AI2022">
        <v>92.444267042178893</v>
      </c>
      <c r="AJ2022">
        <v>83.648535352625899</v>
      </c>
      <c r="AK2022">
        <v>25.859980633252899</v>
      </c>
      <c r="AL2022">
        <v>87.788722695084502</v>
      </c>
      <c r="AM2022">
        <v>89.573706571978605</v>
      </c>
      <c r="AN2022">
        <v>1.0000000164080201</v>
      </c>
    </row>
    <row r="2023" spans="1:40" x14ac:dyDescent="0.3">
      <c r="A2023" t="str">
        <f>"20200111153914377"</f>
        <v>20200111153914377</v>
      </c>
      <c r="B2023" t="str">
        <f>"1578728354372523"</f>
        <v>1578728354372523</v>
      </c>
      <c r="C2023" t="s">
        <v>40</v>
      </c>
      <c r="D2023">
        <v>5.3934480000000002</v>
      </c>
      <c r="E2023">
        <v>0.53840549999999998</v>
      </c>
      <c r="F2023" t="s">
        <v>55</v>
      </c>
      <c r="G2023">
        <v>-336.81020000000001</v>
      </c>
      <c r="H2023" s="1">
        <v>2.172063E-6</v>
      </c>
      <c r="I2023">
        <v>212.67580000000001</v>
      </c>
      <c r="J2023">
        <v>-361.0582</v>
      </c>
      <c r="K2023">
        <v>1.10293</v>
      </c>
      <c r="L2023">
        <v>214.90729999999999</v>
      </c>
      <c r="M2023">
        <v>0.99972130000000003</v>
      </c>
      <c r="N2023">
        <v>0</v>
      </c>
      <c r="O2023">
        <v>2.1762239999999999E-2</v>
      </c>
      <c r="P2023">
        <v>0.9995598</v>
      </c>
      <c r="Q2023">
        <v>2.704169E-2</v>
      </c>
      <c r="R2023">
        <v>1.220484E-2</v>
      </c>
      <c r="S2023">
        <v>3.0095519999999998</v>
      </c>
      <c r="T2023">
        <v>-0.1334767</v>
      </c>
      <c r="U2023">
        <v>-0.26844790000000002</v>
      </c>
      <c r="V2023">
        <v>9.5490650000000007E-3</v>
      </c>
      <c r="W2023">
        <v>3.6181959999999999E-2</v>
      </c>
      <c r="X2023">
        <v>0.99929959999999995</v>
      </c>
      <c r="Y2023">
        <v>0.110373</v>
      </c>
      <c r="Z2023">
        <v>-3.404547E-3</v>
      </c>
      <c r="AA2023">
        <v>0.9938844</v>
      </c>
      <c r="AB2023">
        <v>64</v>
      </c>
      <c r="AC2023">
        <v>24.247999999999902</v>
      </c>
      <c r="AD2023">
        <v>-1.1029278279369901</v>
      </c>
      <c r="AE2023">
        <v>-2.2314999999999801</v>
      </c>
      <c r="AF2023">
        <v>2.7530364067506601</v>
      </c>
      <c r="AG2023">
        <v>-1.1029278279369901</v>
      </c>
      <c r="AH2023">
        <v>24.1441598230371</v>
      </c>
      <c r="AI2023">
        <v>92.598690750882994</v>
      </c>
      <c r="AJ2023">
        <v>83.494947238736202</v>
      </c>
      <c r="AK2023">
        <v>24.3256266684106</v>
      </c>
      <c r="AL2023">
        <v>87.926473818660895</v>
      </c>
      <c r="AM2023">
        <v>89.452512068745193</v>
      </c>
      <c r="AN2023">
        <v>1.0000000047159801</v>
      </c>
    </row>
    <row r="2024" spans="1:40" x14ac:dyDescent="0.3">
      <c r="A2024" t="str">
        <f>"20200111153914400"</f>
        <v>20200111153914400</v>
      </c>
      <c r="B2024" t="str">
        <f>"1578728354393020"</f>
        <v>1578728354393020</v>
      </c>
      <c r="C2024" t="s">
        <v>40</v>
      </c>
      <c r="D2024">
        <v>5.4041899999999998</v>
      </c>
      <c r="E2024">
        <v>0.53762030000000005</v>
      </c>
      <c r="F2024" t="s">
        <v>55</v>
      </c>
      <c r="G2024">
        <v>-338.27839999999998</v>
      </c>
      <c r="H2024" s="1">
        <v>2.9458939999999999E-6</v>
      </c>
      <c r="I2024">
        <v>212.84719999999999</v>
      </c>
      <c r="J2024">
        <v>-360.39240000000001</v>
      </c>
      <c r="K2024">
        <v>1.102975</v>
      </c>
      <c r="L2024">
        <v>214.92179999999999</v>
      </c>
      <c r="M2024">
        <v>0.99971600000000005</v>
      </c>
      <c r="N2024">
        <v>0</v>
      </c>
      <c r="O2024">
        <v>2.176498E-2</v>
      </c>
      <c r="P2024">
        <v>0.99966820000000001</v>
      </c>
      <c r="Q2024">
        <v>2.349977E-2</v>
      </c>
      <c r="R2024">
        <v>1.0565700000000001E-2</v>
      </c>
      <c r="S2024">
        <v>3.0086059999999999</v>
      </c>
      <c r="T2024">
        <v>-0.14566760000000001</v>
      </c>
      <c r="U2024">
        <v>-0.27207949999999997</v>
      </c>
      <c r="V2024">
        <v>1.119361E-2</v>
      </c>
      <c r="W2024">
        <v>3.3214010000000002E-2</v>
      </c>
      <c r="X2024">
        <v>0.99938559999999999</v>
      </c>
      <c r="Y2024">
        <v>0.1115674</v>
      </c>
      <c r="Z2024">
        <v>-3.7450909999999999E-3</v>
      </c>
      <c r="AA2024">
        <v>0.99374980000000002</v>
      </c>
      <c r="AB2024">
        <v>64</v>
      </c>
      <c r="AC2024">
        <v>22.114000000000001</v>
      </c>
      <c r="AD2024">
        <v>-1.102972054106</v>
      </c>
      <c r="AE2024">
        <v>-2.0746000000000002</v>
      </c>
      <c r="AF2024">
        <v>2.5491557942693399</v>
      </c>
      <c r="AG2024">
        <v>-1.102972054106</v>
      </c>
      <c r="AH2024">
        <v>22.009330785425</v>
      </c>
      <c r="AI2024">
        <v>92.849891667650198</v>
      </c>
      <c r="AJ2024">
        <v>83.393348448071094</v>
      </c>
      <c r="AK2024">
        <v>22.1838992117674</v>
      </c>
      <c r="AL2024">
        <v>88.096627382133704</v>
      </c>
      <c r="AM2024">
        <v>89.358285937539705</v>
      </c>
      <c r="AN2024">
        <v>1.00000002242623</v>
      </c>
    </row>
    <row r="2025" spans="1:40" x14ac:dyDescent="0.3">
      <c r="A2025" t="str">
        <f>"20200111153914422"</f>
        <v>20200111153914422</v>
      </c>
      <c r="B2025" t="str">
        <f>"1578728354412540"</f>
        <v>1578728354412540</v>
      </c>
      <c r="C2025" t="s">
        <v>40</v>
      </c>
      <c r="D2025">
        <v>5.4425629999999998</v>
      </c>
      <c r="E2025">
        <v>0.53727069999999999</v>
      </c>
      <c r="F2025" t="s">
        <v>41</v>
      </c>
      <c r="G2025">
        <v>-359.24180000000001</v>
      </c>
      <c r="H2025">
        <v>1.043331</v>
      </c>
      <c r="I2025">
        <v>214.81790000000001</v>
      </c>
      <c r="J2025">
        <v>-359.76069999999999</v>
      </c>
      <c r="K2025">
        <v>1.10301</v>
      </c>
      <c r="L2025">
        <v>214.93549999999999</v>
      </c>
      <c r="M2025">
        <v>0.99971100000000002</v>
      </c>
      <c r="N2025">
        <v>0</v>
      </c>
      <c r="O2025">
        <v>2.1766629999999999E-2</v>
      </c>
      <c r="P2025">
        <v>0.99976240000000005</v>
      </c>
      <c r="Q2025">
        <v>1.9968369999999999E-2</v>
      </c>
      <c r="R2025">
        <v>8.7660930000000008E-3</v>
      </c>
      <c r="S2025">
        <v>3.0075379999999998</v>
      </c>
      <c r="T2025">
        <v>-0.15592710000000001</v>
      </c>
      <c r="U2025">
        <v>-0.27122499999999999</v>
      </c>
      <c r="V2025">
        <v>1.2997109999999999E-2</v>
      </c>
      <c r="W2025">
        <v>3.0167599999999999E-2</v>
      </c>
      <c r="X2025">
        <v>0.99946029999999997</v>
      </c>
      <c r="Y2025">
        <v>0.11129840000000001</v>
      </c>
      <c r="Z2025">
        <v>-4.0031240000000003E-3</v>
      </c>
      <c r="AA2025">
        <v>0.99377890000000002</v>
      </c>
      <c r="AB2025">
        <v>64</v>
      </c>
      <c r="AC2025">
        <v>0.51889999999997305</v>
      </c>
      <c r="AD2025">
        <v>-5.9679000000000003E-2</v>
      </c>
      <c r="AE2025">
        <v>-0.117599999999981</v>
      </c>
      <c r="AF2025">
        <v>0.12726626113850301</v>
      </c>
      <c r="AG2025">
        <v>-5.9679000000000003E-2</v>
      </c>
      <c r="AH2025">
        <v>0.509803207060882</v>
      </c>
      <c r="AI2025">
        <v>96.479731694498</v>
      </c>
      <c r="AJ2025">
        <v>75.983278342742693</v>
      </c>
      <c r="AK2025">
        <v>0.52882662016461901</v>
      </c>
      <c r="AL2025">
        <v>88.271261471829206</v>
      </c>
      <c r="AM2025">
        <v>89.254960325891204</v>
      </c>
      <c r="AN2025">
        <v>0.99999995011709897</v>
      </c>
    </row>
    <row r="2026" spans="1:40" x14ac:dyDescent="0.3">
      <c r="A2026" t="str">
        <f>"20200111153914444"</f>
        <v>20200111153914444</v>
      </c>
      <c r="B2026" t="str">
        <f>"1578728354433038"</f>
        <v>1578728354433038</v>
      </c>
      <c r="C2026" t="s">
        <v>40</v>
      </c>
      <c r="D2026">
        <v>5.4891019999999999</v>
      </c>
      <c r="E2026">
        <v>0.53688809999999998</v>
      </c>
      <c r="F2026" t="s">
        <v>41</v>
      </c>
      <c r="G2026">
        <v>-358.66789999999997</v>
      </c>
      <c r="H2026">
        <v>1.0434049999999999</v>
      </c>
      <c r="I2026">
        <v>214.8356</v>
      </c>
      <c r="J2026">
        <v>-359.1112</v>
      </c>
      <c r="K2026">
        <v>1.103037</v>
      </c>
      <c r="L2026">
        <v>214.94970000000001</v>
      </c>
      <c r="M2026">
        <v>0.9997066</v>
      </c>
      <c r="N2026">
        <v>0</v>
      </c>
      <c r="O2026">
        <v>2.1768889999999999E-2</v>
      </c>
      <c r="P2026">
        <v>0.99980029999999998</v>
      </c>
      <c r="Q2026">
        <v>1.863275E-2</v>
      </c>
      <c r="R2026">
        <v>7.2686349999999999E-3</v>
      </c>
      <c r="S2026">
        <v>3.0063780000000002</v>
      </c>
      <c r="T2026">
        <v>-0.16401559999999901</v>
      </c>
      <c r="U2026">
        <v>-0.27442929999999999</v>
      </c>
      <c r="V2026">
        <v>1.449783E-2</v>
      </c>
      <c r="W2026">
        <v>2.926964E-2</v>
      </c>
      <c r="X2026">
        <v>0.99946639999999998</v>
      </c>
      <c r="Y2026">
        <v>0.1123649</v>
      </c>
      <c r="Z2026">
        <v>-4.2410390000000003E-3</v>
      </c>
      <c r="AA2026">
        <v>0.99365789999999998</v>
      </c>
      <c r="AB2026">
        <v>64</v>
      </c>
      <c r="AC2026">
        <v>0.44330000000002201</v>
      </c>
      <c r="AD2026">
        <v>-5.9632000000000102E-2</v>
      </c>
      <c r="AE2026">
        <v>-0.114100000000007</v>
      </c>
      <c r="AF2026">
        <v>0.121658989504524</v>
      </c>
      <c r="AG2026">
        <v>-5.9632000000000102E-2</v>
      </c>
      <c r="AH2026">
        <v>0.43335651864866498</v>
      </c>
      <c r="AI2026">
        <v>97.546782401459296</v>
      </c>
      <c r="AJ2026">
        <v>74.318630862932494</v>
      </c>
      <c r="AK2026">
        <v>0.45404268236208001</v>
      </c>
      <c r="AL2026">
        <v>88.322733599250398</v>
      </c>
      <c r="AM2026">
        <v>89.168950333916598</v>
      </c>
      <c r="AN2026">
        <v>0.99999999181469901</v>
      </c>
    </row>
    <row r="2027" spans="1:40" x14ac:dyDescent="0.3">
      <c r="A2027" t="str">
        <f>"20200111153914466"</f>
        <v>20200111153914466</v>
      </c>
      <c r="B2027" t="str">
        <f>"1578728354462822"</f>
        <v>1578728354462822</v>
      </c>
      <c r="C2027" t="s">
        <v>40</v>
      </c>
      <c r="D2027">
        <v>5.612603</v>
      </c>
      <c r="E2027">
        <v>0.56182180000000004</v>
      </c>
      <c r="F2027" t="s">
        <v>41</v>
      </c>
      <c r="G2027">
        <v>-358.09210000000002</v>
      </c>
      <c r="H2027">
        <v>1.046278</v>
      </c>
      <c r="I2027">
        <v>214.85599999999999</v>
      </c>
      <c r="J2027">
        <v>-358.47969999999998</v>
      </c>
      <c r="K2027">
        <v>1.103065</v>
      </c>
      <c r="L2027">
        <v>214.96340000000001</v>
      </c>
      <c r="M2027">
        <v>0.99970250000000005</v>
      </c>
      <c r="N2027">
        <v>0</v>
      </c>
      <c r="O2027">
        <v>2.176906E-2</v>
      </c>
      <c r="P2027">
        <v>0.99977309999999997</v>
      </c>
      <c r="Q2027">
        <v>2.0352760000000001E-2</v>
      </c>
      <c r="R2027">
        <v>6.2863099999999998E-3</v>
      </c>
      <c r="S2027">
        <v>3.005798</v>
      </c>
      <c r="T2027">
        <v>-0.16747819999999999</v>
      </c>
      <c r="U2027">
        <v>-0.27578740000000002</v>
      </c>
      <c r="V2027">
        <v>1.5480300000000001E-2</v>
      </c>
      <c r="W2027">
        <v>3.1363420000000003E-2</v>
      </c>
      <c r="X2027">
        <v>0.99938819999999995</v>
      </c>
      <c r="Y2027">
        <v>0.1128186</v>
      </c>
      <c r="Z2027">
        <v>-4.3437969999999999E-3</v>
      </c>
      <c r="AA2027">
        <v>0.99360610000000005</v>
      </c>
      <c r="AB2027">
        <v>64</v>
      </c>
      <c r="AC2027">
        <v>0.38759999999996297</v>
      </c>
      <c r="AD2027">
        <v>-5.67869999999999E-2</v>
      </c>
      <c r="AE2027">
        <v>-0.107400000000012</v>
      </c>
      <c r="AF2027">
        <v>0.113549205391149</v>
      </c>
      <c r="AG2027">
        <v>-5.67869999999999E-2</v>
      </c>
      <c r="AH2027">
        <v>0.37764192243217298</v>
      </c>
      <c r="AI2027">
        <v>98.194480734630801</v>
      </c>
      <c r="AJ2027">
        <v>73.265041657221602</v>
      </c>
      <c r="AK2027">
        <v>0.39841135399512501</v>
      </c>
      <c r="AL2027">
        <v>88.202713736604096</v>
      </c>
      <c r="AM2027">
        <v>89.1125721425432</v>
      </c>
      <c r="AN2027">
        <v>1.00000003905071</v>
      </c>
    </row>
    <row r="2028" spans="1:40" x14ac:dyDescent="0.3">
      <c r="A2028" t="str">
        <f>"20200111153914488"</f>
        <v>20200111153914488</v>
      </c>
      <c r="B2028" t="str">
        <f>"1578728354482343"</f>
        <v>1578728354482343</v>
      </c>
      <c r="C2028" t="s">
        <v>40</v>
      </c>
      <c r="D2028">
        <v>5.565124</v>
      </c>
      <c r="E2028">
        <v>0.56775850000000005</v>
      </c>
      <c r="F2028" t="s">
        <v>55</v>
      </c>
      <c r="G2028">
        <v>-333.34120000000001</v>
      </c>
      <c r="H2028" s="1">
        <v>4.0041589999999998E-7</v>
      </c>
      <c r="I2028">
        <v>210.9753</v>
      </c>
      <c r="J2028">
        <v>-357.86059999999998</v>
      </c>
      <c r="K2028">
        <v>1.1030789999999999</v>
      </c>
      <c r="L2028">
        <v>214.9769</v>
      </c>
      <c r="M2028">
        <v>0.999699</v>
      </c>
      <c r="N2028">
        <v>0</v>
      </c>
      <c r="O2028">
        <v>2.1758079999999999E-2</v>
      </c>
      <c r="P2028">
        <v>0.99969419999999998</v>
      </c>
      <c r="Q2028">
        <v>2.4025600000000001E-2</v>
      </c>
      <c r="R2028">
        <v>5.8837730000000001E-3</v>
      </c>
      <c r="S2028">
        <v>3.0064090000000001</v>
      </c>
      <c r="T2028">
        <v>-0.1319197</v>
      </c>
      <c r="U2028">
        <v>-0.47695920000000003</v>
      </c>
      <c r="V2028">
        <v>1.5870820000000001E-2</v>
      </c>
      <c r="W2028">
        <v>3.5357560000000003E-2</v>
      </c>
      <c r="X2028">
        <v>0.99924869999999999</v>
      </c>
      <c r="Y2028">
        <v>0.1779539</v>
      </c>
      <c r="Z2028">
        <v>-4.8269360000000004E-3</v>
      </c>
      <c r="AA2028">
        <v>0.98402699999999999</v>
      </c>
      <c r="AB2028">
        <v>64</v>
      </c>
      <c r="AC2028">
        <v>24.519399999999901</v>
      </c>
      <c r="AD2028">
        <v>-1.1030785995840999</v>
      </c>
      <c r="AE2028">
        <v>-4.0015999999999901</v>
      </c>
      <c r="AF2028">
        <v>4.5252607536699099</v>
      </c>
      <c r="AG2028">
        <v>-1.1030785995840999</v>
      </c>
      <c r="AH2028">
        <v>24.378461942971501</v>
      </c>
      <c r="AI2028">
        <v>92.547301453630695</v>
      </c>
      <c r="AJ2028">
        <v>79.484141010873401</v>
      </c>
      <c r="AK2028">
        <v>24.819431379273698</v>
      </c>
      <c r="AL2028">
        <v>87.9737387021584</v>
      </c>
      <c r="AM2028">
        <v>89.090061811624807</v>
      </c>
      <c r="AN2028">
        <v>1.00000000221415</v>
      </c>
    </row>
    <row r="2029" spans="1:40" x14ac:dyDescent="0.3">
      <c r="A2029" t="str">
        <f>"20200111153914511"</f>
        <v>20200111153914511</v>
      </c>
      <c r="B2029" t="str">
        <f>"1578728354502839"</f>
        <v>1578728354502839</v>
      </c>
      <c r="C2029" t="s">
        <v>40</v>
      </c>
      <c r="D2029">
        <v>5.6617290000000002</v>
      </c>
      <c r="E2029">
        <v>0.56815879999999996</v>
      </c>
      <c r="F2029" t="s">
        <v>55</v>
      </c>
      <c r="G2029">
        <v>-330.87650000000002</v>
      </c>
      <c r="H2029" s="1">
        <v>-8.7999959999999997E-7</v>
      </c>
      <c r="I2029">
        <v>210.26159999999999</v>
      </c>
      <c r="J2029">
        <v>-357.19880000000001</v>
      </c>
      <c r="K2029">
        <v>1.1030770000000001</v>
      </c>
      <c r="L2029">
        <v>214.9913</v>
      </c>
      <c r="M2029">
        <v>0.99969629999999998</v>
      </c>
      <c r="N2029">
        <v>0</v>
      </c>
      <c r="O2029">
        <v>2.1722519999999999E-2</v>
      </c>
      <c r="P2029">
        <v>0.99962669999999998</v>
      </c>
      <c r="Q2029">
        <v>2.6727239999999999E-2</v>
      </c>
      <c r="R2029">
        <v>5.6971579999999999E-3</v>
      </c>
      <c r="S2029">
        <v>3.0069889999999999</v>
      </c>
      <c r="T2029">
        <v>-0.1229224</v>
      </c>
      <c r="U2029">
        <v>-0.52545169999999997</v>
      </c>
      <c r="V2029">
        <v>1.6022080000000001E-2</v>
      </c>
      <c r="W2029">
        <v>3.8360539999999999E-2</v>
      </c>
      <c r="X2029">
        <v>0.99913549999999995</v>
      </c>
      <c r="Y2029">
        <v>0.19331980000000001</v>
      </c>
      <c r="Z2029">
        <v>-4.8014190000000003E-3</v>
      </c>
      <c r="AA2029">
        <v>0.981124</v>
      </c>
      <c r="AB2029">
        <v>64</v>
      </c>
      <c r="AC2029">
        <v>26.322299999999899</v>
      </c>
      <c r="AD2029">
        <v>-1.1030778799995999</v>
      </c>
      <c r="AE2029">
        <v>-4.7297000000000002</v>
      </c>
      <c r="AF2029">
        <v>5.2914073030387803</v>
      </c>
      <c r="AG2029">
        <v>-1.1030778799995999</v>
      </c>
      <c r="AH2029">
        <v>26.168820809330601</v>
      </c>
      <c r="AI2029">
        <v>92.365898706064002</v>
      </c>
      <c r="AJ2029">
        <v>78.568765459389695</v>
      </c>
      <c r="AK2029">
        <v>26.721207955608001</v>
      </c>
      <c r="AL2029">
        <v>87.801563539262304</v>
      </c>
      <c r="AM2029">
        <v>89.081286885493896</v>
      </c>
      <c r="AN2029">
        <v>0.99999999271843398</v>
      </c>
    </row>
    <row r="2030" spans="1:40" x14ac:dyDescent="0.3">
      <c r="A2030" t="str">
        <f>"20200111153914534"</f>
        <v>20200111153914534</v>
      </c>
      <c r="B2030" t="str">
        <f>"1578728354522358"</f>
        <v>1578728354522358</v>
      </c>
      <c r="C2030" t="s">
        <v>40</v>
      </c>
      <c r="D2030">
        <v>5.6284700000000001</v>
      </c>
      <c r="E2030">
        <v>0.56826599999999905</v>
      </c>
      <c r="F2030" t="s">
        <v>55</v>
      </c>
      <c r="G2030">
        <v>-332.59559999999999</v>
      </c>
      <c r="H2030" s="1">
        <v>1.7132189999999999E-8</v>
      </c>
      <c r="I2030">
        <v>210.6653</v>
      </c>
      <c r="J2030">
        <v>-356.55509999999998</v>
      </c>
      <c r="K2030">
        <v>1.103059</v>
      </c>
      <c r="L2030">
        <v>215.0052</v>
      </c>
      <c r="M2030">
        <v>0.99969490000000005</v>
      </c>
      <c r="N2030">
        <v>0</v>
      </c>
      <c r="O2030">
        <v>2.1655520000000001E-2</v>
      </c>
      <c r="P2030">
        <v>0.99961659999999997</v>
      </c>
      <c r="Q2030">
        <v>2.706809E-2</v>
      </c>
      <c r="R2030">
        <v>5.8484690000000002E-3</v>
      </c>
      <c r="S2030">
        <v>3.0077210000000001</v>
      </c>
      <c r="T2030">
        <v>-0.13485</v>
      </c>
      <c r="U2030">
        <v>-0.52883910000000001</v>
      </c>
      <c r="V2030">
        <v>1.5806690000000002E-2</v>
      </c>
      <c r="W2030">
        <v>3.8957100000000001E-2</v>
      </c>
      <c r="X2030">
        <v>0.99911589999999995</v>
      </c>
      <c r="Y2030">
        <v>0.19424939999999999</v>
      </c>
      <c r="Z2030">
        <v>-5.2828040000000003E-3</v>
      </c>
      <c r="AA2030">
        <v>0.98093799999999998</v>
      </c>
      <c r="AB2030">
        <v>64</v>
      </c>
      <c r="AC2030">
        <v>23.959499999999899</v>
      </c>
      <c r="AD2030">
        <v>-1.1030589828678099</v>
      </c>
      <c r="AE2030">
        <v>-4.3399000000000001</v>
      </c>
      <c r="AF2030">
        <v>4.84782541479274</v>
      </c>
      <c r="AG2030">
        <v>-1.1030589828678099</v>
      </c>
      <c r="AH2030">
        <v>23.811025877365001</v>
      </c>
      <c r="AI2030">
        <v>92.599116486934406</v>
      </c>
      <c r="AJ2030">
        <v>78.492103771173603</v>
      </c>
      <c r="AK2030">
        <v>24.324537070714101</v>
      </c>
      <c r="AL2030">
        <v>87.767357713613293</v>
      </c>
      <c r="AM2030">
        <v>89.093617590981495</v>
      </c>
      <c r="AN2030">
        <v>1.00000004436098</v>
      </c>
    </row>
    <row r="2031" spans="1:40" x14ac:dyDescent="0.3">
      <c r="A2031" t="str">
        <f>"20200111153914557"</f>
        <v>20200111153914557</v>
      </c>
      <c r="B2031" t="str">
        <f>"1578728354552615"</f>
        <v>1578728354552615</v>
      </c>
      <c r="C2031" t="s">
        <v>40</v>
      </c>
      <c r="D2031">
        <v>5.6429780000000003</v>
      </c>
      <c r="E2031">
        <v>0.56909609999999899</v>
      </c>
      <c r="F2031" t="s">
        <v>55</v>
      </c>
      <c r="G2031">
        <v>-334.79020000000003</v>
      </c>
      <c r="H2031" s="1">
        <v>1.1624540000000001E-6</v>
      </c>
      <c r="I2031">
        <v>211.18119999999999</v>
      </c>
      <c r="J2031">
        <v>-355.89659999999998</v>
      </c>
      <c r="K2031">
        <v>1.10301</v>
      </c>
      <c r="L2031">
        <v>215.01939999999999</v>
      </c>
      <c r="M2031">
        <v>0.99969439999999998</v>
      </c>
      <c r="N2031">
        <v>0</v>
      </c>
      <c r="O2031">
        <v>2.1541569999999999E-2</v>
      </c>
      <c r="P2031">
        <v>0.99962779999999996</v>
      </c>
      <c r="Q2031">
        <v>2.669933E-2</v>
      </c>
      <c r="R2031">
        <v>5.606977E-3</v>
      </c>
      <c r="S2031">
        <v>3.0083920000000002</v>
      </c>
      <c r="T2031">
        <v>-0.1524665</v>
      </c>
      <c r="U2031">
        <v>-0.52856449999999999</v>
      </c>
      <c r="V2031">
        <v>1.5938399999999998E-2</v>
      </c>
      <c r="W2031">
        <v>3.881416E-2</v>
      </c>
      <c r="X2031">
        <v>0.99911930000000004</v>
      </c>
      <c r="Y2031">
        <v>0.1939555</v>
      </c>
      <c r="Z2031">
        <v>-5.9577419999999898E-3</v>
      </c>
      <c r="AA2031">
        <v>0.98099230000000004</v>
      </c>
      <c r="AB2031">
        <v>64</v>
      </c>
      <c r="AC2031">
        <v>21.106399999999901</v>
      </c>
      <c r="AD2031">
        <v>-1.1030088375460001</v>
      </c>
      <c r="AE2031">
        <v>-3.8382000000000001</v>
      </c>
      <c r="AF2031">
        <v>4.2806911082979902</v>
      </c>
      <c r="AG2031">
        <v>-1.1030088375460001</v>
      </c>
      <c r="AH2031">
        <v>20.963395285115499</v>
      </c>
      <c r="AI2031">
        <v>92.951107378243194</v>
      </c>
      <c r="AJ2031">
        <v>78.458958472510403</v>
      </c>
      <c r="AK2031">
        <v>21.4243993320786</v>
      </c>
      <c r="AL2031">
        <v>87.775553613486807</v>
      </c>
      <c r="AM2031">
        <v>89.086069501558498</v>
      </c>
      <c r="AN2031">
        <v>0.99999997362177695</v>
      </c>
    </row>
    <row r="2032" spans="1:40" x14ac:dyDescent="0.3">
      <c r="A2032" t="str">
        <f>"20200111153914577"</f>
        <v>20200111153914577</v>
      </c>
      <c r="B2032" t="str">
        <f>"1578728354572632"</f>
        <v>1578728354572632</v>
      </c>
      <c r="C2032" t="s">
        <v>40</v>
      </c>
      <c r="D2032">
        <v>5.6199560000000002</v>
      </c>
      <c r="E2032">
        <v>0.56950659999999997</v>
      </c>
      <c r="F2032" t="s">
        <v>55</v>
      </c>
      <c r="G2032">
        <v>-336.3836</v>
      </c>
      <c r="H2032" s="1">
        <v>1.994563E-6</v>
      </c>
      <c r="I2032">
        <v>211.54400000000001</v>
      </c>
      <c r="J2032">
        <v>-355.30500000000001</v>
      </c>
      <c r="K2032">
        <v>1.102943</v>
      </c>
      <c r="L2032">
        <v>215.03200000000001</v>
      </c>
      <c r="M2032">
        <v>0.99969549999999996</v>
      </c>
      <c r="N2032">
        <v>0</v>
      </c>
      <c r="O2032">
        <v>2.139048E-2</v>
      </c>
      <c r="P2032">
        <v>0.99967320000000004</v>
      </c>
      <c r="Q2032">
        <v>2.509575E-2</v>
      </c>
      <c r="R2032">
        <v>4.8741540000000003E-3</v>
      </c>
      <c r="S2032">
        <v>3.008667</v>
      </c>
      <c r="T2032">
        <v>-0.17007069999999999</v>
      </c>
      <c r="U2032">
        <v>-0.53585819999999995</v>
      </c>
      <c r="V2032">
        <v>1.6524830000000001E-2</v>
      </c>
      <c r="W2032">
        <v>3.7388020000000001E-2</v>
      </c>
      <c r="X2032">
        <v>0.99916419999999995</v>
      </c>
      <c r="Y2032">
        <v>0.19602929999999999</v>
      </c>
      <c r="Z2032">
        <v>-6.6922809999999996E-3</v>
      </c>
      <c r="AA2032">
        <v>0.98057519999999998</v>
      </c>
      <c r="AB2032">
        <v>64</v>
      </c>
      <c r="AC2032">
        <v>18.921399999999998</v>
      </c>
      <c r="AD2032">
        <v>-1.1029410054369999</v>
      </c>
      <c r="AE2032">
        <v>-3.4879999999999902</v>
      </c>
      <c r="AF2032">
        <v>3.8792226357727402</v>
      </c>
      <c r="AG2032">
        <v>-1.1029410054369999</v>
      </c>
      <c r="AH2032">
        <v>18.780738435501998</v>
      </c>
      <c r="AI2032">
        <v>93.291636333924501</v>
      </c>
      <c r="AJ2032">
        <v>78.329494206816193</v>
      </c>
      <c r="AK2032">
        <v>19.208877721046299</v>
      </c>
      <c r="AL2032">
        <v>87.857324891990302</v>
      </c>
      <c r="AM2032">
        <v>89.052491367358897</v>
      </c>
      <c r="AN2032">
        <v>1.0000000163038401</v>
      </c>
    </row>
    <row r="2033" spans="1:40" x14ac:dyDescent="0.3">
      <c r="A2033" t="str">
        <f>"20200111153914600"</f>
        <v>20200111153914600</v>
      </c>
      <c r="B2033" t="str">
        <f>"1578728354593125"</f>
        <v>1578728354593125</v>
      </c>
      <c r="C2033" t="s">
        <v>40</v>
      </c>
      <c r="D2033">
        <v>5.647316</v>
      </c>
      <c r="E2033">
        <v>0.57006800000000002</v>
      </c>
      <c r="F2033" t="s">
        <v>55</v>
      </c>
      <c r="G2033">
        <v>-337.08240000000001</v>
      </c>
      <c r="H2033" s="1">
        <v>2.357398E-6</v>
      </c>
      <c r="I2033">
        <v>211.75049999999999</v>
      </c>
      <c r="J2033">
        <v>-354.6404</v>
      </c>
      <c r="K2033">
        <v>1.1028530000000001</v>
      </c>
      <c r="L2033">
        <v>215.0461</v>
      </c>
      <c r="M2033">
        <v>0.99969799999999998</v>
      </c>
      <c r="N2033">
        <v>0</v>
      </c>
      <c r="O2033">
        <v>2.1164820000000001E-2</v>
      </c>
      <c r="P2033">
        <v>0.99971460000000001</v>
      </c>
      <c r="Q2033">
        <v>2.351721E-2</v>
      </c>
      <c r="R2033">
        <v>4.2288730000000002E-3</v>
      </c>
      <c r="S2033">
        <v>3.0081790000000002</v>
      </c>
      <c r="T2033">
        <v>-0.18207319999999999</v>
      </c>
      <c r="U2033">
        <v>-0.54171749999999996</v>
      </c>
      <c r="V2033">
        <v>1.694963E-2</v>
      </c>
      <c r="W2033">
        <v>3.5982300000000002E-2</v>
      </c>
      <c r="X2033">
        <v>0.99920869999999995</v>
      </c>
      <c r="Y2033">
        <v>0.19763420000000001</v>
      </c>
      <c r="Z2033">
        <v>-7.1982929999999997E-3</v>
      </c>
      <c r="AA2033">
        <v>0.98024940000000005</v>
      </c>
      <c r="AB2033">
        <v>64</v>
      </c>
      <c r="AC2033">
        <v>17.5579999999999</v>
      </c>
      <c r="AD2033">
        <v>-1.1028506426019999</v>
      </c>
      <c r="AE2033">
        <v>-3.2955999999999999</v>
      </c>
      <c r="AF2033">
        <v>3.6525823365910499</v>
      </c>
      <c r="AG2033">
        <v>-1.1028506426019999</v>
      </c>
      <c r="AH2033">
        <v>17.417929331166199</v>
      </c>
      <c r="AI2033">
        <v>93.546032708909806</v>
      </c>
      <c r="AJ2033">
        <v>78.156550509878699</v>
      </c>
      <c r="AK2033">
        <v>17.8309253672086</v>
      </c>
      <c r="AL2033">
        <v>87.937920981634804</v>
      </c>
      <c r="AM2033">
        <v>89.028181868088396</v>
      </c>
      <c r="AN2033">
        <v>1.00000002101305</v>
      </c>
    </row>
    <row r="2034" spans="1:40" x14ac:dyDescent="0.3">
      <c r="A2034" t="str">
        <f>"20200111153914622"</f>
        <v>20200111153914622</v>
      </c>
      <c r="B2034" t="str">
        <f>"1578728354612646"</f>
        <v>1578728354612646</v>
      </c>
      <c r="C2034" t="s">
        <v>40</v>
      </c>
      <c r="D2034">
        <v>5.6396839999999999</v>
      </c>
      <c r="E2034">
        <v>0.57048089999999996</v>
      </c>
      <c r="F2034" t="s">
        <v>55</v>
      </c>
      <c r="G2034">
        <v>-337.50569999999999</v>
      </c>
      <c r="H2034" s="1">
        <v>2.5751219999999999E-6</v>
      </c>
      <c r="I2034">
        <v>211.9229</v>
      </c>
      <c r="J2034">
        <v>-354.00699999999898</v>
      </c>
      <c r="K2034">
        <v>1.1027819999999999</v>
      </c>
      <c r="L2034">
        <v>215.05930000000001</v>
      </c>
      <c r="M2034">
        <v>0.99970199999999998</v>
      </c>
      <c r="N2034">
        <v>0</v>
      </c>
      <c r="O2034">
        <v>2.0890269999999999E-2</v>
      </c>
      <c r="P2034">
        <v>0.99976149999999997</v>
      </c>
      <c r="Q2034">
        <v>2.1595469999999999E-2</v>
      </c>
      <c r="R2034">
        <v>3.25115E-3</v>
      </c>
      <c r="S2034">
        <v>3.0076900000000002</v>
      </c>
      <c r="T2034">
        <v>-0.1935866</v>
      </c>
      <c r="U2034">
        <v>-0.54823299999999997</v>
      </c>
      <c r="V2034">
        <v>1.765802E-2</v>
      </c>
      <c r="W2034">
        <v>3.4209549999999998E-2</v>
      </c>
      <c r="X2034">
        <v>0.99925870000000006</v>
      </c>
      <c r="Y2034">
        <v>0.19939499999999999</v>
      </c>
      <c r="Z2034">
        <v>-7.6909769999999999E-3</v>
      </c>
      <c r="AA2034">
        <v>0.97988900000000001</v>
      </c>
      <c r="AB2034">
        <v>64</v>
      </c>
      <c r="AC2034">
        <v>16.501299999999901</v>
      </c>
      <c r="AD2034">
        <v>-1.1027794248779901</v>
      </c>
      <c r="AE2034">
        <v>-3.1364000000000001</v>
      </c>
      <c r="AF2034">
        <v>3.4655214080494301</v>
      </c>
      <c r="AG2034">
        <v>-1.1027794248779901</v>
      </c>
      <c r="AH2034">
        <v>16.361645990165201</v>
      </c>
      <c r="AI2034">
        <v>93.772476229254195</v>
      </c>
      <c r="AJ2034">
        <v>78.041062136104998</v>
      </c>
      <c r="AK2034">
        <v>16.760949274938898</v>
      </c>
      <c r="AL2034">
        <v>88.039554703977899</v>
      </c>
      <c r="AM2034">
        <v>88.987624796438496</v>
      </c>
      <c r="AN2034">
        <v>1.0000000242536</v>
      </c>
    </row>
    <row r="2035" spans="1:40" x14ac:dyDescent="0.3">
      <c r="A2035" t="str">
        <f>"20200111153914644"</f>
        <v>20200111153914644</v>
      </c>
      <c r="B2035" t="str">
        <f>"1578728354633144"</f>
        <v>1578728354633144</v>
      </c>
      <c r="C2035" t="s">
        <v>40</v>
      </c>
      <c r="D2035">
        <v>5.6911319999999996</v>
      </c>
      <c r="E2035">
        <v>0.57099639999999996</v>
      </c>
      <c r="F2035" t="s">
        <v>55</v>
      </c>
      <c r="G2035">
        <v>-337.54050000000001</v>
      </c>
      <c r="H2035" s="1">
        <v>2.5894269999999998E-6</v>
      </c>
      <c r="I2035">
        <v>212.01929999999999</v>
      </c>
      <c r="J2035">
        <v>-353.36540000000002</v>
      </c>
      <c r="K2035">
        <v>1.102589</v>
      </c>
      <c r="L2035">
        <v>215.07259999999999</v>
      </c>
      <c r="M2035">
        <v>0.99971330000000003</v>
      </c>
      <c r="N2035">
        <v>0</v>
      </c>
      <c r="O2035">
        <v>2.0552890000000001E-2</v>
      </c>
      <c r="P2035">
        <v>0.99977130000000003</v>
      </c>
      <c r="Q2035">
        <v>2.1244039999999999E-2</v>
      </c>
      <c r="R2035">
        <v>2.4696100000000001E-3</v>
      </c>
      <c r="S2035">
        <v>3.006866</v>
      </c>
      <c r="T2035">
        <v>-0.20137360000000001</v>
      </c>
      <c r="U2035">
        <v>-0.55513000000000001</v>
      </c>
      <c r="V2035">
        <v>1.8106199999999999E-2</v>
      </c>
      <c r="W2035">
        <v>3.3518060000000002E-2</v>
      </c>
      <c r="X2035">
        <v>0.99927410000000005</v>
      </c>
      <c r="Y2035">
        <v>0.20124619999999999</v>
      </c>
      <c r="Z2035">
        <v>-8.0391999999999998E-3</v>
      </c>
      <c r="AA2035">
        <v>0.97950769999999998</v>
      </c>
      <c r="AB2035">
        <v>64</v>
      </c>
      <c r="AC2035">
        <v>15.8249</v>
      </c>
      <c r="AD2035">
        <v>-1.1025864105730001</v>
      </c>
      <c r="AE2035">
        <v>-3.0533000000000001</v>
      </c>
      <c r="AF2035">
        <v>3.36219100381946</v>
      </c>
      <c r="AG2035">
        <v>-1.1025864105730001</v>
      </c>
      <c r="AH2035">
        <v>15.685386268236799</v>
      </c>
      <c r="AI2035">
        <v>93.9319028203534</v>
      </c>
      <c r="AJ2035">
        <v>77.901621992478795</v>
      </c>
      <c r="AK2035">
        <v>16.079532565430299</v>
      </c>
      <c r="AL2035">
        <v>88.079196873190398</v>
      </c>
      <c r="AM2035">
        <v>88.961951145851501</v>
      </c>
      <c r="AN2035">
        <v>1.0000000108777001</v>
      </c>
    </row>
    <row r="2036" spans="1:40" x14ac:dyDescent="0.3">
      <c r="A2036" t="str">
        <f>"20200111153914668"</f>
        <v>20200111153914668</v>
      </c>
      <c r="B2036" t="str">
        <f>"1578728354663397"</f>
        <v>1578728354663397</v>
      </c>
      <c r="C2036" t="s">
        <v>40</v>
      </c>
      <c r="D2036">
        <v>5.6828919999999998</v>
      </c>
      <c r="E2036">
        <v>0.57172719999999999</v>
      </c>
      <c r="F2036" t="s">
        <v>55</v>
      </c>
      <c r="G2036">
        <v>-337.18799999999999</v>
      </c>
      <c r="H2036" s="1">
        <v>2.400466E-6</v>
      </c>
      <c r="I2036">
        <v>212.05070000000001</v>
      </c>
      <c r="J2036">
        <v>-352.71170000000001</v>
      </c>
      <c r="K2036">
        <v>1.102244</v>
      </c>
      <c r="L2036">
        <v>215.08590000000001</v>
      </c>
      <c r="M2036">
        <v>0.99973449999999997</v>
      </c>
      <c r="N2036">
        <v>0</v>
      </c>
      <c r="O2036">
        <v>2.0158479999999999E-2</v>
      </c>
      <c r="P2036">
        <v>0.99974980000000002</v>
      </c>
      <c r="Q2036">
        <v>2.231576E-2</v>
      </c>
      <c r="R2036">
        <v>1.60782E-3</v>
      </c>
      <c r="S2036">
        <v>3.0064389999999999</v>
      </c>
      <c r="T2036">
        <v>-0.20490720000000001</v>
      </c>
      <c r="U2036">
        <v>-0.56159969999999904</v>
      </c>
      <c r="V2036">
        <v>1.8575879999999999E-2</v>
      </c>
      <c r="W2036">
        <v>3.3470399999999997E-2</v>
      </c>
      <c r="X2036">
        <v>0.99926700000000002</v>
      </c>
      <c r="Y2036">
        <v>0.2029019</v>
      </c>
      <c r="Z2036">
        <v>-8.2087289999999997E-3</v>
      </c>
      <c r="AA2036">
        <v>0.9791647</v>
      </c>
      <c r="AB2036">
        <v>64</v>
      </c>
      <c r="AC2036">
        <v>15.5236999999999</v>
      </c>
      <c r="AD2036">
        <v>-1.102241599534</v>
      </c>
      <c r="AE2036">
        <v>-3.0352000000000001</v>
      </c>
      <c r="AF2036">
        <v>3.3313600783973598</v>
      </c>
      <c r="AG2036">
        <v>-1.102241599534</v>
      </c>
      <c r="AH2036">
        <v>15.384649902532701</v>
      </c>
      <c r="AI2036">
        <v>94.005467921223897</v>
      </c>
      <c r="AJ2036">
        <v>77.781923428507397</v>
      </c>
      <c r="AK2036">
        <v>15.779744900954</v>
      </c>
      <c r="AL2036">
        <v>88.081928975807699</v>
      </c>
      <c r="AM2036">
        <v>88.935022420151697</v>
      </c>
      <c r="AN2036">
        <v>0.99999993414146504</v>
      </c>
    </row>
    <row r="2037" spans="1:40" x14ac:dyDescent="0.3">
      <c r="A2037" t="str">
        <f>"20200111153914689"</f>
        <v>20200111153914689</v>
      </c>
      <c r="B2037" t="str">
        <f>"1578728354682918"</f>
        <v>1578728354682918</v>
      </c>
      <c r="C2037" t="s">
        <v>40</v>
      </c>
      <c r="D2037">
        <v>5.6702070000000004</v>
      </c>
      <c r="E2037">
        <v>0.572279599999999</v>
      </c>
      <c r="F2037" t="s">
        <v>55</v>
      </c>
      <c r="G2037">
        <v>-336.52620000000002</v>
      </c>
      <c r="H2037" s="1">
        <v>2.0496459999999998E-6</v>
      </c>
      <c r="I2037">
        <v>212.01920000000001</v>
      </c>
      <c r="J2037">
        <v>-352.08370000000002</v>
      </c>
      <c r="K2037">
        <v>1.1019840000000001</v>
      </c>
      <c r="L2037">
        <v>215.0985</v>
      </c>
      <c r="M2037">
        <v>0.99975340000000001</v>
      </c>
      <c r="N2037">
        <v>0</v>
      </c>
      <c r="O2037">
        <v>1.9721490000000001E-2</v>
      </c>
      <c r="P2037">
        <v>0.99972910000000004</v>
      </c>
      <c r="Q2037">
        <v>2.3266490000000001E-2</v>
      </c>
      <c r="R2037">
        <v>7.2101339999999998E-4</v>
      </c>
      <c r="S2037">
        <v>3.006195</v>
      </c>
      <c r="T2037">
        <v>-0.20472290000000001</v>
      </c>
      <c r="U2037">
        <v>-0.56959530000000003</v>
      </c>
      <c r="V2037">
        <v>1.9029109999999998E-2</v>
      </c>
      <c r="W2037">
        <v>3.3457059999999997E-2</v>
      </c>
      <c r="X2037">
        <v>0.99925900000000001</v>
      </c>
      <c r="Y2037">
        <v>0.2050003</v>
      </c>
      <c r="Z2037">
        <v>-8.2412709999999997E-3</v>
      </c>
      <c r="AA2037">
        <v>0.97872720000000002</v>
      </c>
      <c r="AB2037">
        <v>65</v>
      </c>
      <c r="AC2037">
        <v>15.557499999999999</v>
      </c>
      <c r="AD2037">
        <v>-1.101981950354</v>
      </c>
      <c r="AE2037">
        <v>-3.0792999999999799</v>
      </c>
      <c r="AF2037">
        <v>3.3692668195567799</v>
      </c>
      <c r="AG2037">
        <v>-1.101981950354</v>
      </c>
      <c r="AH2037">
        <v>15.4192958405532</v>
      </c>
      <c r="AI2037">
        <v>93.993928028400902</v>
      </c>
      <c r="AJ2037">
        <v>77.674048873035403</v>
      </c>
      <c r="AK2037">
        <v>15.8215361877023</v>
      </c>
      <c r="AL2037">
        <v>88.082693885891501</v>
      </c>
      <c r="AM2037">
        <v>88.909035671399593</v>
      </c>
      <c r="AN2037">
        <v>1.0000000154861099</v>
      </c>
    </row>
    <row r="2038" spans="1:40" x14ac:dyDescent="0.3">
      <c r="A2038" t="str">
        <f>"20200111153914712"</f>
        <v>20200111153914712</v>
      </c>
      <c r="B2038" t="str">
        <f>"1578728354702438"</f>
        <v>1578728354702438</v>
      </c>
      <c r="C2038" t="s">
        <v>40</v>
      </c>
      <c r="D2038">
        <v>5.6742869999999996</v>
      </c>
      <c r="E2038">
        <v>0.57281079999999995</v>
      </c>
      <c r="F2038" t="s">
        <v>55</v>
      </c>
      <c r="G2038">
        <v>-335.78480000000002</v>
      </c>
      <c r="H2038" s="1">
        <v>1.657147E-6</v>
      </c>
      <c r="I2038">
        <v>211.97300000000001</v>
      </c>
      <c r="J2038">
        <v>-351.42009999999999</v>
      </c>
      <c r="K2038">
        <v>1.1019239999999999</v>
      </c>
      <c r="L2038">
        <v>215.11150000000001</v>
      </c>
      <c r="M2038">
        <v>0.99976679999999996</v>
      </c>
      <c r="N2038">
        <v>0</v>
      </c>
      <c r="O2038">
        <v>1.919212E-2</v>
      </c>
      <c r="P2038">
        <v>0.99972150000000004</v>
      </c>
      <c r="Q2038">
        <v>2.3588680000000001E-2</v>
      </c>
      <c r="R2038">
        <v>-6.5988759999999896E-4</v>
      </c>
      <c r="S2038">
        <v>3.005951</v>
      </c>
      <c r="T2038">
        <v>-0.2032351</v>
      </c>
      <c r="U2038">
        <v>-0.57641600000000004</v>
      </c>
      <c r="V2038">
        <v>1.9887149999999999E-2</v>
      </c>
      <c r="W2038">
        <v>3.3470399999999997E-2</v>
      </c>
      <c r="X2038">
        <v>0.99924179999999996</v>
      </c>
      <c r="Y2038">
        <v>0.2066442</v>
      </c>
      <c r="Z2038">
        <v>-8.2000000000000007E-3</v>
      </c>
      <c r="AA2038">
        <v>0.97838179999999997</v>
      </c>
      <c r="AB2038">
        <v>65</v>
      </c>
      <c r="AC2038">
        <v>15.6352999999999</v>
      </c>
      <c r="AD2038">
        <v>-1.1019223428529901</v>
      </c>
      <c r="AE2038">
        <v>-3.1385000000000201</v>
      </c>
      <c r="AF2038">
        <v>3.4216741319557902</v>
      </c>
      <c r="AG2038">
        <v>-1.1019223428529901</v>
      </c>
      <c r="AH2038">
        <v>15.4981854102742</v>
      </c>
      <c r="AI2038">
        <v>93.971566167758994</v>
      </c>
      <c r="AJ2038">
        <v>77.550014654155902</v>
      </c>
      <c r="AK2038">
        <v>15.9096146316059</v>
      </c>
      <c r="AL2038">
        <v>88.081929045839203</v>
      </c>
      <c r="AM2038">
        <v>88.859836175528201</v>
      </c>
      <c r="AN2038">
        <v>0.99999997063926005</v>
      </c>
    </row>
    <row r="2039" spans="1:40" x14ac:dyDescent="0.3">
      <c r="A2039" t="str">
        <f>"20200111153914736"</f>
        <v>20200111153914736</v>
      </c>
      <c r="B2039" t="str">
        <f>"1578728354732693"</f>
        <v>1578728354732693</v>
      </c>
      <c r="C2039" t="s">
        <v>40</v>
      </c>
      <c r="D2039">
        <v>5.6793089999999999</v>
      </c>
      <c r="E2039">
        <v>0.57351569999999996</v>
      </c>
      <c r="F2039" t="s">
        <v>55</v>
      </c>
      <c r="G2039">
        <v>-335.15629999999999</v>
      </c>
      <c r="H2039" s="1">
        <v>1.3237229999999999E-6</v>
      </c>
      <c r="I2039">
        <v>211.9485</v>
      </c>
      <c r="J2039">
        <v>-350.73140000000001</v>
      </c>
      <c r="K2039">
        <v>1.102012</v>
      </c>
      <c r="L2039">
        <v>215.12469999999999</v>
      </c>
      <c r="M2039">
        <v>0.99977490000000002</v>
      </c>
      <c r="N2039">
        <v>0</v>
      </c>
      <c r="O2039">
        <v>1.8577380000000001E-2</v>
      </c>
      <c r="P2039">
        <v>0.99971220000000005</v>
      </c>
      <c r="Q2039">
        <v>2.3913199999999999E-2</v>
      </c>
      <c r="R2039">
        <v>-1.935682E-3</v>
      </c>
      <c r="S2039">
        <v>3.0052490000000001</v>
      </c>
      <c r="T2039">
        <v>-0.20361380000000001</v>
      </c>
      <c r="U2039">
        <v>-0.58445740000000002</v>
      </c>
      <c r="V2039">
        <v>2.0556999999999999E-2</v>
      </c>
      <c r="W2039">
        <v>3.4129489999999998E-2</v>
      </c>
      <c r="X2039">
        <v>0.99920600000000004</v>
      </c>
      <c r="Y2039">
        <v>0.2086037</v>
      </c>
      <c r="Z2039">
        <v>-8.239517E-3</v>
      </c>
      <c r="AA2039">
        <v>0.97796550000000004</v>
      </c>
      <c r="AB2039">
        <v>65</v>
      </c>
      <c r="AC2039">
        <v>15.575100000000001</v>
      </c>
      <c r="AD2039">
        <v>-1.1020106762769999</v>
      </c>
      <c r="AE2039">
        <v>-3.1761999999999899</v>
      </c>
      <c r="AF2039">
        <v>3.44843719657759</v>
      </c>
      <c r="AG2039">
        <v>-1.1020106762769999</v>
      </c>
      <c r="AH2039">
        <v>15.4391972459216</v>
      </c>
      <c r="AI2039">
        <v>93.984843164940898</v>
      </c>
      <c r="AJ2039">
        <v>77.409303972915197</v>
      </c>
      <c r="AK2039">
        <v>15.8579619821666</v>
      </c>
      <c r="AL2039">
        <v>88.044144478560895</v>
      </c>
      <c r="AM2039">
        <v>88.821400987593293</v>
      </c>
      <c r="AN2039">
        <v>1.00000002138632</v>
      </c>
    </row>
    <row r="2040" spans="1:40" x14ac:dyDescent="0.3">
      <c r="A2040" t="str">
        <f>"20200111153914759"</f>
        <v>20200111153914759</v>
      </c>
      <c r="B2040" t="str">
        <f>"1578728354753190"</f>
        <v>1578728354753190</v>
      </c>
      <c r="C2040" t="s">
        <v>40</v>
      </c>
      <c r="D2040">
        <v>5.6552369999999996</v>
      </c>
      <c r="E2040">
        <v>0.57407089999999905</v>
      </c>
      <c r="F2040" t="s">
        <v>55</v>
      </c>
      <c r="G2040">
        <v>-334.58139999999997</v>
      </c>
      <c r="H2040" s="1">
        <v>1.018491E-6</v>
      </c>
      <c r="I2040">
        <v>211.93270000000001</v>
      </c>
      <c r="J2040">
        <v>-350.05939999999998</v>
      </c>
      <c r="K2040">
        <v>1.1020939999999999</v>
      </c>
      <c r="L2040">
        <v>215.137</v>
      </c>
      <c r="M2040">
        <v>0.9997817</v>
      </c>
      <c r="N2040">
        <v>0</v>
      </c>
      <c r="O2040">
        <v>1.7910599999999999E-2</v>
      </c>
      <c r="P2040">
        <v>0.99969459999999999</v>
      </c>
      <c r="Q2040">
        <v>2.4498619999999999E-2</v>
      </c>
      <c r="R2040">
        <v>-3.2622979999999998E-3</v>
      </c>
      <c r="S2040">
        <v>3.0045470000000001</v>
      </c>
      <c r="T2040">
        <v>-0.20501710000000001</v>
      </c>
      <c r="U2040">
        <v>-0.59384159999999997</v>
      </c>
      <c r="V2040">
        <v>2.122839E-2</v>
      </c>
      <c r="W2040">
        <v>3.5212689999999998E-2</v>
      </c>
      <c r="X2040">
        <v>0.99915430000000005</v>
      </c>
      <c r="Y2040">
        <v>0.21092469999999999</v>
      </c>
      <c r="Z2040">
        <v>-8.3289219999999903E-3</v>
      </c>
      <c r="AA2040">
        <v>0.97746679999999997</v>
      </c>
      <c r="AB2040">
        <v>65</v>
      </c>
      <c r="AC2040">
        <v>15.478</v>
      </c>
      <c r="AD2040">
        <v>-1.1020929815089999</v>
      </c>
      <c r="AE2040">
        <v>-3.2042999999999799</v>
      </c>
      <c r="AF2040">
        <v>3.46418071430202</v>
      </c>
      <c r="AG2040">
        <v>-1.1020929815089999</v>
      </c>
      <c r="AH2040">
        <v>15.343528191701299</v>
      </c>
      <c r="AI2040">
        <v>94.007840749541202</v>
      </c>
      <c r="AJ2040">
        <v>77.277374447648597</v>
      </c>
      <c r="AK2040">
        <v>15.7682914207839</v>
      </c>
      <c r="AL2040">
        <v>87.9820442015602</v>
      </c>
      <c r="AM2040">
        <v>88.782856474622406</v>
      </c>
      <c r="AN2040">
        <v>0.99999994664375702</v>
      </c>
    </row>
    <row r="2041" spans="1:40" x14ac:dyDescent="0.3">
      <c r="A2041" t="str">
        <f>"20200111153914779"</f>
        <v>20200111153914779</v>
      </c>
      <c r="B2041" t="str">
        <f>"1578728354772709"</f>
        <v>1578728354772709</v>
      </c>
      <c r="C2041" t="s">
        <v>40</v>
      </c>
      <c r="D2041">
        <v>5.6990669999999897</v>
      </c>
      <c r="E2041">
        <v>0.57432859999999997</v>
      </c>
      <c r="F2041" t="s">
        <v>55</v>
      </c>
      <c r="G2041">
        <v>-333.85739999999998</v>
      </c>
      <c r="H2041" s="1">
        <v>6.3507189999999999E-7</v>
      </c>
      <c r="I2041">
        <v>211.89</v>
      </c>
      <c r="J2041">
        <v>-349.47190000000001</v>
      </c>
      <c r="K2041">
        <v>1.1021179999999999</v>
      </c>
      <c r="L2041">
        <v>215.14750000000001</v>
      </c>
      <c r="M2041">
        <v>0.99978849999999997</v>
      </c>
      <c r="N2041">
        <v>0</v>
      </c>
      <c r="O2041">
        <v>1.7279920000000001E-2</v>
      </c>
      <c r="P2041">
        <v>0.99965139999999997</v>
      </c>
      <c r="Q2041">
        <v>2.6000140000000001E-2</v>
      </c>
      <c r="R2041">
        <v>-4.6343169999999998E-3</v>
      </c>
      <c r="S2041">
        <v>3.0039370000000001</v>
      </c>
      <c r="T2041">
        <v>-0.20433280000000001</v>
      </c>
      <c r="U2041">
        <v>-0.60202029999999995</v>
      </c>
      <c r="V2041">
        <v>2.1981850000000001E-2</v>
      </c>
      <c r="W2041">
        <v>3.7107830000000001E-2</v>
      </c>
      <c r="X2041">
        <v>0.99906950000000005</v>
      </c>
      <c r="Y2041">
        <v>0.21290600000000001</v>
      </c>
      <c r="Z2041">
        <v>-8.3248509999999994E-3</v>
      </c>
      <c r="AA2041">
        <v>0.9770373</v>
      </c>
      <c r="AB2041">
        <v>65</v>
      </c>
      <c r="AC2041">
        <v>15.6145</v>
      </c>
      <c r="AD2041">
        <v>-1.1021173649281</v>
      </c>
      <c r="AE2041">
        <v>-3.2575000000000198</v>
      </c>
      <c r="AF2041">
        <v>3.5100898940154099</v>
      </c>
      <c r="AG2041">
        <v>-1.1021173649281</v>
      </c>
      <c r="AH2041">
        <v>15.4819619878339</v>
      </c>
      <c r="AI2041">
        <v>93.971400430817894</v>
      </c>
      <c r="AJ2041">
        <v>77.225782480900094</v>
      </c>
      <c r="AK2041">
        <v>15.913093374415901</v>
      </c>
      <c r="AL2041">
        <v>87.873389772020403</v>
      </c>
      <c r="AM2041">
        <v>88.7395631105353</v>
      </c>
      <c r="AN2041">
        <v>1.0000000293034901</v>
      </c>
    </row>
    <row r="2042" spans="1:40" x14ac:dyDescent="0.3">
      <c r="A2042" t="str">
        <f>"20200111153914801"</f>
        <v>20200111153914801</v>
      </c>
      <c r="B2042" t="str">
        <f>"1578728354793205"</f>
        <v>1578728354793205</v>
      </c>
      <c r="C2042" t="s">
        <v>40</v>
      </c>
      <c r="D2042">
        <v>5.7101459999999999</v>
      </c>
      <c r="E2042">
        <v>0.58349659999999903</v>
      </c>
      <c r="F2042" t="s">
        <v>55</v>
      </c>
      <c r="G2042">
        <v>-332.92680000000001</v>
      </c>
      <c r="H2042" s="1">
        <v>1.4395129999999999E-7</v>
      </c>
      <c r="I2042">
        <v>211.797</v>
      </c>
      <c r="J2042">
        <v>-348.82819999999998</v>
      </c>
      <c r="K2042">
        <v>1.102117</v>
      </c>
      <c r="L2042">
        <v>215.1584</v>
      </c>
      <c r="M2042">
        <v>0.99979629999999997</v>
      </c>
      <c r="N2042">
        <v>0</v>
      </c>
      <c r="O2042">
        <v>1.6548170000000001E-2</v>
      </c>
      <c r="P2042">
        <v>0.99964310000000001</v>
      </c>
      <c r="Q2042">
        <v>2.6110870000000001E-2</v>
      </c>
      <c r="R2042">
        <v>-5.6740059999999997E-3</v>
      </c>
      <c r="S2042">
        <v>3.0034179999999999</v>
      </c>
      <c r="T2042">
        <v>-0.20006699999999999</v>
      </c>
      <c r="U2042">
        <v>-0.60821530000000001</v>
      </c>
      <c r="V2042">
        <v>2.2300839999999999E-2</v>
      </c>
      <c r="W2042">
        <v>3.761055E-2</v>
      </c>
      <c r="X2042">
        <v>0.99904360000000003</v>
      </c>
      <c r="Y2042">
        <v>0.21418010000000001</v>
      </c>
      <c r="Z2042">
        <v>-8.14491E-3</v>
      </c>
      <c r="AA2042">
        <v>0.97676019999999997</v>
      </c>
      <c r="AB2042">
        <v>65</v>
      </c>
      <c r="AC2042">
        <v>15.901399999999899</v>
      </c>
      <c r="AD2042">
        <v>-1.1021168560487</v>
      </c>
      <c r="AE2042">
        <v>-3.3614000000000002</v>
      </c>
      <c r="AF2042">
        <v>3.60750783671575</v>
      </c>
      <c r="AG2042">
        <v>-1.1021168560487</v>
      </c>
      <c r="AH2042">
        <v>15.7710732053344</v>
      </c>
      <c r="AI2042">
        <v>93.897122423003196</v>
      </c>
      <c r="AJ2042">
        <v>77.115707515525699</v>
      </c>
      <c r="AK2042">
        <v>16.215903440893101</v>
      </c>
      <c r="AL2042">
        <v>87.844565848505894</v>
      </c>
      <c r="AM2042">
        <v>88.721245148650496</v>
      </c>
      <c r="AN2042">
        <v>0.99999999781848403</v>
      </c>
    </row>
    <row r="2043" spans="1:40" x14ac:dyDescent="0.3">
      <c r="A2043" t="str">
        <f>"20200111153914825"</f>
        <v>20200111153914825</v>
      </c>
      <c r="B2043" t="str">
        <f>"1578728354812728"</f>
        <v>1578728354812728</v>
      </c>
      <c r="C2043" t="s">
        <v>40</v>
      </c>
      <c r="D2043">
        <v>5.6708309999999997</v>
      </c>
      <c r="E2043">
        <v>0.58388499999999999</v>
      </c>
      <c r="F2043" t="s">
        <v>55</v>
      </c>
      <c r="G2043">
        <v>-333.09210000000002</v>
      </c>
      <c r="H2043" s="1">
        <v>2.4180870000000002E-7</v>
      </c>
      <c r="I2043">
        <v>211.57050000000001</v>
      </c>
      <c r="J2043">
        <v>-348.15629999999999</v>
      </c>
      <c r="K2043">
        <v>1.102104</v>
      </c>
      <c r="L2043">
        <v>215.1694</v>
      </c>
      <c r="M2043">
        <v>0.99980429999999998</v>
      </c>
      <c r="N2043">
        <v>0</v>
      </c>
      <c r="O2043">
        <v>1.5749240000000001E-2</v>
      </c>
      <c r="P2043">
        <v>0.99963489999999999</v>
      </c>
      <c r="Q2043">
        <v>2.6183519999999998E-2</v>
      </c>
      <c r="R2043">
        <v>-6.6765519999999997E-3</v>
      </c>
      <c r="S2043">
        <v>3.0026860000000002</v>
      </c>
      <c r="T2043">
        <v>-0.21030119999999999</v>
      </c>
      <c r="U2043">
        <v>-0.68463130000000005</v>
      </c>
      <c r="V2043">
        <v>2.2515150000000001E-2</v>
      </c>
      <c r="W2043">
        <v>3.8084659999999999E-2</v>
      </c>
      <c r="X2043">
        <v>0.99902080000000004</v>
      </c>
      <c r="Y2043">
        <v>0.23704069999999999</v>
      </c>
      <c r="Z2043">
        <v>-9.2743800000000005E-3</v>
      </c>
      <c r="AA2043">
        <v>0.97145550000000003</v>
      </c>
      <c r="AB2043">
        <v>65</v>
      </c>
      <c r="AC2043">
        <v>15.0641999999999</v>
      </c>
      <c r="AD2043">
        <v>-1.1021037581913</v>
      </c>
      <c r="AE2043">
        <v>-3.59889999999998</v>
      </c>
      <c r="AF2043">
        <v>3.81639613072235</v>
      </c>
      <c r="AG2043">
        <v>-1.1021037581913</v>
      </c>
      <c r="AH2043">
        <v>14.9300497308912</v>
      </c>
      <c r="AI2043">
        <v>94.090729544602297</v>
      </c>
      <c r="AJ2043">
        <v>75.661182106567495</v>
      </c>
      <c r="AK2043">
        <v>15.4494626795658</v>
      </c>
      <c r="AL2043">
        <v>87.817381800133703</v>
      </c>
      <c r="AM2043">
        <v>88.708931060831006</v>
      </c>
      <c r="AN2043">
        <v>0.99999996606973796</v>
      </c>
    </row>
    <row r="2044" spans="1:40" x14ac:dyDescent="0.3">
      <c r="A2044" t="str">
        <f>"20200111153914845"</f>
        <v>20200111153914845</v>
      </c>
      <c r="B2044" t="str">
        <f>"1578728354842981"</f>
        <v>1578728354842981</v>
      </c>
      <c r="C2044" t="s">
        <v>40</v>
      </c>
      <c r="D2044">
        <v>5.6278860000000002</v>
      </c>
      <c r="E2044">
        <v>0.58554510000000004</v>
      </c>
      <c r="F2044" t="s">
        <v>55</v>
      </c>
      <c r="G2044">
        <v>-332.68490000000003</v>
      </c>
      <c r="H2044" s="1">
        <v>2.3375420000000001E-8</v>
      </c>
      <c r="I2044">
        <v>211.6104</v>
      </c>
      <c r="J2044">
        <v>-347.55770000000001</v>
      </c>
      <c r="K2044">
        <v>1.102096</v>
      </c>
      <c r="L2044">
        <v>215.17859999999999</v>
      </c>
      <c r="M2044">
        <v>0.99981140000000002</v>
      </c>
      <c r="N2044">
        <v>0</v>
      </c>
      <c r="O2044">
        <v>1.5009679999999999E-2</v>
      </c>
      <c r="P2044">
        <v>0.99963900000000006</v>
      </c>
      <c r="Q2044">
        <v>2.5940560000000001E-2</v>
      </c>
      <c r="R2044">
        <v>-7.0086180000000003E-3</v>
      </c>
      <c r="S2044">
        <v>3.002075</v>
      </c>
      <c r="T2044">
        <v>-0.21385290000000001</v>
      </c>
      <c r="U2044">
        <v>-0.69059749999999998</v>
      </c>
      <c r="V2044">
        <v>2.211554E-2</v>
      </c>
      <c r="W2044">
        <v>3.819997E-2</v>
      </c>
      <c r="X2044">
        <v>0.9990253</v>
      </c>
      <c r="Y2044">
        <v>0.23817830000000001</v>
      </c>
      <c r="Z2044">
        <v>-9.4184170000000001E-3</v>
      </c>
      <c r="AA2044">
        <v>0.97117580000000003</v>
      </c>
      <c r="AB2044">
        <v>65</v>
      </c>
      <c r="AC2044">
        <v>14.8727999999999</v>
      </c>
      <c r="AD2044">
        <v>-1.1020959766245799</v>
      </c>
      <c r="AE2044">
        <v>-3.5681999999999898</v>
      </c>
      <c r="AF2044">
        <v>3.7714687968577101</v>
      </c>
      <c r="AG2044">
        <v>-1.1020959766245799</v>
      </c>
      <c r="AH2044">
        <v>14.741024809819301</v>
      </c>
      <c r="AI2044">
        <v>94.142746568815198</v>
      </c>
      <c r="AJ2044">
        <v>75.648811233626205</v>
      </c>
      <c r="AK2044">
        <v>15.2557007335314</v>
      </c>
      <c r="AL2044">
        <v>87.810770160650094</v>
      </c>
      <c r="AM2044">
        <v>88.731843749647496</v>
      </c>
      <c r="AN2044">
        <v>0.99999994242878898</v>
      </c>
    </row>
    <row r="2045" spans="1:40" x14ac:dyDescent="0.3">
      <c r="A2045" t="str">
        <f>"20200111153914867"</f>
        <v>20200111153914867</v>
      </c>
      <c r="B2045" t="str">
        <f>"1578728354862501"</f>
        <v>1578728354862501</v>
      </c>
      <c r="C2045" t="s">
        <v>40</v>
      </c>
      <c r="D2045">
        <v>5.6216559999999998</v>
      </c>
      <c r="E2045">
        <v>0.58695909999999996</v>
      </c>
      <c r="F2045" t="s">
        <v>55</v>
      </c>
      <c r="G2045">
        <v>-332.23610000000002</v>
      </c>
      <c r="H2045" s="1">
        <v>-2.140951E-7</v>
      </c>
      <c r="I2045">
        <v>211.57990000000001</v>
      </c>
      <c r="J2045">
        <v>-346.93470000000002</v>
      </c>
      <c r="K2045">
        <v>1.1020779999999999</v>
      </c>
      <c r="L2045">
        <v>215.18780000000001</v>
      </c>
      <c r="M2045">
        <v>0.9998186</v>
      </c>
      <c r="N2045">
        <v>0</v>
      </c>
      <c r="O2045">
        <v>1.421247E-2</v>
      </c>
      <c r="P2045">
        <v>0.99963270000000004</v>
      </c>
      <c r="Q2045">
        <v>2.5969519999999999E-2</v>
      </c>
      <c r="R2045">
        <v>-7.7672929999999998E-3</v>
      </c>
      <c r="S2045">
        <v>3.0017399999999999</v>
      </c>
      <c r="T2045">
        <v>-0.21591840000000001</v>
      </c>
      <c r="U2045">
        <v>-0.7050476</v>
      </c>
      <c r="V2045">
        <v>2.2084369999999999E-2</v>
      </c>
      <c r="W2045">
        <v>3.8585920000000003E-2</v>
      </c>
      <c r="X2045">
        <v>0.99901119999999999</v>
      </c>
      <c r="Y2045">
        <v>0.24184339999999999</v>
      </c>
      <c r="Z2045">
        <v>-9.5784449999999997E-3</v>
      </c>
      <c r="AA2045">
        <v>0.97026800000000002</v>
      </c>
      <c r="AB2045">
        <v>65</v>
      </c>
      <c r="AC2045">
        <v>14.698600000000001</v>
      </c>
      <c r="AD2045">
        <v>-1.1020782140951</v>
      </c>
      <c r="AE2045">
        <v>-3.6078999999999999</v>
      </c>
      <c r="AF2045">
        <v>3.7963264655061799</v>
      </c>
      <c r="AG2045">
        <v>-1.1020782140951</v>
      </c>
      <c r="AH2045">
        <v>14.568586802693799</v>
      </c>
      <c r="AI2045">
        <v>94.186756109485998</v>
      </c>
      <c r="AJ2045">
        <v>75.394498387127598</v>
      </c>
      <c r="AK2045">
        <v>15.095376525622299</v>
      </c>
      <c r="AL2045">
        <v>87.788640631955104</v>
      </c>
      <c r="AM2045">
        <v>88.733612659476506</v>
      </c>
      <c r="AN2045">
        <v>0.99999998517299105</v>
      </c>
    </row>
    <row r="2046" spans="1:40" x14ac:dyDescent="0.3">
      <c r="A2046" t="str">
        <f>"20200111153914889"</f>
        <v>20200111153914889</v>
      </c>
      <c r="B2046" t="str">
        <f>"1578728354882997"</f>
        <v>1578728354882997</v>
      </c>
      <c r="C2046" t="s">
        <v>40</v>
      </c>
      <c r="D2046">
        <v>5.9831459999999996</v>
      </c>
      <c r="E2046">
        <v>0.58703090000000002</v>
      </c>
      <c r="F2046" t="s">
        <v>55</v>
      </c>
      <c r="G2046">
        <v>-331.62450000000001</v>
      </c>
      <c r="H2046" s="1">
        <v>-5.3704989999999996E-7</v>
      </c>
      <c r="I2046">
        <v>211.5213</v>
      </c>
      <c r="J2046">
        <v>-346.28859999999997</v>
      </c>
      <c r="K2046">
        <v>1.10205</v>
      </c>
      <c r="L2046">
        <v>215.1968</v>
      </c>
      <c r="M2046">
        <v>0.99982579999999999</v>
      </c>
      <c r="N2046">
        <v>0</v>
      </c>
      <c r="O2046">
        <v>1.3361359999999999E-2</v>
      </c>
      <c r="P2046">
        <v>0.99964869999999995</v>
      </c>
      <c r="Q2046">
        <v>2.518861E-2</v>
      </c>
      <c r="R2046">
        <v>-8.2538490000000006E-3</v>
      </c>
      <c r="S2046">
        <v>3.0010680000000001</v>
      </c>
      <c r="T2046">
        <v>-0.21602650000000001</v>
      </c>
      <c r="U2046">
        <v>-0.71870419999999902</v>
      </c>
      <c r="V2046">
        <v>2.1724670000000001E-2</v>
      </c>
      <c r="W2046">
        <v>3.8146600000000003E-2</v>
      </c>
      <c r="X2046">
        <v>0.99903600000000004</v>
      </c>
      <c r="Y2046">
        <v>0.24523819999999999</v>
      </c>
      <c r="Z2046">
        <v>-9.6403280000000001E-3</v>
      </c>
      <c r="AA2046">
        <v>0.96941489999999997</v>
      </c>
      <c r="AB2046">
        <v>65</v>
      </c>
      <c r="AC2046">
        <v>14.6640999999999</v>
      </c>
      <c r="AD2046">
        <v>-1.1020505370498901</v>
      </c>
      <c r="AE2046">
        <v>-3.6755</v>
      </c>
      <c r="AF2046">
        <v>3.85065795973094</v>
      </c>
      <c r="AG2046">
        <v>-1.1020505370498901</v>
      </c>
      <c r="AH2046">
        <v>14.5364286366119</v>
      </c>
      <c r="AI2046">
        <v>94.191449590173207</v>
      </c>
      <c r="AJ2046">
        <v>75.163281332990707</v>
      </c>
      <c r="AK2046">
        <v>15.0781245390918</v>
      </c>
      <c r="AL2046">
        <v>87.813830451605696</v>
      </c>
      <c r="AM2046">
        <v>88.754263351756506</v>
      </c>
      <c r="AN2046">
        <v>1.0000000268370799</v>
      </c>
    </row>
    <row r="2047" spans="1:40" x14ac:dyDescent="0.3">
      <c r="A2047" t="str">
        <f>"20200111153914914"</f>
        <v>20200111153914914</v>
      </c>
      <c r="B2047" t="str">
        <f>"1578728354902517"</f>
        <v>1578728354902517</v>
      </c>
      <c r="C2047" t="s">
        <v>40</v>
      </c>
      <c r="D2047">
        <v>5.4864920000000001</v>
      </c>
      <c r="E2047">
        <v>0.53680150000000004</v>
      </c>
      <c r="F2047" t="s">
        <v>55</v>
      </c>
      <c r="G2047">
        <v>-331.29480000000001</v>
      </c>
      <c r="H2047" s="1">
        <v>-7.1563269999999895E-7</v>
      </c>
      <c r="I2047">
        <v>211.59399999999999</v>
      </c>
      <c r="J2047">
        <v>-345.58940000000001</v>
      </c>
      <c r="K2047">
        <v>1.102004</v>
      </c>
      <c r="L2047">
        <v>215.20590000000001</v>
      </c>
      <c r="M2047">
        <v>0.99983359999999999</v>
      </c>
      <c r="N2047">
        <v>0</v>
      </c>
      <c r="O2047">
        <v>1.242123E-2</v>
      </c>
      <c r="P2047">
        <v>0.99968449999999998</v>
      </c>
      <c r="Q2047">
        <v>2.362533E-2</v>
      </c>
      <c r="R2047">
        <v>-8.5505149999999999E-3</v>
      </c>
      <c r="S2047">
        <v>3.0006409999999999</v>
      </c>
      <c r="T2047">
        <v>-0.2205493</v>
      </c>
      <c r="U2047">
        <v>-0.72102359999999999</v>
      </c>
      <c r="V2047">
        <v>2.1083290000000001E-2</v>
      </c>
      <c r="W2047">
        <v>3.6917230000000002E-2</v>
      </c>
      <c r="X2047">
        <v>0.99909590000000004</v>
      </c>
      <c r="Y2047">
        <v>0.24504280000000001</v>
      </c>
      <c r="Z2047">
        <v>-9.7669639999999995E-3</v>
      </c>
      <c r="AA2047">
        <v>0.96946310000000002</v>
      </c>
      <c r="AB2047">
        <v>64</v>
      </c>
      <c r="AC2047">
        <v>14.294600000000001</v>
      </c>
      <c r="AD2047">
        <v>-1.1020047156327</v>
      </c>
      <c r="AE2047">
        <v>-3.6118999999999901</v>
      </c>
      <c r="AF2047">
        <v>3.7681427100229499</v>
      </c>
      <c r="AG2047">
        <v>-1.1020047156327</v>
      </c>
      <c r="AH2047">
        <v>14.1694701786778</v>
      </c>
      <c r="AI2047">
        <v>94.298317980298094</v>
      </c>
      <c r="AJ2047">
        <v>75.107786133401902</v>
      </c>
      <c r="AK2047">
        <v>14.703305717450601</v>
      </c>
      <c r="AL2047">
        <v>87.884317777799097</v>
      </c>
      <c r="AM2047">
        <v>88.791102761897307</v>
      </c>
      <c r="AN2047">
        <v>1.00000000219245</v>
      </c>
    </row>
    <row r="2048" spans="1:40" x14ac:dyDescent="0.3">
      <c r="A2048" t="str">
        <f>"20200111153914935"</f>
        <v>20200111153914935</v>
      </c>
      <c r="B2048" t="str">
        <f>"1578728354923013"</f>
        <v>1578728354923013</v>
      </c>
      <c r="C2048" t="s">
        <v>40</v>
      </c>
      <c r="D2048">
        <v>5.5946410000000002</v>
      </c>
      <c r="E2048">
        <v>0.51785429999999999</v>
      </c>
      <c r="F2048" t="s">
        <v>41</v>
      </c>
      <c r="G2048">
        <v>-344.82310000000001</v>
      </c>
      <c r="H2048">
        <v>1.049952</v>
      </c>
      <c r="I2048">
        <v>215.12379999999999</v>
      </c>
      <c r="J2048">
        <v>-344.9753</v>
      </c>
      <c r="K2048">
        <v>1.1019589999999999</v>
      </c>
      <c r="L2048">
        <v>215.21340000000001</v>
      </c>
      <c r="M2048">
        <v>0.99984010000000001</v>
      </c>
      <c r="N2048">
        <v>0</v>
      </c>
      <c r="O2048">
        <v>1.158524E-2</v>
      </c>
      <c r="P2048">
        <v>0.9997336</v>
      </c>
      <c r="Q2048">
        <v>2.166879E-2</v>
      </c>
      <c r="R2048">
        <v>-7.9523700000000003E-3</v>
      </c>
      <c r="S2048">
        <v>3.0029910000000002</v>
      </c>
      <c r="T2048">
        <v>-0.2040747</v>
      </c>
      <c r="U2048">
        <v>-0.32165529999999998</v>
      </c>
      <c r="V2048">
        <v>1.964867E-2</v>
      </c>
      <c r="W2048">
        <v>3.5224610000000003E-2</v>
      </c>
      <c r="X2048">
        <v>0.99918620000000002</v>
      </c>
      <c r="Y2048">
        <v>0.1177208</v>
      </c>
      <c r="Z2048">
        <v>-4.7683609999999996E-3</v>
      </c>
      <c r="AA2048">
        <v>0.99303529999999995</v>
      </c>
      <c r="AB2048">
        <v>64</v>
      </c>
      <c r="AC2048">
        <v>0.15219999999999301</v>
      </c>
      <c r="AD2048">
        <v>-5.2006999999999901E-2</v>
      </c>
      <c r="AE2048">
        <v>-8.9600000000018498E-2</v>
      </c>
      <c r="AF2048">
        <v>8.4067937752540706E-2</v>
      </c>
      <c r="AG2048">
        <v>-5.2006999999999901E-2</v>
      </c>
      <c r="AH2048">
        <v>0.13909113349682001</v>
      </c>
      <c r="AI2048">
        <v>107.744545151246</v>
      </c>
      <c r="AJ2048">
        <v>58.850855396327098</v>
      </c>
      <c r="AK2048">
        <v>0.17064140653544599</v>
      </c>
      <c r="AL2048">
        <v>87.981360824363904</v>
      </c>
      <c r="AM2048">
        <v>88.873442423299807</v>
      </c>
      <c r="AN2048">
        <v>0.99999995282642895</v>
      </c>
    </row>
    <row r="2049" spans="1:40" x14ac:dyDescent="0.3">
      <c r="A2049" t="str">
        <f>"20200111153914959"</f>
        <v>20200111153914959</v>
      </c>
      <c r="B2049" t="str">
        <f>"1578728354953270"</f>
        <v>1578728354953270</v>
      </c>
      <c r="C2049" t="s">
        <v>40</v>
      </c>
      <c r="D2049">
        <v>5.4270500000000004</v>
      </c>
      <c r="E2049">
        <v>0.5113162</v>
      </c>
      <c r="F2049" t="s">
        <v>41</v>
      </c>
      <c r="G2049">
        <v>-343.7047</v>
      </c>
      <c r="H2049">
        <v>1.008192</v>
      </c>
      <c r="I2049">
        <v>215.14160000000001</v>
      </c>
      <c r="J2049">
        <v>-344.28899999999999</v>
      </c>
      <c r="K2049">
        <v>1.1019129999999999</v>
      </c>
      <c r="L2049">
        <v>215.22110000000001</v>
      </c>
      <c r="M2049">
        <v>0.99984689999999998</v>
      </c>
      <c r="N2049">
        <v>0</v>
      </c>
      <c r="O2049">
        <v>1.064594E-2</v>
      </c>
      <c r="P2049">
        <v>0.99976290000000001</v>
      </c>
      <c r="Q2049">
        <v>2.0519289999999999E-2</v>
      </c>
      <c r="R2049">
        <v>-7.2819669999999899E-3</v>
      </c>
      <c r="S2049">
        <v>3.0043030000000002</v>
      </c>
      <c r="T2049">
        <v>-0.2218339</v>
      </c>
      <c r="U2049">
        <v>-0.1691742</v>
      </c>
      <c r="V2049">
        <v>1.804006E-2</v>
      </c>
      <c r="W2049">
        <v>3.4336800000000001E-2</v>
      </c>
      <c r="X2049">
        <v>0.99924749999999996</v>
      </c>
      <c r="Y2049">
        <v>6.6638740000000002E-2</v>
      </c>
      <c r="Z2049">
        <v>-3.239497E-3</v>
      </c>
      <c r="AA2049">
        <v>0.99777190000000004</v>
      </c>
      <c r="AB2049">
        <v>64</v>
      </c>
      <c r="AC2049">
        <v>0.58429999999998405</v>
      </c>
      <c r="AD2049">
        <v>-9.3720999999999902E-2</v>
      </c>
      <c r="AE2049">
        <v>-7.9499999999995893E-2</v>
      </c>
      <c r="AF2049">
        <v>8.36046513715549E-2</v>
      </c>
      <c r="AG2049">
        <v>-9.3720999999999902E-2</v>
      </c>
      <c r="AH2049">
        <v>0.56904625998994895</v>
      </c>
      <c r="AI2049">
        <v>99.254953501780705</v>
      </c>
      <c r="AJ2049">
        <v>81.641862713966802</v>
      </c>
      <c r="AK2049">
        <v>0.58274094551567901</v>
      </c>
      <c r="AL2049">
        <v>88.032259508012899</v>
      </c>
      <c r="AM2049">
        <v>88.965714675437297</v>
      </c>
      <c r="AN2049">
        <v>1.0000000129276401</v>
      </c>
    </row>
    <row r="2050" spans="1:40" x14ac:dyDescent="0.3">
      <c r="A2050" t="str">
        <f>"20200111153914979"</f>
        <v>20200111153914979</v>
      </c>
      <c r="B2050" t="str">
        <f>"1578728354972791"</f>
        <v>1578728354972791</v>
      </c>
      <c r="C2050" t="s">
        <v>40</v>
      </c>
      <c r="D2050">
        <v>5.412649</v>
      </c>
      <c r="E2050">
        <v>0.51020069999999995</v>
      </c>
      <c r="F2050" t="s">
        <v>41</v>
      </c>
      <c r="G2050">
        <v>-343.12459999999999</v>
      </c>
      <c r="H2050">
        <v>1.0179279999999999</v>
      </c>
      <c r="I2050">
        <v>215.17609999999999</v>
      </c>
      <c r="J2050">
        <v>-343.69900000000001</v>
      </c>
      <c r="K2050">
        <v>1.1018790000000001</v>
      </c>
      <c r="L2050">
        <v>215.22720000000001</v>
      </c>
      <c r="M2050">
        <v>0.99985259999999998</v>
      </c>
      <c r="N2050">
        <v>0</v>
      </c>
      <c r="O2050">
        <v>9.8355249999999995E-3</v>
      </c>
      <c r="P2050">
        <v>0.9997876</v>
      </c>
      <c r="Q2050">
        <v>1.9777920000000001E-2</v>
      </c>
      <c r="R2050">
        <v>-5.8046510000000001E-3</v>
      </c>
      <c r="S2050">
        <v>3.0043329999999999</v>
      </c>
      <c r="T2050">
        <v>-0.216754</v>
      </c>
      <c r="U2050">
        <v>-0.1152802</v>
      </c>
      <c r="V2050">
        <v>1.575379E-2</v>
      </c>
      <c r="W2050">
        <v>3.3799709999999997E-2</v>
      </c>
      <c r="X2050">
        <v>0.99930450000000004</v>
      </c>
      <c r="Y2050">
        <v>4.8020309999999997E-2</v>
      </c>
      <c r="Z2050">
        <v>-2.4378999999999998E-3</v>
      </c>
      <c r="AA2050">
        <v>0.99884340000000005</v>
      </c>
      <c r="AB2050">
        <v>64</v>
      </c>
      <c r="AC2050">
        <v>0.574400000000025</v>
      </c>
      <c r="AD2050">
        <v>-8.3950999999999804E-2</v>
      </c>
      <c r="AE2050">
        <v>-5.1100000000019401E-2</v>
      </c>
      <c r="AF2050">
        <v>5.5569901407777601E-2</v>
      </c>
      <c r="AG2050">
        <v>-8.3950999999999804E-2</v>
      </c>
      <c r="AH2050">
        <v>0.56195976492058997</v>
      </c>
      <c r="AI2050">
        <v>98.455922662252704</v>
      </c>
      <c r="AJ2050">
        <v>84.352614591815296</v>
      </c>
      <c r="AK2050">
        <v>0.57090678900594105</v>
      </c>
      <c r="AL2050">
        <v>88.063050430325305</v>
      </c>
      <c r="AM2050">
        <v>89.096820925231697</v>
      </c>
      <c r="AN2050">
        <v>1.00000004300784</v>
      </c>
    </row>
    <row r="2051" spans="1:40" x14ac:dyDescent="0.3">
      <c r="A2051" t="str">
        <f>"20200111153915002"</f>
        <v>20200111153915002</v>
      </c>
      <c r="B2051" t="str">
        <f>"1578728354993285"</f>
        <v>1578728354993285</v>
      </c>
      <c r="C2051" t="s">
        <v>40</v>
      </c>
      <c r="D2051">
        <v>5.2477749999999999</v>
      </c>
      <c r="E2051">
        <v>0.50919780000000003</v>
      </c>
      <c r="F2051" t="s">
        <v>41</v>
      </c>
      <c r="G2051">
        <v>-342.5489</v>
      </c>
      <c r="H2051">
        <v>1.018966</v>
      </c>
      <c r="I2051">
        <v>215.18790000000001</v>
      </c>
      <c r="J2051">
        <v>-343.06490000000002</v>
      </c>
      <c r="K2051">
        <v>1.101845</v>
      </c>
      <c r="L2051">
        <v>215.23330000000001</v>
      </c>
      <c r="M2051">
        <v>0.99985809999999997</v>
      </c>
      <c r="N2051">
        <v>0</v>
      </c>
      <c r="O2051">
        <v>8.9621549999999994E-3</v>
      </c>
      <c r="P2051">
        <v>0.99980559999999996</v>
      </c>
      <c r="Q2051">
        <v>1.9222320000000001E-2</v>
      </c>
      <c r="R2051">
        <v>-4.4376629999999997E-3</v>
      </c>
      <c r="S2051">
        <v>3.0043329999999999</v>
      </c>
      <c r="T2051">
        <v>-0.2166651</v>
      </c>
      <c r="U2051">
        <v>-0.102478</v>
      </c>
      <c r="V2051">
        <v>1.351482E-2</v>
      </c>
      <c r="W2051">
        <v>3.3438950000000002E-2</v>
      </c>
      <c r="X2051">
        <v>0.99934940000000005</v>
      </c>
      <c r="Y2051">
        <v>4.2912159999999998E-2</v>
      </c>
      <c r="Z2051">
        <v>-2.1902919999999999E-3</v>
      </c>
      <c r="AA2051">
        <v>0.99907639999999998</v>
      </c>
      <c r="AB2051">
        <v>64</v>
      </c>
      <c r="AC2051">
        <v>0.516000000000019</v>
      </c>
      <c r="AD2051">
        <v>-8.2878999999999897E-2</v>
      </c>
      <c r="AE2051">
        <v>-4.5400000000000697E-2</v>
      </c>
      <c r="AF2051">
        <v>4.8774490174601302E-2</v>
      </c>
      <c r="AG2051">
        <v>-8.2878999999999897E-2</v>
      </c>
      <c r="AH2051">
        <v>0.50270313183086701</v>
      </c>
      <c r="AI2051">
        <v>99.318961696933599</v>
      </c>
      <c r="AJ2051">
        <v>84.4582551211154</v>
      </c>
      <c r="AK2051">
        <v>0.51181863807930505</v>
      </c>
      <c r="AL2051">
        <v>88.083732099156094</v>
      </c>
      <c r="AM2051">
        <v>89.225200969720802</v>
      </c>
      <c r="AN2051">
        <v>1.00000001850854</v>
      </c>
    </row>
    <row r="2052" spans="1:40" x14ac:dyDescent="0.3">
      <c r="A2052" t="str">
        <f>"20200111153915025"</f>
        <v>20200111153915025</v>
      </c>
      <c r="B2052" t="str">
        <f>"1578728355012808"</f>
        <v>1578728355012808</v>
      </c>
      <c r="C2052" t="s">
        <v>40</v>
      </c>
      <c r="D2052">
        <v>5.3742089999999996</v>
      </c>
      <c r="E2052">
        <v>0.50926740000000004</v>
      </c>
      <c r="F2052" t="s">
        <v>41</v>
      </c>
      <c r="G2052">
        <v>-341.97219999999999</v>
      </c>
      <c r="H2052">
        <v>1.0225489999999999</v>
      </c>
      <c r="I2052">
        <v>215.2003</v>
      </c>
      <c r="J2052">
        <v>-342.39710000000002</v>
      </c>
      <c r="K2052">
        <v>1.1018220000000001</v>
      </c>
      <c r="L2052">
        <v>215.23910000000001</v>
      </c>
      <c r="M2052">
        <v>0.99986350000000002</v>
      </c>
      <c r="N2052">
        <v>0</v>
      </c>
      <c r="O2052">
        <v>8.0390110000000004E-3</v>
      </c>
      <c r="P2052">
        <v>0.99980769999999997</v>
      </c>
      <c r="Q2052">
        <v>1.9406179999999999E-2</v>
      </c>
      <c r="R2052">
        <v>-2.8768729999999998E-3</v>
      </c>
      <c r="S2052">
        <v>3.0043639999999998</v>
      </c>
      <c r="T2052">
        <v>-0.2180291</v>
      </c>
      <c r="U2052">
        <v>-9.0301510000000001E-2</v>
      </c>
      <c r="V2052">
        <v>1.1034530000000001E-2</v>
      </c>
      <c r="W2052">
        <v>3.3804000000000001E-2</v>
      </c>
      <c r="X2052">
        <v>0.99936749999999996</v>
      </c>
      <c r="Y2052">
        <v>3.7957600000000001E-2</v>
      </c>
      <c r="Z2052">
        <v>-1.957763E-3</v>
      </c>
      <c r="AA2052">
        <v>0.99927739999999998</v>
      </c>
      <c r="AB2052">
        <v>64</v>
      </c>
      <c r="AC2052">
        <v>0.42490000000003603</v>
      </c>
      <c r="AD2052">
        <v>-7.9272999999999899E-2</v>
      </c>
      <c r="AE2052">
        <v>-3.8800000000009001E-2</v>
      </c>
      <c r="AF2052">
        <v>4.0806246131879699E-2</v>
      </c>
      <c r="AG2052">
        <v>-7.9272999999999899E-2</v>
      </c>
      <c r="AH2052">
        <v>0.41040706992036702</v>
      </c>
      <c r="AI2052">
        <v>100.880087428278</v>
      </c>
      <c r="AJ2052">
        <v>84.321817031709998</v>
      </c>
      <c r="AK2052">
        <v>0.41998014392706301</v>
      </c>
      <c r="AL2052">
        <v>88.062804282871994</v>
      </c>
      <c r="AM2052">
        <v>89.367393569503093</v>
      </c>
      <c r="AN2052">
        <v>0.99999993566228296</v>
      </c>
    </row>
    <row r="2053" spans="1:40" x14ac:dyDescent="0.3">
      <c r="A2053" t="str">
        <f>"20200111153915046"</f>
        <v>20200111153915046</v>
      </c>
      <c r="B2053" t="str">
        <f>"1578728355043062"</f>
        <v>1578728355043062</v>
      </c>
      <c r="C2053" t="s">
        <v>40</v>
      </c>
      <c r="D2053">
        <v>5.3531129999999996</v>
      </c>
      <c r="E2053">
        <v>0.50906399999999996</v>
      </c>
      <c r="F2053" t="s">
        <v>41</v>
      </c>
      <c r="G2053">
        <v>-341.39429999999999</v>
      </c>
      <c r="H2053">
        <v>1.029236</v>
      </c>
      <c r="I2053">
        <v>215.21019999999999</v>
      </c>
      <c r="J2053">
        <v>-341.78019999999998</v>
      </c>
      <c r="K2053">
        <v>1.1018030000000001</v>
      </c>
      <c r="L2053">
        <v>215.2439</v>
      </c>
      <c r="M2053">
        <v>0.99986799999999998</v>
      </c>
      <c r="N2053">
        <v>0</v>
      </c>
      <c r="O2053">
        <v>7.182735E-3</v>
      </c>
      <c r="P2053">
        <v>0.99979240000000003</v>
      </c>
      <c r="Q2053">
        <v>2.0301699999999999E-2</v>
      </c>
      <c r="R2053">
        <v>-1.78041299999999E-3</v>
      </c>
      <c r="S2053">
        <v>3.0045169999999999</v>
      </c>
      <c r="T2053">
        <v>-0.21745159999999999</v>
      </c>
      <c r="U2053">
        <v>-8.6486820000000006E-2</v>
      </c>
      <c r="V2053">
        <v>9.0872109999999996E-3</v>
      </c>
      <c r="W2053">
        <v>3.4845760000000003E-2</v>
      </c>
      <c r="X2053">
        <v>0.9993514</v>
      </c>
      <c r="Y2053">
        <v>3.5841020000000001E-2</v>
      </c>
      <c r="Z2053">
        <v>-1.8141629999999999E-3</v>
      </c>
      <c r="AA2053">
        <v>0.99935589999999996</v>
      </c>
      <c r="AB2053">
        <v>64</v>
      </c>
      <c r="AC2053">
        <v>0.38589999999999203</v>
      </c>
      <c r="AD2053">
        <v>-7.2567000000000006E-2</v>
      </c>
      <c r="AE2053">
        <v>-3.3700000000010201E-2</v>
      </c>
      <c r="AF2053">
        <v>3.5234725010946599E-2</v>
      </c>
      <c r="AG2053">
        <v>-7.2567000000000006E-2</v>
      </c>
      <c r="AH2053">
        <v>0.372572989854901</v>
      </c>
      <c r="AI2053">
        <v>100.973887127384</v>
      </c>
      <c r="AJ2053">
        <v>84.597529503765998</v>
      </c>
      <c r="AK2053">
        <v>0.381206096626244</v>
      </c>
      <c r="AL2053">
        <v>88.003080785132198</v>
      </c>
      <c r="AM2053">
        <v>89.479017602420896</v>
      </c>
      <c r="AN2053">
        <v>1.0000000125378401</v>
      </c>
    </row>
    <row r="2054" spans="1:40" x14ac:dyDescent="0.3">
      <c r="A2054" t="str">
        <f>"20200111153915070"</f>
        <v>20200111153915070</v>
      </c>
      <c r="B2054" t="str">
        <f>"1578728355062581"</f>
        <v>1578728355062581</v>
      </c>
      <c r="C2054" t="s">
        <v>40</v>
      </c>
      <c r="D2054">
        <v>5.3793329999999999</v>
      </c>
      <c r="E2054">
        <v>0.50904689999999997</v>
      </c>
      <c r="F2054" t="s">
        <v>41</v>
      </c>
      <c r="G2054">
        <v>-340.81659999999999</v>
      </c>
      <c r="H2054">
        <v>1.0361819999999999</v>
      </c>
      <c r="I2054">
        <v>215.2175</v>
      </c>
      <c r="J2054">
        <v>-341.10680000000002</v>
      </c>
      <c r="K2054">
        <v>1.101796</v>
      </c>
      <c r="L2054">
        <v>215.24850000000001</v>
      </c>
      <c r="M2054">
        <v>0.99987230000000005</v>
      </c>
      <c r="N2054">
        <v>0</v>
      </c>
      <c r="O2054">
        <v>6.2439430000000001E-3</v>
      </c>
      <c r="P2054">
        <v>0.99977950000000004</v>
      </c>
      <c r="Q2054">
        <v>2.0947170000000001E-2</v>
      </c>
      <c r="R2054">
        <v>-1.489425E-3</v>
      </c>
      <c r="S2054">
        <v>3.0046390000000001</v>
      </c>
      <c r="T2054">
        <v>-0.20473369999999999</v>
      </c>
      <c r="U2054">
        <v>-8.1573489999999999E-2</v>
      </c>
      <c r="V2054">
        <v>7.8619199999999997E-3</v>
      </c>
      <c r="W2054">
        <v>3.5628229999999997E-2</v>
      </c>
      <c r="X2054">
        <v>0.99933419999999895</v>
      </c>
      <c r="Y2054">
        <v>3.3289369999999999E-2</v>
      </c>
      <c r="Z2054">
        <v>-1.5575739999999999E-3</v>
      </c>
      <c r="AA2054">
        <v>0.99944449999999996</v>
      </c>
      <c r="AB2054">
        <v>64</v>
      </c>
      <c r="AC2054">
        <v>0.29020000000002699</v>
      </c>
      <c r="AD2054">
        <v>-6.5614000000000006E-2</v>
      </c>
      <c r="AE2054">
        <v>-3.1000000000005901E-2</v>
      </c>
      <c r="AF2054">
        <v>3.1232942863506499E-2</v>
      </c>
      <c r="AG2054">
        <v>-6.5614000000000006E-2</v>
      </c>
      <c r="AH2054">
        <v>0.27604815257781601</v>
      </c>
      <c r="AI2054">
        <v>103.288794313108</v>
      </c>
      <c r="AJ2054">
        <v>83.544829651619494</v>
      </c>
      <c r="AK2054">
        <v>0.28545275661226299</v>
      </c>
      <c r="AL2054">
        <v>87.958220695876093</v>
      </c>
      <c r="AM2054">
        <v>89.549254351542302</v>
      </c>
      <c r="AN2054">
        <v>1.00000001192432</v>
      </c>
    </row>
    <row r="2055" spans="1:40" x14ac:dyDescent="0.3">
      <c r="A2055" t="str">
        <f>"20200111153915091"</f>
        <v>20200111153915091</v>
      </c>
      <c r="B2055" t="str">
        <f>"1578728355083078"</f>
        <v>1578728355083078</v>
      </c>
      <c r="C2055" t="s">
        <v>40</v>
      </c>
      <c r="D2055">
        <v>5.3480460000000001</v>
      </c>
      <c r="E2055">
        <v>0.50909389999999999</v>
      </c>
      <c r="F2055" t="s">
        <v>41</v>
      </c>
      <c r="G2055">
        <v>-340.23590000000002</v>
      </c>
      <c r="H2055">
        <v>1.0438229999999999</v>
      </c>
      <c r="I2055">
        <v>215.2251</v>
      </c>
      <c r="J2055">
        <v>-340.4776</v>
      </c>
      <c r="K2055">
        <v>1.1017859999999999</v>
      </c>
      <c r="L2055">
        <v>215.25219999999999</v>
      </c>
      <c r="M2055">
        <v>0.99987579999999998</v>
      </c>
      <c r="N2055">
        <v>0</v>
      </c>
      <c r="O2055">
        <v>5.3630980000000002E-3</v>
      </c>
      <c r="P2055">
        <v>0.99975709999999995</v>
      </c>
      <c r="Q2055">
        <v>2.200322E-2</v>
      </c>
      <c r="R2055">
        <v>-1.330885E-3</v>
      </c>
      <c r="S2055">
        <v>3.0047609999999998</v>
      </c>
      <c r="T2055">
        <v>-0.2000577</v>
      </c>
      <c r="U2055">
        <v>-8.0383300000000005E-2</v>
      </c>
      <c r="V2055">
        <v>6.827779E-3</v>
      </c>
      <c r="W2055">
        <v>3.6795710000000002E-2</v>
      </c>
      <c r="X2055">
        <v>0.99929950000000001</v>
      </c>
      <c r="Y2055">
        <v>3.202108E-2</v>
      </c>
      <c r="Z2055">
        <v>-1.4212789999999999E-3</v>
      </c>
      <c r="AA2055">
        <v>0.99948619999999999</v>
      </c>
      <c r="AB2055">
        <v>64</v>
      </c>
      <c r="AC2055">
        <v>0.24169999999997999</v>
      </c>
      <c r="AD2055">
        <v>-5.7963000000000202E-2</v>
      </c>
      <c r="AE2055">
        <v>-2.7099999999990101E-2</v>
      </c>
      <c r="AF2055">
        <v>2.68698933582933E-2</v>
      </c>
      <c r="AG2055">
        <v>-5.7963000000000202E-2</v>
      </c>
      <c r="AH2055">
        <v>0.22856920198281699</v>
      </c>
      <c r="AI2055">
        <v>104.136300707689</v>
      </c>
      <c r="AJ2055">
        <v>83.295256827354393</v>
      </c>
      <c r="AK2055">
        <v>0.237330108989879</v>
      </c>
      <c r="AL2055">
        <v>87.891285125476799</v>
      </c>
      <c r="AM2055">
        <v>89.608528941837307</v>
      </c>
      <c r="AN2055">
        <v>1.00000001677036</v>
      </c>
    </row>
    <row r="2056" spans="1:40" x14ac:dyDescent="0.3">
      <c r="A2056" t="str">
        <f>"20200111153915116"</f>
        <v>20200111153915116</v>
      </c>
      <c r="B2056" t="str">
        <f>"1578728355113333"</f>
        <v>1578728355113333</v>
      </c>
      <c r="C2056" t="s">
        <v>40</v>
      </c>
      <c r="D2056">
        <v>5.3242989999999999</v>
      </c>
      <c r="E2056">
        <v>0.50923529999999995</v>
      </c>
      <c r="F2056" t="s">
        <v>55</v>
      </c>
      <c r="G2056">
        <v>-323.3297</v>
      </c>
      <c r="H2056" s="1">
        <v>2.3507759999999999E-7</v>
      </c>
      <c r="I2056">
        <v>214.79509999999999</v>
      </c>
      <c r="J2056">
        <v>-339.80419999999998</v>
      </c>
      <c r="K2056">
        <v>1.1017790000000001</v>
      </c>
      <c r="L2056">
        <v>215.25569999999999</v>
      </c>
      <c r="M2056">
        <v>0.99987890000000001</v>
      </c>
      <c r="N2056">
        <v>0</v>
      </c>
      <c r="O2056">
        <v>4.4166780000000003E-3</v>
      </c>
      <c r="P2056">
        <v>0.99975800000000004</v>
      </c>
      <c r="Q2056">
        <v>2.195515E-2</v>
      </c>
      <c r="R2056">
        <v>-1.3589989999999901E-3</v>
      </c>
      <c r="S2056">
        <v>3.004883</v>
      </c>
      <c r="T2056">
        <v>-0.1930684</v>
      </c>
      <c r="U2056">
        <v>-8.0108639999999995E-2</v>
      </c>
      <c r="V2056">
        <v>5.9110059999999999E-3</v>
      </c>
      <c r="W2056">
        <v>3.685099E-2</v>
      </c>
      <c r="X2056">
        <v>0.99930330000000001</v>
      </c>
      <c r="Y2056">
        <v>3.0992390000000002E-2</v>
      </c>
      <c r="Z2056">
        <v>-1.2779239999999999E-3</v>
      </c>
      <c r="AA2056">
        <v>0.99951880000000004</v>
      </c>
      <c r="AB2056">
        <v>64</v>
      </c>
      <c r="AC2056">
        <v>16.4744999999999</v>
      </c>
      <c r="AD2056">
        <v>-1.1017787649224</v>
      </c>
      <c r="AE2056">
        <v>-0.46059999999999901</v>
      </c>
      <c r="AF2056">
        <v>0.53099308295415903</v>
      </c>
      <c r="AG2056">
        <v>-1.1017787649224</v>
      </c>
      <c r="AH2056">
        <v>16.399015066241901</v>
      </c>
      <c r="AI2056">
        <v>93.841671447974704</v>
      </c>
      <c r="AJ2056">
        <v>88.145435153465399</v>
      </c>
      <c r="AK2056">
        <v>16.444560354226802</v>
      </c>
      <c r="AL2056">
        <v>87.888115651869796</v>
      </c>
      <c r="AM2056">
        <v>89.661092136275897</v>
      </c>
      <c r="AN2056">
        <v>1.0000000104233999</v>
      </c>
    </row>
    <row r="2057" spans="1:40" x14ac:dyDescent="0.3">
      <c r="A2057" t="str">
        <f>"20200111153915139"</f>
        <v>20200111153915139</v>
      </c>
      <c r="B2057" t="str">
        <f>"1578728355132853"</f>
        <v>1578728355132853</v>
      </c>
      <c r="C2057" t="s">
        <v>40</v>
      </c>
      <c r="D2057">
        <v>5.3325680000000002</v>
      </c>
      <c r="E2057">
        <v>0.50938430000000001</v>
      </c>
      <c r="F2057" t="s">
        <v>41</v>
      </c>
      <c r="G2057">
        <v>-338.53019999999998</v>
      </c>
      <c r="H2057">
        <v>1.021504</v>
      </c>
      <c r="I2057">
        <v>215.221</v>
      </c>
      <c r="J2057">
        <v>-339.11939999999998</v>
      </c>
      <c r="K2057">
        <v>1.1017589999999999</v>
      </c>
      <c r="L2057">
        <v>215.25839999999999</v>
      </c>
      <c r="M2057">
        <v>0.99988149999999998</v>
      </c>
      <c r="N2057">
        <v>0</v>
      </c>
      <c r="O2057">
        <v>3.451118E-3</v>
      </c>
      <c r="P2057">
        <v>0.99975570000000002</v>
      </c>
      <c r="Q2057">
        <v>2.2017129999999999E-2</v>
      </c>
      <c r="R2057">
        <v>-1.962091E-3</v>
      </c>
      <c r="S2057">
        <v>3.004791</v>
      </c>
      <c r="T2057">
        <v>-0.18942419999999999</v>
      </c>
      <c r="U2057">
        <v>-8.1375119999999995E-2</v>
      </c>
      <c r="V2057">
        <v>5.5500769999999996E-3</v>
      </c>
      <c r="W2057">
        <v>3.6999190000000001E-2</v>
      </c>
      <c r="X2057">
        <v>0.99929990000000002</v>
      </c>
      <c r="Y2057">
        <v>3.045469E-2</v>
      </c>
      <c r="Z2057">
        <v>-1.176147E-3</v>
      </c>
      <c r="AA2057">
        <v>0.99953539999999996</v>
      </c>
      <c r="AB2057">
        <v>64</v>
      </c>
      <c r="AC2057">
        <v>0.58920000000000505</v>
      </c>
      <c r="AD2057">
        <v>-8.0254999999999702E-2</v>
      </c>
      <c r="AE2057">
        <v>-3.7400000000019397E-2</v>
      </c>
      <c r="AF2057">
        <v>3.8717945924852303E-2</v>
      </c>
      <c r="AG2057">
        <v>-8.0254999999999702E-2</v>
      </c>
      <c r="AH2057">
        <v>0.57837967577414295</v>
      </c>
      <c r="AI2057">
        <v>97.882404615128394</v>
      </c>
      <c r="AJ2057">
        <v>86.170214525082898</v>
      </c>
      <c r="AK2057">
        <v>0.58520337807487299</v>
      </c>
      <c r="AL2057">
        <v>87.879618636241304</v>
      </c>
      <c r="AM2057">
        <v>89.681784498885506</v>
      </c>
      <c r="AN2057">
        <v>1.0000000167776799</v>
      </c>
    </row>
    <row r="2058" spans="1:40" x14ac:dyDescent="0.3">
      <c r="A2058" t="str">
        <f>"20200111153915159"</f>
        <v>20200111153915159</v>
      </c>
      <c r="B2058" t="str">
        <f>"1578728355152372"</f>
        <v>1578728355152372</v>
      </c>
      <c r="C2058" t="s">
        <v>40</v>
      </c>
      <c r="D2058">
        <v>5.2516420000000004</v>
      </c>
      <c r="E2058">
        <v>0.50951639999999998</v>
      </c>
      <c r="F2058" t="s">
        <v>41</v>
      </c>
      <c r="G2058">
        <v>-337.95359999999999</v>
      </c>
      <c r="H2058">
        <v>1.0293369999999999</v>
      </c>
      <c r="I2058">
        <v>215.22559999999999</v>
      </c>
      <c r="J2058">
        <v>-338.56009999999998</v>
      </c>
      <c r="K2058">
        <v>1.1017479999999999</v>
      </c>
      <c r="L2058">
        <v>215.2602</v>
      </c>
      <c r="M2058">
        <v>0.99988299999999997</v>
      </c>
      <c r="N2058">
        <v>0</v>
      </c>
      <c r="O2058">
        <v>2.6608479999999999E-3</v>
      </c>
      <c r="P2058">
        <v>0.99976180000000003</v>
      </c>
      <c r="Q2058">
        <v>2.1671159999999998E-2</v>
      </c>
      <c r="R2058">
        <v>-2.6041139999999998E-3</v>
      </c>
      <c r="S2058">
        <v>3.0046390000000001</v>
      </c>
      <c r="T2058">
        <v>-0.1867547</v>
      </c>
      <c r="U2058">
        <v>-8.4167480000000003E-2</v>
      </c>
      <c r="V2058">
        <v>5.4014880000000003E-3</v>
      </c>
      <c r="W2058">
        <v>3.6715190000000002E-2</v>
      </c>
      <c r="X2058">
        <v>0.99931110000000001</v>
      </c>
      <c r="Y2058">
        <v>3.0597409999999998E-2</v>
      </c>
      <c r="Z2058">
        <v>-1.11501E-3</v>
      </c>
      <c r="AA2058">
        <v>0.99953110000000001</v>
      </c>
      <c r="AB2058">
        <v>64</v>
      </c>
      <c r="AC2058">
        <v>0.60649999999998205</v>
      </c>
      <c r="AD2058">
        <v>-7.2410999999999698E-2</v>
      </c>
      <c r="AE2058">
        <v>-3.4600000000011698E-2</v>
      </c>
      <c r="AF2058">
        <v>3.5706542400501001E-2</v>
      </c>
      <c r="AG2058">
        <v>-7.2410999999999698E-2</v>
      </c>
      <c r="AH2058">
        <v>0.59791059652082001</v>
      </c>
      <c r="AI2058">
        <v>96.893114078504993</v>
      </c>
      <c r="AJ2058">
        <v>86.582419956067099</v>
      </c>
      <c r="AK2058">
        <v>0.60333688062564295</v>
      </c>
      <c r="AL2058">
        <v>87.895901513990694</v>
      </c>
      <c r="AM2058">
        <v>89.690307201066204</v>
      </c>
      <c r="AN2058">
        <v>0.99999992791627701</v>
      </c>
    </row>
    <row r="2059" spans="1:40" x14ac:dyDescent="0.3">
      <c r="A2059" t="str">
        <f>"20200111153915181"</f>
        <v>20200111153915181</v>
      </c>
      <c r="B2059" t="str">
        <f>"1578728355172871"</f>
        <v>1578728355172871</v>
      </c>
      <c r="C2059" t="s">
        <v>40</v>
      </c>
      <c r="D2059">
        <v>5.3111119999999996</v>
      </c>
      <c r="E2059">
        <v>0.5096813</v>
      </c>
      <c r="F2059" t="s">
        <v>41</v>
      </c>
      <c r="G2059">
        <v>-337.38170000000002</v>
      </c>
      <c r="H2059">
        <v>1.028505</v>
      </c>
      <c r="I2059">
        <v>215.22579999999999</v>
      </c>
      <c r="J2059">
        <v>-337.91849999999999</v>
      </c>
      <c r="K2059">
        <v>1.101753</v>
      </c>
      <c r="L2059">
        <v>215.26169999999999</v>
      </c>
      <c r="M2059">
        <v>0.99988410000000005</v>
      </c>
      <c r="N2059">
        <v>0</v>
      </c>
      <c r="O2059">
        <v>1.752864E-3</v>
      </c>
      <c r="P2059">
        <v>0.99977890000000003</v>
      </c>
      <c r="Q2059">
        <v>2.0654720000000001E-2</v>
      </c>
      <c r="R2059">
        <v>-3.9845189999999997E-3</v>
      </c>
      <c r="S2059">
        <v>3.004578</v>
      </c>
      <c r="T2059">
        <v>-0.18685660000000001</v>
      </c>
      <c r="U2059">
        <v>-8.6914060000000001E-2</v>
      </c>
      <c r="V2059">
        <v>5.8709239999999996E-3</v>
      </c>
      <c r="W2059">
        <v>3.5758329999999998E-2</v>
      </c>
      <c r="X2059">
        <v>0.99934319999999999</v>
      </c>
      <c r="Y2059">
        <v>3.0604940000000001E-2</v>
      </c>
      <c r="Z2059">
        <v>-1.0594510000000001E-3</v>
      </c>
      <c r="AA2059">
        <v>0.99953099999999995</v>
      </c>
      <c r="AB2059">
        <v>64</v>
      </c>
      <c r="AC2059">
        <v>0.53679999999997097</v>
      </c>
      <c r="AD2059">
        <v>-7.3247999999999897E-2</v>
      </c>
      <c r="AE2059">
        <v>-3.5899999999998003E-2</v>
      </c>
      <c r="AF2059">
        <v>3.61705140671622E-2</v>
      </c>
      <c r="AG2059">
        <v>-7.3247999999999897E-2</v>
      </c>
      <c r="AH2059">
        <v>0.52696808098749204</v>
      </c>
      <c r="AI2059">
        <v>97.895007285946406</v>
      </c>
      <c r="AJ2059">
        <v>86.073438887787106</v>
      </c>
      <c r="AK2059">
        <v>0.53326253756618103</v>
      </c>
      <c r="AL2059">
        <v>87.950761693934993</v>
      </c>
      <c r="AM2059">
        <v>89.663403626205394</v>
      </c>
      <c r="AN2059">
        <v>0.99999997864962098</v>
      </c>
    </row>
    <row r="2060" spans="1:40" x14ac:dyDescent="0.3">
      <c r="A2060" t="str">
        <f>"20200111153915203"</f>
        <v>20200111153915203</v>
      </c>
      <c r="B2060" t="str">
        <f>"1578728355193365"</f>
        <v>1578728355193365</v>
      </c>
      <c r="C2060" t="s">
        <v>40</v>
      </c>
      <c r="D2060">
        <v>5.3075929999999998</v>
      </c>
      <c r="E2060">
        <v>0.50974809999999904</v>
      </c>
      <c r="F2060" t="s">
        <v>41</v>
      </c>
      <c r="G2060">
        <v>-336.80790000000002</v>
      </c>
      <c r="H2060">
        <v>1.032076</v>
      </c>
      <c r="I2060">
        <v>215.22739999999999</v>
      </c>
      <c r="J2060">
        <v>-337.28129999999999</v>
      </c>
      <c r="K2060">
        <v>1.10175499999999</v>
      </c>
      <c r="L2060">
        <v>215.26259999999999</v>
      </c>
      <c r="M2060">
        <v>0.99988440000000001</v>
      </c>
      <c r="N2060">
        <v>0</v>
      </c>
      <c r="O2060">
        <v>8.5011489999999999E-4</v>
      </c>
      <c r="P2060">
        <v>0.99977499999999997</v>
      </c>
      <c r="Q2060">
        <v>2.04633E-2</v>
      </c>
      <c r="R2060">
        <v>-5.5915540000000003E-3</v>
      </c>
      <c r="S2060">
        <v>3.004181</v>
      </c>
      <c r="T2060">
        <v>-0.18854090000000001</v>
      </c>
      <c r="U2060">
        <v>-9.2544559999999998E-2</v>
      </c>
      <c r="V2060">
        <v>6.5755120000000004E-3</v>
      </c>
      <c r="W2060">
        <v>3.5615840000000003E-2</v>
      </c>
      <c r="X2060">
        <v>0.99934389999999995</v>
      </c>
      <c r="Y2060">
        <v>3.1576710000000001E-2</v>
      </c>
      <c r="Z2060">
        <v>-1.042956E-3</v>
      </c>
      <c r="AA2060">
        <v>0.99950079999999997</v>
      </c>
      <c r="AB2060">
        <v>64</v>
      </c>
      <c r="AC2060">
        <v>0.47339999999996901</v>
      </c>
      <c r="AD2060">
        <v>-6.9678999999999797E-2</v>
      </c>
      <c r="AE2060">
        <v>-3.5200000000003201E-2</v>
      </c>
      <c r="AF2060">
        <v>3.4851589644699803E-2</v>
      </c>
      <c r="AG2060">
        <v>-6.9678999999999797E-2</v>
      </c>
      <c r="AH2060">
        <v>0.46338610275980302</v>
      </c>
      <c r="AI2060">
        <v>98.527723347563594</v>
      </c>
      <c r="AJ2060">
        <v>85.698842597723399</v>
      </c>
      <c r="AK2060">
        <v>0.46988985578822801</v>
      </c>
      <c r="AL2060">
        <v>87.958930972018507</v>
      </c>
      <c r="AM2060">
        <v>89.623009007341295</v>
      </c>
      <c r="AN2060">
        <v>0.99999997794208795</v>
      </c>
    </row>
    <row r="2061" spans="1:40" x14ac:dyDescent="0.3">
      <c r="A2061" t="str">
        <f>"20200111153915272"</f>
        <v>20200111153915272</v>
      </c>
      <c r="B2061" t="str">
        <f>"1578728355262662"</f>
        <v>1578728355262662</v>
      </c>
      <c r="C2061" t="s">
        <v>40</v>
      </c>
      <c r="D2061">
        <v>5.2923980000000004</v>
      </c>
      <c r="E2061">
        <v>0.53184779999999998</v>
      </c>
      <c r="F2061" t="s">
        <v>59</v>
      </c>
      <c r="G2061">
        <v>-309.36540000000002</v>
      </c>
      <c r="H2061" s="1">
        <v>9.9200109999999996E-7</v>
      </c>
      <c r="I2061">
        <v>212.53280000000001</v>
      </c>
      <c r="J2061">
        <v>-335.31959999999998</v>
      </c>
      <c r="K2061">
        <v>1.1018330000000001</v>
      </c>
      <c r="L2061">
        <v>215.26179999999999</v>
      </c>
      <c r="M2061">
        <v>0.99988109999999997</v>
      </c>
      <c r="N2061">
        <v>0</v>
      </c>
      <c r="O2061">
        <v>-1.936805E-3</v>
      </c>
      <c r="P2061">
        <v>0.99968250000000003</v>
      </c>
      <c r="Q2061">
        <v>2.2997480000000001E-2</v>
      </c>
      <c r="R2061">
        <v>-1.0296309999999999E-2</v>
      </c>
      <c r="S2061">
        <v>3.0007320000000002</v>
      </c>
      <c r="T2061">
        <v>-0.1241249</v>
      </c>
      <c r="U2061">
        <v>-0.30754090000000001</v>
      </c>
      <c r="V2061">
        <v>8.5048680000000005E-3</v>
      </c>
      <c r="W2061">
        <v>3.8258569999999999E-2</v>
      </c>
      <c r="X2061">
        <v>0.99923169999999994</v>
      </c>
      <c r="Y2061">
        <v>9.9944489999999997E-2</v>
      </c>
      <c r="Z2061">
        <v>-1.9809419999999999E-3</v>
      </c>
      <c r="AA2061">
        <v>0.99499110000000002</v>
      </c>
      <c r="AB2061">
        <v>64</v>
      </c>
      <c r="AC2061">
        <v>25.954199999999901</v>
      </c>
      <c r="AD2061">
        <v>-1.1018320079988999</v>
      </c>
      <c r="AE2061">
        <v>-2.7289999999999801</v>
      </c>
      <c r="AF2061">
        <v>2.6739543305912301</v>
      </c>
      <c r="AG2061">
        <v>-1.1018320079988999</v>
      </c>
      <c r="AH2061">
        <v>25.913245959186199</v>
      </c>
      <c r="AI2061">
        <v>92.421907146273199</v>
      </c>
      <c r="AJ2061">
        <v>84.108574037655202</v>
      </c>
      <c r="AK2061">
        <v>26.0741324242479</v>
      </c>
      <c r="AL2061">
        <v>87.807410343133697</v>
      </c>
      <c r="AM2061">
        <v>89.512344058874305</v>
      </c>
      <c r="AN2061">
        <v>1.0000000206215101</v>
      </c>
    </row>
    <row r="2062" spans="1:40" x14ac:dyDescent="0.3">
      <c r="A2062" t="str">
        <f>"20200111153915295"</f>
        <v>20200111153915295</v>
      </c>
      <c r="B2062" t="str">
        <f>"1578728355292919"</f>
        <v>1578728355292919</v>
      </c>
      <c r="C2062" t="s">
        <v>40</v>
      </c>
      <c r="D2062">
        <v>5.3170710000000003</v>
      </c>
      <c r="E2062">
        <v>0.53084439999999999</v>
      </c>
      <c r="F2062" t="s">
        <v>59</v>
      </c>
      <c r="G2062">
        <v>-310.85469999999998</v>
      </c>
      <c r="H2062" s="1">
        <v>1.2846719999999901E-6</v>
      </c>
      <c r="I2062">
        <v>212.9188</v>
      </c>
      <c r="J2062">
        <v>-334.6653</v>
      </c>
      <c r="K2062">
        <v>1.1018790000000001</v>
      </c>
      <c r="L2062">
        <v>215.2604</v>
      </c>
      <c r="M2062">
        <v>0.99987839999999995</v>
      </c>
      <c r="N2062">
        <v>0</v>
      </c>
      <c r="O2062">
        <v>-2.864372E-3</v>
      </c>
      <c r="P2062">
        <v>0.99964929999999996</v>
      </c>
      <c r="Q2062">
        <v>2.391078E-2</v>
      </c>
      <c r="R2062">
        <v>-1.137665E-2</v>
      </c>
      <c r="S2062">
        <v>3.001099</v>
      </c>
      <c r="T2062">
        <v>-0.13516120000000001</v>
      </c>
      <c r="U2062">
        <v>-0.28741460000000002</v>
      </c>
      <c r="V2062">
        <v>8.6614740000000006E-3</v>
      </c>
      <c r="W2062">
        <v>3.9198669999999998E-2</v>
      </c>
      <c r="X2062">
        <v>0.99919389999999997</v>
      </c>
      <c r="Y2062">
        <v>9.2391630000000002E-2</v>
      </c>
      <c r="Z2062">
        <v>-1.946085E-3</v>
      </c>
      <c r="AA2062">
        <v>0.99572090000000002</v>
      </c>
      <c r="AB2062">
        <v>64</v>
      </c>
      <c r="AC2062">
        <v>23.810600000000001</v>
      </c>
      <c r="AD2062">
        <v>-1.1018777153279999</v>
      </c>
      <c r="AE2062">
        <v>-2.3416000000000001</v>
      </c>
      <c r="AF2062">
        <v>2.26856826767645</v>
      </c>
      <c r="AG2062">
        <v>-1.1018777153279999</v>
      </c>
      <c r="AH2062">
        <v>23.766800284848198</v>
      </c>
      <c r="AI2062">
        <v>92.642456171352805</v>
      </c>
      <c r="AJ2062">
        <v>84.547571162388493</v>
      </c>
      <c r="AK2062">
        <v>23.9002370754874</v>
      </c>
      <c r="AL2062">
        <v>87.753506100274194</v>
      </c>
      <c r="AM2062">
        <v>89.503346172402004</v>
      </c>
      <c r="AN2062">
        <v>1.0000000033294101</v>
      </c>
    </row>
    <row r="2063" spans="1:40" x14ac:dyDescent="0.3">
      <c r="A2063" t="str">
        <f>"20200111153915316"</f>
        <v>20200111153915316</v>
      </c>
      <c r="B2063" t="str">
        <f>"1578728355302677"</f>
        <v>1578728355302677</v>
      </c>
      <c r="C2063" t="s">
        <v>40</v>
      </c>
      <c r="D2063">
        <v>5.2903589999999996</v>
      </c>
      <c r="E2063">
        <v>0.53083239999999998</v>
      </c>
      <c r="F2063" t="s">
        <v>59</v>
      </c>
      <c r="G2063">
        <v>-309.17320000000001</v>
      </c>
      <c r="H2063" s="1">
        <v>1.026091E-6</v>
      </c>
      <c r="I2063">
        <v>212.86150000000001</v>
      </c>
      <c r="J2063">
        <v>-334.07760000000002</v>
      </c>
      <c r="K2063">
        <v>1.1019270000000001</v>
      </c>
      <c r="L2063">
        <v>215.2585</v>
      </c>
      <c r="M2063">
        <v>0.99987550000000003</v>
      </c>
      <c r="N2063">
        <v>0</v>
      </c>
      <c r="O2063">
        <v>-3.691195E-3</v>
      </c>
      <c r="P2063">
        <v>0.99961610000000001</v>
      </c>
      <c r="Q2063">
        <v>2.4561679999999999E-2</v>
      </c>
      <c r="R2063">
        <v>-1.283425E-2</v>
      </c>
      <c r="S2063">
        <v>3.0009459999999999</v>
      </c>
      <c r="T2063">
        <v>-0.12971379999999999</v>
      </c>
      <c r="U2063">
        <v>-0.28239439999999999</v>
      </c>
      <c r="V2063">
        <v>9.2948430000000005E-3</v>
      </c>
      <c r="W2063">
        <v>3.9868109999999998E-2</v>
      </c>
      <c r="X2063">
        <v>0.99916170000000004</v>
      </c>
      <c r="Y2063">
        <v>8.9932059999999994E-2</v>
      </c>
      <c r="Z2063">
        <v>-1.7793069999999999E-3</v>
      </c>
      <c r="AA2063">
        <v>0.99594629999999995</v>
      </c>
      <c r="AB2063">
        <v>64</v>
      </c>
      <c r="AC2063">
        <v>24.904399999999999</v>
      </c>
      <c r="AD2063">
        <v>-1.1019259739089999</v>
      </c>
      <c r="AE2063">
        <v>-2.39699999999999</v>
      </c>
      <c r="AF2063">
        <v>2.3005832703385001</v>
      </c>
      <c r="AG2063">
        <v>-1.1019259739089999</v>
      </c>
      <c r="AH2063">
        <v>24.864847295917301</v>
      </c>
      <c r="AI2063">
        <v>92.526716954951496</v>
      </c>
      <c r="AJ2063">
        <v>84.7138425765352</v>
      </c>
      <c r="AK2063">
        <v>24.9953506733757</v>
      </c>
      <c r="AL2063">
        <v>87.715119954863894</v>
      </c>
      <c r="AM2063">
        <v>89.467013283592607</v>
      </c>
      <c r="AN2063">
        <v>0.99999998152412795</v>
      </c>
    </row>
    <row r="2064" spans="1:40" x14ac:dyDescent="0.3">
      <c r="A2064" t="str">
        <f>"20200111153915336"</f>
        <v>20200111153915336</v>
      </c>
      <c r="B2064" t="str">
        <f>"1578728355332933"</f>
        <v>1578728355332933</v>
      </c>
      <c r="C2064" t="s">
        <v>40</v>
      </c>
      <c r="D2064">
        <v>5.2965980000000004</v>
      </c>
      <c r="E2064">
        <v>0.53105539999999996</v>
      </c>
      <c r="F2064" t="s">
        <v>59</v>
      </c>
      <c r="G2064">
        <v>-307.80059999999997</v>
      </c>
      <c r="H2064" s="1">
        <v>1.2695690000000001E-6</v>
      </c>
      <c r="I2064">
        <v>212.74760000000001</v>
      </c>
      <c r="J2064">
        <v>-333.4742</v>
      </c>
      <c r="K2064">
        <v>1.1019760000000001</v>
      </c>
      <c r="L2064">
        <v>215.2561</v>
      </c>
      <c r="M2064">
        <v>0.99987179999999998</v>
      </c>
      <c r="N2064">
        <v>0</v>
      </c>
      <c r="O2064">
        <v>-4.5329580000000001E-3</v>
      </c>
      <c r="P2064">
        <v>0.99957059999999998</v>
      </c>
      <c r="Q2064">
        <v>2.5569000000000001E-2</v>
      </c>
      <c r="R2064">
        <v>-1.4329110000000001E-2</v>
      </c>
      <c r="S2064">
        <v>3.0005489999999999</v>
      </c>
      <c r="T2064">
        <v>-0.12582789999999999</v>
      </c>
      <c r="U2064">
        <v>-0.28671259999999998</v>
      </c>
      <c r="V2064">
        <v>9.951784E-3</v>
      </c>
      <c r="W2064">
        <v>4.0891039999999997E-2</v>
      </c>
      <c r="X2064">
        <v>0.99911399999999995</v>
      </c>
      <c r="Y2064">
        <v>9.0531349999999997E-2</v>
      </c>
      <c r="Z2064">
        <v>-1.703488E-3</v>
      </c>
      <c r="AA2064">
        <v>0.99589220000000001</v>
      </c>
      <c r="AB2064">
        <v>64</v>
      </c>
      <c r="AC2064">
        <v>25.6736</v>
      </c>
      <c r="AD2064">
        <v>-1.1019747304309999</v>
      </c>
      <c r="AE2064">
        <v>-2.50849999999999</v>
      </c>
      <c r="AF2064">
        <v>2.3877257427380498</v>
      </c>
      <c r="AG2064">
        <v>-1.1019747304309999</v>
      </c>
      <c r="AH2064">
        <v>25.637921337191798</v>
      </c>
      <c r="AI2064">
        <v>92.450592922581706</v>
      </c>
      <c r="AJ2064">
        <v>84.679244354229198</v>
      </c>
      <c r="AK2064">
        <v>25.772438631628901</v>
      </c>
      <c r="AL2064">
        <v>87.656462465467499</v>
      </c>
      <c r="AM2064">
        <v>89.429318009874095</v>
      </c>
      <c r="AN2064">
        <v>0.99999995007652998</v>
      </c>
    </row>
    <row r="2065" spans="1:40" x14ac:dyDescent="0.3">
      <c r="A2065" t="str">
        <f>"20200111153915359"</f>
        <v>20200111153915359</v>
      </c>
      <c r="B2065" t="str">
        <f>"1578728355352453"</f>
        <v>1578728355352453</v>
      </c>
      <c r="C2065" t="s">
        <v>40</v>
      </c>
      <c r="D2065">
        <v>5.3395859999999997</v>
      </c>
      <c r="E2065">
        <v>0.53113599999999905</v>
      </c>
      <c r="F2065" t="s">
        <v>59</v>
      </c>
      <c r="G2065">
        <v>-306.87709999999998</v>
      </c>
      <c r="H2065" s="1">
        <v>1.4333779999999999E-6</v>
      </c>
      <c r="I2065">
        <v>212.65899999999999</v>
      </c>
      <c r="J2065">
        <v>-332.84570000000002</v>
      </c>
      <c r="K2065">
        <v>1.102007</v>
      </c>
      <c r="L2065">
        <v>215.25299999999999</v>
      </c>
      <c r="M2065">
        <v>0.99986710000000001</v>
      </c>
      <c r="N2065">
        <v>0</v>
      </c>
      <c r="O2065">
        <v>-5.4004959999999899E-3</v>
      </c>
      <c r="P2065">
        <v>0.99949290000000002</v>
      </c>
      <c r="Q2065">
        <v>2.734988E-2</v>
      </c>
      <c r="R2065">
        <v>-1.6312879999999998E-2</v>
      </c>
      <c r="S2065">
        <v>3.0002439999999999</v>
      </c>
      <c r="T2065">
        <v>-0.1243065</v>
      </c>
      <c r="U2065">
        <v>-0.29295349999999998</v>
      </c>
      <c r="V2065">
        <v>1.107471E-2</v>
      </c>
      <c r="W2065">
        <v>4.2682860000000003E-2</v>
      </c>
      <c r="X2065">
        <v>0.99902729999999995</v>
      </c>
      <c r="Y2065">
        <v>9.1730709999999993E-2</v>
      </c>
      <c r="Z2065">
        <v>-1.6718449999999999E-3</v>
      </c>
      <c r="AA2065">
        <v>0.99578239999999996</v>
      </c>
      <c r="AB2065">
        <v>64</v>
      </c>
      <c r="AC2065">
        <v>25.968599999999999</v>
      </c>
      <c r="AD2065">
        <v>-1.1020055666220001</v>
      </c>
      <c r="AE2065">
        <v>-2.5939999999999599</v>
      </c>
      <c r="AF2065">
        <v>2.4493350107074199</v>
      </c>
      <c r="AG2065">
        <v>-1.1020055666220001</v>
      </c>
      <c r="AH2065">
        <v>25.935987122906401</v>
      </c>
      <c r="AI2065">
        <v>92.4222377031967</v>
      </c>
      <c r="AJ2065">
        <v>84.605118357172302</v>
      </c>
      <c r="AK2065">
        <v>26.074682861026499</v>
      </c>
      <c r="AL2065">
        <v>87.553709121180802</v>
      </c>
      <c r="AM2065">
        <v>89.364874060994097</v>
      </c>
      <c r="AN2065">
        <v>1.0000000109423199</v>
      </c>
    </row>
    <row r="2066" spans="1:40" x14ac:dyDescent="0.3">
      <c r="A2066" t="str">
        <f>"20200111153915382"</f>
        <v>20200111153915382</v>
      </c>
      <c r="B2066" t="str">
        <f>"1578728355372949"</f>
        <v>1578728355372949</v>
      </c>
      <c r="C2066" t="s">
        <v>40</v>
      </c>
      <c r="D2066">
        <v>5.3055139999999996</v>
      </c>
      <c r="E2066">
        <v>0.53106529999999996</v>
      </c>
      <c r="F2066" t="s">
        <v>59</v>
      </c>
      <c r="G2066">
        <v>-305.34930000000003</v>
      </c>
      <c r="H2066" s="1">
        <v>1.7043849999999999E-6</v>
      </c>
      <c r="I2066">
        <v>212.5103</v>
      </c>
      <c r="J2066">
        <v>-332.17290000000003</v>
      </c>
      <c r="K2066">
        <v>1.1020319999999999</v>
      </c>
      <c r="L2066">
        <v>215.2492</v>
      </c>
      <c r="M2066">
        <v>0.99986169999999996</v>
      </c>
      <c r="N2066">
        <v>0</v>
      </c>
      <c r="O2066">
        <v>-6.3110469999999898E-3</v>
      </c>
      <c r="P2066">
        <v>0.99942969999999998</v>
      </c>
      <c r="Q2066">
        <v>2.854779E-2</v>
      </c>
      <c r="R2066">
        <v>-1.8039400000000001E-2</v>
      </c>
      <c r="S2066">
        <v>2.999908</v>
      </c>
      <c r="T2066">
        <v>-0.1202307</v>
      </c>
      <c r="U2066">
        <v>-0.29924010000000001</v>
      </c>
      <c r="V2066">
        <v>1.18943E-2</v>
      </c>
      <c r="W2066">
        <v>4.3891930000000003E-2</v>
      </c>
      <c r="X2066">
        <v>0.99896549999999995</v>
      </c>
      <c r="Y2066">
        <v>9.2905740000000001E-2</v>
      </c>
      <c r="Z2066">
        <v>-1.6041779999999999E-3</v>
      </c>
      <c r="AA2066">
        <v>0.99567360000000005</v>
      </c>
      <c r="AB2066">
        <v>64</v>
      </c>
      <c r="AC2066">
        <v>26.823599999999999</v>
      </c>
      <c r="AD2066">
        <v>-1.1020302956150001</v>
      </c>
      <c r="AE2066">
        <v>-2.7389000000000001</v>
      </c>
      <c r="AF2066">
        <v>2.5652551213396202</v>
      </c>
      <c r="AG2066">
        <v>-1.1020302956150001</v>
      </c>
      <c r="AH2066">
        <v>26.7955908239934</v>
      </c>
      <c r="AI2066">
        <v>92.344386795231301</v>
      </c>
      <c r="AJ2066">
        <v>84.531498663921695</v>
      </c>
      <c r="AK2066">
        <v>26.940651295336</v>
      </c>
      <c r="AL2066">
        <v>87.484369545319794</v>
      </c>
      <c r="AM2066">
        <v>89.317833310094997</v>
      </c>
      <c r="AN2066">
        <v>1.0000000230409301</v>
      </c>
    </row>
    <row r="2067" spans="1:40" x14ac:dyDescent="0.3">
      <c r="A2067" t="str">
        <f>"20200111153915404"</f>
        <v>20200111153915404</v>
      </c>
      <c r="B2067" t="str">
        <f>"1578728355392469"</f>
        <v>1578728355392469</v>
      </c>
      <c r="C2067" t="s">
        <v>40</v>
      </c>
      <c r="D2067">
        <v>5.3090140000000003</v>
      </c>
      <c r="E2067">
        <v>0.53111790000000003</v>
      </c>
      <c r="F2067" t="s">
        <v>59</v>
      </c>
      <c r="G2067">
        <v>-304.52699999999999</v>
      </c>
      <c r="H2067" s="1">
        <v>1.8502469999999999E-6</v>
      </c>
      <c r="I2067">
        <v>212.4494</v>
      </c>
      <c r="J2067">
        <v>-331.56670000000003</v>
      </c>
      <c r="K2067">
        <v>1.1020540000000001</v>
      </c>
      <c r="L2067">
        <v>215.24520000000001</v>
      </c>
      <c r="M2067">
        <v>0.99985590000000002</v>
      </c>
      <c r="N2067">
        <v>0</v>
      </c>
      <c r="O2067">
        <v>-7.1082039999999999E-3</v>
      </c>
      <c r="P2067">
        <v>0.99937229999999999</v>
      </c>
      <c r="Q2067">
        <v>2.9485770000000001E-2</v>
      </c>
      <c r="R2067">
        <v>-1.9633540000000001E-2</v>
      </c>
      <c r="S2067">
        <v>2.999603</v>
      </c>
      <c r="T2067">
        <v>-0.119571</v>
      </c>
      <c r="U2067">
        <v>-0.30377199999999999</v>
      </c>
      <c r="V2067">
        <v>1.269353E-2</v>
      </c>
      <c r="W2067">
        <v>4.4837519999999999E-2</v>
      </c>
      <c r="X2067">
        <v>0.99891359999999996</v>
      </c>
      <c r="Y2067">
        <v>9.3611979999999997E-2</v>
      </c>
      <c r="Z2067">
        <v>-1.5777790000000001E-3</v>
      </c>
      <c r="AA2067">
        <v>0.99560749999999998</v>
      </c>
      <c r="AB2067">
        <v>64</v>
      </c>
      <c r="AC2067">
        <v>27.0397</v>
      </c>
      <c r="AD2067">
        <v>-1.102052149753</v>
      </c>
      <c r="AE2067">
        <v>-2.7958000000000101</v>
      </c>
      <c r="AF2067">
        <v>2.5992308452418098</v>
      </c>
      <c r="AG2067">
        <v>-1.102052149753</v>
      </c>
      <c r="AH2067">
        <v>27.014492594241698</v>
      </c>
      <c r="AI2067">
        <v>92.325350482294695</v>
      </c>
      <c r="AJ2067">
        <v>84.504137633260797</v>
      </c>
      <c r="AK2067">
        <v>27.161615011850301</v>
      </c>
      <c r="AL2067">
        <v>87.430137655846295</v>
      </c>
      <c r="AM2067">
        <v>89.271962506636697</v>
      </c>
      <c r="AN2067">
        <v>0.99999995458428403</v>
      </c>
    </row>
    <row r="2068" spans="1:40" x14ac:dyDescent="0.3">
      <c r="A2068" t="str">
        <f>"20200111153915425"</f>
        <v>20200111153915425</v>
      </c>
      <c r="B2068" t="str">
        <f>"1578728355422725"</f>
        <v>1578728355422725</v>
      </c>
      <c r="C2068" t="s">
        <v>40</v>
      </c>
      <c r="D2068">
        <v>5.2730880000000004</v>
      </c>
      <c r="E2068">
        <v>0.5309893</v>
      </c>
      <c r="F2068" t="s">
        <v>59</v>
      </c>
      <c r="G2068">
        <v>-303.18650000000002</v>
      </c>
      <c r="H2068" s="1">
        <v>2.0880269999999999E-6</v>
      </c>
      <c r="I2068">
        <v>212.32480000000001</v>
      </c>
      <c r="J2068">
        <v>-330.9477</v>
      </c>
      <c r="K2068">
        <v>1.102069</v>
      </c>
      <c r="L2068">
        <v>215.2406</v>
      </c>
      <c r="M2068">
        <v>0.99985009999999996</v>
      </c>
      <c r="N2068">
        <v>0</v>
      </c>
      <c r="O2068">
        <v>-7.8896419999999901E-3</v>
      </c>
      <c r="P2068">
        <v>0.99936000000000003</v>
      </c>
      <c r="Q2068">
        <v>2.9388060000000001E-2</v>
      </c>
      <c r="R2068">
        <v>-2.0400000000000001E-2</v>
      </c>
      <c r="S2068">
        <v>2.9992369999999999</v>
      </c>
      <c r="T2068">
        <v>-0.11646529999999999</v>
      </c>
      <c r="U2068">
        <v>-0.30862430000000002</v>
      </c>
      <c r="V2068">
        <v>1.267573E-2</v>
      </c>
      <c r="W2068">
        <v>4.4749869999999997E-2</v>
      </c>
      <c r="X2068">
        <v>0.99891779999999997</v>
      </c>
      <c r="Y2068">
        <v>9.4443570000000004E-2</v>
      </c>
      <c r="Z2068">
        <v>-1.5227379999999901E-3</v>
      </c>
      <c r="AA2068">
        <v>0.99552909999999994</v>
      </c>
      <c r="AB2068">
        <v>64</v>
      </c>
      <c r="AC2068">
        <v>27.761199999999899</v>
      </c>
      <c r="AD2068">
        <v>-1.102066911973</v>
      </c>
      <c r="AE2068">
        <v>-2.9157999999999902</v>
      </c>
      <c r="AF2068">
        <v>2.6924604252367499</v>
      </c>
      <c r="AG2068">
        <v>-1.102066911973</v>
      </c>
      <c r="AH2068">
        <v>27.740103401469099</v>
      </c>
      <c r="AI2068">
        <v>92.264436873181296</v>
      </c>
      <c r="AJ2068">
        <v>84.456224472835004</v>
      </c>
      <c r="AK2068">
        <v>27.892243211045798</v>
      </c>
      <c r="AL2068">
        <v>87.435164788604396</v>
      </c>
      <c r="AM2068">
        <v>89.272986372542704</v>
      </c>
      <c r="AN2068">
        <v>0.99999999807644402</v>
      </c>
    </row>
    <row r="2069" spans="1:40" x14ac:dyDescent="0.3">
      <c r="A2069" t="str">
        <f>"20200111153915447"</f>
        <v>20200111153915447</v>
      </c>
      <c r="B2069" t="str">
        <f>"1578728355443221"</f>
        <v>1578728355443221</v>
      </c>
      <c r="C2069" t="s">
        <v>40</v>
      </c>
      <c r="D2069">
        <v>5.312856</v>
      </c>
      <c r="E2069">
        <v>0.53083899999999995</v>
      </c>
      <c r="F2069" t="s">
        <v>59</v>
      </c>
      <c r="G2069">
        <v>-303.32670000000002</v>
      </c>
      <c r="H2069" s="1">
        <v>2.0631530000000002E-6</v>
      </c>
      <c r="I2069">
        <v>212.38570000000001</v>
      </c>
      <c r="J2069">
        <v>-330.32859999999999</v>
      </c>
      <c r="K2069">
        <v>1.102074</v>
      </c>
      <c r="L2069">
        <v>215.23570000000001</v>
      </c>
      <c r="M2069">
        <v>0.99984399999999996</v>
      </c>
      <c r="N2069">
        <v>0</v>
      </c>
      <c r="O2069">
        <v>-8.6257509999999992E-3</v>
      </c>
      <c r="P2069">
        <v>0.9993706</v>
      </c>
      <c r="Q2069">
        <v>2.8719499999999999E-2</v>
      </c>
      <c r="R2069">
        <v>-2.0829489999999999E-2</v>
      </c>
      <c r="S2069">
        <v>2.9991759999999998</v>
      </c>
      <c r="T2069">
        <v>-0.1196661</v>
      </c>
      <c r="U2069">
        <v>-0.30999759999999998</v>
      </c>
      <c r="V2069">
        <v>1.236277E-2</v>
      </c>
      <c r="W2069">
        <v>4.4091529999999997E-2</v>
      </c>
      <c r="X2069">
        <v>0.99895100000000003</v>
      </c>
      <c r="Y2069">
        <v>9.4160960000000002E-2</v>
      </c>
      <c r="Z2069">
        <v>-1.5296509999999999E-3</v>
      </c>
      <c r="AA2069">
        <v>0.99555579999999999</v>
      </c>
      <c r="AB2069">
        <v>64</v>
      </c>
      <c r="AC2069">
        <v>27.0018999999999</v>
      </c>
      <c r="AD2069">
        <v>-1.102071936847</v>
      </c>
      <c r="AE2069">
        <v>-2.8499999999999899</v>
      </c>
      <c r="AF2069">
        <v>2.61265032481626</v>
      </c>
      <c r="AG2069">
        <v>-1.102071936847</v>
      </c>
      <c r="AH2069">
        <v>26.981030864673802</v>
      </c>
      <c r="AI2069">
        <v>92.328135796238698</v>
      </c>
      <c r="AJ2069">
        <v>84.469129839994395</v>
      </c>
      <c r="AK2069">
        <v>27.1296245973701</v>
      </c>
      <c r="AL2069">
        <v>87.472922169402807</v>
      </c>
      <c r="AM2069">
        <v>89.290957830010399</v>
      </c>
      <c r="AN2069">
        <v>1.0000000007504</v>
      </c>
    </row>
    <row r="2070" spans="1:40" x14ac:dyDescent="0.3">
      <c r="A2070" t="str">
        <f>"20200111153915471"</f>
        <v>20200111153915471</v>
      </c>
      <c r="B2070" t="str">
        <f>"1578728355462741"</f>
        <v>1578728355462741</v>
      </c>
      <c r="C2070" t="s">
        <v>40</v>
      </c>
      <c r="D2070">
        <v>5.3070579999999996</v>
      </c>
      <c r="E2070">
        <v>0.5307307</v>
      </c>
      <c r="F2070" t="s">
        <v>59</v>
      </c>
      <c r="G2070">
        <v>-303.76179999999999</v>
      </c>
      <c r="H2070" s="1">
        <v>1.9859739999999998E-6</v>
      </c>
      <c r="I2070">
        <v>212.49100000000001</v>
      </c>
      <c r="J2070">
        <v>-329.63990000000001</v>
      </c>
      <c r="K2070">
        <v>1.102093</v>
      </c>
      <c r="L2070">
        <v>215.2296</v>
      </c>
      <c r="M2070">
        <v>0.99983699999999998</v>
      </c>
      <c r="N2070">
        <v>0</v>
      </c>
      <c r="O2070">
        <v>-9.3783370000000005E-3</v>
      </c>
      <c r="P2070">
        <v>0.99940309999999999</v>
      </c>
      <c r="Q2070">
        <v>2.7647040000000001E-2</v>
      </c>
      <c r="R2070">
        <v>-2.0719459999999999E-2</v>
      </c>
      <c r="S2070">
        <v>2.9989620000000001</v>
      </c>
      <c r="T2070">
        <v>-0.1244065</v>
      </c>
      <c r="U2070">
        <v>-0.30982969999999999</v>
      </c>
      <c r="V2070">
        <v>1.1490510000000001E-2</v>
      </c>
      <c r="W2070">
        <v>4.3030159999999998E-2</v>
      </c>
      <c r="X2070">
        <v>0.99900770000000005</v>
      </c>
      <c r="Y2070">
        <v>9.3359570000000003E-2</v>
      </c>
      <c r="Z2070">
        <v>-1.542622E-3</v>
      </c>
      <c r="AA2070">
        <v>0.9956313</v>
      </c>
      <c r="AB2070">
        <v>64</v>
      </c>
      <c r="AC2070">
        <v>25.8781</v>
      </c>
      <c r="AD2070">
        <v>-1.1020910140260001</v>
      </c>
      <c r="AE2070">
        <v>-2.7386000000000101</v>
      </c>
      <c r="AF2070">
        <v>2.4912886481616701</v>
      </c>
      <c r="AG2070">
        <v>-1.1020910140260001</v>
      </c>
      <c r="AH2070">
        <v>25.856271604805901</v>
      </c>
      <c r="AI2070">
        <v>92.429445723700596</v>
      </c>
      <c r="AJ2070">
        <v>84.496458850791399</v>
      </c>
      <c r="AK2070">
        <v>25.999382781772901</v>
      </c>
      <c r="AL2070">
        <v>87.533791984725198</v>
      </c>
      <c r="AM2070">
        <v>89.341017394114999</v>
      </c>
      <c r="AN2070">
        <v>1.00000000557448</v>
      </c>
    </row>
    <row r="2071" spans="1:40" x14ac:dyDescent="0.3">
      <c r="A2071" t="str">
        <f>"20200111153915493"</f>
        <v>20200111153915493</v>
      </c>
      <c r="B2071" t="str">
        <f>"1578728355483237"</f>
        <v>1578728355483237</v>
      </c>
      <c r="C2071" t="s">
        <v>40</v>
      </c>
      <c r="D2071">
        <v>5.2743840000000004</v>
      </c>
      <c r="E2071">
        <v>0.53063890000000002</v>
      </c>
      <c r="F2071" t="s">
        <v>59</v>
      </c>
      <c r="G2071">
        <v>-304.31979999999999</v>
      </c>
      <c r="H2071" s="1">
        <v>1.887003E-6</v>
      </c>
      <c r="I2071">
        <v>212.62280000000001</v>
      </c>
      <c r="J2071">
        <v>-329.0197</v>
      </c>
      <c r="K2071">
        <v>1.102128</v>
      </c>
      <c r="L2071">
        <v>215.22370000000001</v>
      </c>
      <c r="M2071">
        <v>0.99983109999999997</v>
      </c>
      <c r="N2071">
        <v>0</v>
      </c>
      <c r="O2071">
        <v>-9.9803770000000003E-3</v>
      </c>
      <c r="P2071">
        <v>0.99947750000000002</v>
      </c>
      <c r="Q2071">
        <v>2.571041E-2</v>
      </c>
      <c r="R2071">
        <v>-1.9591020000000001E-2</v>
      </c>
      <c r="S2071">
        <v>2.9990230000000002</v>
      </c>
      <c r="T2071">
        <v>-0.1305366</v>
      </c>
      <c r="U2071">
        <v>-0.30876160000000002</v>
      </c>
      <c r="V2071">
        <v>9.7461479999999996E-3</v>
      </c>
      <c r="W2071">
        <v>4.1105910000000002E-2</v>
      </c>
      <c r="X2071">
        <v>0.99910719999999997</v>
      </c>
      <c r="Y2071">
        <v>9.2401330000000004E-2</v>
      </c>
      <c r="Z2071">
        <v>-1.571652E-3</v>
      </c>
      <c r="AA2071">
        <v>0.99572059999999996</v>
      </c>
      <c r="AB2071">
        <v>63</v>
      </c>
      <c r="AC2071">
        <v>24.6999</v>
      </c>
      <c r="AD2071">
        <v>-1.1021261129969999</v>
      </c>
      <c r="AE2071">
        <v>-2.60089999999999</v>
      </c>
      <c r="AF2071">
        <v>2.3495999946324901</v>
      </c>
      <c r="AG2071">
        <v>-1.1021261129969999</v>
      </c>
      <c r="AH2071">
        <v>24.6760392627931</v>
      </c>
      <c r="AI2071">
        <v>92.545849021379993</v>
      </c>
      <c r="AJ2071">
        <v>84.560816154717102</v>
      </c>
      <c r="AK2071">
        <v>24.812138477016301</v>
      </c>
      <c r="AL2071">
        <v>87.644140937510798</v>
      </c>
      <c r="AM2071">
        <v>89.441105583494704</v>
      </c>
      <c r="AN2071">
        <v>0.99999994016480098</v>
      </c>
    </row>
    <row r="2072" spans="1:40" x14ac:dyDescent="0.3">
      <c r="A2072" t="str">
        <f>"20200111153915515"</f>
        <v>20200111153915515</v>
      </c>
      <c r="B2072" t="str">
        <f>"1578728355512517"</f>
        <v>1578728355512517</v>
      </c>
      <c r="C2072" t="s">
        <v>40</v>
      </c>
      <c r="D2072">
        <v>5.290432</v>
      </c>
      <c r="E2072">
        <v>0.53059889999999998</v>
      </c>
      <c r="F2072" t="s">
        <v>59</v>
      </c>
      <c r="G2072">
        <v>-305.20209999999997</v>
      </c>
      <c r="H2072" s="1">
        <v>1.7304960000000001E-6</v>
      </c>
      <c r="I2072">
        <v>212.80549999999999</v>
      </c>
      <c r="J2072">
        <v>-328.41320000000002</v>
      </c>
      <c r="K2072">
        <v>1.1021860000000001</v>
      </c>
      <c r="L2072">
        <v>215.21770000000001</v>
      </c>
      <c r="M2072">
        <v>0.99982590000000005</v>
      </c>
      <c r="N2072">
        <v>0</v>
      </c>
      <c r="O2072">
        <v>-1.0487109999999999E-2</v>
      </c>
      <c r="P2072">
        <v>0.99954120000000002</v>
      </c>
      <c r="Q2072">
        <v>2.4499170000000001E-2</v>
      </c>
      <c r="R2072">
        <v>-1.781516E-2</v>
      </c>
      <c r="S2072">
        <v>2.9991460000000001</v>
      </c>
      <c r="T2072">
        <v>-0.1387813</v>
      </c>
      <c r="U2072">
        <v>-0.30450440000000001</v>
      </c>
      <c r="V2072">
        <v>7.4516269999999997E-3</v>
      </c>
      <c r="W2072">
        <v>3.9907659999999998E-2</v>
      </c>
      <c r="X2072">
        <v>0.99917560000000005</v>
      </c>
      <c r="Y2072">
        <v>9.04861E-2</v>
      </c>
      <c r="Z2072">
        <v>-1.6033219999999999E-3</v>
      </c>
      <c r="AA2072">
        <v>0.99589640000000001</v>
      </c>
      <c r="AB2072">
        <v>63</v>
      </c>
      <c r="AC2072">
        <v>23.211099999999998</v>
      </c>
      <c r="AD2072">
        <v>-1.1021842695040001</v>
      </c>
      <c r="AE2072">
        <v>-2.4122000000000101</v>
      </c>
      <c r="AF2072">
        <v>2.16379407301448</v>
      </c>
      <c r="AG2072">
        <v>-1.1021842695040001</v>
      </c>
      <c r="AH2072">
        <v>23.183406838616101</v>
      </c>
      <c r="AI2072">
        <v>92.710142351821901</v>
      </c>
      <c r="AJ2072">
        <v>84.667818002554796</v>
      </c>
      <c r="AK2072">
        <v>23.3102373990302</v>
      </c>
      <c r="AL2072">
        <v>87.712852175878993</v>
      </c>
      <c r="AM2072">
        <v>89.572708878696801</v>
      </c>
      <c r="AN2072">
        <v>1.0000000138534899</v>
      </c>
    </row>
    <row r="2073" spans="1:40" x14ac:dyDescent="0.3">
      <c r="A2073" t="str">
        <f>"20200111153915537"</f>
        <v>20200111153915537</v>
      </c>
      <c r="B2073" t="str">
        <f>"1578728355533014"</f>
        <v>1578728355533014</v>
      </c>
      <c r="C2073" t="s">
        <v>40</v>
      </c>
      <c r="D2073">
        <v>5.3058069999999997</v>
      </c>
      <c r="E2073">
        <v>0.53066950000000002</v>
      </c>
      <c r="F2073" t="s">
        <v>41</v>
      </c>
      <c r="G2073">
        <v>-327.12729999999999</v>
      </c>
      <c r="H2073">
        <v>1.0407999999999999</v>
      </c>
      <c r="I2073">
        <v>215.08920000000001</v>
      </c>
      <c r="J2073">
        <v>-327.78269999999998</v>
      </c>
      <c r="K2073">
        <v>1.102285</v>
      </c>
      <c r="L2073">
        <v>215.21109999999999</v>
      </c>
      <c r="M2073">
        <v>0.99982130000000002</v>
      </c>
      <c r="N2073">
        <v>0</v>
      </c>
      <c r="O2073">
        <v>-1.0915390000000001E-2</v>
      </c>
      <c r="P2073">
        <v>0.99957609999999997</v>
      </c>
      <c r="Q2073">
        <v>2.4630160000000002E-2</v>
      </c>
      <c r="R2073">
        <v>-1.5529980000000001E-2</v>
      </c>
      <c r="S2073">
        <v>2.9995729999999998</v>
      </c>
      <c r="T2073">
        <v>-0.1433461</v>
      </c>
      <c r="U2073">
        <v>-0.29884339999999998</v>
      </c>
      <c r="V2073">
        <v>4.728833E-3</v>
      </c>
      <c r="W2073">
        <v>4.005011E-2</v>
      </c>
      <c r="X2073">
        <v>0.99918649999999998</v>
      </c>
      <c r="Y2073">
        <v>8.8181750000000003E-2</v>
      </c>
      <c r="Z2073">
        <v>-1.5806240000000001E-3</v>
      </c>
      <c r="AA2073">
        <v>0.99610319999999997</v>
      </c>
      <c r="AB2073">
        <v>63</v>
      </c>
      <c r="AC2073">
        <v>0.65539999999998599</v>
      </c>
      <c r="AD2073">
        <v>-6.1484999999999998E-2</v>
      </c>
      <c r="AE2073">
        <v>-0.12189999999998199</v>
      </c>
      <c r="AF2073">
        <v>0.113770140786599</v>
      </c>
      <c r="AG2073">
        <v>-6.1484999999999998E-2</v>
      </c>
      <c r="AH2073">
        <v>0.65115259887645205</v>
      </c>
      <c r="AI2073">
        <v>95.314120733227199</v>
      </c>
      <c r="AJ2073">
        <v>80.089256556985902</v>
      </c>
      <c r="AK2073">
        <v>0.66387028641381496</v>
      </c>
      <c r="AL2073">
        <v>87.704683870151598</v>
      </c>
      <c r="AM2073">
        <v>89.728839260669503</v>
      </c>
      <c r="AN2073">
        <v>1.0000000174774</v>
      </c>
    </row>
    <row r="2074" spans="1:40" x14ac:dyDescent="0.3">
      <c r="A2074" t="str">
        <f>"20200111153915560"</f>
        <v>20200111153915560</v>
      </c>
      <c r="B2074" t="str">
        <f>"1578728355552533"</f>
        <v>1578728355552533</v>
      </c>
      <c r="C2074" t="s">
        <v>40</v>
      </c>
      <c r="D2074">
        <v>5.165864</v>
      </c>
      <c r="E2074">
        <v>0.50888489999999997</v>
      </c>
      <c r="F2074" t="s">
        <v>41</v>
      </c>
      <c r="G2074">
        <v>-326.55959999999999</v>
      </c>
      <c r="H2074">
        <v>1.043774</v>
      </c>
      <c r="I2074">
        <v>215.09139999999999</v>
      </c>
      <c r="J2074">
        <v>-327.13740000000001</v>
      </c>
      <c r="K2074">
        <v>1.102403</v>
      </c>
      <c r="L2074">
        <v>215.20400000000001</v>
      </c>
      <c r="M2074">
        <v>0.99981730000000002</v>
      </c>
      <c r="N2074">
        <v>0</v>
      </c>
      <c r="O2074">
        <v>-1.126543E-2</v>
      </c>
      <c r="P2074">
        <v>0.99954509999999996</v>
      </c>
      <c r="Q2074">
        <v>2.6824009999999999E-2</v>
      </c>
      <c r="R2074">
        <v>-1.379061E-2</v>
      </c>
      <c r="S2074">
        <v>3.0002140000000002</v>
      </c>
      <c r="T2074">
        <v>-0.1435671</v>
      </c>
      <c r="U2074">
        <v>-0.29310609999999998</v>
      </c>
      <c r="V2074">
        <v>2.6351909999999998E-3</v>
      </c>
      <c r="W2074">
        <v>4.2250759999999998E-2</v>
      </c>
      <c r="X2074">
        <v>0.99910350000000003</v>
      </c>
      <c r="Y2074">
        <v>8.5927999999999893E-2</v>
      </c>
      <c r="Z2074">
        <v>-1.5124069999999999E-3</v>
      </c>
      <c r="AA2074">
        <v>0.99630019999999997</v>
      </c>
      <c r="AB2074">
        <v>63</v>
      </c>
      <c r="AC2074">
        <v>0.57780000000002396</v>
      </c>
      <c r="AD2074">
        <v>-5.8629000000000001E-2</v>
      </c>
      <c r="AE2074">
        <v>-0.11260000000001399</v>
      </c>
      <c r="AF2074">
        <v>0.105040975770424</v>
      </c>
      <c r="AG2074">
        <v>-5.8629000000000001E-2</v>
      </c>
      <c r="AH2074">
        <v>0.57334477125018102</v>
      </c>
      <c r="AI2074">
        <v>95.743705485771201</v>
      </c>
      <c r="AJ2074">
        <v>79.618125967039006</v>
      </c>
      <c r="AK2074">
        <v>0.58582863787265105</v>
      </c>
      <c r="AL2074">
        <v>87.578488803531798</v>
      </c>
      <c r="AM2074">
        <v>89.848879548122397</v>
      </c>
      <c r="AN2074">
        <v>0.99999993733221504</v>
      </c>
    </row>
    <row r="2075" spans="1:40" x14ac:dyDescent="0.3">
      <c r="A2075" t="str">
        <f>"20200111153915583"</f>
        <v>20200111153915583</v>
      </c>
      <c r="B2075" t="str">
        <f>"1578728355573029"</f>
        <v>1578728355573029</v>
      </c>
      <c r="C2075" t="s">
        <v>40</v>
      </c>
      <c r="D2075">
        <v>5.3671579999999999</v>
      </c>
      <c r="E2075">
        <v>0.49106739999999999</v>
      </c>
      <c r="F2075" t="s">
        <v>41</v>
      </c>
      <c r="G2075">
        <v>-325.9984</v>
      </c>
      <c r="H2075">
        <v>1.0375030000000001</v>
      </c>
      <c r="I2075">
        <v>215.1602</v>
      </c>
      <c r="J2075">
        <v>-326.4769</v>
      </c>
      <c r="K2075">
        <v>1.102538</v>
      </c>
      <c r="L2075">
        <v>215.19669999999999</v>
      </c>
      <c r="M2075">
        <v>0.99981419999999999</v>
      </c>
      <c r="N2075">
        <v>0</v>
      </c>
      <c r="O2075">
        <v>-1.153682E-2</v>
      </c>
      <c r="P2075">
        <v>0.99948720000000002</v>
      </c>
      <c r="Q2075">
        <v>2.9647819999999998E-2</v>
      </c>
      <c r="R2075">
        <v>-1.2109470000000001E-2</v>
      </c>
      <c r="S2075">
        <v>3.0043639999999998</v>
      </c>
      <c r="T2075">
        <v>-0.1713054</v>
      </c>
      <c r="U2075">
        <v>-0.114624</v>
      </c>
      <c r="V2075">
        <v>6.7828649999999904E-4</v>
      </c>
      <c r="W2075">
        <v>4.5079029999999999E-2</v>
      </c>
      <c r="X2075">
        <v>0.99898319999999996</v>
      </c>
      <c r="Y2075">
        <v>2.6568060000000001E-2</v>
      </c>
      <c r="Z2075" s="1">
        <v>-9.9475550000000003E-5</v>
      </c>
      <c r="AA2075">
        <v>0.99964699999999995</v>
      </c>
      <c r="AB2075">
        <v>63</v>
      </c>
      <c r="AC2075">
        <v>0.47849999999999598</v>
      </c>
      <c r="AD2075">
        <v>-6.5034999999999898E-2</v>
      </c>
      <c r="AE2075">
        <v>-3.6499999999989499E-2</v>
      </c>
      <c r="AF2075">
        <v>3.0417893524795798E-2</v>
      </c>
      <c r="AG2075">
        <v>-6.5034999999999898E-2</v>
      </c>
      <c r="AH2075">
        <v>0.47025270722309398</v>
      </c>
      <c r="AI2075">
        <v>97.857728649673504</v>
      </c>
      <c r="AJ2075">
        <v>86.299027508448503</v>
      </c>
      <c r="AK2075">
        <v>0.47570201610055701</v>
      </c>
      <c r="AL2075">
        <v>87.416286279831397</v>
      </c>
      <c r="AM2075">
        <v>89.961097496155404</v>
      </c>
      <c r="AN2075">
        <v>1.0000000064502701</v>
      </c>
    </row>
    <row r="2076" spans="1:40" x14ac:dyDescent="0.3">
      <c r="A2076" t="str">
        <f>"20200111153915604"</f>
        <v>20200111153915604</v>
      </c>
      <c r="B2076" t="str">
        <f>"1578728355592549"</f>
        <v>1578728355592549</v>
      </c>
      <c r="C2076" t="s">
        <v>40</v>
      </c>
      <c r="D2076">
        <v>5.2699660000000002</v>
      </c>
      <c r="E2076">
        <v>0.48670479999999999</v>
      </c>
      <c r="F2076" t="s">
        <v>59</v>
      </c>
      <c r="G2076">
        <v>-304.5598</v>
      </c>
      <c r="H2076" s="1">
        <v>1.8444230000000001E-6</v>
      </c>
      <c r="I2076">
        <v>215.43360000000001</v>
      </c>
      <c r="J2076">
        <v>-325.88659999999999</v>
      </c>
      <c r="K2076">
        <v>1.102657</v>
      </c>
      <c r="L2076">
        <v>215.18989999999999</v>
      </c>
      <c r="M2076">
        <v>0.99981220000000004</v>
      </c>
      <c r="N2076">
        <v>0</v>
      </c>
      <c r="O2076">
        <v>-1.1716020000000001E-2</v>
      </c>
      <c r="P2076">
        <v>0.99944049999999995</v>
      </c>
      <c r="Q2076">
        <v>3.1817749999999999E-2</v>
      </c>
      <c r="R2076">
        <v>-1.032546E-2</v>
      </c>
      <c r="S2076">
        <v>3.0064090000000001</v>
      </c>
      <c r="T2076">
        <v>-0.15123719999999999</v>
      </c>
      <c r="U2076">
        <v>3.2501219999999997E-2</v>
      </c>
      <c r="V2076">
        <v>-1.29061E-3</v>
      </c>
      <c r="W2076">
        <v>4.7252530000000001E-2</v>
      </c>
      <c r="X2076">
        <v>0.99888209999999999</v>
      </c>
      <c r="Y2076">
        <v>-2.2482760000000001E-2</v>
      </c>
      <c r="Z2076">
        <v>1.1541769999999999E-3</v>
      </c>
      <c r="AA2076">
        <v>0.99974660000000004</v>
      </c>
      <c r="AB2076">
        <v>63</v>
      </c>
      <c r="AC2076">
        <v>21.326799999999899</v>
      </c>
      <c r="AD2076">
        <v>-1.1026551555769999</v>
      </c>
      <c r="AE2076">
        <v>0.24370000000001801</v>
      </c>
      <c r="AF2076">
        <v>-0.49226252770836498</v>
      </c>
      <c r="AG2076">
        <v>-1.1026551555769999</v>
      </c>
      <c r="AH2076">
        <v>21.265640911786999</v>
      </c>
      <c r="AI2076">
        <v>92.967419815943799</v>
      </c>
      <c r="AJ2076">
        <v>91.326060627923198</v>
      </c>
      <c r="AK2076">
        <v>21.299897985140099</v>
      </c>
      <c r="AL2076">
        <v>87.291620829967798</v>
      </c>
      <c r="AM2076">
        <v>90.074029222115897</v>
      </c>
      <c r="AN2076">
        <v>0.99999995848298995</v>
      </c>
    </row>
    <row r="2077" spans="1:40" x14ac:dyDescent="0.3">
      <c r="A2077" t="str">
        <f>"20200111153915626"</f>
        <v>20200111153915626</v>
      </c>
      <c r="B2077" t="str">
        <f>"1578728355622805"</f>
        <v>1578728355622805</v>
      </c>
      <c r="C2077" t="s">
        <v>40</v>
      </c>
      <c r="D2077">
        <v>5.1667160000000001</v>
      </c>
      <c r="E2077">
        <v>0.48251240000000001</v>
      </c>
      <c r="F2077" t="s">
        <v>59</v>
      </c>
      <c r="G2077">
        <v>-303.99939999999998</v>
      </c>
      <c r="H2077" s="1">
        <v>1.9438380000000001E-6</v>
      </c>
      <c r="I2077">
        <v>215.71709999999999</v>
      </c>
      <c r="J2077">
        <v>-325.27229999999997</v>
      </c>
      <c r="K2077">
        <v>1.1027720000000001</v>
      </c>
      <c r="L2077">
        <v>215.18279999999999</v>
      </c>
      <c r="M2077">
        <v>0.99981059999999999</v>
      </c>
      <c r="N2077">
        <v>0</v>
      </c>
      <c r="O2077">
        <v>-1.1847669999999999E-2</v>
      </c>
      <c r="P2077">
        <v>0.99936879999999995</v>
      </c>
      <c r="Q2077">
        <v>3.4379340000000001E-2</v>
      </c>
      <c r="R2077">
        <v>-8.9726900000000002E-3</v>
      </c>
      <c r="S2077">
        <v>3.0072329999999998</v>
      </c>
      <c r="T2077">
        <v>-0.1515012</v>
      </c>
      <c r="U2077">
        <v>7.243347E-2</v>
      </c>
      <c r="V2077">
        <v>-2.781094E-3</v>
      </c>
      <c r="W2077">
        <v>4.9814400000000002E-2</v>
      </c>
      <c r="X2077">
        <v>0.99875460000000005</v>
      </c>
      <c r="Y2077">
        <v>-3.586292E-2</v>
      </c>
      <c r="Z2077">
        <v>1.4991550000000001E-3</v>
      </c>
      <c r="AA2077">
        <v>0.99935560000000001</v>
      </c>
      <c r="AB2077">
        <v>63</v>
      </c>
      <c r="AC2077">
        <v>21.2729</v>
      </c>
      <c r="AD2077">
        <v>-1.102770056162</v>
      </c>
      <c r="AE2077">
        <v>0.534300000000001</v>
      </c>
      <c r="AF2077">
        <v>-0.78422072762930595</v>
      </c>
      <c r="AG2077">
        <v>-1.102770056162</v>
      </c>
      <c r="AH2077">
        <v>21.208118919614499</v>
      </c>
      <c r="AI2077">
        <v>92.974529791900693</v>
      </c>
      <c r="AJ2077">
        <v>92.117683124086099</v>
      </c>
      <c r="AK2077">
        <v>21.251244953059199</v>
      </c>
      <c r="AL2077">
        <v>87.144663324987107</v>
      </c>
      <c r="AM2077">
        <v>90.159543231929902</v>
      </c>
      <c r="AN2077">
        <v>0.99999997997617796</v>
      </c>
    </row>
    <row r="2078" spans="1:40" x14ac:dyDescent="0.3">
      <c r="A2078" t="str">
        <f>"20200111153915649"</f>
        <v>20200111153915649</v>
      </c>
      <c r="B2078" t="str">
        <f>"1578728355642326"</f>
        <v>1578728355642326</v>
      </c>
      <c r="C2078" t="s">
        <v>40</v>
      </c>
      <c r="D2078">
        <v>5.1909859999999997</v>
      </c>
      <c r="E2078">
        <v>0.48122280000000001</v>
      </c>
      <c r="F2078" t="s">
        <v>59</v>
      </c>
      <c r="G2078">
        <v>-303.47800000000001</v>
      </c>
      <c r="H2078" s="1">
        <v>2.0363229999999999E-6</v>
      </c>
      <c r="I2078">
        <v>215.976</v>
      </c>
      <c r="J2078">
        <v>-324.62360000000001</v>
      </c>
      <c r="K2078">
        <v>1.1028800000000001</v>
      </c>
      <c r="L2078">
        <v>215.17509999999999</v>
      </c>
      <c r="M2078">
        <v>0.99980970000000002</v>
      </c>
      <c r="N2078">
        <v>0</v>
      </c>
      <c r="O2078">
        <v>-1.1932180000000001E-2</v>
      </c>
      <c r="P2078">
        <v>0.99933530000000004</v>
      </c>
      <c r="Q2078">
        <v>3.5631629999999997E-2</v>
      </c>
      <c r="R2078">
        <v>-7.7253449999999998E-3</v>
      </c>
      <c r="S2078">
        <v>3.0081479999999998</v>
      </c>
      <c r="T2078">
        <v>-0.15220929999999999</v>
      </c>
      <c r="U2078">
        <v>0.1094818</v>
      </c>
      <c r="V2078">
        <v>-4.1224069999999998E-3</v>
      </c>
      <c r="W2078">
        <v>5.1066889999999997E-2</v>
      </c>
      <c r="X2078">
        <v>0.99868670000000004</v>
      </c>
      <c r="Y2078">
        <v>-4.821727E-2</v>
      </c>
      <c r="Z2078">
        <v>1.821956E-3</v>
      </c>
      <c r="AA2078">
        <v>0.99883520000000003</v>
      </c>
      <c r="AB2078">
        <v>63</v>
      </c>
      <c r="AC2078">
        <v>21.145600000000002</v>
      </c>
      <c r="AD2078">
        <v>-1.1028779636770001</v>
      </c>
      <c r="AE2078">
        <v>0.80090000000001205</v>
      </c>
      <c r="AF2078">
        <v>-1.05033301376132</v>
      </c>
      <c r="AG2078">
        <v>-1.1028779636770001</v>
      </c>
      <c r="AH2078">
        <v>21.077282498228101</v>
      </c>
      <c r="AI2078">
        <v>92.991589480275493</v>
      </c>
      <c r="AJ2078">
        <v>92.852830229085896</v>
      </c>
      <c r="AK2078">
        <v>21.132235488766302</v>
      </c>
      <c r="AL2078">
        <v>87.072809442232696</v>
      </c>
      <c r="AM2078">
        <v>90.236505784080407</v>
      </c>
      <c r="AN2078">
        <v>0.99999997312531697</v>
      </c>
    </row>
    <row r="2079" spans="1:40" x14ac:dyDescent="0.3">
      <c r="A2079" t="str">
        <f>"20200111153915672"</f>
        <v>20200111153915672</v>
      </c>
      <c r="B2079" t="str">
        <f>"1578728355662821"</f>
        <v>1578728355662821</v>
      </c>
      <c r="C2079" t="s">
        <v>40</v>
      </c>
      <c r="D2079">
        <v>5.2061320000000002</v>
      </c>
      <c r="E2079">
        <v>0.48071970000000003</v>
      </c>
      <c r="F2079" t="s">
        <v>59</v>
      </c>
      <c r="G2079">
        <v>-303.23599999999999</v>
      </c>
      <c r="H2079" s="1">
        <v>2.0792439999999999E-6</v>
      </c>
      <c r="I2079">
        <v>216.05019999999999</v>
      </c>
      <c r="J2079">
        <v>-323.9699</v>
      </c>
      <c r="K2079">
        <v>1.102984</v>
      </c>
      <c r="L2079">
        <v>215.16730000000001</v>
      </c>
      <c r="M2079">
        <v>0.99980930000000001</v>
      </c>
      <c r="N2079">
        <v>0</v>
      </c>
      <c r="O2079">
        <v>-1.1963659999999999E-2</v>
      </c>
      <c r="P2079">
        <v>0.99931820000000005</v>
      </c>
      <c r="Q2079">
        <v>3.6294559999999997E-2</v>
      </c>
      <c r="R2079">
        <v>-6.7757879999999996E-3</v>
      </c>
      <c r="S2079">
        <v>3.0084529999999998</v>
      </c>
      <c r="T2079">
        <v>-0.15513489999999999</v>
      </c>
      <c r="U2079">
        <v>0.1230927</v>
      </c>
      <c r="V2079">
        <v>-5.1156070000000003E-3</v>
      </c>
      <c r="W2079">
        <v>5.1727860000000001E-2</v>
      </c>
      <c r="X2079">
        <v>0.99864810000000004</v>
      </c>
      <c r="Y2079">
        <v>-5.274769E-2</v>
      </c>
      <c r="Z2079">
        <v>1.9748880000000002E-3</v>
      </c>
      <c r="AA2079">
        <v>0.99860590000000005</v>
      </c>
      <c r="AB2079">
        <v>63</v>
      </c>
      <c r="AC2079">
        <v>20.733899999999998</v>
      </c>
      <c r="AD2079">
        <v>-1.1029819207560001</v>
      </c>
      <c r="AE2079">
        <v>0.88289999999997804</v>
      </c>
      <c r="AF2079">
        <v>-1.12773405568606</v>
      </c>
      <c r="AG2079">
        <v>-1.1029819207560001</v>
      </c>
      <c r="AH2079">
        <v>20.663481562684101</v>
      </c>
      <c r="AI2079">
        <v>93.050921014029797</v>
      </c>
      <c r="AJ2079">
        <v>93.123886136204007</v>
      </c>
      <c r="AK2079">
        <v>20.723605465971801</v>
      </c>
      <c r="AL2079">
        <v>87.034888561472897</v>
      </c>
      <c r="AM2079">
        <v>90.293496905550199</v>
      </c>
      <c r="AN2079">
        <v>0.99999998428438297</v>
      </c>
    </row>
    <row r="2080" spans="1:40" x14ac:dyDescent="0.3">
      <c r="A2080" t="str">
        <f>"20200111153915695"</f>
        <v>20200111153915695</v>
      </c>
      <c r="B2080" t="str">
        <f>"1578728355683317"</f>
        <v>1578728355683317</v>
      </c>
      <c r="C2080" t="s">
        <v>40</v>
      </c>
      <c r="D2080">
        <v>5.2395500000000004</v>
      </c>
      <c r="E2080">
        <v>0.4802942</v>
      </c>
      <c r="F2080" t="s">
        <v>59</v>
      </c>
      <c r="G2080">
        <v>-302.96660000000003</v>
      </c>
      <c r="H2080" s="1">
        <v>2.1270300000000001E-6</v>
      </c>
      <c r="I2080">
        <v>216.0737</v>
      </c>
      <c r="J2080">
        <v>-323.34539999999998</v>
      </c>
      <c r="K2080">
        <v>1.103083</v>
      </c>
      <c r="L2080">
        <v>215.15989999999999</v>
      </c>
      <c r="M2080">
        <v>0.99980959999999997</v>
      </c>
      <c r="N2080">
        <v>0</v>
      </c>
      <c r="O2080">
        <v>-1.194458E-2</v>
      </c>
      <c r="P2080">
        <v>0.99932399999999999</v>
      </c>
      <c r="Q2080">
        <v>3.6187579999999997E-2</v>
      </c>
      <c r="R2080">
        <v>-6.5258319999999996E-3</v>
      </c>
      <c r="S2080">
        <v>3.0086360000000001</v>
      </c>
      <c r="T2080">
        <v>-0.157998</v>
      </c>
      <c r="U2080">
        <v>0.12983699999999901</v>
      </c>
      <c r="V2080">
        <v>-5.3589719999999896E-3</v>
      </c>
      <c r="W2080">
        <v>5.1618820000000003E-2</v>
      </c>
      <c r="X2080">
        <v>0.99865250000000005</v>
      </c>
      <c r="Y2080">
        <v>-5.495444E-2</v>
      </c>
      <c r="Z2080">
        <v>2.0679460000000002E-3</v>
      </c>
      <c r="AA2080">
        <v>0.99848669999999995</v>
      </c>
      <c r="AB2080">
        <v>63</v>
      </c>
      <c r="AC2080">
        <v>20.378799999999899</v>
      </c>
      <c r="AD2080">
        <v>-1.1030808729699999</v>
      </c>
      <c r="AE2080">
        <v>0.91380000000000905</v>
      </c>
      <c r="AF2080">
        <v>-1.1538061948320999</v>
      </c>
      <c r="AG2080">
        <v>-1.1030808729699999</v>
      </c>
      <c r="AH2080">
        <v>20.307050714157199</v>
      </c>
      <c r="AI2080">
        <v>93.104259446916203</v>
      </c>
      <c r="AJ2080">
        <v>93.251935743387904</v>
      </c>
      <c r="AK2080">
        <v>20.369692311247501</v>
      </c>
      <c r="AL2080">
        <v>87.041144552191</v>
      </c>
      <c r="AM2080">
        <v>90.307457830355503</v>
      </c>
      <c r="AN2080">
        <v>1.0000000184576601</v>
      </c>
    </row>
    <row r="2081" spans="1:40" x14ac:dyDescent="0.3">
      <c r="A2081" t="str">
        <f>"20200111153915717"</f>
        <v>20200111153915717</v>
      </c>
      <c r="B2081" t="str">
        <f>"1578728355712599"</f>
        <v>1578728355712599</v>
      </c>
      <c r="C2081" t="s">
        <v>40</v>
      </c>
      <c r="D2081">
        <v>5.2232269999999996</v>
      </c>
      <c r="E2081">
        <v>0.47991640000000002</v>
      </c>
      <c r="F2081" t="s">
        <v>59</v>
      </c>
      <c r="G2081">
        <v>-302.64699999999999</v>
      </c>
      <c r="H2081" s="1">
        <v>2.183732E-6</v>
      </c>
      <c r="I2081">
        <v>216.0814</v>
      </c>
      <c r="J2081">
        <v>-322.72190000000001</v>
      </c>
      <c r="K2081">
        <v>1.103173</v>
      </c>
      <c r="L2081">
        <v>215.1525</v>
      </c>
      <c r="M2081">
        <v>0.99981030000000004</v>
      </c>
      <c r="N2081">
        <v>0</v>
      </c>
      <c r="O2081">
        <v>-1.1880369999999999E-2</v>
      </c>
      <c r="P2081">
        <v>0.99933209999999995</v>
      </c>
      <c r="Q2081">
        <v>3.6099319999999997E-2</v>
      </c>
      <c r="R2081">
        <v>-5.6984779999999999E-3</v>
      </c>
      <c r="S2081">
        <v>3.0086979999999999</v>
      </c>
      <c r="T2081">
        <v>-0.1603424</v>
      </c>
      <c r="U2081">
        <v>0.1339417</v>
      </c>
      <c r="V2081">
        <v>-6.1351959999999999E-3</v>
      </c>
      <c r="W2081">
        <v>5.1528350000000001E-2</v>
      </c>
      <c r="X2081">
        <v>0.99865269999999995</v>
      </c>
      <c r="Y2081">
        <v>-5.6244490000000001E-2</v>
      </c>
      <c r="Z2081">
        <v>2.1294E-3</v>
      </c>
      <c r="AA2081">
        <v>0.99841480000000005</v>
      </c>
      <c r="AB2081">
        <v>63</v>
      </c>
      <c r="AC2081">
        <v>20.0749</v>
      </c>
      <c r="AD2081">
        <v>-1.1031708162680001</v>
      </c>
      <c r="AE2081">
        <v>0.92889999999999795</v>
      </c>
      <c r="AF2081">
        <v>-1.1638529815335099</v>
      </c>
      <c r="AG2081">
        <v>-1.1031708162680001</v>
      </c>
      <c r="AH2081">
        <v>20.002172315574501</v>
      </c>
      <c r="AI2081">
        <v>93.151490518675502</v>
      </c>
      <c r="AJ2081">
        <v>93.330076314728302</v>
      </c>
      <c r="AK2081">
        <v>20.066350862935298</v>
      </c>
      <c r="AL2081">
        <v>87.046334993645502</v>
      </c>
      <c r="AM2081">
        <v>90.351990651993901</v>
      </c>
      <c r="AN2081">
        <v>1.0000000133504801</v>
      </c>
    </row>
    <row r="2082" spans="1:40" x14ac:dyDescent="0.3">
      <c r="A2082" t="str">
        <f>"20200111153915739"</f>
        <v>20200111153915739</v>
      </c>
      <c r="B2082" t="str">
        <f>"1578728355733093"</f>
        <v>1578728355733093</v>
      </c>
      <c r="C2082" t="s">
        <v>40</v>
      </c>
      <c r="D2082">
        <v>5.2187970000000004</v>
      </c>
      <c r="E2082">
        <v>0.47996919999999998</v>
      </c>
      <c r="F2082" t="s">
        <v>59</v>
      </c>
      <c r="G2082">
        <v>-302.37569999999999</v>
      </c>
      <c r="H2082" s="1">
        <v>2.2318419999999998E-6</v>
      </c>
      <c r="I2082">
        <v>216.09610000000001</v>
      </c>
      <c r="J2082">
        <v>-322.08170000000001</v>
      </c>
      <c r="K2082">
        <v>1.1032679999999999</v>
      </c>
      <c r="L2082">
        <v>215.14490000000001</v>
      </c>
      <c r="M2082">
        <v>0.99981149999999996</v>
      </c>
      <c r="N2082">
        <v>0</v>
      </c>
      <c r="O2082">
        <v>-1.1775209999999999E-2</v>
      </c>
      <c r="P2082">
        <v>0.99936769999999997</v>
      </c>
      <c r="Q2082">
        <v>3.5229009999999998E-2</v>
      </c>
      <c r="R2082">
        <v>-4.8434519999999998E-3</v>
      </c>
      <c r="S2082">
        <v>3.0087280000000001</v>
      </c>
      <c r="T2082">
        <v>-0.16313359999999999</v>
      </c>
      <c r="U2082">
        <v>0.13954159999999999</v>
      </c>
      <c r="V2082">
        <v>-6.8983650000000001E-3</v>
      </c>
      <c r="W2082">
        <v>5.0656390000000003E-2</v>
      </c>
      <c r="X2082">
        <v>0.99869229999999998</v>
      </c>
      <c r="Y2082">
        <v>-5.7987629999999998E-2</v>
      </c>
      <c r="Z2082">
        <v>2.2078029999999999E-3</v>
      </c>
      <c r="AA2082">
        <v>0.99831490000000001</v>
      </c>
      <c r="AB2082">
        <v>63</v>
      </c>
      <c r="AC2082">
        <v>19.706</v>
      </c>
      <c r="AD2082">
        <v>-1.103265768158</v>
      </c>
      <c r="AE2082">
        <v>0.95120000000000005</v>
      </c>
      <c r="AF2082">
        <v>-1.17951542462468</v>
      </c>
      <c r="AG2082">
        <v>-1.103265768158</v>
      </c>
      <c r="AH2082">
        <v>19.632038656880301</v>
      </c>
      <c r="AI2082">
        <v>93.210702152244295</v>
      </c>
      <c r="AJ2082">
        <v>93.438263113144203</v>
      </c>
      <c r="AK2082">
        <v>19.698360180922698</v>
      </c>
      <c r="AL2082">
        <v>87.096359872271904</v>
      </c>
      <c r="AM2082">
        <v>90.395758447511994</v>
      </c>
      <c r="AN2082">
        <v>0.99999998368339704</v>
      </c>
    </row>
    <row r="2083" spans="1:40" x14ac:dyDescent="0.3">
      <c r="A2083" t="str">
        <f>"20200111153915762"</f>
        <v>20200111153915762</v>
      </c>
      <c r="B2083" t="str">
        <f>"1578728355752613"</f>
        <v>1578728355752613</v>
      </c>
      <c r="C2083" t="s">
        <v>40</v>
      </c>
      <c r="D2083">
        <v>5.1944290000000004</v>
      </c>
      <c r="E2083">
        <v>0.4796395</v>
      </c>
      <c r="F2083" t="s">
        <v>59</v>
      </c>
      <c r="G2083">
        <v>-302.22449999999998</v>
      </c>
      <c r="H2083" s="1">
        <v>2.2586759999999998E-6</v>
      </c>
      <c r="I2083">
        <v>216.07740000000001</v>
      </c>
      <c r="J2083">
        <v>-321.44119999999998</v>
      </c>
      <c r="K2083">
        <v>1.103351</v>
      </c>
      <c r="L2083">
        <v>215.13740000000001</v>
      </c>
      <c r="M2083">
        <v>0.99981319999999996</v>
      </c>
      <c r="N2083">
        <v>0</v>
      </c>
      <c r="O2083">
        <v>-1.1637079999999999E-2</v>
      </c>
      <c r="P2083">
        <v>0.9993687</v>
      </c>
      <c r="Q2083">
        <v>3.5314440000000002E-2</v>
      </c>
      <c r="R2083">
        <v>-3.8967089999999999E-3</v>
      </c>
      <c r="S2083">
        <v>3.0084840000000002</v>
      </c>
      <c r="T2083">
        <v>-0.1671511</v>
      </c>
      <c r="U2083">
        <v>0.14128109999999999</v>
      </c>
      <c r="V2083">
        <v>-7.7178949999999998E-3</v>
      </c>
      <c r="W2083">
        <v>5.0738779999999997E-2</v>
      </c>
      <c r="X2083">
        <v>0.99868210000000002</v>
      </c>
      <c r="Y2083">
        <v>-5.8423860000000001E-2</v>
      </c>
      <c r="Z2083">
        <v>2.2666829999999998E-3</v>
      </c>
      <c r="AA2083">
        <v>0.99828930000000005</v>
      </c>
      <c r="AB2083">
        <v>63</v>
      </c>
      <c r="AC2083">
        <v>19.216699999999999</v>
      </c>
      <c r="AD2083">
        <v>-1.103348741324</v>
      </c>
      <c r="AE2083">
        <v>0.93999999999999695</v>
      </c>
      <c r="AF2083">
        <v>-1.1597750388789601</v>
      </c>
      <c r="AG2083">
        <v>-1.103348741324</v>
      </c>
      <c r="AH2083">
        <v>19.141506794011601</v>
      </c>
      <c r="AI2083">
        <v>93.292949432210904</v>
      </c>
      <c r="AJ2083">
        <v>93.467286003958094</v>
      </c>
      <c r="AK2083">
        <v>19.208324729944</v>
      </c>
      <c r="AL2083">
        <v>87.091633135258704</v>
      </c>
      <c r="AM2083">
        <v>90.442777543807296</v>
      </c>
      <c r="AN2083">
        <v>0.99999996327976404</v>
      </c>
    </row>
    <row r="2084" spans="1:40" x14ac:dyDescent="0.3">
      <c r="A2084" t="str">
        <f>"20200111153915785"</f>
        <v>20200111153915785</v>
      </c>
      <c r="B2084" t="str">
        <f>"1578728355773110"</f>
        <v>1578728355773110</v>
      </c>
      <c r="C2084" t="s">
        <v>40</v>
      </c>
      <c r="D2084">
        <v>5.1859479999999998</v>
      </c>
      <c r="E2084">
        <v>0.47979300000000003</v>
      </c>
      <c r="F2084" t="s">
        <v>59</v>
      </c>
      <c r="G2084">
        <v>-301.72280000000001</v>
      </c>
      <c r="H2084" s="1">
        <v>2.3476569999999999E-6</v>
      </c>
      <c r="I2084">
        <v>216.0986</v>
      </c>
      <c r="J2084">
        <v>-320.80340000000001</v>
      </c>
      <c r="K2084">
        <v>1.103434</v>
      </c>
      <c r="L2084">
        <v>215.1301</v>
      </c>
      <c r="M2084">
        <v>0.99981520000000002</v>
      </c>
      <c r="N2084">
        <v>0</v>
      </c>
      <c r="O2084">
        <v>-1.1469210000000001E-2</v>
      </c>
      <c r="P2084">
        <v>0.99937690000000001</v>
      </c>
      <c r="Q2084">
        <v>3.5183470000000001E-2</v>
      </c>
      <c r="R2084">
        <v>-2.896778E-3</v>
      </c>
      <c r="S2084">
        <v>3.0084230000000001</v>
      </c>
      <c r="T2084">
        <v>-0.1683375</v>
      </c>
      <c r="U2084">
        <v>0.14665220000000001</v>
      </c>
      <c r="V2084">
        <v>-8.5598879999999999E-3</v>
      </c>
      <c r="W2084">
        <v>5.0604009999999998E-2</v>
      </c>
      <c r="X2084">
        <v>0.99868210000000002</v>
      </c>
      <c r="Y2084">
        <v>-6.0031559999999998E-2</v>
      </c>
      <c r="Z2084">
        <v>2.3182329999999998E-3</v>
      </c>
      <c r="AA2084">
        <v>0.99819380000000002</v>
      </c>
      <c r="AB2084">
        <v>63</v>
      </c>
      <c r="AC2084">
        <v>19.0806</v>
      </c>
      <c r="AD2084">
        <v>-1.1034316523429999</v>
      </c>
      <c r="AE2084">
        <v>0.96850000000000602</v>
      </c>
      <c r="AF2084">
        <v>-1.1833544038603201</v>
      </c>
      <c r="AG2084">
        <v>-1.1034316523429999</v>
      </c>
      <c r="AH2084">
        <v>19.0048406597023</v>
      </c>
      <c r="AI2084">
        <v>93.316485929949707</v>
      </c>
      <c r="AJ2084">
        <v>93.562976119273799</v>
      </c>
      <c r="AK2084">
        <v>19.073590578525099</v>
      </c>
      <c r="AL2084">
        <v>87.099364889434</v>
      </c>
      <c r="AM2084">
        <v>90.491080640987207</v>
      </c>
      <c r="AN2084">
        <v>0.99999998718553096</v>
      </c>
    </row>
    <row r="2085" spans="1:40" x14ac:dyDescent="0.3">
      <c r="A2085" t="str">
        <f>"20200111153915805"</f>
        <v>20200111153915805</v>
      </c>
      <c r="B2085" t="str">
        <f>"1578728355792629"</f>
        <v>1578728355792629</v>
      </c>
      <c r="C2085" t="s">
        <v>40</v>
      </c>
      <c r="D2085">
        <v>5.1554469999999997</v>
      </c>
      <c r="E2085">
        <v>0.47988960000000003</v>
      </c>
      <c r="F2085" t="s">
        <v>59</v>
      </c>
      <c r="G2085">
        <v>-301.25170000000003</v>
      </c>
      <c r="H2085" s="1">
        <v>2.4312289999999999E-6</v>
      </c>
      <c r="I2085">
        <v>216.09469999999999</v>
      </c>
      <c r="J2085">
        <v>-320.22949999999997</v>
      </c>
      <c r="K2085">
        <v>1.103499</v>
      </c>
      <c r="L2085">
        <v>215.12360000000001</v>
      </c>
      <c r="M2085">
        <v>0.99981719999999996</v>
      </c>
      <c r="N2085">
        <v>0</v>
      </c>
      <c r="O2085">
        <v>-1.129174E-2</v>
      </c>
      <c r="P2085">
        <v>0.99936349999999996</v>
      </c>
      <c r="Q2085">
        <v>3.5633869999999998E-2</v>
      </c>
      <c r="R2085">
        <v>-1.738107E-3</v>
      </c>
      <c r="S2085">
        <v>3.0083009999999999</v>
      </c>
      <c r="T2085">
        <v>-0.16977819999999999</v>
      </c>
      <c r="U2085">
        <v>0.1484222</v>
      </c>
      <c r="V2085">
        <v>-9.5492279999999999E-3</v>
      </c>
      <c r="W2085">
        <v>5.1050699999999997E-2</v>
      </c>
      <c r="X2085">
        <v>0.99865040000000005</v>
      </c>
      <c r="Y2085">
        <v>-6.0439970000000003E-2</v>
      </c>
      <c r="Z2085">
        <v>2.339608E-3</v>
      </c>
      <c r="AA2085">
        <v>0.99816910000000003</v>
      </c>
      <c r="AB2085">
        <v>63</v>
      </c>
      <c r="AC2085">
        <v>18.977799999999899</v>
      </c>
      <c r="AD2085">
        <v>-1.1034965687710001</v>
      </c>
      <c r="AE2085">
        <v>0.97109999999997798</v>
      </c>
      <c r="AF2085">
        <v>-1.1813721349394299</v>
      </c>
      <c r="AG2085">
        <v>-1.1034965687710001</v>
      </c>
      <c r="AH2085">
        <v>18.901881982578502</v>
      </c>
      <c r="AI2085">
        <v>93.334657488185897</v>
      </c>
      <c r="AJ2085">
        <v>93.576347995714301</v>
      </c>
      <c r="AK2085">
        <v>18.970885252982399</v>
      </c>
      <c r="AL2085">
        <v>87.073738326478306</v>
      </c>
      <c r="AM2085">
        <v>90.5478531700481</v>
      </c>
      <c r="AN2085">
        <v>0.99999999157302299</v>
      </c>
    </row>
    <row r="2086" spans="1:40" x14ac:dyDescent="0.3">
      <c r="A2086" t="str">
        <f>"20200111153915828"</f>
        <v>20200111153915828</v>
      </c>
      <c r="B2086" t="str">
        <f>"1578728355822886"</f>
        <v>1578728355822886</v>
      </c>
      <c r="C2086" t="s">
        <v>40</v>
      </c>
      <c r="D2086">
        <v>5.14419</v>
      </c>
      <c r="E2086">
        <v>0.48018169999999999</v>
      </c>
      <c r="F2086" t="s">
        <v>59</v>
      </c>
      <c r="G2086">
        <v>-300.62729999999999</v>
      </c>
      <c r="H2086" s="1">
        <v>2.541977E-6</v>
      </c>
      <c r="I2086">
        <v>216.10990000000001</v>
      </c>
      <c r="J2086">
        <v>-319.58949999999999</v>
      </c>
      <c r="K2086">
        <v>1.1035759999999999</v>
      </c>
      <c r="L2086">
        <v>215.1164</v>
      </c>
      <c r="M2086">
        <v>0.99981980000000004</v>
      </c>
      <c r="N2086">
        <v>0</v>
      </c>
      <c r="O2086">
        <v>-1.106392E-2</v>
      </c>
      <c r="P2086">
        <v>0.9993533</v>
      </c>
      <c r="Q2086">
        <v>3.594311E-2</v>
      </c>
      <c r="R2086">
        <v>-1.119777E-3</v>
      </c>
      <c r="S2086">
        <v>3.0082089999999999</v>
      </c>
      <c r="T2086">
        <v>-0.16934630000000001</v>
      </c>
      <c r="U2086">
        <v>0.15136720000000001</v>
      </c>
      <c r="V2086">
        <v>-9.9490729999999993E-3</v>
      </c>
      <c r="W2086">
        <v>5.1355480000000002E-2</v>
      </c>
      <c r="X2086">
        <v>0.99863089999999999</v>
      </c>
      <c r="Y2086">
        <v>-6.1188520000000003E-2</v>
      </c>
      <c r="Z2086">
        <v>2.34191E-3</v>
      </c>
      <c r="AA2086">
        <v>0.99812350000000005</v>
      </c>
      <c r="AB2086">
        <v>63</v>
      </c>
      <c r="AC2086">
        <v>18.962199999999999</v>
      </c>
      <c r="AD2086">
        <v>-1.1035734580230001</v>
      </c>
      <c r="AE2086">
        <v>0.99350000000001104</v>
      </c>
      <c r="AF2086">
        <v>-1.1992097100294801</v>
      </c>
      <c r="AG2086">
        <v>-1.1035734580230001</v>
      </c>
      <c r="AH2086">
        <v>18.886251726673599</v>
      </c>
      <c r="AI2086">
        <v>93.337434871334196</v>
      </c>
      <c r="AJ2086">
        <v>93.633200368528804</v>
      </c>
      <c r="AK2086">
        <v>18.956436442252599</v>
      </c>
      <c r="AL2086">
        <v>87.056252871494806</v>
      </c>
      <c r="AM2086">
        <v>90.570802519927398</v>
      </c>
      <c r="AN2086">
        <v>1.0000000219071901</v>
      </c>
    </row>
    <row r="2087" spans="1:40" x14ac:dyDescent="0.3">
      <c r="A2087" t="str">
        <f>"20200111153915850"</f>
        <v>20200111153915850</v>
      </c>
      <c r="B2087" t="str">
        <f>"1578728355842405"</f>
        <v>1578728355842405</v>
      </c>
      <c r="C2087" t="s">
        <v>40</v>
      </c>
      <c r="D2087">
        <v>5.1302760000000003</v>
      </c>
      <c r="E2087">
        <v>0.48030600000000001</v>
      </c>
      <c r="F2087" t="s">
        <v>59</v>
      </c>
      <c r="G2087">
        <v>-300.02190000000002</v>
      </c>
      <c r="H2087" s="1">
        <v>2.64937E-6</v>
      </c>
      <c r="I2087">
        <v>216.09819999999999</v>
      </c>
      <c r="J2087">
        <v>-318.95589999999999</v>
      </c>
      <c r="K2087">
        <v>1.1036509999999999</v>
      </c>
      <c r="L2087">
        <v>215.1095</v>
      </c>
      <c r="M2087">
        <v>0.99982269999999895</v>
      </c>
      <c r="N2087">
        <v>0</v>
      </c>
      <c r="O2087">
        <v>-1.080531E-2</v>
      </c>
      <c r="P2087">
        <v>0.99931510000000001</v>
      </c>
      <c r="Q2087">
        <v>3.6997149999999999E-2</v>
      </c>
      <c r="R2087">
        <v>-8.1531399999999895E-4</v>
      </c>
      <c r="S2087">
        <v>3.0082089999999999</v>
      </c>
      <c r="T2087">
        <v>-0.16965729999999901</v>
      </c>
      <c r="U2087">
        <v>0.15093989999999999</v>
      </c>
      <c r="V2087">
        <v>-1.000329E-2</v>
      </c>
      <c r="W2087">
        <v>5.2404529999999998E-2</v>
      </c>
      <c r="X2087">
        <v>0.99857580000000001</v>
      </c>
      <c r="Y2087">
        <v>-6.0789559999999999E-2</v>
      </c>
      <c r="Z2087">
        <v>2.3204110000000001E-3</v>
      </c>
      <c r="AA2087">
        <v>0.99814789999999998</v>
      </c>
      <c r="AB2087">
        <v>63</v>
      </c>
      <c r="AC2087">
        <v>18.933999999999902</v>
      </c>
      <c r="AD2087">
        <v>-1.1036483506300001</v>
      </c>
      <c r="AE2087">
        <v>0.98869999999999403</v>
      </c>
      <c r="AF2087">
        <v>-1.1892247738194099</v>
      </c>
      <c r="AG2087">
        <v>-1.1036483506300001</v>
      </c>
      <c r="AH2087">
        <v>18.8583104932999</v>
      </c>
      <c r="AI2087">
        <v>93.342686376416296</v>
      </c>
      <c r="AJ2087">
        <v>93.608353705794997</v>
      </c>
      <c r="AK2087">
        <v>18.927973211789499</v>
      </c>
      <c r="AL2087">
        <v>86.996065507267105</v>
      </c>
      <c r="AM2087">
        <v>90.573944539191999</v>
      </c>
      <c r="AN2087">
        <v>0.999999964460491</v>
      </c>
    </row>
    <row r="2088" spans="1:40" x14ac:dyDescent="0.3">
      <c r="A2088" t="str">
        <f>"20200111153915875"</f>
        <v>20200111153915875</v>
      </c>
      <c r="B2088" t="str">
        <f>"1578728355862901"</f>
        <v>1578728355862901</v>
      </c>
      <c r="C2088" t="s">
        <v>40</v>
      </c>
      <c r="D2088">
        <v>5.1267110000000002</v>
      </c>
      <c r="E2088">
        <v>0.48063240000000002</v>
      </c>
      <c r="F2088" t="s">
        <v>59</v>
      </c>
      <c r="G2088">
        <v>-299.08319999999998</v>
      </c>
      <c r="H2088" s="1">
        <v>2.5056089999999998E-6</v>
      </c>
      <c r="I2088">
        <v>216.1088</v>
      </c>
      <c r="J2088">
        <v>-318.27910000000003</v>
      </c>
      <c r="K2088">
        <v>1.1037330000000001</v>
      </c>
      <c r="L2088">
        <v>215.10230000000001</v>
      </c>
      <c r="M2088">
        <v>0.99982610000000005</v>
      </c>
      <c r="N2088">
        <v>0</v>
      </c>
      <c r="O2088">
        <v>-1.0489429999999999E-2</v>
      </c>
      <c r="P2088">
        <v>0.99928819999999996</v>
      </c>
      <c r="Q2088">
        <v>3.7721829999999998E-2</v>
      </c>
      <c r="R2088">
        <v>-1.96176E-4</v>
      </c>
      <c r="S2088">
        <v>3.008362</v>
      </c>
      <c r="T2088">
        <v>-0.1670719</v>
      </c>
      <c r="U2088">
        <v>0.15127560000000001</v>
      </c>
      <c r="V2088">
        <v>-1.031526E-2</v>
      </c>
      <c r="W2088">
        <v>5.312356E-2</v>
      </c>
      <c r="X2088">
        <v>0.9985347</v>
      </c>
      <c r="Y2088">
        <v>-6.0587000000000002E-2</v>
      </c>
      <c r="Z2088">
        <v>2.2618450000000002E-3</v>
      </c>
      <c r="AA2088">
        <v>0.99816039999999995</v>
      </c>
      <c r="AB2088">
        <v>63</v>
      </c>
      <c r="AC2088">
        <v>19.195900000000002</v>
      </c>
      <c r="AD2088">
        <v>-1.103730494391</v>
      </c>
      <c r="AE2088">
        <v>1.00649999999998</v>
      </c>
      <c r="AF2088">
        <v>-1.2038535170423901</v>
      </c>
      <c r="AG2088">
        <v>-1.103730494391</v>
      </c>
      <c r="AH2088">
        <v>19.121242385728898</v>
      </c>
      <c r="AI2088">
        <v>93.297089859706006</v>
      </c>
      <c r="AJ2088">
        <v>93.602527722660696</v>
      </c>
      <c r="AK2088">
        <v>19.190867480875902</v>
      </c>
      <c r="AL2088">
        <v>86.954810859210198</v>
      </c>
      <c r="AM2088">
        <v>90.5918671027801</v>
      </c>
      <c r="AN2088">
        <v>1.00000003216001</v>
      </c>
    </row>
    <row r="2089" spans="1:40" x14ac:dyDescent="0.3">
      <c r="A2089" t="str">
        <f>"20200111153915894"</f>
        <v>20200111153915894</v>
      </c>
      <c r="B2089" t="str">
        <f>"1578728355882929"</f>
        <v>1578728355882929</v>
      </c>
      <c r="C2089" t="s">
        <v>40</v>
      </c>
      <c r="D2089">
        <v>5.1483749999999997</v>
      </c>
      <c r="E2089">
        <v>0.4808849</v>
      </c>
      <c r="F2089" t="s">
        <v>59</v>
      </c>
      <c r="G2089">
        <v>-298.11509999999998</v>
      </c>
      <c r="H2089" s="1">
        <v>2.3338949999999999E-6</v>
      </c>
      <c r="I2089">
        <v>216.1105</v>
      </c>
      <c r="J2089">
        <v>-317.71800000000002</v>
      </c>
      <c r="K2089">
        <v>1.103801</v>
      </c>
      <c r="L2089">
        <v>215.09649999999999</v>
      </c>
      <c r="M2089">
        <v>0.99982930000000003</v>
      </c>
      <c r="N2089">
        <v>0</v>
      </c>
      <c r="O2089">
        <v>-1.0190799999999899E-2</v>
      </c>
      <c r="P2089">
        <v>0.99924369999999996</v>
      </c>
      <c r="Q2089">
        <v>3.8889319999999998E-2</v>
      </c>
      <c r="R2089">
        <v>1.9207419999999999E-4</v>
      </c>
      <c r="S2089">
        <v>3.0084230000000001</v>
      </c>
      <c r="T2089">
        <v>-0.1646743</v>
      </c>
      <c r="U2089">
        <v>0.1504211</v>
      </c>
      <c r="V2089">
        <v>-1.041364E-2</v>
      </c>
      <c r="W2089">
        <v>5.4286309999999997E-2</v>
      </c>
      <c r="X2089">
        <v>0.99847109999999994</v>
      </c>
      <c r="Y2089">
        <v>-6.0009479999999997E-2</v>
      </c>
      <c r="Z2089">
        <v>2.1972929999999999E-3</v>
      </c>
      <c r="AA2089">
        <v>0.99819539999999995</v>
      </c>
      <c r="AB2089">
        <v>63</v>
      </c>
      <c r="AC2089">
        <v>19.602900000000002</v>
      </c>
      <c r="AD2089">
        <v>-1.1037986661049899</v>
      </c>
      <c r="AE2089">
        <v>1.01400000000001</v>
      </c>
      <c r="AF2089">
        <v>-1.2099143982243099</v>
      </c>
      <c r="AG2089">
        <v>-1.1037986661049899</v>
      </c>
      <c r="AH2089">
        <v>19.529791549001999</v>
      </c>
      <c r="AI2089">
        <v>93.228665302826698</v>
      </c>
      <c r="AJ2089">
        <v>93.545071283874407</v>
      </c>
      <c r="AK2089">
        <v>19.598342335355699</v>
      </c>
      <c r="AL2089">
        <v>86.888093783557196</v>
      </c>
      <c r="AM2089">
        <v>90.597549582275306</v>
      </c>
      <c r="AN2089">
        <v>0.99999999244333704</v>
      </c>
    </row>
    <row r="2090" spans="1:40" x14ac:dyDescent="0.3">
      <c r="A2090" t="str">
        <f>"20200111153915917"</f>
        <v>20200111153915917</v>
      </c>
      <c r="B2090" t="str">
        <f>"1578728355913185"</f>
        <v>1578728355913185</v>
      </c>
      <c r="C2090" t="s">
        <v>40</v>
      </c>
      <c r="D2090">
        <v>5.0469049999999998</v>
      </c>
      <c r="E2090">
        <v>0.48075620000000002</v>
      </c>
      <c r="F2090" t="s">
        <v>59</v>
      </c>
      <c r="G2090">
        <v>-297.11149999999998</v>
      </c>
      <c r="H2090" s="1">
        <v>2.155877E-6</v>
      </c>
      <c r="I2090">
        <v>216.12190000000001</v>
      </c>
      <c r="J2090">
        <v>-317.11250000000001</v>
      </c>
      <c r="K2090">
        <v>1.1038760000000001</v>
      </c>
      <c r="L2090">
        <v>215.09049999999999</v>
      </c>
      <c r="M2090">
        <v>0.99983290000000002</v>
      </c>
      <c r="N2090">
        <v>0</v>
      </c>
      <c r="O2090">
        <v>-9.8287759999999991E-3</v>
      </c>
      <c r="P2090">
        <v>0.99920180000000003</v>
      </c>
      <c r="Q2090">
        <v>3.9944060000000003E-2</v>
      </c>
      <c r="R2090">
        <v>5.3891029999999997E-4</v>
      </c>
      <c r="S2090">
        <v>3.0084840000000002</v>
      </c>
      <c r="T2090">
        <v>-0.16115099999999999</v>
      </c>
      <c r="U2090">
        <v>0.149704</v>
      </c>
      <c r="V2090">
        <v>-1.0407329999999999E-2</v>
      </c>
      <c r="W2090">
        <v>5.5336150000000001E-2</v>
      </c>
      <c r="X2090">
        <v>0.99841360000000001</v>
      </c>
      <c r="Y2090">
        <v>-5.9415469999999998E-2</v>
      </c>
      <c r="Z2090">
        <v>2.1150589999999999E-3</v>
      </c>
      <c r="AA2090">
        <v>0.99823110000000004</v>
      </c>
      <c r="AB2090">
        <v>63</v>
      </c>
      <c r="AC2090">
        <v>20.001000000000001</v>
      </c>
      <c r="AD2090">
        <v>-1.103873844123</v>
      </c>
      <c r="AE2090">
        <v>1.0314000000000101</v>
      </c>
      <c r="AF2090">
        <v>-1.2242396801015101</v>
      </c>
      <c r="AG2090">
        <v>-1.103873844123</v>
      </c>
      <c r="AH2090">
        <v>19.9293504668351</v>
      </c>
      <c r="AI2090">
        <v>93.164384019587203</v>
      </c>
      <c r="AJ2090">
        <v>93.515204195769897</v>
      </c>
      <c r="AK2090">
        <v>19.997407589185499</v>
      </c>
      <c r="AL2090">
        <v>86.827852031905493</v>
      </c>
      <c r="AM2090">
        <v>90.597221922018704</v>
      </c>
      <c r="AN2090">
        <v>1.00000005933975</v>
      </c>
    </row>
    <row r="2091" spans="1:40" x14ac:dyDescent="0.3">
      <c r="A2091" t="str">
        <f>"20200111153915940"</f>
        <v>20200111153915940</v>
      </c>
      <c r="B2091" t="str">
        <f>"1578728355932705"</f>
        <v>1578728355932705</v>
      </c>
      <c r="C2091" t="s">
        <v>40</v>
      </c>
      <c r="D2091">
        <v>5.1879379999999999</v>
      </c>
      <c r="E2091">
        <v>0.45021149999999999</v>
      </c>
      <c r="F2091" t="s">
        <v>59</v>
      </c>
      <c r="G2091">
        <v>-296.22559999999999</v>
      </c>
      <c r="H2091" s="1">
        <v>1.9987259999999999E-6</v>
      </c>
      <c r="I2091">
        <v>216.14400000000001</v>
      </c>
      <c r="J2091">
        <v>-316.45650000000001</v>
      </c>
      <c r="K2091">
        <v>1.103963</v>
      </c>
      <c r="L2091">
        <v>215.08420000000001</v>
      </c>
      <c r="M2091">
        <v>0.99983719999999998</v>
      </c>
      <c r="N2091">
        <v>0</v>
      </c>
      <c r="O2091">
        <v>-9.3907279999999992E-3</v>
      </c>
      <c r="P2091">
        <v>0.99918099999999999</v>
      </c>
      <c r="Q2091">
        <v>4.0458899999999999E-2</v>
      </c>
      <c r="R2091">
        <v>9.6966930000000004E-4</v>
      </c>
      <c r="S2091">
        <v>3.008667</v>
      </c>
      <c r="T2091">
        <v>-0.1590085</v>
      </c>
      <c r="U2091">
        <v>0.15174869999999999</v>
      </c>
      <c r="V2091">
        <v>-1.0410839999999999E-2</v>
      </c>
      <c r="W2091">
        <v>5.5846529999999998E-2</v>
      </c>
      <c r="X2091">
        <v>0.99838510000000003</v>
      </c>
      <c r="Y2091">
        <v>-5.965471E-2</v>
      </c>
      <c r="Z2091">
        <v>2.0700060000000001E-3</v>
      </c>
      <c r="AA2091">
        <v>0.99821689999999996</v>
      </c>
      <c r="AB2091">
        <v>63</v>
      </c>
      <c r="AC2091">
        <v>20.230899999999998</v>
      </c>
      <c r="AD2091">
        <v>-1.103961001274</v>
      </c>
      <c r="AE2091">
        <v>1.0597999999999901</v>
      </c>
      <c r="AF2091">
        <v>-1.2460584900954199</v>
      </c>
      <c r="AG2091">
        <v>-1.103961001274</v>
      </c>
      <c r="AH2091">
        <v>20.160188084949102</v>
      </c>
      <c r="AI2091">
        <v>93.128397537016795</v>
      </c>
      <c r="AJ2091">
        <v>93.536831437747693</v>
      </c>
      <c r="AK2091">
        <v>20.228805581981199</v>
      </c>
      <c r="AL2091">
        <v>86.798563978068501</v>
      </c>
      <c r="AM2091">
        <v>90.597440380727605</v>
      </c>
      <c r="AN2091">
        <v>1.00000001420227</v>
      </c>
    </row>
    <row r="2092" spans="1:40" x14ac:dyDescent="0.3">
      <c r="A2092" t="str">
        <f>"20200111153915961"</f>
        <v>20200111153915961</v>
      </c>
      <c r="B2092" t="str">
        <f>"1578728355953201"</f>
        <v>1578728355953201</v>
      </c>
      <c r="C2092" t="s">
        <v>40</v>
      </c>
      <c r="D2092">
        <v>5.0772950000000003</v>
      </c>
      <c r="E2092">
        <v>0.4474436</v>
      </c>
      <c r="F2092" t="s">
        <v>59</v>
      </c>
      <c r="G2092">
        <v>-299.02710000000002</v>
      </c>
      <c r="H2092" s="1">
        <v>2.4956599999999998E-6</v>
      </c>
      <c r="I2092">
        <v>217.3801</v>
      </c>
      <c r="J2092">
        <v>-315.8295</v>
      </c>
      <c r="K2092">
        <v>1.104034</v>
      </c>
      <c r="L2092">
        <v>215.07849999999999</v>
      </c>
      <c r="M2092">
        <v>0.99984130000000004</v>
      </c>
      <c r="N2092">
        <v>0</v>
      </c>
      <c r="O2092">
        <v>-8.9349149999999999E-3</v>
      </c>
      <c r="P2092">
        <v>0.99912579999999995</v>
      </c>
      <c r="Q2092">
        <v>4.1781270000000002E-2</v>
      </c>
      <c r="R2092">
        <v>1.463233E-3</v>
      </c>
      <c r="S2092">
        <v>3.0097960000000001</v>
      </c>
      <c r="T2092">
        <v>-0.19063740000000001</v>
      </c>
      <c r="U2092">
        <v>0.39646910000000002</v>
      </c>
      <c r="V2092">
        <v>-1.0459090000000001E-2</v>
      </c>
      <c r="W2092">
        <v>5.7163829999999999E-2</v>
      </c>
      <c r="X2092">
        <v>0.99831000000000003</v>
      </c>
      <c r="Y2092">
        <v>-0.13916049999999999</v>
      </c>
      <c r="Z2092">
        <v>4.9469320000000002E-3</v>
      </c>
      <c r="AA2092">
        <v>0.99025750000000001</v>
      </c>
      <c r="AB2092">
        <v>63</v>
      </c>
      <c r="AC2092">
        <v>16.802399999999899</v>
      </c>
      <c r="AD2092">
        <v>-1.10403150434</v>
      </c>
      <c r="AE2092">
        <v>2.3016000000000001</v>
      </c>
      <c r="AF2092">
        <v>-2.44130802703426</v>
      </c>
      <c r="AG2092">
        <v>-1.10403150434</v>
      </c>
      <c r="AH2092">
        <v>16.710345945534002</v>
      </c>
      <c r="AI2092">
        <v>93.740374535179697</v>
      </c>
      <c r="AJ2092">
        <v>98.311858300151698</v>
      </c>
      <c r="AK2092">
        <v>16.923785984963899</v>
      </c>
      <c r="AL2092">
        <v>86.722967338042395</v>
      </c>
      <c r="AM2092">
        <v>90.600254219985302</v>
      </c>
      <c r="AN2092">
        <v>0.99999997606194801</v>
      </c>
    </row>
    <row r="2093" spans="1:40" x14ac:dyDescent="0.3">
      <c r="A2093" t="str">
        <f>"20200111153915984"</f>
        <v>20200111153915984</v>
      </c>
      <c r="B2093" t="str">
        <f>"1578728355973230"</f>
        <v>1578728355973230</v>
      </c>
      <c r="C2093" t="s">
        <v>40</v>
      </c>
      <c r="D2093">
        <v>5.079078</v>
      </c>
      <c r="E2093">
        <v>0.44748260000000001</v>
      </c>
      <c r="F2093" t="s">
        <v>59</v>
      </c>
      <c r="G2093">
        <v>-298.55579999999998</v>
      </c>
      <c r="H2093" s="1">
        <v>2.4120700000000002E-6</v>
      </c>
      <c r="I2093">
        <v>217.4898</v>
      </c>
      <c r="J2093">
        <v>-315.2045</v>
      </c>
      <c r="K2093">
        <v>1.1041049999999999</v>
      </c>
      <c r="L2093">
        <v>215.07310000000001</v>
      </c>
      <c r="M2093">
        <v>0.9998456</v>
      </c>
      <c r="N2093">
        <v>0</v>
      </c>
      <c r="O2093">
        <v>-8.4453229999999994E-3</v>
      </c>
      <c r="P2093">
        <v>0.99911150000000004</v>
      </c>
      <c r="Q2093">
        <v>4.211877E-2</v>
      </c>
      <c r="R2093">
        <v>1.577686E-3</v>
      </c>
      <c r="S2093">
        <v>3.0101010000000001</v>
      </c>
      <c r="T2093">
        <v>-0.1923879</v>
      </c>
      <c r="U2093">
        <v>0.42019649999999997</v>
      </c>
      <c r="V2093">
        <v>-1.009378E-2</v>
      </c>
      <c r="W2093">
        <v>5.7497550000000001E-2</v>
      </c>
      <c r="X2093">
        <v>0.99829460000000003</v>
      </c>
      <c r="Y2093">
        <v>-0.146305399999999</v>
      </c>
      <c r="Z2093">
        <v>5.1850250000000002E-3</v>
      </c>
      <c r="AA2093">
        <v>0.98922589999999999</v>
      </c>
      <c r="AB2093">
        <v>63</v>
      </c>
      <c r="AC2093">
        <v>16.648700000000002</v>
      </c>
      <c r="AD2093">
        <v>-1.1041025879299999</v>
      </c>
      <c r="AE2093">
        <v>2.4166999999999899</v>
      </c>
      <c r="AF2093">
        <v>-2.5462666772871101</v>
      </c>
      <c r="AG2093">
        <v>-1.1041025879299999</v>
      </c>
      <c r="AH2093">
        <v>16.5563810598751</v>
      </c>
      <c r="AI2093">
        <v>93.7710529336143</v>
      </c>
      <c r="AJ2093">
        <v>98.743224908885196</v>
      </c>
      <c r="AK2093">
        <v>16.787384260697898</v>
      </c>
      <c r="AL2093">
        <v>86.703815103876593</v>
      </c>
      <c r="AM2093">
        <v>90.579299223306805</v>
      </c>
      <c r="AN2093">
        <v>0.999999980519925</v>
      </c>
    </row>
    <row r="2094" spans="1:40" x14ac:dyDescent="0.3">
      <c r="A2094" t="str">
        <f>"20200111153916006"</f>
        <v>20200111153916006</v>
      </c>
      <c r="B2094" t="str">
        <f>"1578728356002507"</f>
        <v>1578728356002507</v>
      </c>
      <c r="C2094" t="s">
        <v>40</v>
      </c>
      <c r="D2094">
        <v>5.1202079999999999</v>
      </c>
      <c r="E2094">
        <v>0.44795629999999997</v>
      </c>
      <c r="F2094" t="s">
        <v>59</v>
      </c>
      <c r="G2094">
        <v>-297.94119999999998</v>
      </c>
      <c r="H2094" s="1">
        <v>2.3030400000000001E-6</v>
      </c>
      <c r="I2094">
        <v>217.48480000000001</v>
      </c>
      <c r="J2094">
        <v>-314.59210000000002</v>
      </c>
      <c r="K2094">
        <v>1.104168</v>
      </c>
      <c r="L2094">
        <v>215.06809999999999</v>
      </c>
      <c r="M2094">
        <v>0.99984989999999996</v>
      </c>
      <c r="N2094">
        <v>0</v>
      </c>
      <c r="O2094">
        <v>-7.9335259999999998E-3</v>
      </c>
      <c r="P2094">
        <v>0.99910770000000004</v>
      </c>
      <c r="Q2094">
        <v>4.2214559999999998E-2</v>
      </c>
      <c r="R2094">
        <v>1.4749909999999999E-3</v>
      </c>
      <c r="S2094">
        <v>3.010132</v>
      </c>
      <c r="T2094">
        <v>-0.19251779999999999</v>
      </c>
      <c r="U2094">
        <v>0.42051699999999997</v>
      </c>
      <c r="V2094">
        <v>-9.4877529999999998E-3</v>
      </c>
      <c r="W2094">
        <v>5.7590379999999997E-2</v>
      </c>
      <c r="X2094">
        <v>0.99829520000000005</v>
      </c>
      <c r="Y2094">
        <v>-0.14590229999999901</v>
      </c>
      <c r="Z2094">
        <v>5.143061E-3</v>
      </c>
      <c r="AA2094">
        <v>0.98928559999999999</v>
      </c>
      <c r="AB2094">
        <v>63</v>
      </c>
      <c r="AC2094">
        <v>16.6509</v>
      </c>
      <c r="AD2094">
        <v>-1.10416569696</v>
      </c>
      <c r="AE2094">
        <v>2.4167000000000201</v>
      </c>
      <c r="AF2094">
        <v>-2.53781048677999</v>
      </c>
      <c r="AG2094">
        <v>-1.10416569696</v>
      </c>
      <c r="AH2094">
        <v>16.559883020772102</v>
      </c>
      <c r="AI2094">
        <v>93.770778939802497</v>
      </c>
      <c r="AJ2094">
        <v>98.712820379881805</v>
      </c>
      <c r="AK2094">
        <v>16.789561924446101</v>
      </c>
      <c r="AL2094">
        <v>86.698487532765498</v>
      </c>
      <c r="AM2094">
        <v>90.544520135609403</v>
      </c>
      <c r="AN2094">
        <v>0.99999998783428601</v>
      </c>
    </row>
    <row r="2095" spans="1:40" x14ac:dyDescent="0.3">
      <c r="A2095" t="str">
        <f>"20200111153916028"</f>
        <v>20200111153916028</v>
      </c>
      <c r="B2095" t="str">
        <f>"1578728356023003"</f>
        <v>1578728356023003</v>
      </c>
      <c r="C2095" t="s">
        <v>40</v>
      </c>
      <c r="D2095">
        <v>5.1839769999999996</v>
      </c>
      <c r="E2095">
        <v>0.44822000000000001</v>
      </c>
      <c r="F2095" t="s">
        <v>59</v>
      </c>
      <c r="G2095">
        <v>-297.43700000000001</v>
      </c>
      <c r="H2095" s="1">
        <v>2.2136179999999999E-6</v>
      </c>
      <c r="I2095">
        <v>217.441</v>
      </c>
      <c r="J2095">
        <v>-313.97269999999997</v>
      </c>
      <c r="K2095">
        <v>1.1042339999999999</v>
      </c>
      <c r="L2095">
        <v>215.0634</v>
      </c>
      <c r="M2095">
        <v>0.99985409999999997</v>
      </c>
      <c r="N2095">
        <v>0</v>
      </c>
      <c r="O2095">
        <v>-7.38662E-3</v>
      </c>
      <c r="P2095">
        <v>0.99910520000000003</v>
      </c>
      <c r="Q2095">
        <v>4.2266459999999999E-2</v>
      </c>
      <c r="R2095">
        <v>1.580744E-3</v>
      </c>
      <c r="S2095">
        <v>3.0102540000000002</v>
      </c>
      <c r="T2095">
        <v>-0.1937519</v>
      </c>
      <c r="U2095">
        <v>0.41638180000000002</v>
      </c>
      <c r="V2095">
        <v>-9.054543E-3</v>
      </c>
      <c r="W2095">
        <v>5.763894E-2</v>
      </c>
      <c r="X2095">
        <v>0.99829639999999997</v>
      </c>
      <c r="Y2095">
        <v>-0.14402319999999999</v>
      </c>
      <c r="Z2095">
        <v>5.081103E-3</v>
      </c>
      <c r="AA2095">
        <v>0.98956129999999998</v>
      </c>
      <c r="AB2095">
        <v>63</v>
      </c>
      <c r="AC2095">
        <v>16.535699999999899</v>
      </c>
      <c r="AD2095">
        <v>-1.1042317863819999</v>
      </c>
      <c r="AE2095">
        <v>2.37759999999997</v>
      </c>
      <c r="AF2095">
        <v>-2.4888187414140699</v>
      </c>
      <c r="AG2095">
        <v>-1.1042317863819999</v>
      </c>
      <c r="AH2095">
        <v>16.445831423302302</v>
      </c>
      <c r="AI2095">
        <v>93.798159535400401</v>
      </c>
      <c r="AJ2095">
        <v>98.605519634693593</v>
      </c>
      <c r="AK2095">
        <v>16.669700590272999</v>
      </c>
      <c r="AL2095">
        <v>86.695700552079003</v>
      </c>
      <c r="AM2095">
        <v>90.519658163696704</v>
      </c>
      <c r="AN2095">
        <v>0.99999996720311002</v>
      </c>
    </row>
    <row r="2096" spans="1:40" x14ac:dyDescent="0.3">
      <c r="A2096" t="str">
        <f>"20200111153916052"</f>
        <v>20200111153916052</v>
      </c>
      <c r="B2096" t="str">
        <f>"1578728356043499"</f>
        <v>1578728356043499</v>
      </c>
      <c r="C2096" t="s">
        <v>40</v>
      </c>
      <c r="D2096">
        <v>5.1637659999999999</v>
      </c>
      <c r="E2096">
        <v>0.44843369999999999</v>
      </c>
      <c r="F2096" t="s">
        <v>59</v>
      </c>
      <c r="G2096">
        <v>-296.89589999999998</v>
      </c>
      <c r="H2096" s="1">
        <v>2.1176260000000001E-6</v>
      </c>
      <c r="I2096">
        <v>217.416</v>
      </c>
      <c r="J2096">
        <v>-313.3175</v>
      </c>
      <c r="K2096">
        <v>1.1043000000000001</v>
      </c>
      <c r="L2096">
        <v>215.05879999999999</v>
      </c>
      <c r="M2096">
        <v>0.99985840000000004</v>
      </c>
      <c r="N2096">
        <v>0</v>
      </c>
      <c r="O2096">
        <v>-6.7834779999999999E-3</v>
      </c>
      <c r="P2096">
        <v>0.99909630000000005</v>
      </c>
      <c r="Q2096">
        <v>4.2495789999999999E-2</v>
      </c>
      <c r="R2096">
        <v>1.106112E-3</v>
      </c>
      <c r="S2096">
        <v>3.0102540000000002</v>
      </c>
      <c r="T2096">
        <v>-0.19465160000000001</v>
      </c>
      <c r="U2096">
        <v>0.4147034</v>
      </c>
      <c r="V2096">
        <v>-7.9857550000000006E-3</v>
      </c>
      <c r="W2096">
        <v>5.7866010000000002E-2</v>
      </c>
      <c r="X2096">
        <v>0.99829239999999997</v>
      </c>
      <c r="Y2096">
        <v>-0.1428855</v>
      </c>
      <c r="Z2096">
        <v>5.0294759999999997E-3</v>
      </c>
      <c r="AA2096">
        <v>0.98972640000000001</v>
      </c>
      <c r="AB2096">
        <v>63</v>
      </c>
      <c r="AC2096">
        <v>16.421600000000002</v>
      </c>
      <c r="AD2096">
        <v>-1.104297882374</v>
      </c>
      <c r="AE2096">
        <v>2.3572000000000002</v>
      </c>
      <c r="AF2096">
        <v>-2.45766505635387</v>
      </c>
      <c r="AG2096">
        <v>-1.104297882374</v>
      </c>
      <c r="AH2096">
        <v>16.3328622051976</v>
      </c>
      <c r="AI2096">
        <v>93.825065013521893</v>
      </c>
      <c r="AJ2096">
        <v>98.557303590230603</v>
      </c>
      <c r="AK2096">
        <v>16.553609248626401</v>
      </c>
      <c r="AL2096">
        <v>86.682668695814996</v>
      </c>
      <c r="AM2096">
        <v>90.458322930696696</v>
      </c>
      <c r="AN2096">
        <v>0.99999998164699899</v>
      </c>
    </row>
    <row r="2097" spans="1:40" x14ac:dyDescent="0.3">
      <c r="A2097" t="str">
        <f>"20200111153916075"</f>
        <v>20200111153916075</v>
      </c>
      <c r="B2097" t="str">
        <f>"1578728356063019"</f>
        <v>1578728356063019</v>
      </c>
      <c r="C2097" t="s">
        <v>40</v>
      </c>
      <c r="D2097">
        <v>5.160577</v>
      </c>
      <c r="E2097">
        <v>0.4486713</v>
      </c>
      <c r="F2097" t="s">
        <v>59</v>
      </c>
      <c r="G2097">
        <v>-296.38240000000002</v>
      </c>
      <c r="H2097" s="1">
        <v>2.0265419999999999E-6</v>
      </c>
      <c r="I2097">
        <v>217.3742</v>
      </c>
      <c r="J2097">
        <v>-312.69990000000001</v>
      </c>
      <c r="K2097">
        <v>1.1043639999999999</v>
      </c>
      <c r="L2097">
        <v>215.0548</v>
      </c>
      <c r="M2097">
        <v>0.99986220000000003</v>
      </c>
      <c r="N2097">
        <v>0</v>
      </c>
      <c r="O2097">
        <v>-6.1968079999999998E-3</v>
      </c>
      <c r="P2097">
        <v>0.99909700000000001</v>
      </c>
      <c r="Q2097">
        <v>4.2485259999999997E-2</v>
      </c>
      <c r="R2097">
        <v>5.1753529999999995E-4</v>
      </c>
      <c r="S2097">
        <v>3.0106199999999999</v>
      </c>
      <c r="T2097">
        <v>-0.1963155</v>
      </c>
      <c r="U2097">
        <v>0.41162109999999902</v>
      </c>
      <c r="V2097">
        <v>-6.8171200000000003E-3</v>
      </c>
      <c r="W2097">
        <v>5.785411E-2</v>
      </c>
      <c r="X2097">
        <v>0.99830169999999996</v>
      </c>
      <c r="Y2097">
        <v>-0.141293</v>
      </c>
      <c r="Z2097">
        <v>4.9824429999999996E-3</v>
      </c>
      <c r="AA2097">
        <v>0.98995529999999998</v>
      </c>
      <c r="AB2097">
        <v>62</v>
      </c>
      <c r="AC2097">
        <v>16.3174999999999</v>
      </c>
      <c r="AD2097">
        <v>-1.1043619734579999</v>
      </c>
      <c r="AE2097">
        <v>2.3193999999999999</v>
      </c>
      <c r="AF2097">
        <v>-2.4096649133516901</v>
      </c>
      <c r="AG2097">
        <v>-1.1043619734579999</v>
      </c>
      <c r="AH2097">
        <v>16.2299425947567</v>
      </c>
      <c r="AI2097">
        <v>93.850595354567105</v>
      </c>
      <c r="AJ2097">
        <v>98.445031320927896</v>
      </c>
      <c r="AK2097">
        <v>16.444973000651501</v>
      </c>
      <c r="AL2097">
        <v>86.683351480634002</v>
      </c>
      <c r="AM2097">
        <v>90.391250594203896</v>
      </c>
      <c r="AN2097">
        <v>0.99999992769593504</v>
      </c>
    </row>
    <row r="2098" spans="1:40" x14ac:dyDescent="0.3">
      <c r="A2098" t="str">
        <f>"20200111153916096"</f>
        <v>20200111153916096</v>
      </c>
      <c r="B2098" t="str">
        <f>"1578728356092807"</f>
        <v>1578728356092807</v>
      </c>
      <c r="C2098" t="s">
        <v>40</v>
      </c>
      <c r="D2098">
        <v>5.2243589999999998</v>
      </c>
      <c r="E2098">
        <v>0.44887739999999998</v>
      </c>
      <c r="F2098" t="s">
        <v>59</v>
      </c>
      <c r="G2098">
        <v>-295.85950000000003</v>
      </c>
      <c r="H2098" s="1">
        <v>1.9337950000000001E-6</v>
      </c>
      <c r="I2098">
        <v>217.33709999999999</v>
      </c>
      <c r="J2098">
        <v>-312.10730000000001</v>
      </c>
      <c r="K2098">
        <v>1.10442</v>
      </c>
      <c r="L2098">
        <v>215.0513</v>
      </c>
      <c r="M2098">
        <v>0.99986569999999997</v>
      </c>
      <c r="N2098">
        <v>0</v>
      </c>
      <c r="O2098">
        <v>-5.6220539999999996E-3</v>
      </c>
      <c r="P2098">
        <v>0.99910399999999999</v>
      </c>
      <c r="Q2098">
        <v>4.2321699999999997E-2</v>
      </c>
      <c r="R2098" s="1">
        <v>-9.0474840000000006E-5</v>
      </c>
      <c r="S2098">
        <v>3.0109249999999999</v>
      </c>
      <c r="T2098">
        <v>-0.1974515</v>
      </c>
      <c r="U2098">
        <v>0.40806579999999998</v>
      </c>
      <c r="V2098">
        <v>-5.6404289999999998E-3</v>
      </c>
      <c r="W2098">
        <v>5.7689860000000003E-2</v>
      </c>
      <c r="X2098">
        <v>0.99831859999999994</v>
      </c>
      <c r="Y2098">
        <v>-0.13956399999999999</v>
      </c>
      <c r="Z2098">
        <v>4.917238E-3</v>
      </c>
      <c r="AA2098">
        <v>0.99020090000000005</v>
      </c>
      <c r="AB2098">
        <v>62</v>
      </c>
      <c r="AC2098">
        <v>16.247799999999899</v>
      </c>
      <c r="AD2098">
        <v>-1.104418066205</v>
      </c>
      <c r="AE2098">
        <v>2.2857999999999898</v>
      </c>
      <c r="AF2098">
        <v>-2.3663992311603499</v>
      </c>
      <c r="AG2098">
        <v>-1.104418066205</v>
      </c>
      <c r="AH2098">
        <v>16.161467813838801</v>
      </c>
      <c r="AI2098">
        <v>93.868196026351796</v>
      </c>
      <c r="AJ2098">
        <v>98.330184563698097</v>
      </c>
      <c r="AK2098">
        <v>16.371091181834601</v>
      </c>
      <c r="AL2098">
        <v>86.692778232985901</v>
      </c>
      <c r="AM2098">
        <v>90.323713629765095</v>
      </c>
      <c r="AN2098">
        <v>0.99999998074604102</v>
      </c>
    </row>
    <row r="2099" spans="1:40" x14ac:dyDescent="0.3">
      <c r="A2099" t="str">
        <f>"20200111153916118"</f>
        <v>20200111153916118</v>
      </c>
      <c r="B2099" t="str">
        <f>"1578728356113302"</f>
        <v>1578728356113302</v>
      </c>
      <c r="C2099" t="s">
        <v>40</v>
      </c>
      <c r="D2099">
        <v>5.2400089999999997</v>
      </c>
      <c r="E2099">
        <v>0.44878210000000002</v>
      </c>
      <c r="F2099" t="s">
        <v>59</v>
      </c>
      <c r="G2099">
        <v>-295.37599999999998</v>
      </c>
      <c r="H2099" s="1">
        <v>1.8480309999999999E-6</v>
      </c>
      <c r="I2099">
        <v>217.29910000000001</v>
      </c>
      <c r="J2099">
        <v>-311.48050000000001</v>
      </c>
      <c r="K2099">
        <v>1.104495</v>
      </c>
      <c r="L2099">
        <v>215.048</v>
      </c>
      <c r="M2099">
        <v>0.99986900000000001</v>
      </c>
      <c r="N2099">
        <v>0</v>
      </c>
      <c r="O2099">
        <v>-5.004311E-3</v>
      </c>
      <c r="P2099">
        <v>0.9991719</v>
      </c>
      <c r="Q2099">
        <v>4.0689000000000003E-2</v>
      </c>
      <c r="R2099">
        <v>-1.859296E-4</v>
      </c>
      <c r="S2099">
        <v>3.011139</v>
      </c>
      <c r="T2099">
        <v>-0.1987631</v>
      </c>
      <c r="U2099">
        <v>0.40454099999999998</v>
      </c>
      <c r="V2099">
        <v>-4.9296909999999999E-3</v>
      </c>
      <c r="W2099">
        <v>5.6056969999999998E-2</v>
      </c>
      <c r="X2099">
        <v>0.99841539999999995</v>
      </c>
      <c r="Y2099">
        <v>-0.13780519999999999</v>
      </c>
      <c r="Z2099">
        <v>4.8515820000000001E-3</v>
      </c>
      <c r="AA2099">
        <v>0.99044750000000004</v>
      </c>
      <c r="AB2099">
        <v>62</v>
      </c>
      <c r="AC2099">
        <v>16.104500000000002</v>
      </c>
      <c r="AD2099">
        <v>-1.104493151969</v>
      </c>
      <c r="AE2099">
        <v>2.2511000000000001</v>
      </c>
      <c r="AF2099">
        <v>-2.3209655728157101</v>
      </c>
      <c r="AG2099">
        <v>-1.104493151969</v>
      </c>
      <c r="AH2099">
        <v>16.019127964865302</v>
      </c>
      <c r="AI2099">
        <v>93.903578081352293</v>
      </c>
      <c r="AJ2099">
        <v>98.244053660449097</v>
      </c>
      <c r="AK2099">
        <v>16.224033008708801</v>
      </c>
      <c r="AL2099">
        <v>86.786487685627506</v>
      </c>
      <c r="AM2099">
        <v>90.282896471093295</v>
      </c>
      <c r="AN2099">
        <v>0.99999999834804798</v>
      </c>
    </row>
    <row r="2100" spans="1:40" x14ac:dyDescent="0.3">
      <c r="A2100" t="str">
        <f>"20200111153916141"</f>
        <v>20200111153916141</v>
      </c>
      <c r="B2100" t="str">
        <f>"1578728356132822"</f>
        <v>1578728356132822</v>
      </c>
      <c r="C2100" t="s">
        <v>40</v>
      </c>
      <c r="D2100">
        <v>5.2414690000000004</v>
      </c>
      <c r="E2100">
        <v>0.44856489999999999</v>
      </c>
      <c r="F2100" t="s">
        <v>59</v>
      </c>
      <c r="G2100">
        <v>-295.27289999999999</v>
      </c>
      <c r="H2100" s="1">
        <v>1.8297269999999999E-6</v>
      </c>
      <c r="I2100">
        <v>217.227</v>
      </c>
      <c r="J2100">
        <v>-310.8322</v>
      </c>
      <c r="K2100">
        <v>1.1045769999999999</v>
      </c>
      <c r="L2100">
        <v>215.04499999999999</v>
      </c>
      <c r="M2100">
        <v>0.99987199999999998</v>
      </c>
      <c r="N2100">
        <v>0</v>
      </c>
      <c r="O2100">
        <v>-4.3586170000000004E-3</v>
      </c>
      <c r="P2100">
        <v>0.99921300000000002</v>
      </c>
      <c r="Q2100">
        <v>3.966281E-2</v>
      </c>
      <c r="R2100">
        <v>-6.3025709999999999E-4</v>
      </c>
      <c r="S2100">
        <v>3.0108950000000001</v>
      </c>
      <c r="T2100">
        <v>-0.20518210000000001</v>
      </c>
      <c r="U2100">
        <v>0.4048004</v>
      </c>
      <c r="V2100">
        <v>-3.842537E-3</v>
      </c>
      <c r="W2100">
        <v>5.5030500000000003E-2</v>
      </c>
      <c r="X2100">
        <v>0.99847730000000001</v>
      </c>
      <c r="Y2100">
        <v>-0.1372427</v>
      </c>
      <c r="Z2100">
        <v>4.9454590000000001E-3</v>
      </c>
      <c r="AA2100">
        <v>0.99052510000000005</v>
      </c>
      <c r="AB2100">
        <v>62</v>
      </c>
      <c r="AC2100">
        <v>15.5593</v>
      </c>
      <c r="AD2100">
        <v>-1.104575170273</v>
      </c>
      <c r="AE2100">
        <v>2.1820000000000102</v>
      </c>
      <c r="AF2100">
        <v>-2.2387392248960798</v>
      </c>
      <c r="AG2100">
        <v>-1.104575170273</v>
      </c>
      <c r="AH2100">
        <v>15.473163449395001</v>
      </c>
      <c r="AI2100">
        <v>94.041280131742795</v>
      </c>
      <c r="AJ2100">
        <v>98.232726496757607</v>
      </c>
      <c r="AK2100">
        <v>15.6732519521497</v>
      </c>
      <c r="AL2100">
        <v>86.845391086649499</v>
      </c>
      <c r="AM2100">
        <v>90.2204958148358</v>
      </c>
      <c r="AN2100">
        <v>1.0000000198180601</v>
      </c>
    </row>
    <row r="2101" spans="1:40" x14ac:dyDescent="0.3">
      <c r="A2101" t="str">
        <f>"20200111153916163"</f>
        <v>20200111153916163</v>
      </c>
      <c r="B2101" t="str">
        <f>"1578728356153317"</f>
        <v>1578728356153317</v>
      </c>
      <c r="C2101" t="s">
        <v>40</v>
      </c>
      <c r="D2101">
        <v>5.2200790000000001</v>
      </c>
      <c r="E2101">
        <v>0.4483917</v>
      </c>
      <c r="F2101" t="s">
        <v>59</v>
      </c>
      <c r="G2101">
        <v>-294.97570000000002</v>
      </c>
      <c r="H2101" s="1">
        <v>1.7770230000000001E-6</v>
      </c>
      <c r="I2101">
        <v>217.17760000000001</v>
      </c>
      <c r="J2101">
        <v>-310.23009999999999</v>
      </c>
      <c r="K2101">
        <v>1.1046670000000001</v>
      </c>
      <c r="L2101">
        <v>215.04249999999999</v>
      </c>
      <c r="M2101">
        <v>0.9998745</v>
      </c>
      <c r="N2101">
        <v>0</v>
      </c>
      <c r="O2101">
        <v>-3.7541530000000001E-3</v>
      </c>
      <c r="P2101">
        <v>0.99923289999999998</v>
      </c>
      <c r="Q2101">
        <v>3.9156499999999997E-2</v>
      </c>
      <c r="R2101">
        <v>-4.9795839999999998E-4</v>
      </c>
      <c r="S2101">
        <v>3.0109249999999999</v>
      </c>
      <c r="T2101">
        <v>-0.2097436</v>
      </c>
      <c r="U2101">
        <v>0.40495300000000001</v>
      </c>
      <c r="V2101">
        <v>-3.373661E-3</v>
      </c>
      <c r="W2101">
        <v>5.4522000000000001E-2</v>
      </c>
      <c r="X2101">
        <v>0.99850680000000003</v>
      </c>
      <c r="Y2101">
        <v>-0.1366802</v>
      </c>
      <c r="Z2101">
        <v>4.9937150000000001E-3</v>
      </c>
      <c r="AA2101">
        <v>0.9906026</v>
      </c>
      <c r="AB2101">
        <v>62</v>
      </c>
      <c r="AC2101">
        <v>15.254399999999899</v>
      </c>
      <c r="AD2101">
        <v>-1.104665222977</v>
      </c>
      <c r="AE2101">
        <v>2.13510000000002</v>
      </c>
      <c r="AF2101">
        <v>-2.18114073611441</v>
      </c>
      <c r="AG2101">
        <v>-1.104665222977</v>
      </c>
      <c r="AH2101">
        <v>15.168260502718001</v>
      </c>
      <c r="AI2101">
        <v>94.123089118996802</v>
      </c>
      <c r="AJ2101">
        <v>98.182832647300401</v>
      </c>
      <c r="AK2101">
        <v>15.364042008661301</v>
      </c>
      <c r="AL2101">
        <v>86.8745695161669</v>
      </c>
      <c r="AM2101">
        <v>90.193584862193603</v>
      </c>
      <c r="AN2101">
        <v>0.99999992985938901</v>
      </c>
    </row>
    <row r="2102" spans="1:40" x14ac:dyDescent="0.3">
      <c r="A2102" t="str">
        <f>"20200111153916185"</f>
        <v>20200111153916185</v>
      </c>
      <c r="B2102" t="str">
        <f>"1578728356183106"</f>
        <v>1578728356183106</v>
      </c>
      <c r="C2102" t="s">
        <v>40</v>
      </c>
      <c r="D2102">
        <v>5.2475100000000001</v>
      </c>
      <c r="E2102">
        <v>0.44816349999999999</v>
      </c>
      <c r="F2102" t="s">
        <v>59</v>
      </c>
      <c r="G2102">
        <v>-294.53820000000002</v>
      </c>
      <c r="H2102" s="1">
        <v>1.6994120000000001E-6</v>
      </c>
      <c r="I2102">
        <v>217.16300000000001</v>
      </c>
      <c r="J2102">
        <v>-309.60849999999999</v>
      </c>
      <c r="K2102">
        <v>1.1047439999999999</v>
      </c>
      <c r="L2102">
        <v>215.04040000000001</v>
      </c>
      <c r="M2102">
        <v>0.99987680000000001</v>
      </c>
      <c r="N2102">
        <v>0</v>
      </c>
      <c r="O2102">
        <v>-3.1267310000000002E-3</v>
      </c>
      <c r="P2102">
        <v>0.99916320000000003</v>
      </c>
      <c r="Q2102">
        <v>4.0904419999999997E-2</v>
      </c>
      <c r="R2102">
        <v>4.187471E-4</v>
      </c>
      <c r="S2102">
        <v>3.010834</v>
      </c>
      <c r="T2102">
        <v>-0.21195459999999999</v>
      </c>
      <c r="U2102">
        <v>0.40686040000000001</v>
      </c>
      <c r="V2102">
        <v>-3.670408E-3</v>
      </c>
      <c r="W2102">
        <v>5.6264540000000002E-2</v>
      </c>
      <c r="X2102">
        <v>0.9984092</v>
      </c>
      <c r="Y2102">
        <v>-0.1366735</v>
      </c>
      <c r="Z2102">
        <v>5.0020070000000002E-3</v>
      </c>
      <c r="AA2102">
        <v>0.99060349999999997</v>
      </c>
      <c r="AB2102">
        <v>62</v>
      </c>
      <c r="AC2102">
        <v>15.0702999999999</v>
      </c>
      <c r="AD2102">
        <v>-1.1047423005879999</v>
      </c>
      <c r="AE2102">
        <v>2.1225999999999701</v>
      </c>
      <c r="AF2102">
        <v>-2.1583431668133599</v>
      </c>
      <c r="AG2102">
        <v>-1.1047423005879999</v>
      </c>
      <c r="AH2102">
        <v>14.984631274982499</v>
      </c>
      <c r="AI2102">
        <v>94.173587071279499</v>
      </c>
      <c r="AJ2102">
        <v>98.196347063492098</v>
      </c>
      <c r="AK2102">
        <v>15.179528162087999</v>
      </c>
      <c r="AL2102">
        <v>86.774576169280905</v>
      </c>
      <c r="AM2102">
        <v>90.210633015112506</v>
      </c>
      <c r="AN2102">
        <v>1.00000005050046</v>
      </c>
    </row>
    <row r="2103" spans="1:40" x14ac:dyDescent="0.3">
      <c r="A2103" t="str">
        <f>"20200111153916207"</f>
        <v>20200111153916207</v>
      </c>
      <c r="B2103" t="str">
        <f>"1578728356202625"</f>
        <v>1578728356202625</v>
      </c>
      <c r="C2103" t="s">
        <v>40</v>
      </c>
      <c r="D2103">
        <v>5.2803129999999996</v>
      </c>
      <c r="E2103">
        <v>0.44801269999999999</v>
      </c>
      <c r="F2103" t="s">
        <v>59</v>
      </c>
      <c r="G2103">
        <v>-293.65140000000002</v>
      </c>
      <c r="H2103" s="1">
        <v>1.5421020000000001E-6</v>
      </c>
      <c r="I2103">
        <v>217.2226</v>
      </c>
      <c r="J2103">
        <v>-309.00670000000002</v>
      </c>
      <c r="K2103">
        <v>1.104805</v>
      </c>
      <c r="L2103">
        <v>215.03870000000001</v>
      </c>
      <c r="M2103">
        <v>0.9998785</v>
      </c>
      <c r="N2103">
        <v>0</v>
      </c>
      <c r="O2103">
        <v>-2.5163020000000002E-3</v>
      </c>
      <c r="P2103">
        <v>0.99904009999999999</v>
      </c>
      <c r="Q2103">
        <v>4.3782689999999999E-2</v>
      </c>
      <c r="R2103">
        <v>1.4635990000000001E-3</v>
      </c>
      <c r="S2103">
        <v>3.010834</v>
      </c>
      <c r="T2103">
        <v>-0.2084463</v>
      </c>
      <c r="U2103">
        <v>0.41174319999999998</v>
      </c>
      <c r="V2103">
        <v>-4.1143809999999899E-3</v>
      </c>
      <c r="W2103">
        <v>5.9136500000000002E-2</v>
      </c>
      <c r="X2103">
        <v>0.99824139999999995</v>
      </c>
      <c r="Y2103">
        <v>-0.13765629999999901</v>
      </c>
      <c r="Z2103">
        <v>4.9106769999999996E-3</v>
      </c>
      <c r="AA2103">
        <v>0.99046789999999996</v>
      </c>
      <c r="AB2103">
        <v>62</v>
      </c>
      <c r="AC2103">
        <v>15.3553</v>
      </c>
      <c r="AD2103">
        <v>-1.1048034578979999</v>
      </c>
      <c r="AE2103">
        <v>2.1838999999999902</v>
      </c>
      <c r="AF2103">
        <v>-2.2113158622794402</v>
      </c>
      <c r="AG2103">
        <v>-1.1048034578979999</v>
      </c>
      <c r="AH2103">
        <v>15.2722628731504</v>
      </c>
      <c r="AI2103">
        <v>94.095042972797401</v>
      </c>
      <c r="AJ2103">
        <v>98.238767595512002</v>
      </c>
      <c r="AK2103">
        <v>15.471022002116101</v>
      </c>
      <c r="AL2103">
        <v>86.6097500608427</v>
      </c>
      <c r="AM2103">
        <v>90.236150626229005</v>
      </c>
      <c r="AN2103">
        <v>0.999999973218611</v>
      </c>
    </row>
    <row r="2104" spans="1:40" x14ac:dyDescent="0.3">
      <c r="A2104" t="str">
        <f>"20200111153916228"</f>
        <v>20200111153916228</v>
      </c>
      <c r="B2104" t="str">
        <f>"1578728356223121"</f>
        <v>1578728356223121</v>
      </c>
      <c r="C2104" t="s">
        <v>40</v>
      </c>
      <c r="D2104">
        <v>5.4259870000000001</v>
      </c>
      <c r="E2104">
        <v>0.44804159999999998</v>
      </c>
      <c r="F2104" t="s">
        <v>59</v>
      </c>
      <c r="G2104">
        <v>-292.38760000000002</v>
      </c>
      <c r="H2104" s="1">
        <v>1.317934E-6</v>
      </c>
      <c r="I2104">
        <v>217.33690000000001</v>
      </c>
      <c r="J2104">
        <v>-308.38569999999999</v>
      </c>
      <c r="K2104">
        <v>1.1048579999999999</v>
      </c>
      <c r="L2104">
        <v>215.03729999999999</v>
      </c>
      <c r="M2104">
        <v>0.99987990000000004</v>
      </c>
      <c r="N2104">
        <v>0</v>
      </c>
      <c r="O2104">
        <v>-1.883741E-3</v>
      </c>
      <c r="P2104">
        <v>0.99896439999999997</v>
      </c>
      <c r="Q2104">
        <v>4.5446569999999999E-2</v>
      </c>
      <c r="R2104">
        <v>2.1803870000000002E-3</v>
      </c>
      <c r="S2104">
        <v>3.011047</v>
      </c>
      <c r="T2104">
        <v>-0.20016829999999999</v>
      </c>
      <c r="U2104">
        <v>0.41638180000000002</v>
      </c>
      <c r="V2104">
        <v>-4.2053530000000002E-3</v>
      </c>
      <c r="W2104">
        <v>6.0796240000000001E-2</v>
      </c>
      <c r="X2104">
        <v>0.99814130000000001</v>
      </c>
      <c r="Y2104">
        <v>-0.138543</v>
      </c>
      <c r="Z2104">
        <v>4.7027589999999999E-3</v>
      </c>
      <c r="AA2104">
        <v>0.99034520000000004</v>
      </c>
      <c r="AB2104">
        <v>62</v>
      </c>
      <c r="AC2104">
        <v>15.9980999999999</v>
      </c>
      <c r="AD2104">
        <v>-1.104856682066</v>
      </c>
      <c r="AE2104">
        <v>2.2996000000000199</v>
      </c>
      <c r="AF2104">
        <v>-2.3188996080881599</v>
      </c>
      <c r="AG2104">
        <v>-1.104856682066</v>
      </c>
      <c r="AH2104">
        <v>15.9193485672343</v>
      </c>
      <c r="AI2104">
        <v>93.928823661654505</v>
      </c>
      <c r="AJ2104">
        <v>98.287727935178495</v>
      </c>
      <c r="AK2104">
        <v>16.125249222427598</v>
      </c>
      <c r="AL2104">
        <v>86.514482464770694</v>
      </c>
      <c r="AM2104">
        <v>90.241396235772598</v>
      </c>
      <c r="AN2104">
        <v>0.99999996127884005</v>
      </c>
    </row>
    <row r="2105" spans="1:40" x14ac:dyDescent="0.3">
      <c r="A2105" t="str">
        <f>"20200111153916252"</f>
        <v>20200111153916252</v>
      </c>
      <c r="B2105" t="str">
        <f>"1578728356242641"</f>
        <v>1578728356242641</v>
      </c>
      <c r="C2105" t="s">
        <v>40</v>
      </c>
      <c r="D2105">
        <v>5.3840839999999996</v>
      </c>
      <c r="E2105">
        <v>0.4502292</v>
      </c>
      <c r="F2105" t="s">
        <v>59</v>
      </c>
      <c r="G2105">
        <v>-291.3098</v>
      </c>
      <c r="H2105" s="1">
        <v>1.126756E-6</v>
      </c>
      <c r="I2105">
        <v>217.41030000000001</v>
      </c>
      <c r="J2105">
        <v>-307.74279999999999</v>
      </c>
      <c r="K2105">
        <v>1.1048789999999999</v>
      </c>
      <c r="L2105">
        <v>215.03630000000001</v>
      </c>
      <c r="M2105">
        <v>0.99988100000000002</v>
      </c>
      <c r="N2105">
        <v>0</v>
      </c>
      <c r="O2105">
        <v>-1.2265430000000001E-3</v>
      </c>
      <c r="P2105">
        <v>0.99893370000000004</v>
      </c>
      <c r="Q2105">
        <v>4.6092059999999997E-2</v>
      </c>
      <c r="R2105">
        <v>2.6390889999999998E-3</v>
      </c>
      <c r="S2105">
        <v>3.0110169999999998</v>
      </c>
      <c r="T2105">
        <v>-0.19482179999999999</v>
      </c>
      <c r="U2105">
        <v>0.41844179999999997</v>
      </c>
      <c r="V2105">
        <v>-4.0114820000000002E-3</v>
      </c>
      <c r="W2105">
        <v>6.1437819999999997E-2</v>
      </c>
      <c r="X2105">
        <v>0.99810279999999996</v>
      </c>
      <c r="Y2105">
        <v>-0.13857549999999999</v>
      </c>
      <c r="Z2105">
        <v>4.5360060000000004E-3</v>
      </c>
      <c r="AA2105">
        <v>0.99034149999999999</v>
      </c>
      <c r="AB2105">
        <v>62</v>
      </c>
      <c r="AC2105">
        <v>16.4329999999999</v>
      </c>
      <c r="AD2105">
        <v>-1.1048778732439899</v>
      </c>
      <c r="AE2105">
        <v>2.3739999999999899</v>
      </c>
      <c r="AF2105">
        <v>-2.3836013862878001</v>
      </c>
      <c r="AG2105">
        <v>-1.1048778732439899</v>
      </c>
      <c r="AH2105">
        <v>16.357641061995601</v>
      </c>
      <c r="AI2105">
        <v>93.823914548147897</v>
      </c>
      <c r="AJ2105">
        <v>98.290669716599098</v>
      </c>
      <c r="AK2105">
        <v>16.567278949682098</v>
      </c>
      <c r="AL2105">
        <v>86.477653744290294</v>
      </c>
      <c r="AM2105">
        <v>90.230276631472407</v>
      </c>
      <c r="AN2105">
        <v>0.99999994854101204</v>
      </c>
    </row>
    <row r="2106" spans="1:40" x14ac:dyDescent="0.3">
      <c r="A2106" t="str">
        <f>"20200111153916274"</f>
        <v>20200111153916274</v>
      </c>
      <c r="B2106" t="str">
        <f>"1578728356263137"</f>
        <v>1578728356263137</v>
      </c>
      <c r="C2106" t="s">
        <v>40</v>
      </c>
      <c r="D2106">
        <v>5.4061879999999896</v>
      </c>
      <c r="E2106">
        <v>0.53142440000000002</v>
      </c>
      <c r="F2106" t="s">
        <v>59</v>
      </c>
      <c r="G2106">
        <v>-290.71039999999999</v>
      </c>
      <c r="H2106" s="1">
        <v>1.020416E-6</v>
      </c>
      <c r="I2106">
        <v>217.31290000000001</v>
      </c>
      <c r="J2106">
        <v>-307.12970000000001</v>
      </c>
      <c r="K2106">
        <v>1.104886</v>
      </c>
      <c r="L2106">
        <v>215.03569999999999</v>
      </c>
      <c r="M2106">
        <v>0.99988160000000004</v>
      </c>
      <c r="N2106">
        <v>0</v>
      </c>
      <c r="O2106">
        <v>-5.9776969999999997E-4</v>
      </c>
      <c r="P2106">
        <v>0.99899470000000001</v>
      </c>
      <c r="Q2106">
        <v>4.472744E-2</v>
      </c>
      <c r="R2106">
        <v>3.0293870000000001E-3</v>
      </c>
      <c r="S2106">
        <v>3.011139</v>
      </c>
      <c r="T2106">
        <v>-0.19532969999999999</v>
      </c>
      <c r="U2106">
        <v>0.40248109999999998</v>
      </c>
      <c r="V2106">
        <v>-3.7724030000000001E-3</v>
      </c>
      <c r="W2106">
        <v>6.0071819999999998E-2</v>
      </c>
      <c r="X2106">
        <v>0.99818689999999999</v>
      </c>
      <c r="Y2106">
        <v>-0.1328029</v>
      </c>
      <c r="Z2106">
        <v>4.3224550000000002E-3</v>
      </c>
      <c r="AA2106">
        <v>0.99113300000000004</v>
      </c>
      <c r="AB2106">
        <v>62</v>
      </c>
      <c r="AC2106">
        <v>16.4193</v>
      </c>
      <c r="AD2106">
        <v>-1.1048849795839999</v>
      </c>
      <c r="AE2106">
        <v>2.2772000000000201</v>
      </c>
      <c r="AF2106">
        <v>-2.27690004749897</v>
      </c>
      <c r="AG2106">
        <v>-1.1048849795839999</v>
      </c>
      <c r="AH2106">
        <v>16.345317730342401</v>
      </c>
      <c r="AI2106">
        <v>93.830235271507505</v>
      </c>
      <c r="AJ2106">
        <v>97.930261233738193</v>
      </c>
      <c r="AK2106">
        <v>16.540086346517601</v>
      </c>
      <c r="AL2106">
        <v>86.556064713511503</v>
      </c>
      <c r="AM2106">
        <v>90.216534339903802</v>
      </c>
      <c r="AN2106">
        <v>0.99999997095705795</v>
      </c>
    </row>
    <row r="2107" spans="1:40" x14ac:dyDescent="0.3">
      <c r="A2107" t="str">
        <f>"20200111153916296"</f>
        <v>20200111153916296</v>
      </c>
      <c r="B2107" t="str">
        <f>"1578728356292924"</f>
        <v>1578728356292924</v>
      </c>
      <c r="C2107" t="s">
        <v>40</v>
      </c>
      <c r="D2107">
        <v>5.3331229999999996</v>
      </c>
      <c r="E2107">
        <v>0.53059080000000003</v>
      </c>
      <c r="F2107" t="s">
        <v>59</v>
      </c>
      <c r="G2107">
        <v>-281.60169999999999</v>
      </c>
      <c r="H2107" s="1">
        <v>6.5769319999999997E-6</v>
      </c>
      <c r="I2107">
        <v>212.96940000000001</v>
      </c>
      <c r="J2107">
        <v>-306.53399999999999</v>
      </c>
      <c r="K2107">
        <v>1.1048770000000001</v>
      </c>
      <c r="L2107">
        <v>215.03550000000001</v>
      </c>
      <c r="M2107">
        <v>0.99988189999999999</v>
      </c>
      <c r="N2107">
        <v>0</v>
      </c>
      <c r="O2107" s="1">
        <v>1.5108980000000001E-5</v>
      </c>
      <c r="P2107">
        <v>0.99908790000000003</v>
      </c>
      <c r="Q2107">
        <v>4.2579069999999997E-2</v>
      </c>
      <c r="R2107">
        <v>3.2404320000000001E-3</v>
      </c>
      <c r="S2107">
        <v>3.0095830000000001</v>
      </c>
      <c r="T2107">
        <v>-0.13025809999999999</v>
      </c>
      <c r="U2107">
        <v>-0.24360660000000001</v>
      </c>
      <c r="V2107">
        <v>-3.367302E-3</v>
      </c>
      <c r="W2107">
        <v>5.7923139999999998E-2</v>
      </c>
      <c r="X2107">
        <v>0.99831539999999996</v>
      </c>
      <c r="Y2107">
        <v>8.0619830000000003E-2</v>
      </c>
      <c r="Z2107">
        <v>-1.7416510000000001E-3</v>
      </c>
      <c r="AA2107">
        <v>0.99674339999999995</v>
      </c>
      <c r="AB2107">
        <v>62</v>
      </c>
      <c r="AC2107">
        <v>24.932300000000001</v>
      </c>
      <c r="AD2107">
        <v>-1.104870423068</v>
      </c>
      <c r="AE2107">
        <v>-2.0661</v>
      </c>
      <c r="AF2107">
        <v>2.0624541155715401</v>
      </c>
      <c r="AG2107">
        <v>-1.104870423068</v>
      </c>
      <c r="AH2107">
        <v>24.8837353005678</v>
      </c>
      <c r="AI2107">
        <v>92.533661310034006</v>
      </c>
      <c r="AJ2107">
        <v>85.261948109568294</v>
      </c>
      <c r="AK2107">
        <v>24.993493916204098</v>
      </c>
      <c r="AL2107">
        <v>86.679390060291595</v>
      </c>
      <c r="AM2107">
        <v>90.193257022065694</v>
      </c>
      <c r="AN2107">
        <v>1.00000003337368</v>
      </c>
    </row>
    <row r="2108" spans="1:40" x14ac:dyDescent="0.3">
      <c r="A2108" t="str">
        <f>"20200111153916319"</f>
        <v>20200111153916319</v>
      </c>
      <c r="B2108" t="str">
        <f>"1578728356312445"</f>
        <v>1578728356312445</v>
      </c>
      <c r="C2108" t="s">
        <v>40</v>
      </c>
      <c r="D2108">
        <v>5.3813409999999999</v>
      </c>
      <c r="E2108">
        <v>0.52987799999999996</v>
      </c>
      <c r="F2108" t="s">
        <v>41</v>
      </c>
      <c r="G2108">
        <v>-305.28539999999998</v>
      </c>
      <c r="H2108">
        <v>1.0424629999999999</v>
      </c>
      <c r="I2108">
        <v>214.93719999999999</v>
      </c>
      <c r="J2108">
        <v>-305.89100000000002</v>
      </c>
      <c r="K2108">
        <v>1.104854</v>
      </c>
      <c r="L2108">
        <v>215.03579999999999</v>
      </c>
      <c r="M2108">
        <v>0.99988169999999998</v>
      </c>
      <c r="N2108">
        <v>0</v>
      </c>
      <c r="O2108">
        <v>6.7833399999999995E-4</v>
      </c>
      <c r="P2108">
        <v>0.99920830000000005</v>
      </c>
      <c r="Q2108">
        <v>3.9662929999999999E-2</v>
      </c>
      <c r="R2108">
        <v>3.116204E-3</v>
      </c>
      <c r="S2108">
        <v>3.0098880000000001</v>
      </c>
      <c r="T2108">
        <v>-0.1505379</v>
      </c>
      <c r="U2108">
        <v>-0.23663329999999999</v>
      </c>
      <c r="V2108">
        <v>-2.5741779999999999E-3</v>
      </c>
      <c r="W2108">
        <v>5.5008120000000001E-2</v>
      </c>
      <c r="X2108">
        <v>0.9984826</v>
      </c>
      <c r="Y2108">
        <v>7.8954179999999999E-2</v>
      </c>
      <c r="Z2108">
        <v>-2.004015E-3</v>
      </c>
      <c r="AA2108">
        <v>0.99687619999999999</v>
      </c>
      <c r="AB2108">
        <v>62</v>
      </c>
      <c r="AC2108">
        <v>0.60559999999998104</v>
      </c>
      <c r="AD2108">
        <v>-6.2391000000000002E-2</v>
      </c>
      <c r="AE2108">
        <v>-9.8600000000004601E-2</v>
      </c>
      <c r="AF2108">
        <v>9.7997555479369794E-2</v>
      </c>
      <c r="AG2108">
        <v>-6.2391000000000002E-2</v>
      </c>
      <c r="AH2108">
        <v>0.59933598968992097</v>
      </c>
      <c r="AI2108">
        <v>95.865754900318294</v>
      </c>
      <c r="AJ2108">
        <v>80.713730934308401</v>
      </c>
      <c r="AK2108">
        <v>0.61049143015977603</v>
      </c>
      <c r="AL2108">
        <v>86.846675283816793</v>
      </c>
      <c r="AM2108">
        <v>90.147713348586393</v>
      </c>
      <c r="AN2108">
        <v>1.00000001108053</v>
      </c>
    </row>
    <row r="2109" spans="1:40" x14ac:dyDescent="0.3">
      <c r="A2109" t="str">
        <f>"20200111153916341"</f>
        <v>20200111153916341</v>
      </c>
      <c r="B2109" t="str">
        <f>"1578728356332941"</f>
        <v>1578728356332941</v>
      </c>
      <c r="C2109" t="s">
        <v>40</v>
      </c>
      <c r="D2109">
        <v>5.3717899999999998</v>
      </c>
      <c r="E2109">
        <v>0.52957279999999995</v>
      </c>
      <c r="F2109" t="s">
        <v>41</v>
      </c>
      <c r="G2109">
        <v>-304.73149999999998</v>
      </c>
      <c r="H2109">
        <v>1.042829</v>
      </c>
      <c r="I2109">
        <v>214.94640000000001</v>
      </c>
      <c r="J2109">
        <v>-305.27620000000002</v>
      </c>
      <c r="K2109">
        <v>1.1048290000000001</v>
      </c>
      <c r="L2109">
        <v>215.03639999999999</v>
      </c>
      <c r="M2109">
        <v>0.99988129999999997</v>
      </c>
      <c r="N2109">
        <v>0</v>
      </c>
      <c r="O2109">
        <v>1.314171E-3</v>
      </c>
      <c r="P2109">
        <v>0.99935660000000004</v>
      </c>
      <c r="Q2109">
        <v>3.5747550000000003E-2</v>
      </c>
      <c r="R2109">
        <v>2.9743080000000002E-3</v>
      </c>
      <c r="S2109">
        <v>3.0094910000000001</v>
      </c>
      <c r="T2109">
        <v>-0.1610945</v>
      </c>
      <c r="U2109">
        <v>-0.23129269999999999</v>
      </c>
      <c r="V2109">
        <v>-1.7880089999999999E-3</v>
      </c>
      <c r="W2109">
        <v>5.1094510000000003E-2</v>
      </c>
      <c r="X2109">
        <v>0.99869220000000003</v>
      </c>
      <c r="Y2109">
        <v>7.7826220000000002E-2</v>
      </c>
      <c r="Z2109">
        <v>-2.1486259999999998E-3</v>
      </c>
      <c r="AA2109">
        <v>0.99696459999999998</v>
      </c>
      <c r="AB2109">
        <v>62</v>
      </c>
      <c r="AC2109">
        <v>0.54470000000003405</v>
      </c>
      <c r="AD2109">
        <v>-6.2E-2</v>
      </c>
      <c r="AE2109">
        <v>-8.9999999999974906E-2</v>
      </c>
      <c r="AF2109">
        <v>8.9586010171707503E-2</v>
      </c>
      <c r="AG2109">
        <v>-6.2E-2</v>
      </c>
      <c r="AH2109">
        <v>0.53779872298880105</v>
      </c>
      <c r="AI2109">
        <v>96.487680566245004</v>
      </c>
      <c r="AJ2109">
        <v>80.542561232738606</v>
      </c>
      <c r="AK2109">
        <v>0.54872317216140098</v>
      </c>
      <c r="AL2109">
        <v>87.071224878822704</v>
      </c>
      <c r="AM2109">
        <v>90.102579413330403</v>
      </c>
      <c r="AN2109">
        <v>0.99999997813458097</v>
      </c>
    </row>
    <row r="2110" spans="1:40" x14ac:dyDescent="0.3">
      <c r="A2110" t="str">
        <f>"20200111153916364"</f>
        <v>20200111153916364</v>
      </c>
      <c r="B2110" t="str">
        <f>"1578728356352461"</f>
        <v>1578728356352461</v>
      </c>
      <c r="C2110" t="s">
        <v>40</v>
      </c>
      <c r="D2110">
        <v>5.3958120000000003</v>
      </c>
      <c r="E2110">
        <v>0.52927369999999996</v>
      </c>
      <c r="F2110" t="s">
        <v>41</v>
      </c>
      <c r="G2110">
        <v>-304.17939999999999</v>
      </c>
      <c r="H2110">
        <v>1.0411220000000001</v>
      </c>
      <c r="I2110">
        <v>214.95269999999999</v>
      </c>
      <c r="J2110">
        <v>-304.64400000000001</v>
      </c>
      <c r="K2110">
        <v>1.1048009999999999</v>
      </c>
      <c r="L2110">
        <v>215.03739999999999</v>
      </c>
      <c r="M2110">
        <v>0.99988010000000005</v>
      </c>
      <c r="N2110">
        <v>0</v>
      </c>
      <c r="O2110">
        <v>1.969658E-3</v>
      </c>
      <c r="P2110">
        <v>0.99948199999999998</v>
      </c>
      <c r="Q2110">
        <v>3.2002129999999997E-2</v>
      </c>
      <c r="R2110">
        <v>3.4477069999999999E-3</v>
      </c>
      <c r="S2110">
        <v>3.0089109999999999</v>
      </c>
      <c r="T2110">
        <v>-0.17483779999999999</v>
      </c>
      <c r="U2110">
        <v>-0.2293396</v>
      </c>
      <c r="V2110">
        <v>-1.597343E-3</v>
      </c>
      <c r="W2110">
        <v>4.734874E-2</v>
      </c>
      <c r="X2110">
        <v>0.99887720000000002</v>
      </c>
      <c r="Y2110">
        <v>7.7829910000000002E-2</v>
      </c>
      <c r="Z2110">
        <v>-2.3702530000000001E-3</v>
      </c>
      <c r="AA2110">
        <v>0.99696390000000001</v>
      </c>
      <c r="AB2110">
        <v>62</v>
      </c>
      <c r="AC2110">
        <v>0.464600000000018</v>
      </c>
      <c r="AD2110">
        <v>-6.3678999999999999E-2</v>
      </c>
      <c r="AE2110">
        <v>-8.4699999999997999E-2</v>
      </c>
      <c r="AF2110">
        <v>8.4086216185665794E-2</v>
      </c>
      <c r="AG2110">
        <v>-6.3678999999999999E-2</v>
      </c>
      <c r="AH2110">
        <v>0.45613886779808699</v>
      </c>
      <c r="AI2110">
        <v>97.8173322645262</v>
      </c>
      <c r="AJ2110">
        <v>79.555158372579996</v>
      </c>
      <c r="AK2110">
        <v>0.468175366192566</v>
      </c>
      <c r="AL2110">
        <v>87.286102495225194</v>
      </c>
      <c r="AM2110">
        <v>90.091623809534397</v>
      </c>
      <c r="AN2110">
        <v>1.00000005768204</v>
      </c>
    </row>
    <row r="2111" spans="1:40" x14ac:dyDescent="0.3">
      <c r="A2111" t="str">
        <f>"20200111153916385"</f>
        <v>20200111153916385</v>
      </c>
      <c r="B2111" t="str">
        <f>"1578728356382717"</f>
        <v>1578728356382717</v>
      </c>
      <c r="C2111" t="s">
        <v>40</v>
      </c>
      <c r="D2111">
        <v>5.4153529999999996</v>
      </c>
      <c r="E2111">
        <v>0.5288889</v>
      </c>
      <c r="F2111" t="s">
        <v>41</v>
      </c>
      <c r="G2111">
        <v>-303.62549999999999</v>
      </c>
      <c r="H2111">
        <v>1.0422480000000001</v>
      </c>
      <c r="I2111">
        <v>214.9607</v>
      </c>
      <c r="J2111">
        <v>-304.04109999999997</v>
      </c>
      <c r="K2111">
        <v>1.1047739999999999</v>
      </c>
      <c r="L2111">
        <v>215.03880000000001</v>
      </c>
      <c r="M2111">
        <v>0.99987879999999996</v>
      </c>
      <c r="N2111">
        <v>0</v>
      </c>
      <c r="O2111">
        <v>2.5956220000000001E-3</v>
      </c>
      <c r="P2111">
        <v>0.99957119999999999</v>
      </c>
      <c r="Q2111">
        <v>2.8923109999999998E-2</v>
      </c>
      <c r="R2111">
        <v>4.6222320000000004E-3</v>
      </c>
      <c r="S2111">
        <v>3.0081790000000002</v>
      </c>
      <c r="T2111">
        <v>-0.1849008</v>
      </c>
      <c r="U2111">
        <v>-0.22558590000000001</v>
      </c>
      <c r="V2111">
        <v>-2.1387239999999998E-3</v>
      </c>
      <c r="W2111">
        <v>4.4267800000000003E-2</v>
      </c>
      <c r="X2111">
        <v>0.99901740000000006</v>
      </c>
      <c r="Y2111">
        <v>7.7219499999999996E-2</v>
      </c>
      <c r="Z2111">
        <v>-2.5268280000000001E-3</v>
      </c>
      <c r="AA2111">
        <v>0.99701090000000003</v>
      </c>
      <c r="AB2111">
        <v>62</v>
      </c>
      <c r="AC2111">
        <v>0.41559999999998298</v>
      </c>
      <c r="AD2111">
        <v>-6.2525999999999804E-2</v>
      </c>
      <c r="AE2111">
        <v>-7.8100000000006206E-2</v>
      </c>
      <c r="AF2111">
        <v>7.7484604461914505E-2</v>
      </c>
      <c r="AG2111">
        <v>-6.2525999999999804E-2</v>
      </c>
      <c r="AH2111">
        <v>0.40650860093232699</v>
      </c>
      <c r="AI2111">
        <v>98.591944966309399</v>
      </c>
      <c r="AJ2111">
        <v>79.208304007382793</v>
      </c>
      <c r="AK2111">
        <v>0.41852432096184899</v>
      </c>
      <c r="AL2111">
        <v>87.462812741408598</v>
      </c>
      <c r="AM2111">
        <v>90.1226601974479</v>
      </c>
      <c r="AN2111">
        <v>0.99999998887997399</v>
      </c>
    </row>
    <row r="2112" spans="1:40" x14ac:dyDescent="0.3">
      <c r="A2112" t="str">
        <f>"20200111153916409"</f>
        <v>20200111153916409</v>
      </c>
      <c r="B2112" t="str">
        <f>"1578728356403213"</f>
        <v>1578728356403213</v>
      </c>
      <c r="C2112" t="s">
        <v>40</v>
      </c>
      <c r="D2112">
        <v>5.4281739999999896</v>
      </c>
      <c r="E2112">
        <v>0.52884229999999999</v>
      </c>
      <c r="F2112" t="s">
        <v>41</v>
      </c>
      <c r="G2112">
        <v>-303.07279999999997</v>
      </c>
      <c r="H2112">
        <v>1.041919</v>
      </c>
      <c r="I2112">
        <v>214.9682</v>
      </c>
      <c r="J2112">
        <v>-303.41739999999999</v>
      </c>
      <c r="K2112">
        <v>1.104762</v>
      </c>
      <c r="L2112">
        <v>215.04060000000001</v>
      </c>
      <c r="M2112">
        <v>0.99987700000000002</v>
      </c>
      <c r="N2112">
        <v>0</v>
      </c>
      <c r="O2112">
        <v>3.2441060000000001E-3</v>
      </c>
      <c r="P2112">
        <v>0.99959699999999996</v>
      </c>
      <c r="Q2112">
        <v>2.7856229999999999E-2</v>
      </c>
      <c r="R2112">
        <v>5.5007980000000003E-3</v>
      </c>
      <c r="S2112">
        <v>3.0079349999999998</v>
      </c>
      <c r="T2112">
        <v>-0.1953174</v>
      </c>
      <c r="U2112">
        <v>-0.21887210000000001</v>
      </c>
      <c r="V2112">
        <v>-2.366539E-3</v>
      </c>
      <c r="W2112">
        <v>4.3197369999999999E-2</v>
      </c>
      <c r="X2112">
        <v>0.9990637</v>
      </c>
      <c r="Y2112">
        <v>7.5643299999999997E-2</v>
      </c>
      <c r="Z2112">
        <v>-2.660286E-3</v>
      </c>
      <c r="AA2112">
        <v>0.9971314</v>
      </c>
      <c r="AB2112">
        <v>62</v>
      </c>
      <c r="AC2112">
        <v>0.34460000000001401</v>
      </c>
      <c r="AD2112">
        <v>-6.2842999999999899E-2</v>
      </c>
      <c r="AE2112">
        <v>-7.2400000000015993E-2</v>
      </c>
      <c r="AF2112">
        <v>7.1248334286528298E-2</v>
      </c>
      <c r="AG2112">
        <v>-6.2842999999999899E-2</v>
      </c>
      <c r="AH2112">
        <v>0.33373351788973099</v>
      </c>
      <c r="AI2112">
        <v>100.434291844165</v>
      </c>
      <c r="AJ2112">
        <v>77.948910868200002</v>
      </c>
      <c r="AK2112">
        <v>0.34699226036132302</v>
      </c>
      <c r="AL2112">
        <v>87.524202490870707</v>
      </c>
      <c r="AM2112">
        <v>90.135719517334095</v>
      </c>
      <c r="AN2112">
        <v>0.999999944969721</v>
      </c>
    </row>
    <row r="2113" spans="1:40" x14ac:dyDescent="0.3">
      <c r="A2113" t="str">
        <f>"20200111153916429"</f>
        <v>20200111153916429</v>
      </c>
      <c r="B2113" t="str">
        <f>"1578728356422733"</f>
        <v>1578728356422733</v>
      </c>
      <c r="C2113" t="s">
        <v>40</v>
      </c>
      <c r="D2113">
        <v>5.3914839999999904</v>
      </c>
      <c r="E2113">
        <v>0.52867259999999905</v>
      </c>
      <c r="F2113" t="s">
        <v>41</v>
      </c>
      <c r="G2113">
        <v>-302.51639999999998</v>
      </c>
      <c r="H2113">
        <v>1.046576</v>
      </c>
      <c r="I2113">
        <v>214.97579999999999</v>
      </c>
      <c r="J2113">
        <v>-302.82069999999999</v>
      </c>
      <c r="K2113">
        <v>1.104757</v>
      </c>
      <c r="L2113">
        <v>215.0427</v>
      </c>
      <c r="M2113">
        <v>0.99987479999999995</v>
      </c>
      <c r="N2113">
        <v>0</v>
      </c>
      <c r="O2113">
        <v>3.8655740000000001E-3</v>
      </c>
      <c r="P2113">
        <v>0.99958749999999996</v>
      </c>
      <c r="Q2113">
        <v>2.804566E-2</v>
      </c>
      <c r="R2113">
        <v>6.2075009999999998E-3</v>
      </c>
      <c r="S2113">
        <v>3.0078130000000001</v>
      </c>
      <c r="T2113">
        <v>-0.19443730000000001</v>
      </c>
      <c r="U2113">
        <v>-0.2156525</v>
      </c>
      <c r="V2113">
        <v>-2.452746E-3</v>
      </c>
      <c r="W2113">
        <v>4.3383629999999999E-2</v>
      </c>
      <c r="X2113">
        <v>0.99905549999999999</v>
      </c>
      <c r="Y2113">
        <v>7.5205270000000005E-2</v>
      </c>
      <c r="Z2113">
        <v>-2.6744970000000001E-3</v>
      </c>
      <c r="AA2113">
        <v>0.99716450000000001</v>
      </c>
      <c r="AB2113">
        <v>62</v>
      </c>
      <c r="AC2113">
        <v>0.30430000000001101</v>
      </c>
      <c r="AD2113">
        <v>-5.8180999999999997E-2</v>
      </c>
      <c r="AE2113">
        <v>-6.6900000000003901E-2</v>
      </c>
      <c r="AF2113">
        <v>6.5782074576075697E-2</v>
      </c>
      <c r="AG2113">
        <v>-5.8180999999999997E-2</v>
      </c>
      <c r="AH2113">
        <v>0.29379431469092399</v>
      </c>
      <c r="AI2113">
        <v>100.93748508316899</v>
      </c>
      <c r="AJ2113">
        <v>77.379335388775203</v>
      </c>
      <c r="AK2113">
        <v>0.30663889094705798</v>
      </c>
      <c r="AL2113">
        <v>87.513520760233902</v>
      </c>
      <c r="AM2113">
        <v>90.140664569359501</v>
      </c>
      <c r="AN2113">
        <v>1.0000000236975799</v>
      </c>
    </row>
    <row r="2114" spans="1:40" x14ac:dyDescent="0.3">
      <c r="A2114" t="str">
        <f>"20200111153916452"</f>
        <v>20200111153916452</v>
      </c>
      <c r="B2114" t="str">
        <f>"1578728356443229"</f>
        <v>1578728356443229</v>
      </c>
      <c r="C2114" t="s">
        <v>40</v>
      </c>
      <c r="D2114">
        <v>5.4625599999999999</v>
      </c>
      <c r="E2114">
        <v>0.52873959999999998</v>
      </c>
      <c r="F2114" t="s">
        <v>41</v>
      </c>
      <c r="G2114">
        <v>-301.96190000000001</v>
      </c>
      <c r="H2114">
        <v>1.049021</v>
      </c>
      <c r="I2114">
        <v>214.9821</v>
      </c>
      <c r="J2114">
        <v>-302.19479999999999</v>
      </c>
      <c r="K2114">
        <v>1.104754</v>
      </c>
      <c r="L2114">
        <v>215.0453</v>
      </c>
      <c r="M2114">
        <v>0.99987190000000004</v>
      </c>
      <c r="N2114">
        <v>0</v>
      </c>
      <c r="O2114">
        <v>4.5183280000000003E-3</v>
      </c>
      <c r="P2114">
        <v>0.99957099999999999</v>
      </c>
      <c r="Q2114">
        <v>2.8682220000000001E-2</v>
      </c>
      <c r="R2114">
        <v>5.9373849999999999E-3</v>
      </c>
      <c r="S2114">
        <v>3.0080870000000002</v>
      </c>
      <c r="T2114">
        <v>-0.19536319999999999</v>
      </c>
      <c r="U2114">
        <v>-0.21159359999999999</v>
      </c>
      <c r="V2114">
        <v>-1.531847E-3</v>
      </c>
      <c r="W2114">
        <v>4.4019129999999997E-2</v>
      </c>
      <c r="X2114">
        <v>0.99902950000000001</v>
      </c>
      <c r="Y2114">
        <v>7.4509519999999996E-2</v>
      </c>
      <c r="Z2114">
        <v>-2.706852E-3</v>
      </c>
      <c r="AA2114">
        <v>0.99721660000000001</v>
      </c>
      <c r="AB2114">
        <v>62</v>
      </c>
      <c r="AC2114">
        <v>0.23289999999997199</v>
      </c>
      <c r="AD2114">
        <v>-5.5732999999999998E-2</v>
      </c>
      <c r="AE2114">
        <v>-6.3199999999994802E-2</v>
      </c>
      <c r="AF2114">
        <v>6.0998330393398303E-2</v>
      </c>
      <c r="AG2114">
        <v>-5.5732999999999998E-2</v>
      </c>
      <c r="AH2114">
        <v>0.22083344032067001</v>
      </c>
      <c r="AI2114">
        <v>103.67254262934399</v>
      </c>
      <c r="AJ2114">
        <v>74.558850875522097</v>
      </c>
      <c r="AK2114">
        <v>0.23578458805368299</v>
      </c>
      <c r="AL2114">
        <v>87.477074378337406</v>
      </c>
      <c r="AM2114">
        <v>90.087853561056306</v>
      </c>
      <c r="AN2114">
        <v>0.99999998611571905</v>
      </c>
    </row>
    <row r="2115" spans="1:40" x14ac:dyDescent="0.3">
      <c r="A2115" t="str">
        <f>"20200111153916474"</f>
        <v>20200111153916474</v>
      </c>
      <c r="B2115" t="str">
        <f>"1578728356462749"</f>
        <v>1578728356462749</v>
      </c>
      <c r="C2115" t="s">
        <v>40</v>
      </c>
      <c r="D2115">
        <v>5.4522890000000004</v>
      </c>
      <c r="E2115">
        <v>0.52869639999999996</v>
      </c>
      <c r="F2115" t="s">
        <v>59</v>
      </c>
      <c r="G2115">
        <v>-284.96480000000003</v>
      </c>
      <c r="H2115" s="1">
        <v>4.9834280000000004E-6</v>
      </c>
      <c r="I2115">
        <v>213.8263</v>
      </c>
      <c r="J2115">
        <v>-301.59160000000003</v>
      </c>
      <c r="K2115">
        <v>1.1047610000000001</v>
      </c>
      <c r="L2115">
        <v>215.04820000000001</v>
      </c>
      <c r="M2115">
        <v>0.99986900000000001</v>
      </c>
      <c r="N2115">
        <v>0</v>
      </c>
      <c r="O2115">
        <v>5.1478269999999998E-3</v>
      </c>
      <c r="P2115">
        <v>0.9995581</v>
      </c>
      <c r="Q2115">
        <v>2.9345489999999998E-2</v>
      </c>
      <c r="R2115">
        <v>4.7566659999999997E-3</v>
      </c>
      <c r="S2115">
        <v>3.0080870000000002</v>
      </c>
      <c r="T2115">
        <v>-0.1928716</v>
      </c>
      <c r="U2115">
        <v>-0.21281430000000001</v>
      </c>
      <c r="V2115">
        <v>2.7596540000000001E-4</v>
      </c>
      <c r="W2115">
        <v>4.468366E-2</v>
      </c>
      <c r="X2115">
        <v>0.99900109999999998</v>
      </c>
      <c r="Y2115">
        <v>7.5540789999999997E-2</v>
      </c>
      <c r="Z2115">
        <v>-2.7456270000000001E-3</v>
      </c>
      <c r="AA2115">
        <v>0.99713890000000005</v>
      </c>
      <c r="AB2115">
        <v>62</v>
      </c>
      <c r="AC2115">
        <v>16.626799999999999</v>
      </c>
      <c r="AD2115">
        <v>-1.1047560165719901</v>
      </c>
      <c r="AE2115">
        <v>-1.2219</v>
      </c>
      <c r="AF2115">
        <v>1.30176953724389</v>
      </c>
      <c r="AG2115">
        <v>-1.1047560165719901</v>
      </c>
      <c r="AH2115">
        <v>16.547626008662998</v>
      </c>
      <c r="AI2115">
        <v>93.807794943348298</v>
      </c>
      <c r="AJ2115">
        <v>85.501916297577793</v>
      </c>
      <c r="AK2115">
        <v>16.635474634251601</v>
      </c>
      <c r="AL2115">
        <v>87.438962021831799</v>
      </c>
      <c r="AM2115">
        <v>89.984172537638401</v>
      </c>
      <c r="AN2115">
        <v>0.99999995171455203</v>
      </c>
    </row>
    <row r="2116" spans="1:40" x14ac:dyDescent="0.3">
      <c r="A2116" t="str">
        <f>"20200111153916497"</f>
        <v>20200111153916497</v>
      </c>
      <c r="B2116" t="str">
        <f>"1578728356493005"</f>
        <v>1578728356493005</v>
      </c>
      <c r="C2116" t="s">
        <v>40</v>
      </c>
      <c r="D2116">
        <v>5.4978730000000002</v>
      </c>
      <c r="E2116">
        <v>0.52903259999999996</v>
      </c>
      <c r="F2116" t="s">
        <v>59</v>
      </c>
      <c r="G2116">
        <v>-284.15629999999999</v>
      </c>
      <c r="H2116" s="1">
        <v>5.3451930000000001E-6</v>
      </c>
      <c r="I2116">
        <v>213.79929999999999</v>
      </c>
      <c r="J2116">
        <v>-300.99329999999998</v>
      </c>
      <c r="K2116">
        <v>1.104762</v>
      </c>
      <c r="L2116">
        <v>215.0514</v>
      </c>
      <c r="M2116">
        <v>0.99986569999999997</v>
      </c>
      <c r="N2116">
        <v>0</v>
      </c>
      <c r="O2116">
        <v>5.7727880000000001E-3</v>
      </c>
      <c r="P2116">
        <v>0.9995541</v>
      </c>
      <c r="Q2116">
        <v>2.9767109999999999E-2</v>
      </c>
      <c r="R2116">
        <v>2.4275830000000001E-3</v>
      </c>
      <c r="S2116">
        <v>3.0079039999999999</v>
      </c>
      <c r="T2116">
        <v>-0.19058939999999999</v>
      </c>
      <c r="U2116">
        <v>-0.21545410000000001</v>
      </c>
      <c r="V2116">
        <v>3.228402E-3</v>
      </c>
      <c r="W2116">
        <v>4.5109990000000003E-2</v>
      </c>
      <c r="X2116">
        <v>0.9989768</v>
      </c>
      <c r="Y2116">
        <v>7.7038540000000003E-2</v>
      </c>
      <c r="Z2116">
        <v>-2.8001440000000001E-3</v>
      </c>
      <c r="AA2116">
        <v>0.99702420000000003</v>
      </c>
      <c r="AB2116">
        <v>62</v>
      </c>
      <c r="AC2116">
        <v>16.8369999999999</v>
      </c>
      <c r="AD2116">
        <v>-1.104756654807</v>
      </c>
      <c r="AE2116">
        <v>-1.25210000000001</v>
      </c>
      <c r="AF2116">
        <v>1.3435344870115999</v>
      </c>
      <c r="AG2116">
        <v>-1.104756654807</v>
      </c>
      <c r="AH2116">
        <v>16.7577400608332</v>
      </c>
      <c r="AI2116">
        <v>93.759745964093398</v>
      </c>
      <c r="AJ2116">
        <v>85.416174728565096</v>
      </c>
      <c r="AK2116">
        <v>16.847772082105799</v>
      </c>
      <c r="AL2116">
        <v>87.414510554515402</v>
      </c>
      <c r="AM2116">
        <v>89.8148373763797</v>
      </c>
      <c r="AN2116">
        <v>0.999999990357756</v>
      </c>
    </row>
    <row r="2117" spans="1:40" x14ac:dyDescent="0.3">
      <c r="A2117" t="str">
        <f>"20200111153916519"</f>
        <v>20200111153916519</v>
      </c>
      <c r="B2117" t="str">
        <f>"1578728356512525"</f>
        <v>1578728356512525</v>
      </c>
      <c r="C2117" t="s">
        <v>40</v>
      </c>
      <c r="D2117">
        <v>5.443854</v>
      </c>
      <c r="E2117">
        <v>0.52913549999999998</v>
      </c>
      <c r="F2117" t="s">
        <v>41</v>
      </c>
      <c r="G2117">
        <v>-299.76769999999999</v>
      </c>
      <c r="H2117">
        <v>1.0286150000000001</v>
      </c>
      <c r="I2117">
        <v>214.9598</v>
      </c>
      <c r="J2117">
        <v>-300.36590000000001</v>
      </c>
      <c r="K2117">
        <v>1.104768</v>
      </c>
      <c r="L2117">
        <v>215.05520000000001</v>
      </c>
      <c r="M2117">
        <v>0.99986169999999996</v>
      </c>
      <c r="N2117">
        <v>0</v>
      </c>
      <c r="O2117">
        <v>6.4289150000000003E-3</v>
      </c>
      <c r="P2117">
        <v>0.99956849999999997</v>
      </c>
      <c r="Q2117">
        <v>2.9362269999999999E-2</v>
      </c>
      <c r="R2117">
        <v>-9.8544369999999993E-4</v>
      </c>
      <c r="S2117">
        <v>3.0074160000000001</v>
      </c>
      <c r="T2117">
        <v>-0.18691250000000001</v>
      </c>
      <c r="U2117">
        <v>-0.2244263</v>
      </c>
      <c r="V2117">
        <v>7.2984340000000003E-3</v>
      </c>
      <c r="W2117">
        <v>4.471224E-2</v>
      </c>
      <c r="X2117">
        <v>0.99897329999999995</v>
      </c>
      <c r="Y2117">
        <v>8.0660549999999998E-2</v>
      </c>
      <c r="Z2117">
        <v>-2.899357E-3</v>
      </c>
      <c r="AA2117">
        <v>0.9967374</v>
      </c>
      <c r="AB2117">
        <v>62</v>
      </c>
      <c r="AC2117">
        <v>0.59820000000001905</v>
      </c>
      <c r="AD2117">
        <v>-7.6152999999999901E-2</v>
      </c>
      <c r="AE2117">
        <v>-9.54000000000121E-2</v>
      </c>
      <c r="AF2117">
        <v>9.7700179787875097E-2</v>
      </c>
      <c r="AG2117">
        <v>-7.6152999999999901E-2</v>
      </c>
      <c r="AH2117">
        <v>0.58827697052476002</v>
      </c>
      <c r="AI2117">
        <v>97.277383661712193</v>
      </c>
      <c r="AJ2117">
        <v>80.570467413093496</v>
      </c>
      <c r="AK2117">
        <v>0.601177510049546</v>
      </c>
      <c r="AL2117">
        <v>87.437323129415304</v>
      </c>
      <c r="AM2117">
        <v>89.581408206479296</v>
      </c>
      <c r="AN2117">
        <v>1.00000005282877</v>
      </c>
    </row>
    <row r="2118" spans="1:40" x14ac:dyDescent="0.3">
      <c r="A2118" t="str">
        <f>"20200111153916543"</f>
        <v>20200111153916543</v>
      </c>
      <c r="B2118" t="str">
        <f>"1578728356533022"</f>
        <v>1578728356533022</v>
      </c>
      <c r="C2118" t="s">
        <v>40</v>
      </c>
      <c r="D2118">
        <v>5.5451459999999999</v>
      </c>
      <c r="E2118">
        <v>0.52930219999999994</v>
      </c>
      <c r="F2118" t="s">
        <v>41</v>
      </c>
      <c r="G2118">
        <v>-299.2149</v>
      </c>
      <c r="H2118">
        <v>1.032678</v>
      </c>
      <c r="I2118">
        <v>214.96510000000001</v>
      </c>
      <c r="J2118">
        <v>-299.70409999999998</v>
      </c>
      <c r="K2118">
        <v>1.1047769999999999</v>
      </c>
      <c r="L2118">
        <v>215.05969999999999</v>
      </c>
      <c r="M2118">
        <v>0.99985710000000005</v>
      </c>
      <c r="N2118">
        <v>0</v>
      </c>
      <c r="O2118">
        <v>7.121634E-3</v>
      </c>
      <c r="P2118">
        <v>0.99958380000000002</v>
      </c>
      <c r="Q2118">
        <v>2.8387550000000001E-2</v>
      </c>
      <c r="R2118">
        <v>-5.1762370000000002E-3</v>
      </c>
      <c r="S2118">
        <v>3.006561</v>
      </c>
      <c r="T2118">
        <v>-0.1884295</v>
      </c>
      <c r="U2118">
        <v>-0.2345428</v>
      </c>
      <c r="V2118">
        <v>1.2183970000000001E-2</v>
      </c>
      <c r="W2118">
        <v>4.3746640000000003E-2</v>
      </c>
      <c r="X2118">
        <v>0.99896839999999998</v>
      </c>
      <c r="Y2118">
        <v>8.4693879999999999E-2</v>
      </c>
      <c r="Z2118">
        <v>-3.0926909999999998E-3</v>
      </c>
      <c r="AA2118">
        <v>0.99640220000000002</v>
      </c>
      <c r="AB2118">
        <v>62</v>
      </c>
      <c r="AC2118">
        <v>0.48919999999998198</v>
      </c>
      <c r="AD2118">
        <v>-7.2099000000000094E-2</v>
      </c>
      <c r="AE2118">
        <v>-9.4599999999985501E-2</v>
      </c>
      <c r="AF2118">
        <v>9.6070362505660298E-2</v>
      </c>
      <c r="AG2118">
        <v>-7.2099000000000094E-2</v>
      </c>
      <c r="AH2118">
        <v>0.478494931334706</v>
      </c>
      <c r="AI2118">
        <v>98.403554430054001</v>
      </c>
      <c r="AJ2118">
        <v>78.647315060227697</v>
      </c>
      <c r="AK2118">
        <v>0.49334083519000799</v>
      </c>
      <c r="AL2118">
        <v>87.492702097381994</v>
      </c>
      <c r="AM2118">
        <v>89.301223695561404</v>
      </c>
      <c r="AN2118">
        <v>1.0000000409173999</v>
      </c>
    </row>
    <row r="2119" spans="1:40" x14ac:dyDescent="0.3">
      <c r="A2119" t="str">
        <f>"20200111153916566"</f>
        <v>20200111153916566</v>
      </c>
      <c r="B2119" t="str">
        <f>"1578728356563277"</f>
        <v>1578728356563277</v>
      </c>
      <c r="C2119" t="s">
        <v>40</v>
      </c>
      <c r="D2119">
        <v>5.5176759999999998</v>
      </c>
      <c r="E2119">
        <v>0.52961599999999998</v>
      </c>
      <c r="F2119" t="s">
        <v>41</v>
      </c>
      <c r="G2119">
        <v>-298.66140000000001</v>
      </c>
      <c r="H2119">
        <v>1.038632</v>
      </c>
      <c r="I2119">
        <v>214.9736</v>
      </c>
      <c r="J2119">
        <v>-299.08530000000002</v>
      </c>
      <c r="K2119">
        <v>1.1047830000000001</v>
      </c>
      <c r="L2119">
        <v>215.0643</v>
      </c>
      <c r="M2119">
        <v>0.99985219999999997</v>
      </c>
      <c r="N2119">
        <v>0</v>
      </c>
      <c r="O2119">
        <v>7.7695869999999997E-3</v>
      </c>
      <c r="P2119">
        <v>0.99957200000000002</v>
      </c>
      <c r="Q2119">
        <v>2.772757E-2</v>
      </c>
      <c r="R2119">
        <v>-9.3488670000000003E-3</v>
      </c>
      <c r="S2119">
        <v>3.0053709999999998</v>
      </c>
      <c r="T2119">
        <v>-0.1907433</v>
      </c>
      <c r="U2119">
        <v>-0.2477722</v>
      </c>
      <c r="V2119">
        <v>1.7005719999999998E-2</v>
      </c>
      <c r="W2119">
        <v>4.3095420000000002E-2</v>
      </c>
      <c r="X2119">
        <v>0.99892619999999999</v>
      </c>
      <c r="Y2119">
        <v>8.9711280000000004E-2</v>
      </c>
      <c r="Z2119">
        <v>-3.3310919999999999E-3</v>
      </c>
      <c r="AA2119">
        <v>0.99596229999999997</v>
      </c>
      <c r="AB2119">
        <v>62</v>
      </c>
      <c r="AC2119">
        <v>0.423900000000003</v>
      </c>
      <c r="AD2119">
        <v>-6.6151000000000001E-2</v>
      </c>
      <c r="AE2119">
        <v>-9.0699999999998199E-2</v>
      </c>
      <c r="AF2119">
        <v>9.1852254959320603E-2</v>
      </c>
      <c r="AG2119">
        <v>-6.6151000000000001E-2</v>
      </c>
      <c r="AH2119">
        <v>0.41355221364275602</v>
      </c>
      <c r="AI2119">
        <v>98.8752238350216</v>
      </c>
      <c r="AJ2119">
        <v>77.477560965199899</v>
      </c>
      <c r="AK2119">
        <v>0.42876360031016603</v>
      </c>
      <c r="AL2119">
        <v>87.530049330657107</v>
      </c>
      <c r="AM2119">
        <v>89.024690841255307</v>
      </c>
      <c r="AN2119">
        <v>0.99999998139206703</v>
      </c>
    </row>
    <row r="2120" spans="1:40" x14ac:dyDescent="0.3">
      <c r="A2120" t="str">
        <f>"20200111153916589"</f>
        <v>20200111153916589</v>
      </c>
      <c r="B2120" t="str">
        <f>"1578728356582797"</f>
        <v>1578728356582797</v>
      </c>
      <c r="C2120" t="s">
        <v>40</v>
      </c>
      <c r="D2120">
        <v>5.4808260000000004</v>
      </c>
      <c r="E2120">
        <v>0.52971429999999997</v>
      </c>
      <c r="F2120" t="s">
        <v>41</v>
      </c>
      <c r="G2120">
        <v>-298.10890000000001</v>
      </c>
      <c r="H2120">
        <v>1.0424</v>
      </c>
      <c r="I2120">
        <v>214.97880000000001</v>
      </c>
      <c r="J2120">
        <v>-298.43169999999998</v>
      </c>
      <c r="K2120">
        <v>1.1047929999999999</v>
      </c>
      <c r="L2120">
        <v>215.06950000000001</v>
      </c>
      <c r="M2120">
        <v>0.99984680000000004</v>
      </c>
      <c r="N2120">
        <v>0</v>
      </c>
      <c r="O2120">
        <v>8.4546099999999996E-3</v>
      </c>
      <c r="P2120">
        <v>0.99955519999999998</v>
      </c>
      <c r="Q2120">
        <v>2.6655600000000002E-2</v>
      </c>
      <c r="R2120">
        <v>-1.3385370000000001E-2</v>
      </c>
      <c r="S2120">
        <v>3.0041500000000001</v>
      </c>
      <c r="T2120">
        <v>-0.19214139999999999</v>
      </c>
      <c r="U2120">
        <v>-0.26197809999999999</v>
      </c>
      <c r="V2120">
        <v>2.1729419999999999E-2</v>
      </c>
      <c r="W2120">
        <v>4.2031140000000002E-2</v>
      </c>
      <c r="X2120">
        <v>0.99887999999999999</v>
      </c>
      <c r="Y2120">
        <v>9.5086229999999994E-2</v>
      </c>
      <c r="Z2120">
        <v>-3.5712370000000001E-3</v>
      </c>
      <c r="AA2120">
        <v>0.99546270000000003</v>
      </c>
      <c r="AB2120">
        <v>62</v>
      </c>
      <c r="AC2120">
        <v>0.322799999999972</v>
      </c>
      <c r="AD2120">
        <v>-6.2393000000000101E-2</v>
      </c>
      <c r="AE2120">
        <v>-9.0699999999998199E-2</v>
      </c>
      <c r="AF2120">
        <v>9.0299505641656397E-2</v>
      </c>
      <c r="AG2120">
        <v>-6.2393000000000101E-2</v>
      </c>
      <c r="AH2120">
        <v>0.31124435569521802</v>
      </c>
      <c r="AI2120">
        <v>100.897488111515</v>
      </c>
      <c r="AJ2120">
        <v>73.821279494056597</v>
      </c>
      <c r="AK2120">
        <v>0.330030204860493</v>
      </c>
      <c r="AL2120">
        <v>87.5910834892737</v>
      </c>
      <c r="AM2120">
        <v>88.753796529000297</v>
      </c>
      <c r="AN2120">
        <v>1.0000000194116101</v>
      </c>
    </row>
    <row r="2121" spans="1:40" x14ac:dyDescent="0.3">
      <c r="A2121" t="str">
        <f>"20200111153916612"</f>
        <v>20200111153916612</v>
      </c>
      <c r="B2121" t="str">
        <f>"1578728356603293"</f>
        <v>1578728356603293</v>
      </c>
      <c r="C2121" t="s">
        <v>40</v>
      </c>
      <c r="D2121">
        <v>5.443759</v>
      </c>
      <c r="E2121">
        <v>0.52969449999999996</v>
      </c>
      <c r="F2121" t="s">
        <v>41</v>
      </c>
      <c r="G2121">
        <v>-297.55399999999997</v>
      </c>
      <c r="H2121">
        <v>1.048106</v>
      </c>
      <c r="I2121">
        <v>214.98910000000001</v>
      </c>
      <c r="J2121">
        <v>-297.80549999999999</v>
      </c>
      <c r="K2121">
        <v>1.1047959999999999</v>
      </c>
      <c r="L2121">
        <v>215.07499999999999</v>
      </c>
      <c r="M2121">
        <v>0.99984099999999998</v>
      </c>
      <c r="N2121">
        <v>0</v>
      </c>
      <c r="O2121">
        <v>9.1111990000000004E-3</v>
      </c>
      <c r="P2121">
        <v>0.99952070000000004</v>
      </c>
      <c r="Q2121">
        <v>2.6276020000000001E-2</v>
      </c>
      <c r="R2121">
        <v>-1.6363889999999999E-2</v>
      </c>
      <c r="S2121">
        <v>3.0028380000000001</v>
      </c>
      <c r="T2121">
        <v>-0.1940055</v>
      </c>
      <c r="U2121">
        <v>-0.2745667</v>
      </c>
      <c r="V2121">
        <v>2.5364939999999999E-2</v>
      </c>
      <c r="W2121">
        <v>4.1656659999999998E-2</v>
      </c>
      <c r="X2121">
        <v>0.99880990000000003</v>
      </c>
      <c r="Y2121">
        <v>9.9901069999999995E-2</v>
      </c>
      <c r="Z2121">
        <v>-3.8040639999999998E-3</v>
      </c>
      <c r="AA2121">
        <v>0.99499009999999999</v>
      </c>
      <c r="AB2121">
        <v>62</v>
      </c>
      <c r="AC2121">
        <v>0.25149999999996397</v>
      </c>
      <c r="AD2121">
        <v>-5.66899999999999E-2</v>
      </c>
      <c r="AE2121">
        <v>-8.5899999999980894E-2</v>
      </c>
      <c r="AF2121">
        <v>8.4350184830590702E-2</v>
      </c>
      <c r="AG2121">
        <v>-5.66899999999999E-2</v>
      </c>
      <c r="AH2121">
        <v>0.23979595296381401</v>
      </c>
      <c r="AI2121">
        <v>102.57205234623601</v>
      </c>
      <c r="AJ2121">
        <v>70.620260895156505</v>
      </c>
      <c r="AK2121">
        <v>0.26044348492288799</v>
      </c>
      <c r="AL2121">
        <v>87.612558224032895</v>
      </c>
      <c r="AM2121">
        <v>88.545277022590099</v>
      </c>
      <c r="AN2121">
        <v>0.99999993692078204</v>
      </c>
    </row>
    <row r="2122" spans="1:40" x14ac:dyDescent="0.3">
      <c r="A2122" t="str">
        <f>"20200111153916634"</f>
        <v>20200111153916634</v>
      </c>
      <c r="B2122" t="str">
        <f>"1578728356622814"</f>
        <v>1578728356622814</v>
      </c>
      <c r="C2122" t="s">
        <v>40</v>
      </c>
      <c r="D2122">
        <v>5.3901260000000004</v>
      </c>
      <c r="E2122">
        <v>0.52967540000000002</v>
      </c>
      <c r="F2122" t="s">
        <v>59</v>
      </c>
      <c r="G2122">
        <v>-280.72919999999999</v>
      </c>
      <c r="H2122" s="1">
        <v>6.9046519999999997E-6</v>
      </c>
      <c r="I2122">
        <v>213.46629999999999</v>
      </c>
      <c r="J2122">
        <v>-297.1884</v>
      </c>
      <c r="K2122">
        <v>1.104795</v>
      </c>
      <c r="L2122">
        <v>215.08080000000001</v>
      </c>
      <c r="M2122">
        <v>0.99983500000000003</v>
      </c>
      <c r="N2122">
        <v>0</v>
      </c>
      <c r="O2122">
        <v>9.7584860000000002E-3</v>
      </c>
      <c r="P2122">
        <v>0.9995077</v>
      </c>
      <c r="Q2122">
        <v>2.477861E-2</v>
      </c>
      <c r="R2122">
        <v>-1.9239760000000002E-2</v>
      </c>
      <c r="S2122">
        <v>3.0019529999999999</v>
      </c>
      <c r="T2122">
        <v>-0.19421820000000001</v>
      </c>
      <c r="U2122">
        <v>-0.28280640000000001</v>
      </c>
      <c r="V2122">
        <v>2.8891409999999999E-2</v>
      </c>
      <c r="W2122">
        <v>4.0164459999999999E-2</v>
      </c>
      <c r="X2122">
        <v>0.99877530000000003</v>
      </c>
      <c r="Y2122">
        <v>0.10327</v>
      </c>
      <c r="Z2122">
        <v>-3.9592459999999996E-3</v>
      </c>
      <c r="AA2122">
        <v>0.99464549999999996</v>
      </c>
      <c r="AB2122">
        <v>62</v>
      </c>
      <c r="AC2122">
        <v>16.459199999999999</v>
      </c>
      <c r="AD2122">
        <v>-1.1047880953479901</v>
      </c>
      <c r="AE2122">
        <v>-1.61450000000002</v>
      </c>
      <c r="AF2122">
        <v>1.76717276232636</v>
      </c>
      <c r="AG2122">
        <v>-1.1047880953479901</v>
      </c>
      <c r="AH2122">
        <v>16.369609204180499</v>
      </c>
      <c r="AI2122">
        <v>93.838811080659298</v>
      </c>
      <c r="AJ2122">
        <v>83.838525212832195</v>
      </c>
      <c r="AK2122">
        <v>16.501744204935399</v>
      </c>
      <c r="AL2122">
        <v>87.6981267785863</v>
      </c>
      <c r="AM2122">
        <v>88.343076389698297</v>
      </c>
      <c r="AN2122">
        <v>0.99999999865448497</v>
      </c>
    </row>
    <row r="2123" spans="1:40" x14ac:dyDescent="0.3">
      <c r="A2123" t="str">
        <f>"20200111153916654"</f>
        <v>20200111153916654</v>
      </c>
      <c r="B2123" t="str">
        <f>"1578728356643309"</f>
        <v>1578728356643309</v>
      </c>
      <c r="C2123" t="s">
        <v>40</v>
      </c>
      <c r="D2123">
        <v>5.4524860000000004</v>
      </c>
      <c r="E2123">
        <v>0.52959129999999999</v>
      </c>
      <c r="F2123" t="s">
        <v>59</v>
      </c>
      <c r="G2123">
        <v>-280.42099999999999</v>
      </c>
      <c r="H2123" s="1">
        <v>7.0426390000000001E-6</v>
      </c>
      <c r="I2123">
        <v>213.45519999999999</v>
      </c>
      <c r="J2123">
        <v>-296.66399999999999</v>
      </c>
      <c r="K2123">
        <v>1.1047880000000001</v>
      </c>
      <c r="L2123">
        <v>215.08600000000001</v>
      </c>
      <c r="M2123">
        <v>0.99982950000000004</v>
      </c>
      <c r="N2123">
        <v>0</v>
      </c>
      <c r="O2123">
        <v>1.030916E-2</v>
      </c>
      <c r="P2123">
        <v>0.99951809999999996</v>
      </c>
      <c r="Q2123">
        <v>2.2939729999999998E-2</v>
      </c>
      <c r="R2123">
        <v>-2.0914680000000001E-2</v>
      </c>
      <c r="S2123">
        <v>3.0007929999999998</v>
      </c>
      <c r="T2123">
        <v>-0.1977187</v>
      </c>
      <c r="U2123">
        <v>-0.29092410000000002</v>
      </c>
      <c r="V2123">
        <v>3.112113E-2</v>
      </c>
      <c r="W2123">
        <v>3.8328630000000002E-2</v>
      </c>
      <c r="X2123">
        <v>0.99878040000000001</v>
      </c>
      <c r="Y2123">
        <v>0.10650270000000001</v>
      </c>
      <c r="Z2123">
        <v>-4.1737939999999998E-3</v>
      </c>
      <c r="AA2123">
        <v>0.99430359999999995</v>
      </c>
      <c r="AB2123">
        <v>61</v>
      </c>
      <c r="AC2123">
        <v>16.242999999999899</v>
      </c>
      <c r="AD2123">
        <v>-1.1047809573609999</v>
      </c>
      <c r="AE2123">
        <v>-1.63079999999999</v>
      </c>
      <c r="AF2123">
        <v>1.7899865460004301</v>
      </c>
      <c r="AG2123">
        <v>-1.1047809573609999</v>
      </c>
      <c r="AH2123">
        <v>16.1513495481821</v>
      </c>
      <c r="AI2123">
        <v>93.889299516578305</v>
      </c>
      <c r="AJ2123">
        <v>83.675955435984093</v>
      </c>
      <c r="AK2123">
        <v>16.287746468624</v>
      </c>
      <c r="AL2123">
        <v>87.803393094932105</v>
      </c>
      <c r="AM2123">
        <v>88.215290698507999</v>
      </c>
      <c r="AN2123">
        <v>0.99999994801715497</v>
      </c>
    </row>
    <row r="2124" spans="1:40" x14ac:dyDescent="0.3">
      <c r="A2124" t="str">
        <f>"20200111153916675"</f>
        <v>20200111153916675</v>
      </c>
      <c r="B2124" t="str">
        <f>"1578728356672590"</f>
        <v>1578728356672590</v>
      </c>
      <c r="C2124" t="s">
        <v>40</v>
      </c>
      <c r="D2124">
        <v>5.4350360000000002</v>
      </c>
      <c r="E2124">
        <v>0.52950050000000004</v>
      </c>
      <c r="F2124" t="s">
        <v>59</v>
      </c>
      <c r="G2124">
        <v>-280.30369999999999</v>
      </c>
      <c r="H2124" s="1">
        <v>7.092039E-6</v>
      </c>
      <c r="I2124">
        <v>213.47720000000001</v>
      </c>
      <c r="J2124">
        <v>-296.0838</v>
      </c>
      <c r="K2124">
        <v>1.104778</v>
      </c>
      <c r="L2124">
        <v>215.09219999999999</v>
      </c>
      <c r="M2124">
        <v>0.99982300000000002</v>
      </c>
      <c r="N2124">
        <v>0</v>
      </c>
      <c r="O2124">
        <v>1.091818E-2</v>
      </c>
      <c r="P2124">
        <v>0.99950059999999996</v>
      </c>
      <c r="Q2124">
        <v>2.208224E-2</v>
      </c>
      <c r="R2124">
        <v>-2.2606279999999999E-2</v>
      </c>
      <c r="S2124">
        <v>2.9999389999999999</v>
      </c>
      <c r="T2124">
        <v>-0.20258019999999999</v>
      </c>
      <c r="U2124">
        <v>-0.29501339999999998</v>
      </c>
      <c r="V2124">
        <v>3.3423319999999999E-2</v>
      </c>
      <c r="W2124">
        <v>3.7473310000000003E-2</v>
      </c>
      <c r="X2124">
        <v>0.99873849999999997</v>
      </c>
      <c r="Y2124">
        <v>0.1084596</v>
      </c>
      <c r="Z2124">
        <v>-4.383952E-3</v>
      </c>
      <c r="AA2124">
        <v>0.99409119999999995</v>
      </c>
      <c r="AB2124">
        <v>61</v>
      </c>
      <c r="AC2124">
        <v>15.780099999999999</v>
      </c>
      <c r="AD2124">
        <v>-1.104770907961</v>
      </c>
      <c r="AE2124">
        <v>-1.61499999999998</v>
      </c>
      <c r="AF2124">
        <v>1.7785866184939501</v>
      </c>
      <c r="AG2124">
        <v>-1.104770907961</v>
      </c>
      <c r="AH2124">
        <v>15.6854397411379</v>
      </c>
      <c r="AI2124">
        <v>94.003284515730797</v>
      </c>
      <c r="AJ2124">
        <v>83.530809658113</v>
      </c>
      <c r="AK2124">
        <v>15.8245666288664</v>
      </c>
      <c r="AL2124">
        <v>87.852434628689494</v>
      </c>
      <c r="AM2124">
        <v>88.083281308120704</v>
      </c>
      <c r="AN2124">
        <v>0.99999997933221396</v>
      </c>
    </row>
    <row r="2125" spans="1:40" x14ac:dyDescent="0.3">
      <c r="A2125" t="str">
        <f>"20200111153916707"</f>
        <v>20200111153916707</v>
      </c>
      <c r="B2125" t="str">
        <f>"1578728356702845"</f>
        <v>1578728356702845</v>
      </c>
      <c r="C2125" t="s">
        <v>40</v>
      </c>
      <c r="D2125">
        <v>5.6220179999999997</v>
      </c>
      <c r="E2125">
        <v>0.52941930000000004</v>
      </c>
      <c r="F2125" t="s">
        <v>41</v>
      </c>
      <c r="G2125">
        <v>-294.82459999999998</v>
      </c>
      <c r="H2125">
        <v>1.019153</v>
      </c>
      <c r="I2125">
        <v>214.9665</v>
      </c>
      <c r="J2125">
        <v>-295.46249999999998</v>
      </c>
      <c r="K2125">
        <v>1.1047640000000001</v>
      </c>
      <c r="L2125">
        <v>215.0992</v>
      </c>
      <c r="M2125">
        <v>0.99981580000000003</v>
      </c>
      <c r="N2125">
        <v>0</v>
      </c>
      <c r="O2125">
        <v>1.1571059999999999E-2</v>
      </c>
      <c r="P2125">
        <v>0.99945229999999996</v>
      </c>
      <c r="Q2125">
        <v>2.1649560000000002E-2</v>
      </c>
      <c r="R2125">
        <v>-2.5034250000000001E-2</v>
      </c>
      <c r="S2125">
        <v>2.9992369999999999</v>
      </c>
      <c r="T2125">
        <v>-0.20402790000000001</v>
      </c>
      <c r="U2125">
        <v>-0.29866029999999999</v>
      </c>
      <c r="V2125">
        <v>3.6504219999999997E-2</v>
      </c>
      <c r="W2125">
        <v>3.7043979999999997E-2</v>
      </c>
      <c r="X2125">
        <v>0.9986467</v>
      </c>
      <c r="Y2125">
        <v>0.1103185</v>
      </c>
      <c r="Z2125">
        <v>-4.5232409999999999E-3</v>
      </c>
      <c r="AA2125">
        <v>0.99388600000000005</v>
      </c>
      <c r="AB2125">
        <v>61</v>
      </c>
      <c r="AC2125">
        <v>0.63790000000000102</v>
      </c>
      <c r="AD2125">
        <v>-8.5610999999999798E-2</v>
      </c>
      <c r="AE2125">
        <v>-0.13269999999999901</v>
      </c>
      <c r="AF2125">
        <v>0.13769590156230499</v>
      </c>
      <c r="AG2125">
        <v>-8.5610999999999798E-2</v>
      </c>
      <c r="AH2125">
        <v>0.62552226708415803</v>
      </c>
      <c r="AI2125">
        <v>97.613206006213701</v>
      </c>
      <c r="AJ2125">
        <v>77.585504604616204</v>
      </c>
      <c r="AK2125">
        <v>0.64619463882499095</v>
      </c>
      <c r="AL2125">
        <v>87.877050611008201</v>
      </c>
      <c r="AM2125">
        <v>87.906560012600295</v>
      </c>
      <c r="AN2125">
        <v>1.0000000229764601</v>
      </c>
    </row>
    <row r="2126" spans="1:40" x14ac:dyDescent="0.3">
      <c r="A2126" t="str">
        <f>"20200111153916726"</f>
        <v>20200111153916726</v>
      </c>
      <c r="B2126" t="str">
        <f>"1578728356712605"</f>
        <v>1578728356712605</v>
      </c>
      <c r="C2126" t="s">
        <v>40</v>
      </c>
      <c r="D2126">
        <v>5.4413619999999998</v>
      </c>
      <c r="E2126">
        <v>0.52938799999999997</v>
      </c>
      <c r="F2126" t="s">
        <v>41</v>
      </c>
      <c r="G2126">
        <v>-294.27440000000001</v>
      </c>
      <c r="H2126">
        <v>1.0237579999999999</v>
      </c>
      <c r="I2126">
        <v>214.97819999999999</v>
      </c>
      <c r="J2126">
        <v>-294.69130000000001</v>
      </c>
      <c r="K2126">
        <v>1.104751</v>
      </c>
      <c r="L2126">
        <v>215.10839999999999</v>
      </c>
      <c r="M2126">
        <v>0.99980619999999998</v>
      </c>
      <c r="N2126">
        <v>0</v>
      </c>
      <c r="O2126">
        <v>1.238189E-2</v>
      </c>
      <c r="P2126">
        <v>0.99939730000000004</v>
      </c>
      <c r="Q2126">
        <v>2.1001550000000001E-2</v>
      </c>
      <c r="R2126">
        <v>-2.7637539999999999E-2</v>
      </c>
      <c r="S2126">
        <v>2.9984440000000001</v>
      </c>
      <c r="T2126">
        <v>-0.2044851</v>
      </c>
      <c r="U2126">
        <v>-0.30488589999999999</v>
      </c>
      <c r="V2126">
        <v>3.9918740000000001E-2</v>
      </c>
      <c r="W2126">
        <v>3.6399260000000003E-2</v>
      </c>
      <c r="X2126">
        <v>0.99853970000000003</v>
      </c>
      <c r="Y2126">
        <v>0.11318309999999999</v>
      </c>
      <c r="Z2126">
        <v>-4.6865040000000002E-3</v>
      </c>
      <c r="AA2126">
        <v>0.99356310000000003</v>
      </c>
      <c r="AB2126">
        <v>61</v>
      </c>
      <c r="AC2126">
        <v>0.41689999999999799</v>
      </c>
      <c r="AD2126">
        <v>-8.0992999999999996E-2</v>
      </c>
      <c r="AE2126">
        <v>-0.13020000000000201</v>
      </c>
      <c r="AF2126">
        <v>0.13085280211585701</v>
      </c>
      <c r="AG2126">
        <v>-8.0992999999999996E-2</v>
      </c>
      <c r="AH2126">
        <v>0.40145045095350401</v>
      </c>
      <c r="AI2126">
        <v>100.858487963443</v>
      </c>
      <c r="AJ2126">
        <v>71.946617616526794</v>
      </c>
      <c r="AK2126">
        <v>0.429935793394018</v>
      </c>
      <c r="AL2126">
        <v>87.914015171227405</v>
      </c>
      <c r="AM2126">
        <v>87.710698872730504</v>
      </c>
      <c r="AN2126">
        <v>0.99999997220391201</v>
      </c>
    </row>
    <row r="2127" spans="1:40" x14ac:dyDescent="0.3">
      <c r="A2127" t="str">
        <f>"20200111153916744"</f>
        <v>20200111153916744</v>
      </c>
      <c r="B2127" t="str">
        <f>"1578728356733102"</f>
        <v>1578728356733102</v>
      </c>
      <c r="C2127" t="s">
        <v>40</v>
      </c>
      <c r="D2127">
        <v>5.405799</v>
      </c>
      <c r="E2127">
        <v>0.52923880000000001</v>
      </c>
      <c r="F2127" t="s">
        <v>41</v>
      </c>
      <c r="G2127">
        <v>-293.7192</v>
      </c>
      <c r="H2127">
        <v>1.038524</v>
      </c>
      <c r="I2127">
        <v>215.00700000000001</v>
      </c>
      <c r="J2127">
        <v>-294.18090000000001</v>
      </c>
      <c r="K2127">
        <v>1.1047439999999999</v>
      </c>
      <c r="L2127">
        <v>215.11490000000001</v>
      </c>
      <c r="M2127">
        <v>0.99979929999999995</v>
      </c>
      <c r="N2127">
        <v>0</v>
      </c>
      <c r="O2127">
        <v>1.2918789999999999E-2</v>
      </c>
      <c r="P2127">
        <v>0.99932500000000002</v>
      </c>
      <c r="Q2127">
        <v>1.9545690000000001E-2</v>
      </c>
      <c r="R2127">
        <v>-3.1105020000000001E-2</v>
      </c>
      <c r="S2127">
        <v>2.9974669999999999</v>
      </c>
      <c r="T2127">
        <v>-0.20438129999999999</v>
      </c>
      <c r="U2127">
        <v>-0.31193539999999997</v>
      </c>
      <c r="V2127">
        <v>4.3925079999999998E-2</v>
      </c>
      <c r="W2127">
        <v>3.494916E-2</v>
      </c>
      <c r="X2127">
        <v>0.99842330000000001</v>
      </c>
      <c r="Y2127">
        <v>0.1160533</v>
      </c>
      <c r="Z2127">
        <v>-4.8190480000000003E-3</v>
      </c>
      <c r="AA2127">
        <v>0.99323130000000004</v>
      </c>
      <c r="AB2127">
        <v>61</v>
      </c>
      <c r="AC2127">
        <v>0.46170000000000699</v>
      </c>
      <c r="AD2127">
        <v>-6.6219999999999904E-2</v>
      </c>
      <c r="AE2127">
        <v>-0.1079</v>
      </c>
      <c r="AF2127">
        <v>0.111677929308962</v>
      </c>
      <c r="AG2127">
        <v>-6.6219999999999904E-2</v>
      </c>
      <c r="AH2127">
        <v>0.45146124170352397</v>
      </c>
      <c r="AI2127">
        <v>98.1037280613847</v>
      </c>
      <c r="AJ2127">
        <v>76.105672516877107</v>
      </c>
      <c r="AK2127">
        <v>0.46975983337789301</v>
      </c>
      <c r="AL2127">
        <v>87.997152708043402</v>
      </c>
      <c r="AM2127">
        <v>87.480928312282302</v>
      </c>
      <c r="AN2127">
        <v>0.99999997121030004</v>
      </c>
    </row>
    <row r="2128" spans="1:40" x14ac:dyDescent="0.3">
      <c r="A2128" t="str">
        <f>"20200111153916766"</f>
        <v>20200111153916766</v>
      </c>
      <c r="B2128" t="str">
        <f>"1578728356763358"</f>
        <v>1578728356763358</v>
      </c>
      <c r="C2128" t="s">
        <v>40</v>
      </c>
      <c r="D2128">
        <v>5.4066400000000003</v>
      </c>
      <c r="E2128">
        <v>0.52890000000000004</v>
      </c>
      <c r="F2128" t="s">
        <v>41</v>
      </c>
      <c r="G2128">
        <v>-293.17309999999998</v>
      </c>
      <c r="H2128">
        <v>1.0358459999999901</v>
      </c>
      <c r="I2128">
        <v>215.0069</v>
      </c>
      <c r="J2128">
        <v>-293.59739999999999</v>
      </c>
      <c r="K2128">
        <v>1.1047340000000001</v>
      </c>
      <c r="L2128">
        <v>215.12260000000001</v>
      </c>
      <c r="M2128">
        <v>0.9997914</v>
      </c>
      <c r="N2128">
        <v>0</v>
      </c>
      <c r="O2128">
        <v>1.35327E-2</v>
      </c>
      <c r="P2128">
        <v>0.99921530000000003</v>
      </c>
      <c r="Q2128">
        <v>1.799518E-2</v>
      </c>
      <c r="R2128">
        <v>-3.5289500000000001E-2</v>
      </c>
      <c r="S2128">
        <v>2.9960629999999999</v>
      </c>
      <c r="T2128">
        <v>-0.20485919999999999</v>
      </c>
      <c r="U2128">
        <v>-0.32069399999999998</v>
      </c>
      <c r="V2128">
        <v>4.8724950000000003E-2</v>
      </c>
      <c r="W2128">
        <v>3.3404639999999999E-2</v>
      </c>
      <c r="X2128">
        <v>0.99825350000000002</v>
      </c>
      <c r="Y2128">
        <v>0.1195708</v>
      </c>
      <c r="Z2128">
        <v>-4.9934020000000001E-3</v>
      </c>
      <c r="AA2128">
        <v>0.9928131</v>
      </c>
      <c r="AB2128">
        <v>61</v>
      </c>
      <c r="AC2128">
        <v>0.424300000000016</v>
      </c>
      <c r="AD2128">
        <v>-6.8888000000000199E-2</v>
      </c>
      <c r="AE2128">
        <v>-0.11570000000000299</v>
      </c>
      <c r="AF2128">
        <v>0.11852397025120701</v>
      </c>
      <c r="AG2128">
        <v>-6.8888000000000199E-2</v>
      </c>
      <c r="AH2128">
        <v>0.412572600549656</v>
      </c>
      <c r="AI2128">
        <v>99.117138218237997</v>
      </c>
      <c r="AJ2128">
        <v>73.971685532382295</v>
      </c>
      <c r="AK2128">
        <v>0.43475238790881299</v>
      </c>
      <c r="AL2128">
        <v>88.085699019963499</v>
      </c>
      <c r="AM2128">
        <v>87.205599465588506</v>
      </c>
      <c r="AN2128">
        <v>1.0000000204941399</v>
      </c>
    </row>
    <row r="2129" spans="1:40" x14ac:dyDescent="0.3">
      <c r="A2129" t="str">
        <f>"20200111153916788"</f>
        <v>20200111153916788</v>
      </c>
      <c r="B2129" t="str">
        <f>"1578728356782878"</f>
        <v>1578728356782878</v>
      </c>
      <c r="C2129" t="s">
        <v>40</v>
      </c>
      <c r="D2129">
        <v>5.4638339999999896</v>
      </c>
      <c r="E2129">
        <v>0.52837489999999998</v>
      </c>
      <c r="F2129" t="s">
        <v>41</v>
      </c>
      <c r="G2129">
        <v>-292.62430000000001</v>
      </c>
      <c r="H2129">
        <v>1.0376700000000001</v>
      </c>
      <c r="I2129">
        <v>215.01499999999999</v>
      </c>
      <c r="J2129">
        <v>-292.9735</v>
      </c>
      <c r="K2129">
        <v>1.104727</v>
      </c>
      <c r="L2129">
        <v>215.13120000000001</v>
      </c>
      <c r="M2129">
        <v>0.99978230000000001</v>
      </c>
      <c r="N2129">
        <v>0</v>
      </c>
      <c r="O2129">
        <v>1.418957E-2</v>
      </c>
      <c r="P2129">
        <v>0.99907860000000004</v>
      </c>
      <c r="Q2129">
        <v>1.6507000000000001E-2</v>
      </c>
      <c r="R2129">
        <v>-3.9621429999999999E-2</v>
      </c>
      <c r="S2129">
        <v>2.994415</v>
      </c>
      <c r="T2129">
        <v>-0.20650209999999999</v>
      </c>
      <c r="U2129">
        <v>-0.33013920000000002</v>
      </c>
      <c r="V2129">
        <v>5.3714539999999998E-2</v>
      </c>
      <c r="W2129">
        <v>3.1922939999999997E-2</v>
      </c>
      <c r="X2129">
        <v>0.99804590000000004</v>
      </c>
      <c r="Y2129">
        <v>0.12335939999999999</v>
      </c>
      <c r="Z2129">
        <v>-5.2104730000000002E-3</v>
      </c>
      <c r="AA2129">
        <v>0.99234840000000002</v>
      </c>
      <c r="AB2129">
        <v>61</v>
      </c>
      <c r="AC2129">
        <v>0.34919999999999601</v>
      </c>
      <c r="AD2129">
        <v>-6.7056999999999894E-2</v>
      </c>
      <c r="AE2129">
        <v>-0.11620000000002</v>
      </c>
      <c r="AF2129">
        <v>0.11725119631519</v>
      </c>
      <c r="AG2129">
        <v>-6.7056999999999894E-2</v>
      </c>
      <c r="AH2129">
        <v>0.33634919254310303</v>
      </c>
      <c r="AI2129">
        <v>100.661519624303</v>
      </c>
      <c r="AJ2129">
        <v>70.781465246981995</v>
      </c>
      <c r="AK2129">
        <v>0.36245725763287001</v>
      </c>
      <c r="AL2129">
        <v>88.170639418739299</v>
      </c>
      <c r="AM2129">
        <v>86.919329969927901</v>
      </c>
      <c r="AN2129">
        <v>0.99999997220623205</v>
      </c>
    </row>
    <row r="2130" spans="1:40" x14ac:dyDescent="0.3">
      <c r="A2130" t="str">
        <f>"20200111153916812"</f>
        <v>20200111153916812</v>
      </c>
      <c r="B2130" t="str">
        <f>"1578728356803374"</f>
        <v>1578728356803374</v>
      </c>
      <c r="C2130" t="s">
        <v>40</v>
      </c>
      <c r="D2130">
        <v>5.433262</v>
      </c>
      <c r="E2130">
        <v>0.52758989999999995</v>
      </c>
      <c r="F2130" t="s">
        <v>41</v>
      </c>
      <c r="G2130">
        <v>-292.07499999999999</v>
      </c>
      <c r="H2130">
        <v>1.0413030000000001</v>
      </c>
      <c r="I2130">
        <v>215.02940000000001</v>
      </c>
      <c r="J2130">
        <v>-292.3254</v>
      </c>
      <c r="K2130">
        <v>1.1047169999999999</v>
      </c>
      <c r="L2130">
        <v>215.14060000000001</v>
      </c>
      <c r="M2130">
        <v>0.99977240000000001</v>
      </c>
      <c r="N2130">
        <v>0</v>
      </c>
      <c r="O2130">
        <v>1.48722E-2</v>
      </c>
      <c r="P2130">
        <v>0.9989249</v>
      </c>
      <c r="Q2130">
        <v>1.521576E-2</v>
      </c>
      <c r="R2130">
        <v>-4.3794399999999997E-2</v>
      </c>
      <c r="S2130">
        <v>2.9927980000000001</v>
      </c>
      <c r="T2130">
        <v>-0.21144689999999999</v>
      </c>
      <c r="U2130">
        <v>-0.33854679999999998</v>
      </c>
      <c r="V2130">
        <v>5.8569549999999998E-2</v>
      </c>
      <c r="W2130">
        <v>3.0636589999999998E-2</v>
      </c>
      <c r="X2130">
        <v>0.99781310000000001</v>
      </c>
      <c r="Y2130">
        <v>0.12682199999999999</v>
      </c>
      <c r="Z2130">
        <v>-5.5067900000000001E-3</v>
      </c>
      <c r="AA2130">
        <v>0.99191019999999996</v>
      </c>
      <c r="AB2130">
        <v>61</v>
      </c>
      <c r="AC2130">
        <v>0.250400000000013</v>
      </c>
      <c r="AD2130">
        <v>-6.3413999999999804E-2</v>
      </c>
      <c r="AE2130">
        <v>-0.111199999999996</v>
      </c>
      <c r="AF2130">
        <v>0.109069193168357</v>
      </c>
      <c r="AG2130">
        <v>-6.3413999999999804E-2</v>
      </c>
      <c r="AH2130">
        <v>0.236071731249762</v>
      </c>
      <c r="AI2130">
        <v>103.704298064615</v>
      </c>
      <c r="AJ2130">
        <v>65.202252199659398</v>
      </c>
      <c r="AK2130">
        <v>0.26767010776262701</v>
      </c>
      <c r="AL2130">
        <v>88.244377961631102</v>
      </c>
      <c r="AM2130">
        <v>86.640711663003103</v>
      </c>
      <c r="AN2130">
        <v>0.99999998768281995</v>
      </c>
    </row>
    <row r="2131" spans="1:40" x14ac:dyDescent="0.3">
      <c r="A2131" t="str">
        <f>"20200111153916832"</f>
        <v>20200111153916832</v>
      </c>
      <c r="B2131" t="str">
        <f>"1578728356822893"</f>
        <v>1578728356822893</v>
      </c>
      <c r="C2131" t="s">
        <v>40</v>
      </c>
      <c r="D2131">
        <v>5.3566510000000003</v>
      </c>
      <c r="E2131">
        <v>0.52687379999999995</v>
      </c>
      <c r="F2131" t="s">
        <v>41</v>
      </c>
      <c r="G2131">
        <v>-291.52449999999999</v>
      </c>
      <c r="H2131">
        <v>1.0472669999999999</v>
      </c>
      <c r="I2131">
        <v>215.048</v>
      </c>
      <c r="J2131">
        <v>-291.7636</v>
      </c>
      <c r="K2131">
        <v>1.1047009999999999</v>
      </c>
      <c r="L2131">
        <v>215.1491</v>
      </c>
      <c r="M2131">
        <v>0.99976339999999997</v>
      </c>
      <c r="N2131">
        <v>0</v>
      </c>
      <c r="O2131">
        <v>1.5464220000000001E-2</v>
      </c>
      <c r="P2131">
        <v>0.99876039999999999</v>
      </c>
      <c r="Q2131">
        <v>1.3322540000000001E-2</v>
      </c>
      <c r="R2131">
        <v>-4.7964439999999997E-2</v>
      </c>
      <c r="S2131">
        <v>2.9913639999999999</v>
      </c>
      <c r="T2131">
        <v>-0.21472469999999999</v>
      </c>
      <c r="U2131">
        <v>-0.34449770000000002</v>
      </c>
      <c r="V2131">
        <v>6.3332390000000002E-2</v>
      </c>
      <c r="W2131">
        <v>2.874867E-2</v>
      </c>
      <c r="X2131">
        <v>0.99757830000000003</v>
      </c>
      <c r="Y2131">
        <v>0.1293907</v>
      </c>
      <c r="Z2131">
        <v>-5.72807E-3</v>
      </c>
      <c r="AA2131">
        <v>0.99157709999999999</v>
      </c>
      <c r="AB2131">
        <v>61</v>
      </c>
      <c r="AC2131">
        <v>0.239100000000007</v>
      </c>
      <c r="AD2131">
        <v>-5.7433999999999902E-2</v>
      </c>
      <c r="AE2131">
        <v>-0.10110000000000199</v>
      </c>
      <c r="AF2131">
        <v>9.9896038730588693E-2</v>
      </c>
      <c r="AG2131">
        <v>-5.7433999999999902E-2</v>
      </c>
      <c r="AH2131">
        <v>0.22642456331515601</v>
      </c>
      <c r="AI2131">
        <v>103.065548116645</v>
      </c>
      <c r="AJ2131">
        <v>66.193453007396201</v>
      </c>
      <c r="AK2131">
        <v>0.25405898091294199</v>
      </c>
      <c r="AL2131">
        <v>88.352595515542305</v>
      </c>
      <c r="AM2131">
        <v>86.367387610247803</v>
      </c>
      <c r="AN2131">
        <v>0.99999997114038497</v>
      </c>
    </row>
    <row r="2132" spans="1:40" x14ac:dyDescent="0.3">
      <c r="A2132" t="str">
        <f>"20200111153916854"</f>
        <v>20200111153916854</v>
      </c>
      <c r="B2132" t="str">
        <f>"1578728356843389"</f>
        <v>1578728356843389</v>
      </c>
      <c r="C2132" t="s">
        <v>40</v>
      </c>
      <c r="D2132">
        <v>5.352252</v>
      </c>
      <c r="E2132">
        <v>0.52622119999999994</v>
      </c>
      <c r="F2132" t="s">
        <v>41</v>
      </c>
      <c r="G2132">
        <v>-290.97840000000002</v>
      </c>
      <c r="H2132">
        <v>1.047177</v>
      </c>
      <c r="I2132">
        <v>215.05690000000001</v>
      </c>
      <c r="J2132">
        <v>-291.18090000000001</v>
      </c>
      <c r="K2132">
        <v>1.104678</v>
      </c>
      <c r="L2132">
        <v>215.1583</v>
      </c>
      <c r="M2132">
        <v>0.99975389999999997</v>
      </c>
      <c r="N2132">
        <v>0</v>
      </c>
      <c r="O2132">
        <v>1.607836E-2</v>
      </c>
      <c r="P2132">
        <v>0.9986254</v>
      </c>
      <c r="Q2132">
        <v>1.1321879999999999E-2</v>
      </c>
      <c r="R2132">
        <v>-5.1180789999999997E-2</v>
      </c>
      <c r="S2132">
        <v>2.9898069999999999</v>
      </c>
      <c r="T2132">
        <v>-0.219027</v>
      </c>
      <c r="U2132">
        <v>-0.35111999999999999</v>
      </c>
      <c r="V2132">
        <v>6.716453E-2</v>
      </c>
      <c r="W2132">
        <v>2.6751489999999999E-2</v>
      </c>
      <c r="X2132">
        <v>0.99738320000000003</v>
      </c>
      <c r="Y2132">
        <v>0.1322007</v>
      </c>
      <c r="Z2132">
        <v>-5.9920549999999996E-3</v>
      </c>
      <c r="AA2132">
        <v>0.99120490000000006</v>
      </c>
      <c r="AB2132">
        <v>61</v>
      </c>
      <c r="AC2132">
        <v>0.202499999999986</v>
      </c>
      <c r="AD2132">
        <v>-5.7500999999999997E-2</v>
      </c>
      <c r="AE2132">
        <v>-0.101399999999983</v>
      </c>
      <c r="AF2132">
        <v>9.8305724028879604E-2</v>
      </c>
      <c r="AG2132">
        <v>-5.7500999999999997E-2</v>
      </c>
      <c r="AH2132">
        <v>0.188679779968494</v>
      </c>
      <c r="AI2132">
        <v>105.124017210595</v>
      </c>
      <c r="AJ2132">
        <v>62.479636320627101</v>
      </c>
      <c r="AK2132">
        <v>0.220387022637</v>
      </c>
      <c r="AL2132">
        <v>88.467069624309801</v>
      </c>
      <c r="AM2132">
        <v>86.147475811911804</v>
      </c>
      <c r="AN2132">
        <v>0.99999998197479001</v>
      </c>
    </row>
    <row r="2133" spans="1:40" x14ac:dyDescent="0.3">
      <c r="A2133" t="str">
        <f>"20200111153916878"</f>
        <v>20200111153916878</v>
      </c>
      <c r="B2133" t="str">
        <f>"1578728356872655"</f>
        <v>1578728356872655</v>
      </c>
      <c r="C2133" t="s">
        <v>40</v>
      </c>
      <c r="D2133">
        <v>5.3470649999999997</v>
      </c>
      <c r="E2133">
        <v>0.52531899999999998</v>
      </c>
      <c r="F2133" t="s">
        <v>41</v>
      </c>
      <c r="G2133">
        <v>-290.43119999999999</v>
      </c>
      <c r="H2133">
        <v>1.048932</v>
      </c>
      <c r="I2133">
        <v>215.06899999999999</v>
      </c>
      <c r="J2133">
        <v>-290.53030000000001</v>
      </c>
      <c r="K2133">
        <v>1.1046469999999999</v>
      </c>
      <c r="L2133">
        <v>215.16900000000001</v>
      </c>
      <c r="M2133">
        <v>0.99974260000000004</v>
      </c>
      <c r="N2133">
        <v>0</v>
      </c>
      <c r="O2133">
        <v>1.6764319999999999E-2</v>
      </c>
      <c r="P2133">
        <v>0.99846290000000004</v>
      </c>
      <c r="Q2133">
        <v>9.2214199999999993E-3</v>
      </c>
      <c r="R2133">
        <v>-5.4658140000000001E-2</v>
      </c>
      <c r="S2133">
        <v>2.988464</v>
      </c>
      <c r="T2133">
        <v>-0.22240850000000001</v>
      </c>
      <c r="U2133">
        <v>-0.35488890000000001</v>
      </c>
      <c r="V2133">
        <v>7.1328379999999997E-2</v>
      </c>
      <c r="W2133">
        <v>2.4654100000000002E-2</v>
      </c>
      <c r="X2133">
        <v>0.99714820000000004</v>
      </c>
      <c r="Y2133">
        <v>0.1341453</v>
      </c>
      <c r="Z2133">
        <v>-6.2094150000000002E-3</v>
      </c>
      <c r="AA2133">
        <v>0.9909422</v>
      </c>
      <c r="AB2133">
        <v>61</v>
      </c>
      <c r="AC2133">
        <v>9.9100000000021199E-2</v>
      </c>
      <c r="AD2133">
        <v>-5.5714999999999897E-2</v>
      </c>
      <c r="AE2133">
        <v>-9.9999999999994302E-2</v>
      </c>
      <c r="AF2133">
        <v>8.7883880220001195E-2</v>
      </c>
      <c r="AG2133">
        <v>-5.5714999999999897E-2</v>
      </c>
      <c r="AH2133">
        <v>8.4219693321148398E-2</v>
      </c>
      <c r="AI2133">
        <v>114.594464652854</v>
      </c>
      <c r="AJ2133">
        <v>43.780323223957502</v>
      </c>
      <c r="AK2133">
        <v>0.13386819775671799</v>
      </c>
      <c r="AL2133">
        <v>88.587281050673994</v>
      </c>
      <c r="AM2133">
        <v>85.908465888832495</v>
      </c>
      <c r="AN2133">
        <v>1.0000000476017299</v>
      </c>
    </row>
    <row r="2134" spans="1:40" x14ac:dyDescent="0.3">
      <c r="A2134" t="str">
        <f>"20200111153916899"</f>
        <v>20200111153916899</v>
      </c>
      <c r="B2134" t="str">
        <f>"1578728356893150"</f>
        <v>1578728356893150</v>
      </c>
      <c r="C2134" t="s">
        <v>40</v>
      </c>
      <c r="D2134">
        <v>5.3557100000000002</v>
      </c>
      <c r="E2134">
        <v>0.52474639999999995</v>
      </c>
      <c r="F2134" t="s">
        <v>41</v>
      </c>
      <c r="G2134">
        <v>-289.3578</v>
      </c>
      <c r="H2134">
        <v>1.015952</v>
      </c>
      <c r="I2134">
        <v>215.0283</v>
      </c>
      <c r="J2134">
        <v>-289.94299999999998</v>
      </c>
      <c r="K2134">
        <v>1.1046100000000001</v>
      </c>
      <c r="L2134">
        <v>215.179</v>
      </c>
      <c r="M2134">
        <v>0.99973210000000001</v>
      </c>
      <c r="N2134">
        <v>0</v>
      </c>
      <c r="O2134">
        <v>1.738371E-2</v>
      </c>
      <c r="P2134">
        <v>0.99830859999999999</v>
      </c>
      <c r="Q2134">
        <v>6.6126919999999999E-3</v>
      </c>
      <c r="R2134">
        <v>-5.7763189999999999E-2</v>
      </c>
      <c r="S2134">
        <v>2.9871219999999998</v>
      </c>
      <c r="T2134">
        <v>-0.22605810000000001</v>
      </c>
      <c r="U2134">
        <v>-0.35772710000000002</v>
      </c>
      <c r="V2134">
        <v>7.5054949999999995E-2</v>
      </c>
      <c r="W2134">
        <v>2.2047939999999999E-2</v>
      </c>
      <c r="X2134">
        <v>0.99693560000000003</v>
      </c>
      <c r="Y2134">
        <v>0.13571939999999999</v>
      </c>
      <c r="Z2134">
        <v>-6.4194129999999997E-3</v>
      </c>
      <c r="AA2134">
        <v>0.99072649999999995</v>
      </c>
      <c r="AB2134">
        <v>61</v>
      </c>
      <c r="AC2134">
        <v>0.58519999999998595</v>
      </c>
      <c r="AD2134">
        <v>-8.8658000000000098E-2</v>
      </c>
      <c r="AE2134">
        <v>-0.1507</v>
      </c>
      <c r="AF2134">
        <v>0.15746200255571799</v>
      </c>
      <c r="AG2134">
        <v>-8.8658000000000098E-2</v>
      </c>
      <c r="AH2134">
        <v>0.570217636989229</v>
      </c>
      <c r="AI2134">
        <v>98.523576015759105</v>
      </c>
      <c r="AJ2134">
        <v>74.562845139014698</v>
      </c>
      <c r="AK2134">
        <v>0.59816609461456205</v>
      </c>
      <c r="AL2134">
        <v>88.736643688545698</v>
      </c>
      <c r="AM2134">
        <v>85.694571720242607</v>
      </c>
      <c r="AN2134">
        <v>0.99999997386255202</v>
      </c>
    </row>
    <row r="2135" spans="1:40" x14ac:dyDescent="0.3">
      <c r="A2135" t="str">
        <f>"20200111153916922"</f>
        <v>20200111153916922</v>
      </c>
      <c r="B2135" t="str">
        <f>"1578728356912671"</f>
        <v>1578728356912671</v>
      </c>
      <c r="C2135" t="s">
        <v>40</v>
      </c>
      <c r="D2135">
        <v>5.3266660000000003</v>
      </c>
      <c r="E2135">
        <v>0.52419589999999905</v>
      </c>
      <c r="F2135" t="s">
        <v>41</v>
      </c>
      <c r="G2135">
        <v>-288.81270000000001</v>
      </c>
      <c r="H2135">
        <v>1.0163519999999999</v>
      </c>
      <c r="I2135">
        <v>215.04179999999999</v>
      </c>
      <c r="J2135">
        <v>-289.32260000000002</v>
      </c>
      <c r="K2135">
        <v>1.104573</v>
      </c>
      <c r="L2135">
        <v>215.19</v>
      </c>
      <c r="M2135">
        <v>0.99972050000000001</v>
      </c>
      <c r="N2135">
        <v>0</v>
      </c>
      <c r="O2135">
        <v>1.803832E-2</v>
      </c>
      <c r="P2135">
        <v>0.99817489999999998</v>
      </c>
      <c r="Q2135">
        <v>3.8053679999999999E-3</v>
      </c>
      <c r="R2135">
        <v>-6.0270249999999997E-2</v>
      </c>
      <c r="S2135">
        <v>2.985687</v>
      </c>
      <c r="T2135">
        <v>-0.23320260000000001</v>
      </c>
      <c r="U2135">
        <v>-0.36228939999999998</v>
      </c>
      <c r="V2135">
        <v>7.8219350000000007E-2</v>
      </c>
      <c r="W2135">
        <v>1.924236E-2</v>
      </c>
      <c r="X2135">
        <v>0.99675049999999998</v>
      </c>
      <c r="Y2135">
        <v>0.13787969999999999</v>
      </c>
      <c r="Z2135">
        <v>-6.7590719999999996E-3</v>
      </c>
      <c r="AA2135">
        <v>0.99042589999999997</v>
      </c>
      <c r="AB2135">
        <v>61</v>
      </c>
      <c r="AC2135">
        <v>0.50990000000001601</v>
      </c>
      <c r="AD2135">
        <v>-8.82209999999998E-2</v>
      </c>
      <c r="AE2135">
        <v>-0.148200000000002</v>
      </c>
      <c r="AF2135">
        <v>0.15314738511547499</v>
      </c>
      <c r="AG2135">
        <v>-8.82209999999998E-2</v>
      </c>
      <c r="AH2135">
        <v>0.49352082658151197</v>
      </c>
      <c r="AI2135">
        <v>99.688532584410694</v>
      </c>
      <c r="AJ2135">
        <v>72.7600497169243</v>
      </c>
      <c r="AK2135">
        <v>0.52421357544268699</v>
      </c>
      <c r="AL2135">
        <v>88.897425987635103</v>
      </c>
      <c r="AM2135">
        <v>85.512946489926094</v>
      </c>
      <c r="AN2135">
        <v>1.00000004719151</v>
      </c>
    </row>
    <row r="2136" spans="1:40" x14ac:dyDescent="0.3">
      <c r="A2136" t="str">
        <f>"20200111153916944"</f>
        <v>20200111153916944</v>
      </c>
      <c r="B2136" t="str">
        <f>"1578728356933167"</f>
        <v>1578728356933167</v>
      </c>
      <c r="C2136" t="s">
        <v>40</v>
      </c>
      <c r="D2136">
        <v>5.4483689999999996</v>
      </c>
      <c r="E2136">
        <v>0.5043474</v>
      </c>
      <c r="F2136" t="s">
        <v>41</v>
      </c>
      <c r="G2136">
        <v>-288.26679999999999</v>
      </c>
      <c r="H2136">
        <v>1.019482</v>
      </c>
      <c r="I2136">
        <v>215.06049999999999</v>
      </c>
      <c r="J2136">
        <v>-288.7122</v>
      </c>
      <c r="K2136">
        <v>1.104538</v>
      </c>
      <c r="L2136">
        <v>215.2012</v>
      </c>
      <c r="M2136">
        <v>0.99970870000000001</v>
      </c>
      <c r="N2136">
        <v>0</v>
      </c>
      <c r="O2136">
        <v>1.868268E-2</v>
      </c>
      <c r="P2136">
        <v>0.99807829999999997</v>
      </c>
      <c r="Q2136">
        <v>8.3341820000000001E-4</v>
      </c>
      <c r="R2136">
        <v>-6.195983E-2</v>
      </c>
      <c r="S2136">
        <v>2.9843440000000001</v>
      </c>
      <c r="T2136">
        <v>-0.24058889999999999</v>
      </c>
      <c r="U2136">
        <v>-0.36540220000000001</v>
      </c>
      <c r="V2136">
        <v>8.0557000000000004E-2</v>
      </c>
      <c r="W2136">
        <v>1.6270219999999998E-2</v>
      </c>
      <c r="X2136">
        <v>0.99661719999999998</v>
      </c>
      <c r="Y2136">
        <v>0.13955119999999999</v>
      </c>
      <c r="Z2136">
        <v>-7.093869E-3</v>
      </c>
      <c r="AA2136">
        <v>0.9901894</v>
      </c>
      <c r="AB2136">
        <v>61</v>
      </c>
      <c r="AC2136">
        <v>0.44540000000000601</v>
      </c>
      <c r="AD2136">
        <v>-8.5056000000000007E-2</v>
      </c>
      <c r="AE2136">
        <v>-0.14070000000000901</v>
      </c>
      <c r="AF2136">
        <v>0.14421564711229001</v>
      </c>
      <c r="AG2136">
        <v>-8.5056000000000007E-2</v>
      </c>
      <c r="AH2136">
        <v>0.428485200587505</v>
      </c>
      <c r="AI2136">
        <v>100.654734489684</v>
      </c>
      <c r="AJ2136">
        <v>71.398264926720103</v>
      </c>
      <c r="AK2136">
        <v>0.46003504554602198</v>
      </c>
      <c r="AL2136">
        <v>89.067743925054998</v>
      </c>
      <c r="AM2136">
        <v>85.378804132139805</v>
      </c>
      <c r="AN2136">
        <v>0.99999999682184404</v>
      </c>
    </row>
    <row r="2137" spans="1:40" x14ac:dyDescent="0.3">
      <c r="A2137" t="str">
        <f>"20200111153916965"</f>
        <v>20200111153916965</v>
      </c>
      <c r="B2137" t="str">
        <f>"1578728356952687"</f>
        <v>1578728356952687</v>
      </c>
      <c r="C2137" t="s">
        <v>40</v>
      </c>
      <c r="D2137">
        <v>5.3558500000000002</v>
      </c>
      <c r="E2137">
        <v>0.50575020000000004</v>
      </c>
      <c r="F2137" t="s">
        <v>55</v>
      </c>
      <c r="G2137">
        <v>-265.05270000000002</v>
      </c>
      <c r="H2137" s="1">
        <v>1.200962E-6</v>
      </c>
      <c r="I2137">
        <v>213.49629999999999</v>
      </c>
      <c r="J2137">
        <v>-288.14030000000002</v>
      </c>
      <c r="K2137">
        <v>1.1045160000000001</v>
      </c>
      <c r="L2137">
        <v>215.21209999999999</v>
      </c>
      <c r="M2137">
        <v>0.99969730000000001</v>
      </c>
      <c r="N2137">
        <v>0</v>
      </c>
      <c r="O2137">
        <v>1.9286439999999998E-2</v>
      </c>
      <c r="P2137">
        <v>0.99795129999999999</v>
      </c>
      <c r="Q2137">
        <v>-1.239041E-3</v>
      </c>
      <c r="R2137">
        <v>-6.396723E-2</v>
      </c>
      <c r="S2137">
        <v>2.9924620000000002</v>
      </c>
      <c r="T2137">
        <v>-0.13970239999999901</v>
      </c>
      <c r="U2137">
        <v>-0.2156372</v>
      </c>
      <c r="V2137">
        <v>8.3168740000000005E-2</v>
      </c>
      <c r="W2137">
        <v>1.419813E-2</v>
      </c>
      <c r="X2137">
        <v>0.9964343</v>
      </c>
      <c r="Y2137">
        <v>9.0979679999999993E-2</v>
      </c>
      <c r="Z2137">
        <v>-3.018733E-3</v>
      </c>
      <c r="AA2137">
        <v>0.99584819999999996</v>
      </c>
      <c r="AB2137">
        <v>61</v>
      </c>
      <c r="AC2137">
        <v>23.087599999999998</v>
      </c>
      <c r="AD2137">
        <v>-1.104514799038</v>
      </c>
      <c r="AE2137">
        <v>-1.7158</v>
      </c>
      <c r="AF2137">
        <v>2.1559032819429498</v>
      </c>
      <c r="AG2137">
        <v>-1.104514799038</v>
      </c>
      <c r="AH2137">
        <v>22.9978634571379</v>
      </c>
      <c r="AI2137">
        <v>92.7376383748461</v>
      </c>
      <c r="AJ2137">
        <v>84.644536555980196</v>
      </c>
      <c r="AK2137">
        <v>23.125085848392999</v>
      </c>
      <c r="AL2137">
        <v>89.186479715722299</v>
      </c>
      <c r="AM2137">
        <v>85.228789319102802</v>
      </c>
      <c r="AN2137">
        <v>0.99999997021258602</v>
      </c>
    </row>
    <row r="2138" spans="1:40" x14ac:dyDescent="0.3">
      <c r="A2138" t="str">
        <f>"20200111153916987"</f>
        <v>20200111153916987</v>
      </c>
      <c r="B2138" t="str">
        <f>"1578728356982943"</f>
        <v>1578728356982943</v>
      </c>
      <c r="C2138" t="s">
        <v>40</v>
      </c>
      <c r="D2138">
        <v>5.3963650000000003</v>
      </c>
      <c r="E2138">
        <v>0.50446880000000005</v>
      </c>
      <c r="F2138" t="s">
        <v>41</v>
      </c>
      <c r="G2138">
        <v>-287.1617</v>
      </c>
      <c r="H2138">
        <v>1.049658</v>
      </c>
      <c r="I2138">
        <v>215.13579999999999</v>
      </c>
      <c r="J2138">
        <v>-287.53140000000002</v>
      </c>
      <c r="K2138">
        <v>1.104509</v>
      </c>
      <c r="L2138">
        <v>215.22399999999999</v>
      </c>
      <c r="M2138">
        <v>0.99968480000000004</v>
      </c>
      <c r="N2138">
        <v>0</v>
      </c>
      <c r="O2138">
        <v>1.9929550000000001E-2</v>
      </c>
      <c r="P2138">
        <v>0.99786759999999997</v>
      </c>
      <c r="Q2138">
        <v>-2.410443E-3</v>
      </c>
      <c r="R2138">
        <v>-6.5226110000000004E-2</v>
      </c>
      <c r="S2138">
        <v>2.9911189999999999</v>
      </c>
      <c r="T2138">
        <v>-0.16792650000000001</v>
      </c>
      <c r="U2138">
        <v>-0.23202510000000001</v>
      </c>
      <c r="V2138">
        <v>8.5069969999999995E-2</v>
      </c>
      <c r="W2138">
        <v>1.3025699999999999E-2</v>
      </c>
      <c r="X2138">
        <v>0.9962898</v>
      </c>
      <c r="Y2138">
        <v>9.7012689999999999E-2</v>
      </c>
      <c r="Z2138">
        <v>-3.8336300000000002E-3</v>
      </c>
      <c r="AA2138">
        <v>0.99527569999999999</v>
      </c>
      <c r="AB2138">
        <v>61</v>
      </c>
      <c r="AC2138">
        <v>0.36970000000002201</v>
      </c>
      <c r="AD2138">
        <v>-5.48509999999999E-2</v>
      </c>
      <c r="AE2138">
        <v>-8.8200000000028894E-2</v>
      </c>
      <c r="AF2138">
        <v>9.3601833844334806E-2</v>
      </c>
      <c r="AG2138">
        <v>-5.48509999999999E-2</v>
      </c>
      <c r="AH2138">
        <v>0.36036323096821199</v>
      </c>
      <c r="AI2138">
        <v>98.380633039721999</v>
      </c>
      <c r="AJ2138">
        <v>75.439576234425104</v>
      </c>
      <c r="AK2138">
        <v>0.37633973180342201</v>
      </c>
      <c r="AL2138">
        <v>89.253661234166898</v>
      </c>
      <c r="AM2138">
        <v>85.1195363572524</v>
      </c>
      <c r="AN2138">
        <v>0.99999996712016403</v>
      </c>
    </row>
    <row r="2139" spans="1:40" x14ac:dyDescent="0.3">
      <c r="A2139" t="str">
        <f>"20200111153917011"</f>
        <v>20200111153917011</v>
      </c>
      <c r="B2139" t="str">
        <f>"1578728357002462"</f>
        <v>1578728357002462</v>
      </c>
      <c r="C2139" t="s">
        <v>40</v>
      </c>
      <c r="D2139">
        <v>5.3471330000000004</v>
      </c>
      <c r="E2139">
        <v>0.50412559999999995</v>
      </c>
      <c r="F2139" t="s">
        <v>41</v>
      </c>
      <c r="G2139">
        <v>-286.62040000000002</v>
      </c>
      <c r="H2139">
        <v>1.0473650000000001</v>
      </c>
      <c r="I2139">
        <v>215.15549999999999</v>
      </c>
      <c r="J2139">
        <v>-286.89030000000002</v>
      </c>
      <c r="K2139">
        <v>1.1045160000000001</v>
      </c>
      <c r="L2139">
        <v>215.2371</v>
      </c>
      <c r="M2139">
        <v>0.99967099999999998</v>
      </c>
      <c r="N2139">
        <v>0</v>
      </c>
      <c r="O2139">
        <v>2.0607520000000001E-2</v>
      </c>
      <c r="P2139">
        <v>0.99780579999999996</v>
      </c>
      <c r="Q2139">
        <v>-3.1501070000000001E-3</v>
      </c>
      <c r="R2139">
        <v>-6.6134159999999997E-2</v>
      </c>
      <c r="S2139">
        <v>2.9912109999999998</v>
      </c>
      <c r="T2139">
        <v>-0.18763270000000001</v>
      </c>
      <c r="U2139">
        <v>-0.2249603</v>
      </c>
      <c r="V2139">
        <v>8.6653859999999999E-2</v>
      </c>
      <c r="W2139">
        <v>1.228427E-2</v>
      </c>
      <c r="X2139">
        <v>0.99616269999999996</v>
      </c>
      <c r="Y2139">
        <v>9.5304650000000005E-2</v>
      </c>
      <c r="Z2139">
        <v>-4.2719180000000004E-3</v>
      </c>
      <c r="AA2139">
        <v>0.99543899999999996</v>
      </c>
      <c r="AB2139">
        <v>61</v>
      </c>
      <c r="AC2139">
        <v>0.26990000000000602</v>
      </c>
      <c r="AD2139">
        <v>-5.7151000000000098E-2</v>
      </c>
      <c r="AE2139">
        <v>-8.1600000000008693E-2</v>
      </c>
      <c r="AF2139">
        <v>8.3706426861166597E-2</v>
      </c>
      <c r="AG2139">
        <v>-5.7151000000000098E-2</v>
      </c>
      <c r="AH2139">
        <v>0.25757894595216502</v>
      </c>
      <c r="AI2139">
        <v>101.915454757825</v>
      </c>
      <c r="AJ2139">
        <v>71.997192522384097</v>
      </c>
      <c r="AK2139">
        <v>0.27680302761475001</v>
      </c>
      <c r="AL2139">
        <v>89.296145443225001</v>
      </c>
      <c r="AM2139">
        <v>85.028488703340102</v>
      </c>
      <c r="AN2139">
        <v>0.99999995980681</v>
      </c>
    </row>
    <row r="2140" spans="1:40" x14ac:dyDescent="0.3">
      <c r="A2140" t="str">
        <f>"20200111153917033"</f>
        <v>20200111153917033</v>
      </c>
      <c r="B2140" t="str">
        <f>"1578728357022959"</f>
        <v>1578728357022959</v>
      </c>
      <c r="C2140" t="s">
        <v>40</v>
      </c>
      <c r="D2140">
        <v>5.368436</v>
      </c>
      <c r="E2140">
        <v>0.50380159999999996</v>
      </c>
      <c r="F2140" t="s">
        <v>41</v>
      </c>
      <c r="G2140">
        <v>-286.07380000000001</v>
      </c>
      <c r="H2140">
        <v>1.051301</v>
      </c>
      <c r="I2140">
        <v>215.1754</v>
      </c>
      <c r="J2140">
        <v>-286.30250000000001</v>
      </c>
      <c r="K2140">
        <v>1.104525</v>
      </c>
      <c r="L2140">
        <v>215.24940000000001</v>
      </c>
      <c r="M2140">
        <v>0.99965820000000005</v>
      </c>
      <c r="N2140">
        <v>0</v>
      </c>
      <c r="O2140">
        <v>2.1229049999999999E-2</v>
      </c>
      <c r="P2140">
        <v>0.99774870000000004</v>
      </c>
      <c r="Q2140">
        <v>-2.9023759999999999E-3</v>
      </c>
      <c r="R2140">
        <v>-6.7002909999999999E-2</v>
      </c>
      <c r="S2140">
        <v>2.9911500000000002</v>
      </c>
      <c r="T2140">
        <v>-0.19524839999999999</v>
      </c>
      <c r="U2140">
        <v>-0.2243347</v>
      </c>
      <c r="V2140">
        <v>8.8140079999999996E-2</v>
      </c>
      <c r="W2140">
        <v>1.253078E-2</v>
      </c>
      <c r="X2140">
        <v>0.99602930000000001</v>
      </c>
      <c r="Y2140">
        <v>9.5697110000000002E-2</v>
      </c>
      <c r="Z2140">
        <v>-4.4983339999999997E-3</v>
      </c>
      <c r="AA2140">
        <v>0.99540030000000002</v>
      </c>
      <c r="AB2140">
        <v>61</v>
      </c>
      <c r="AC2140">
        <v>0.22870000000000301</v>
      </c>
      <c r="AD2140">
        <v>-5.3223999999999903E-2</v>
      </c>
      <c r="AE2140">
        <v>-7.4000000000012195E-2</v>
      </c>
      <c r="AF2140">
        <v>7.5154338462190398E-2</v>
      </c>
      <c r="AG2140">
        <v>-5.3223999999999903E-2</v>
      </c>
      <c r="AH2140">
        <v>0.216464595629976</v>
      </c>
      <c r="AI2140">
        <v>103.07662720147</v>
      </c>
      <c r="AJ2140">
        <v>70.853511182087502</v>
      </c>
      <c r="AK2140">
        <v>0.23524006871053799</v>
      </c>
      <c r="AL2140">
        <v>89.282020423336306</v>
      </c>
      <c r="AM2140">
        <v>84.942985817386898</v>
      </c>
      <c r="AN2140">
        <v>1.0000000303041501</v>
      </c>
    </row>
    <row r="2141" spans="1:40" x14ac:dyDescent="0.3">
      <c r="A2141" t="str">
        <f>"20200111153917055"</f>
        <v>20200111153917055</v>
      </c>
      <c r="B2141" t="str">
        <f>"1578728357042478"</f>
        <v>1578728357042478</v>
      </c>
      <c r="C2141" t="s">
        <v>40</v>
      </c>
      <c r="D2141">
        <v>5.430199</v>
      </c>
      <c r="E2141">
        <v>0.50334829999999997</v>
      </c>
      <c r="F2141" t="s">
        <v>55</v>
      </c>
      <c r="G2141">
        <v>-269.09899999999999</v>
      </c>
      <c r="H2141" s="1">
        <v>3.3340030000000001E-6</v>
      </c>
      <c r="I2141">
        <v>213.95849999999999</v>
      </c>
      <c r="J2141">
        <v>-285.7208</v>
      </c>
      <c r="K2141">
        <v>1.1045430000000001</v>
      </c>
      <c r="L2141">
        <v>215.2619</v>
      </c>
      <c r="M2141">
        <v>0.9996448</v>
      </c>
      <c r="N2141">
        <v>0</v>
      </c>
      <c r="O2141">
        <v>2.1844499999999999E-2</v>
      </c>
      <c r="P2141">
        <v>0.99768469999999998</v>
      </c>
      <c r="Q2141">
        <v>-2.321895E-3</v>
      </c>
      <c r="R2141">
        <v>-6.7971180000000006E-2</v>
      </c>
      <c r="S2141">
        <v>2.9911189999999999</v>
      </c>
      <c r="T2141">
        <v>-0.19204019999999999</v>
      </c>
      <c r="U2141">
        <v>-0.22444149999999999</v>
      </c>
      <c r="V2141">
        <v>8.9718530000000005E-2</v>
      </c>
      <c r="W2141">
        <v>1.311009E-2</v>
      </c>
      <c r="X2141">
        <v>0.99588089999999996</v>
      </c>
      <c r="Y2141">
        <v>9.635146E-2</v>
      </c>
      <c r="Z2141">
        <v>-4.4849989999999999E-3</v>
      </c>
      <c r="AA2141">
        <v>0.99533720000000003</v>
      </c>
      <c r="AB2141">
        <v>61</v>
      </c>
      <c r="AC2141">
        <v>16.6218</v>
      </c>
      <c r="AD2141">
        <v>-1.1045396659969999</v>
      </c>
      <c r="AE2141">
        <v>-1.3034000000000101</v>
      </c>
      <c r="AF2141">
        <v>1.65894539155312</v>
      </c>
      <c r="AG2141">
        <v>-1.1045396659969999</v>
      </c>
      <c r="AH2141">
        <v>16.516868371818699</v>
      </c>
      <c r="AI2141">
        <v>93.806772408236895</v>
      </c>
      <c r="AJ2141">
        <v>84.264477868015703</v>
      </c>
      <c r="AK2141">
        <v>16.6366778083216</v>
      </c>
      <c r="AL2141">
        <v>89.248825676028204</v>
      </c>
      <c r="AM2141">
        <v>84.852141998564207</v>
      </c>
      <c r="AN2141">
        <v>1.0000000280349799</v>
      </c>
    </row>
    <row r="2142" spans="1:40" x14ac:dyDescent="0.3">
      <c r="A2142" t="str">
        <f>"20200111153917078"</f>
        <v>20200111153917078</v>
      </c>
      <c r="B2142" t="str">
        <f>"1578728357072735"</f>
        <v>1578728357072735</v>
      </c>
      <c r="C2142" t="s">
        <v>40</v>
      </c>
      <c r="D2142">
        <v>5.4478429999999998</v>
      </c>
      <c r="E2142">
        <v>0.5029496</v>
      </c>
      <c r="F2142" t="s">
        <v>41</v>
      </c>
      <c r="G2142">
        <v>-284.46140000000003</v>
      </c>
      <c r="H2142">
        <v>1.0231760000000001</v>
      </c>
      <c r="I2142">
        <v>215.1678</v>
      </c>
      <c r="J2142">
        <v>-285.08819999999997</v>
      </c>
      <c r="K2142">
        <v>1.104549</v>
      </c>
      <c r="L2142">
        <v>215.27600000000001</v>
      </c>
      <c r="M2142">
        <v>0.99963000000000002</v>
      </c>
      <c r="N2142">
        <v>0</v>
      </c>
      <c r="O2142">
        <v>2.251359E-2</v>
      </c>
      <c r="P2142">
        <v>0.9976005</v>
      </c>
      <c r="Q2142">
        <v>-1.670415E-3</v>
      </c>
      <c r="R2142">
        <v>-6.9215699999999894E-2</v>
      </c>
      <c r="S2142">
        <v>2.9912719999999999</v>
      </c>
      <c r="T2142">
        <v>-0.19324160000000001</v>
      </c>
      <c r="U2142">
        <v>-0.22340389999999999</v>
      </c>
      <c r="V2142">
        <v>9.1625970000000001E-2</v>
      </c>
      <c r="W2142">
        <v>1.375996E-2</v>
      </c>
      <c r="X2142">
        <v>0.99569839999999998</v>
      </c>
      <c r="Y2142">
        <v>9.6665470000000003E-2</v>
      </c>
      <c r="Z2142">
        <v>-4.5660800000000001E-3</v>
      </c>
      <c r="AA2142">
        <v>0.99530640000000004</v>
      </c>
      <c r="AB2142">
        <v>61</v>
      </c>
      <c r="AC2142">
        <v>0.62679999999994596</v>
      </c>
      <c r="AD2142">
        <v>-8.1372999999999904E-2</v>
      </c>
      <c r="AE2142">
        <v>-0.10819999999998201</v>
      </c>
      <c r="AF2142">
        <v>0.120316594589006</v>
      </c>
      <c r="AG2142">
        <v>-8.1372999999999904E-2</v>
      </c>
      <c r="AH2142">
        <v>0.61415342229119696</v>
      </c>
      <c r="AI2142">
        <v>97.408296642860506</v>
      </c>
      <c r="AJ2142">
        <v>78.915768270635894</v>
      </c>
      <c r="AK2142">
        <v>0.63109593103939798</v>
      </c>
      <c r="AL2142">
        <v>89.211587468880097</v>
      </c>
      <c r="AM2142">
        <v>84.742345870009103</v>
      </c>
      <c r="AN2142">
        <v>0.99999997932010098</v>
      </c>
    </row>
    <row r="2143" spans="1:40" x14ac:dyDescent="0.3">
      <c r="A2143" t="str">
        <f>"20200111153917100"</f>
        <v>20200111153917100</v>
      </c>
      <c r="B2143" t="str">
        <f>"1578728357093231"</f>
        <v>1578728357093231</v>
      </c>
      <c r="C2143" t="s">
        <v>40</v>
      </c>
      <c r="D2143">
        <v>5.4305459999999997</v>
      </c>
      <c r="E2143">
        <v>0.5030734</v>
      </c>
      <c r="F2143" t="s">
        <v>41</v>
      </c>
      <c r="G2143">
        <v>-283.91570000000002</v>
      </c>
      <c r="H2143">
        <v>1.030508</v>
      </c>
      <c r="I2143">
        <v>215.18809999999999</v>
      </c>
      <c r="J2143">
        <v>-284.4896</v>
      </c>
      <c r="K2143">
        <v>1.1045560000000001</v>
      </c>
      <c r="L2143">
        <v>215.28970000000001</v>
      </c>
      <c r="M2143">
        <v>0.99961560000000005</v>
      </c>
      <c r="N2143">
        <v>0</v>
      </c>
      <c r="O2143">
        <v>2.3147149999999998E-2</v>
      </c>
      <c r="P2143">
        <v>0.99753210000000003</v>
      </c>
      <c r="Q2143">
        <v>-1.1730620000000001E-3</v>
      </c>
      <c r="R2143">
        <v>-7.0203860000000007E-2</v>
      </c>
      <c r="S2143">
        <v>2.991333</v>
      </c>
      <c r="T2143">
        <v>-0.18894730000000001</v>
      </c>
      <c r="U2143">
        <v>-0.2238464</v>
      </c>
      <c r="V2143">
        <v>9.3242130000000006E-2</v>
      </c>
      <c r="W2143">
        <v>1.4255820000000001E-2</v>
      </c>
      <c r="X2143">
        <v>0.99554140000000002</v>
      </c>
      <c r="Y2143">
        <v>9.7449229999999998E-2</v>
      </c>
      <c r="Z2143">
        <v>-4.5293290000000003E-3</v>
      </c>
      <c r="AA2143">
        <v>0.99523019999999995</v>
      </c>
      <c r="AB2143">
        <v>61</v>
      </c>
      <c r="AC2143">
        <v>0.57389999999997998</v>
      </c>
      <c r="AD2143">
        <v>-7.4047999999999795E-2</v>
      </c>
      <c r="AE2143">
        <v>-0.10160000000001899</v>
      </c>
      <c r="AF2143">
        <v>0.113033898007758</v>
      </c>
      <c r="AG2143">
        <v>-7.4047999999999795E-2</v>
      </c>
      <c r="AH2143">
        <v>0.56231736173286195</v>
      </c>
      <c r="AI2143">
        <v>97.3562642296598</v>
      </c>
      <c r="AJ2143">
        <v>78.6341919512831</v>
      </c>
      <c r="AK2143">
        <v>0.57832567270443302</v>
      </c>
      <c r="AL2143">
        <v>89.183174012817702</v>
      </c>
      <c r="AM2143">
        <v>84.649302526326395</v>
      </c>
      <c r="AN2143">
        <v>1.00000000116238</v>
      </c>
    </row>
    <row r="2144" spans="1:40" x14ac:dyDescent="0.3">
      <c r="A2144" t="str">
        <f>"20200111153917125"</f>
        <v>20200111153917125</v>
      </c>
      <c r="B2144" t="str">
        <f>"1578728357112751"</f>
        <v>1578728357112751</v>
      </c>
      <c r="C2144" t="s">
        <v>40</v>
      </c>
      <c r="D2144">
        <v>5.4802600000000004</v>
      </c>
      <c r="E2144">
        <v>0.50302780000000002</v>
      </c>
      <c r="F2144" t="s">
        <v>41</v>
      </c>
      <c r="G2144">
        <v>-283.37189999999998</v>
      </c>
      <c r="H2144">
        <v>1.03427</v>
      </c>
      <c r="I2144">
        <v>215.2045</v>
      </c>
      <c r="J2144">
        <v>-283.8297</v>
      </c>
      <c r="K2144">
        <v>1.1045560000000001</v>
      </c>
      <c r="L2144">
        <v>215.30520000000001</v>
      </c>
      <c r="M2144">
        <v>0.99959929999999997</v>
      </c>
      <c r="N2144">
        <v>0</v>
      </c>
      <c r="O2144">
        <v>2.3844190000000001E-2</v>
      </c>
      <c r="P2144">
        <v>0.99749880000000002</v>
      </c>
      <c r="Q2144">
        <v>-2.2581440000000001E-3</v>
      </c>
      <c r="R2144">
        <v>-7.0651050000000007E-2</v>
      </c>
      <c r="S2144">
        <v>2.9911189999999999</v>
      </c>
      <c r="T2144">
        <v>-0.1881632</v>
      </c>
      <c r="U2144">
        <v>-0.22773740000000001</v>
      </c>
      <c r="V2144">
        <v>9.4385239999999995E-2</v>
      </c>
      <c r="W2144">
        <v>1.3168259999999999E-2</v>
      </c>
      <c r="X2144">
        <v>0.99544860000000002</v>
      </c>
      <c r="Y2144">
        <v>9.9432300000000001E-2</v>
      </c>
      <c r="Z2144">
        <v>-4.616658E-3</v>
      </c>
      <c r="AA2144">
        <v>0.99503359999999996</v>
      </c>
      <c r="AB2144">
        <v>61</v>
      </c>
      <c r="AC2144">
        <v>0.45780000000002002</v>
      </c>
      <c r="AD2144">
        <v>-7.0285999999999793E-2</v>
      </c>
      <c r="AE2144">
        <v>-0.100700000000017</v>
      </c>
      <c r="AF2144">
        <v>0.109134763404944</v>
      </c>
      <c r="AG2144">
        <v>-7.0285999999999793E-2</v>
      </c>
      <c r="AH2144">
        <v>0.44525744113286603</v>
      </c>
      <c r="AI2144">
        <v>98.716517880383506</v>
      </c>
      <c r="AJ2144">
        <v>76.228031550896006</v>
      </c>
      <c r="AK2144">
        <v>0.46379381977732398</v>
      </c>
      <c r="AL2144">
        <v>89.245492430938896</v>
      </c>
      <c r="AM2144">
        <v>84.583591000187695</v>
      </c>
      <c r="AN2144">
        <v>0.999999945921621</v>
      </c>
    </row>
    <row r="2145" spans="1:40" x14ac:dyDescent="0.3">
      <c r="A2145" t="str">
        <f>"20200111153917148"</f>
        <v>20200111153917148</v>
      </c>
      <c r="B2145" t="str">
        <f>"1578728357143007"</f>
        <v>1578728357143007</v>
      </c>
      <c r="C2145" t="s">
        <v>40</v>
      </c>
      <c r="D2145">
        <v>5.4254720000000001</v>
      </c>
      <c r="E2145">
        <v>0.50271619999999995</v>
      </c>
      <c r="F2145" t="s">
        <v>41</v>
      </c>
      <c r="G2145">
        <v>-282.82690000000002</v>
      </c>
      <c r="H2145">
        <v>1.0411349999999999</v>
      </c>
      <c r="I2145">
        <v>215.22829999999999</v>
      </c>
      <c r="J2145">
        <v>-283.17250000000001</v>
      </c>
      <c r="K2145">
        <v>1.1045480000000001</v>
      </c>
      <c r="L2145">
        <v>215.3211</v>
      </c>
      <c r="M2145">
        <v>0.99958279999999999</v>
      </c>
      <c r="N2145">
        <v>0</v>
      </c>
      <c r="O2145">
        <v>2.4532720000000001E-2</v>
      </c>
      <c r="P2145">
        <v>0.99745240000000002</v>
      </c>
      <c r="Q2145">
        <v>-2.9167910000000002E-3</v>
      </c>
      <c r="R2145">
        <v>-7.1277450000000006E-2</v>
      </c>
      <c r="S2145">
        <v>2.990875</v>
      </c>
      <c r="T2145">
        <v>-0.18925149999999999</v>
      </c>
      <c r="U2145">
        <v>-0.22891239999999999</v>
      </c>
      <c r="V2145">
        <v>9.5697920000000006E-2</v>
      </c>
      <c r="W2145">
        <v>1.2506939999999999E-2</v>
      </c>
      <c r="X2145">
        <v>0.99533179999999999</v>
      </c>
      <c r="Y2145">
        <v>0.100506</v>
      </c>
      <c r="Z2145">
        <v>-4.7209820000000003E-3</v>
      </c>
      <c r="AA2145">
        <v>0.99492530000000001</v>
      </c>
      <c r="AB2145">
        <v>61</v>
      </c>
      <c r="AC2145">
        <v>0.34559999999999003</v>
      </c>
      <c r="AD2145">
        <v>-6.3412999999999706E-2</v>
      </c>
      <c r="AE2145">
        <v>-9.2800000000011096E-2</v>
      </c>
      <c r="AF2145">
        <v>9.8168750447977599E-2</v>
      </c>
      <c r="AG2145">
        <v>-6.3412999999999706E-2</v>
      </c>
      <c r="AH2145">
        <v>0.332769068220717</v>
      </c>
      <c r="AI2145">
        <v>100.35786114368</v>
      </c>
      <c r="AJ2145">
        <v>73.563643734955306</v>
      </c>
      <c r="AK2145">
        <v>0.35269471912406303</v>
      </c>
      <c r="AL2145">
        <v>89.283386406875493</v>
      </c>
      <c r="AM2145">
        <v>84.508078169379601</v>
      </c>
      <c r="AN2145">
        <v>0.99999995376586304</v>
      </c>
    </row>
    <row r="2146" spans="1:40" x14ac:dyDescent="0.3">
      <c r="A2146" t="str">
        <f>"20200111153917169"</f>
        <v>20200111153917169</v>
      </c>
      <c r="B2146" t="str">
        <f>"1578728357162530"</f>
        <v>1578728357162530</v>
      </c>
      <c r="C2146" t="s">
        <v>40</v>
      </c>
      <c r="D2146">
        <v>5.4802650000000002</v>
      </c>
      <c r="E2146">
        <v>0.50276779999999999</v>
      </c>
      <c r="F2146" t="s">
        <v>41</v>
      </c>
      <c r="G2146">
        <v>-282.28089999999997</v>
      </c>
      <c r="H2146">
        <v>1.047228</v>
      </c>
      <c r="I2146">
        <v>215.25290000000001</v>
      </c>
      <c r="J2146">
        <v>-282.6309</v>
      </c>
      <c r="K2146">
        <v>1.1045370000000001</v>
      </c>
      <c r="L2146">
        <v>215.33459999999999</v>
      </c>
      <c r="M2146">
        <v>0.99956889999999998</v>
      </c>
      <c r="N2146">
        <v>0</v>
      </c>
      <c r="O2146">
        <v>2.5091769999999999E-2</v>
      </c>
      <c r="P2146">
        <v>0.99742260000000005</v>
      </c>
      <c r="Q2146">
        <v>-3.7109140000000001E-3</v>
      </c>
      <c r="R2146">
        <v>-7.1655369999999996E-2</v>
      </c>
      <c r="S2146">
        <v>2.9907840000000001</v>
      </c>
      <c r="T2146">
        <v>-0.19237170000000001</v>
      </c>
      <c r="U2146">
        <v>-0.2284851</v>
      </c>
      <c r="V2146">
        <v>9.6633999999999998E-2</v>
      </c>
      <c r="W2146">
        <v>1.170973E-2</v>
      </c>
      <c r="X2146">
        <v>0.99525110000000006</v>
      </c>
      <c r="Y2146">
        <v>0.10091319999999999</v>
      </c>
      <c r="Z2146">
        <v>-4.8477750000000003E-3</v>
      </c>
      <c r="AA2146">
        <v>0.99488339999999997</v>
      </c>
      <c r="AB2146">
        <v>61</v>
      </c>
      <c r="AC2146">
        <v>0.35000000000002202</v>
      </c>
      <c r="AD2146">
        <v>-5.7308999999999999E-2</v>
      </c>
      <c r="AE2146">
        <v>-8.1699999999983605E-2</v>
      </c>
      <c r="AF2146">
        <v>8.8214522848955104E-2</v>
      </c>
      <c r="AG2146">
        <v>-5.7308999999999999E-2</v>
      </c>
      <c r="AH2146">
        <v>0.33921487251267302</v>
      </c>
      <c r="AI2146">
        <v>99.286121162932304</v>
      </c>
      <c r="AJ2146">
        <v>75.422832240732305</v>
      </c>
      <c r="AK2146">
        <v>0.35515187350802202</v>
      </c>
      <c r="AL2146">
        <v>89.329066558277006</v>
      </c>
      <c r="AM2146">
        <v>84.454244710982394</v>
      </c>
      <c r="AN2146">
        <v>0.99999999989194099</v>
      </c>
    </row>
    <row r="2147" spans="1:40" x14ac:dyDescent="0.3">
      <c r="A2147" t="str">
        <f>"20200111153917193"</f>
        <v>20200111153917193</v>
      </c>
      <c r="B2147" t="str">
        <f>"1578728357183023"</f>
        <v>1578728357183023</v>
      </c>
      <c r="C2147" t="s">
        <v>40</v>
      </c>
      <c r="D2147">
        <v>5.4788059999999996</v>
      </c>
      <c r="E2147">
        <v>0.50259659999999995</v>
      </c>
      <c r="F2147" t="s">
        <v>41</v>
      </c>
      <c r="G2147">
        <v>-281.7405</v>
      </c>
      <c r="H2147">
        <v>1.046376</v>
      </c>
      <c r="I2147">
        <v>215.26570000000001</v>
      </c>
      <c r="J2147">
        <v>-281.97120000000001</v>
      </c>
      <c r="K2147">
        <v>1.1045290000000001</v>
      </c>
      <c r="L2147">
        <v>215.35140000000001</v>
      </c>
      <c r="M2147">
        <v>0.99955190000000005</v>
      </c>
      <c r="N2147">
        <v>0</v>
      </c>
      <c r="O2147">
        <v>2.576113E-2</v>
      </c>
      <c r="P2147">
        <v>0.99740280000000003</v>
      </c>
      <c r="Q2147">
        <v>-4.7620700000000002E-3</v>
      </c>
      <c r="R2147">
        <v>-7.1870710000000004E-2</v>
      </c>
      <c r="S2147">
        <v>2.9904790000000001</v>
      </c>
      <c r="T2147">
        <v>-0.19551009999999999</v>
      </c>
      <c r="U2147">
        <v>-0.23043820000000001</v>
      </c>
      <c r="V2147">
        <v>9.7517969999999995E-2</v>
      </c>
      <c r="W2147">
        <v>1.0653599999999999E-2</v>
      </c>
      <c r="X2147">
        <v>0.99517670000000003</v>
      </c>
      <c r="Y2147">
        <v>0.1022203</v>
      </c>
      <c r="Z2147">
        <v>-5.013361E-3</v>
      </c>
      <c r="AA2147">
        <v>0.99474910000000005</v>
      </c>
      <c r="AB2147">
        <v>61</v>
      </c>
      <c r="AC2147">
        <v>0.23070000000001301</v>
      </c>
      <c r="AD2147">
        <v>-5.81530000000001E-2</v>
      </c>
      <c r="AE2147">
        <v>-8.5700000000002705E-2</v>
      </c>
      <c r="AF2147">
        <v>8.6770484963730299E-2</v>
      </c>
      <c r="AG2147">
        <v>-5.81530000000001E-2</v>
      </c>
      <c r="AH2147">
        <v>0.21633624896749301</v>
      </c>
      <c r="AI2147">
        <v>104.00865054723999</v>
      </c>
      <c r="AJ2147">
        <v>68.144731675061394</v>
      </c>
      <c r="AK2147">
        <v>0.240233763420477</v>
      </c>
      <c r="AL2147">
        <v>89.389582110956894</v>
      </c>
      <c r="AM2147">
        <v>84.403419172240802</v>
      </c>
      <c r="AN2147">
        <v>0.99999995894438398</v>
      </c>
    </row>
    <row r="2148" spans="1:40" x14ac:dyDescent="0.3">
      <c r="A2148" t="str">
        <f>"20200111153917233"</f>
        <v>20200111153917233</v>
      </c>
      <c r="B2148" t="str">
        <f>"1578728357223040"</f>
        <v>1578728357223040</v>
      </c>
      <c r="C2148" t="s">
        <v>40</v>
      </c>
      <c r="D2148">
        <v>5.4598509999999996</v>
      </c>
      <c r="E2148">
        <v>0.47375149999999999</v>
      </c>
      <c r="F2148" t="s">
        <v>55</v>
      </c>
      <c r="G2148">
        <v>-265.44499999999999</v>
      </c>
      <c r="H2148" s="1">
        <v>1.384253E-6</v>
      </c>
      <c r="I2148">
        <v>214.07939999999999</v>
      </c>
      <c r="J2148">
        <v>-280.87580000000003</v>
      </c>
      <c r="K2148">
        <v>1.104528</v>
      </c>
      <c r="L2148">
        <v>215.3802</v>
      </c>
      <c r="M2148">
        <v>0.99952339999999995</v>
      </c>
      <c r="N2148">
        <v>0</v>
      </c>
      <c r="O2148">
        <v>2.684624E-2</v>
      </c>
      <c r="P2148">
        <v>0.99757249999999997</v>
      </c>
      <c r="Q2148">
        <v>-4.5571550000000002E-3</v>
      </c>
      <c r="R2148">
        <v>-6.9486500000000007E-2</v>
      </c>
      <c r="S2148">
        <v>2.9902340000000001</v>
      </c>
      <c r="T2148">
        <v>-0.1998521</v>
      </c>
      <c r="U2148">
        <v>-0.2301483</v>
      </c>
      <c r="V2148">
        <v>9.6219579999999999E-2</v>
      </c>
      <c r="W2148">
        <v>1.0846700000000001E-2</v>
      </c>
      <c r="X2148">
        <v>0.99530099999999999</v>
      </c>
      <c r="Y2148">
        <v>0.1031937</v>
      </c>
      <c r="Z2148">
        <v>-5.2296959999999998E-3</v>
      </c>
      <c r="AA2148">
        <v>0.99464759999999997</v>
      </c>
      <c r="AB2148">
        <v>60</v>
      </c>
      <c r="AC2148">
        <v>15.4308</v>
      </c>
      <c r="AD2148">
        <v>-1.104526615747</v>
      </c>
      <c r="AE2148">
        <v>-1.3008</v>
      </c>
      <c r="AF2148">
        <v>1.7059591426134599</v>
      </c>
      <c r="AG2148">
        <v>-1.104526615747</v>
      </c>
      <c r="AH2148">
        <v>15.3124102883046</v>
      </c>
      <c r="AI2148">
        <v>94.100475509828001</v>
      </c>
      <c r="AJ2148">
        <v>83.642879598462102</v>
      </c>
      <c r="AK2148">
        <v>15.4466884631799</v>
      </c>
      <c r="AL2148">
        <v>89.378517662691394</v>
      </c>
      <c r="AM2148">
        <v>84.478155797261493</v>
      </c>
      <c r="AN2148">
        <v>0.99999996953863202</v>
      </c>
    </row>
    <row r="2149" spans="1:40" x14ac:dyDescent="0.3">
      <c r="A2149" t="str">
        <f>"20200111153917260"</f>
        <v>20200111153917260</v>
      </c>
      <c r="B2149" t="str">
        <f>"1578728357253295"</f>
        <v>1578728357253295</v>
      </c>
      <c r="C2149" t="s">
        <v>40</v>
      </c>
      <c r="D2149">
        <v>5.4212099999999896</v>
      </c>
      <c r="E2149">
        <v>0.47434730000000003</v>
      </c>
      <c r="F2149" t="s">
        <v>41</v>
      </c>
      <c r="G2149">
        <v>-280.14179999999999</v>
      </c>
      <c r="H2149">
        <v>1.0079340000000001</v>
      </c>
      <c r="I2149">
        <v>215.3828</v>
      </c>
      <c r="J2149">
        <v>-280.17959999999999</v>
      </c>
      <c r="K2149">
        <v>1.1045339999999999</v>
      </c>
      <c r="L2149">
        <v>215.39920000000001</v>
      </c>
      <c r="M2149">
        <v>0.99950519999999998</v>
      </c>
      <c r="N2149">
        <v>0</v>
      </c>
      <c r="O2149">
        <v>2.7519129999999999E-2</v>
      </c>
      <c r="P2149">
        <v>0.99767329999999999</v>
      </c>
      <c r="Q2149">
        <v>-2.7054900000000001E-3</v>
      </c>
      <c r="R2149">
        <v>-6.8123760000000005E-2</v>
      </c>
      <c r="S2149">
        <v>3.006256</v>
      </c>
      <c r="T2149">
        <v>-0.39569680000000002</v>
      </c>
      <c r="U2149">
        <v>1.0726930000000001E-2</v>
      </c>
      <c r="V2149">
        <v>9.5526280000000005E-2</v>
      </c>
      <c r="W2149">
        <v>1.269146E-2</v>
      </c>
      <c r="X2149">
        <v>0.99534599999999995</v>
      </c>
      <c r="Y2149">
        <v>2.3515169999999998E-2</v>
      </c>
      <c r="Z2149">
        <v>-5.1475920000000003E-3</v>
      </c>
      <c r="AA2149">
        <v>0.99971019999999999</v>
      </c>
      <c r="AB2149">
        <v>60</v>
      </c>
      <c r="AC2149">
        <v>3.7800000000004198E-2</v>
      </c>
      <c r="AD2149">
        <v>-9.6599999999999797E-2</v>
      </c>
      <c r="AE2149">
        <v>-1.6400000000004401E-2</v>
      </c>
      <c r="AF2149">
        <v>2.6837158431160801E-3</v>
      </c>
      <c r="AG2149">
        <v>-9.6599999999999797E-2</v>
      </c>
      <c r="AH2149">
        <v>5.7470424158917099E-3</v>
      </c>
      <c r="AI2149">
        <v>176.243338786831</v>
      </c>
      <c r="AJ2149">
        <v>64.968677350050896</v>
      </c>
      <c r="AK2149">
        <v>9.6808010139949704E-2</v>
      </c>
      <c r="AL2149">
        <v>89.272813384649197</v>
      </c>
      <c r="AM2149">
        <v>84.517945935556597</v>
      </c>
      <c r="AN2149">
        <v>1.00000000152178</v>
      </c>
    </row>
    <row r="2150" spans="1:40" x14ac:dyDescent="0.3">
      <c r="A2150" t="str">
        <f>"20200111153917278"</f>
        <v>20200111153917278</v>
      </c>
      <c r="B2150" t="str">
        <f>"1578728357263055"</f>
        <v>1578728357263055</v>
      </c>
      <c r="C2150" t="s">
        <v>40</v>
      </c>
      <c r="D2150">
        <v>5.4170780000000001</v>
      </c>
      <c r="E2150">
        <v>0.47520069999999998</v>
      </c>
      <c r="F2150" t="s">
        <v>41</v>
      </c>
      <c r="G2150">
        <v>-279.10180000000003</v>
      </c>
      <c r="H2150">
        <v>0.92679319999999998</v>
      </c>
      <c r="I2150">
        <v>215.4034</v>
      </c>
      <c r="J2150">
        <v>-279.65949999999998</v>
      </c>
      <c r="K2150">
        <v>1.104535</v>
      </c>
      <c r="L2150">
        <v>215.41370000000001</v>
      </c>
      <c r="M2150">
        <v>0.99949160000000004</v>
      </c>
      <c r="N2150">
        <v>0</v>
      </c>
      <c r="O2150">
        <v>2.8011749999999998E-2</v>
      </c>
      <c r="P2150">
        <v>0.99772169999999905</v>
      </c>
      <c r="Q2150">
        <v>-5.3980480000000001E-4</v>
      </c>
      <c r="R2150">
        <v>-6.7463899999999993E-2</v>
      </c>
      <c r="S2150">
        <v>3.0065</v>
      </c>
      <c r="T2150">
        <v>-0.49585129999999999</v>
      </c>
      <c r="U2150">
        <v>1.2207030000000001E-2</v>
      </c>
      <c r="V2150">
        <v>9.5353770000000004E-2</v>
      </c>
      <c r="W2150">
        <v>1.4851329999999999E-2</v>
      </c>
      <c r="X2150">
        <v>0.99533269999999996</v>
      </c>
      <c r="Y2150">
        <v>2.3263570000000001E-2</v>
      </c>
      <c r="Z2150">
        <v>-6.4943880000000002E-3</v>
      </c>
      <c r="AA2150">
        <v>0.99970829999999999</v>
      </c>
      <c r="AB2150">
        <v>60</v>
      </c>
      <c r="AC2150">
        <v>0.55769999999995401</v>
      </c>
      <c r="AD2150">
        <v>-0.17774180000000001</v>
      </c>
      <c r="AE2150">
        <v>-1.03000000000008E-2</v>
      </c>
      <c r="AF2150">
        <v>2.3530659434944E-2</v>
      </c>
      <c r="AG2150">
        <v>-0.17774180000000001</v>
      </c>
      <c r="AH2150">
        <v>0.50583131452607999</v>
      </c>
      <c r="AI2150">
        <v>109.341376222612</v>
      </c>
      <c r="AJ2150">
        <v>87.336589904706202</v>
      </c>
      <c r="AK2150">
        <v>0.53666671049718095</v>
      </c>
      <c r="AL2150">
        <v>89.149050224770605</v>
      </c>
      <c r="AM2150">
        <v>84.527713098999698</v>
      </c>
      <c r="AN2150">
        <v>1.0000000435726299</v>
      </c>
    </row>
    <row r="2151" spans="1:40" x14ac:dyDescent="0.3">
      <c r="A2151" t="str">
        <f>"20200111153917302"</f>
        <v>20200111153917302</v>
      </c>
      <c r="B2151" t="str">
        <f>"1578728357293311"</f>
        <v>1578728357293311</v>
      </c>
      <c r="C2151" t="s">
        <v>40</v>
      </c>
      <c r="D2151">
        <v>5.6896839999999997</v>
      </c>
      <c r="E2151">
        <v>0.4761705</v>
      </c>
      <c r="F2151" t="s">
        <v>41</v>
      </c>
      <c r="G2151">
        <v>-278.565</v>
      </c>
      <c r="H2151">
        <v>0.92150739999999998</v>
      </c>
      <c r="I2151">
        <v>215.41640000000001</v>
      </c>
      <c r="J2151">
        <v>-279.03640000000001</v>
      </c>
      <c r="K2151">
        <v>1.1045259999999999</v>
      </c>
      <c r="L2151">
        <v>215.4314</v>
      </c>
      <c r="M2151">
        <v>0.99947520000000001</v>
      </c>
      <c r="N2151">
        <v>0</v>
      </c>
      <c r="O2151">
        <v>2.8587990000000001E-2</v>
      </c>
      <c r="P2151">
        <v>0.99781600000000004</v>
      </c>
      <c r="Q2151">
        <v>2.7981959999999999E-4</v>
      </c>
      <c r="R2151">
        <v>-6.6054860000000007E-2</v>
      </c>
      <c r="S2151">
        <v>3.0071110000000001</v>
      </c>
      <c r="T2151">
        <v>-0.50294269999999996</v>
      </c>
      <c r="U2151">
        <v>7.4768069999999898E-3</v>
      </c>
      <c r="V2151">
        <v>9.4520699999999999E-2</v>
      </c>
      <c r="W2151">
        <v>1.5664239999999999E-2</v>
      </c>
      <c r="X2151">
        <v>0.9953997</v>
      </c>
      <c r="Y2151">
        <v>2.5356630000000002E-2</v>
      </c>
      <c r="Z2151">
        <v>-6.8542450000000001E-3</v>
      </c>
      <c r="AA2151">
        <v>0.99965490000000001</v>
      </c>
      <c r="AB2151">
        <v>60</v>
      </c>
      <c r="AC2151">
        <v>0.47140000000001597</v>
      </c>
      <c r="AD2151">
        <v>-0.1830186</v>
      </c>
      <c r="AE2151">
        <v>-1.49999999999863E-2</v>
      </c>
      <c r="AF2151">
        <v>2.4745581823436402E-2</v>
      </c>
      <c r="AG2151">
        <v>-0.1830186</v>
      </c>
      <c r="AH2151">
        <v>0.409165617919305</v>
      </c>
      <c r="AI2151">
        <v>114.05987002869</v>
      </c>
      <c r="AJ2151">
        <v>86.539072406620704</v>
      </c>
      <c r="AK2151">
        <v>0.44891497485941201</v>
      </c>
      <c r="AL2151">
        <v>89.102468493996398</v>
      </c>
      <c r="AM2151">
        <v>84.575598919966097</v>
      </c>
      <c r="AN2151">
        <v>1.0000000469516701</v>
      </c>
    </row>
    <row r="2152" spans="1:40" x14ac:dyDescent="0.3">
      <c r="A2152" t="str">
        <f>"20200111153917324"</f>
        <v>20200111153917324</v>
      </c>
      <c r="B2152" t="str">
        <f>"1578728357312831"</f>
        <v>1578728357312831</v>
      </c>
      <c r="C2152" t="s">
        <v>40</v>
      </c>
      <c r="D2152">
        <v>5.3492559999999996</v>
      </c>
      <c r="E2152">
        <v>0.47697070000000003</v>
      </c>
      <c r="F2152" t="s">
        <v>41</v>
      </c>
      <c r="G2152">
        <v>-278.02159999999998</v>
      </c>
      <c r="H2152">
        <v>0.93094169999999998</v>
      </c>
      <c r="I2152">
        <v>215.43279999999999</v>
      </c>
      <c r="J2152">
        <v>-278.4359</v>
      </c>
      <c r="K2152">
        <v>1.104509</v>
      </c>
      <c r="L2152">
        <v>215.44880000000001</v>
      </c>
      <c r="M2152">
        <v>0.99945989999999996</v>
      </c>
      <c r="N2152">
        <v>0</v>
      </c>
      <c r="O2152">
        <v>2.912532E-2</v>
      </c>
      <c r="P2152">
        <v>0.99794870000000002</v>
      </c>
      <c r="Q2152">
        <v>-3.2050349999999999E-4</v>
      </c>
      <c r="R2152">
        <v>-6.4018660000000005E-2</v>
      </c>
      <c r="S2152">
        <v>3.0069889999999999</v>
      </c>
      <c r="T2152">
        <v>-0.51435710000000001</v>
      </c>
      <c r="U2152">
        <v>3.9978030000000003E-3</v>
      </c>
      <c r="V2152">
        <v>9.3026440000000002E-2</v>
      </c>
      <c r="W2152">
        <v>1.505539E-2</v>
      </c>
      <c r="X2152">
        <v>0.99554980000000004</v>
      </c>
      <c r="Y2152">
        <v>2.698482E-2</v>
      </c>
      <c r="Z2152">
        <v>-7.237388E-3</v>
      </c>
      <c r="AA2152">
        <v>0.99960959999999999</v>
      </c>
      <c r="AB2152">
        <v>60</v>
      </c>
      <c r="AC2152">
        <v>0.41430000000002498</v>
      </c>
      <c r="AD2152">
        <v>-0.17356729999999901</v>
      </c>
      <c r="AE2152">
        <v>-1.6000000000019499E-2</v>
      </c>
      <c r="AF2152">
        <v>2.38768108888541E-2</v>
      </c>
      <c r="AG2152">
        <v>-0.17356729999999901</v>
      </c>
      <c r="AH2152">
        <v>0.35197451186541001</v>
      </c>
      <c r="AI2152">
        <v>116.196904277524</v>
      </c>
      <c r="AJ2152">
        <v>86.119185547700397</v>
      </c>
      <c r="AK2152">
        <v>0.39316887813051199</v>
      </c>
      <c r="AL2152">
        <v>89.137357098170398</v>
      </c>
      <c r="AM2152">
        <v>84.661653083931299</v>
      </c>
      <c r="AN2152">
        <v>0.99999999379358195</v>
      </c>
    </row>
    <row r="2153" spans="1:40" x14ac:dyDescent="0.3">
      <c r="A2153" t="str">
        <f>"20200111153917346"</f>
        <v>20200111153917346</v>
      </c>
      <c r="B2153" t="str">
        <f>"1578728357343087"</f>
        <v>1578728357343087</v>
      </c>
      <c r="C2153" t="s">
        <v>40</v>
      </c>
      <c r="D2153">
        <v>5.4873719999999997</v>
      </c>
      <c r="E2153">
        <v>0.50867019999999996</v>
      </c>
      <c r="F2153" t="s">
        <v>41</v>
      </c>
      <c r="G2153">
        <v>-277.47969999999998</v>
      </c>
      <c r="H2153">
        <v>0.9377472</v>
      </c>
      <c r="I2153">
        <v>215.44980000000001</v>
      </c>
      <c r="J2153">
        <v>-277.84339999999997</v>
      </c>
      <c r="K2153">
        <v>1.1044860000000001</v>
      </c>
      <c r="L2153">
        <v>215.46629999999999</v>
      </c>
      <c r="M2153">
        <v>0.99944500000000003</v>
      </c>
      <c r="N2153">
        <v>0</v>
      </c>
      <c r="O2153">
        <v>2.963265E-2</v>
      </c>
      <c r="P2153">
        <v>0.99808540000000001</v>
      </c>
      <c r="Q2153">
        <v>-9.3224829999999999E-4</v>
      </c>
      <c r="R2153">
        <v>-6.1846350000000001E-2</v>
      </c>
      <c r="S2153">
        <v>3.006256</v>
      </c>
      <c r="T2153">
        <v>-0.52438560000000001</v>
      </c>
      <c r="U2153">
        <v>3.8146970000000001E-3</v>
      </c>
      <c r="V2153">
        <v>9.1366719999999998E-2</v>
      </c>
      <c r="W2153">
        <v>1.443462E-2</v>
      </c>
      <c r="X2153">
        <v>0.99571270000000001</v>
      </c>
      <c r="Y2153">
        <v>2.7505020000000002E-2</v>
      </c>
      <c r="Z2153">
        <v>-7.5110309999999996E-3</v>
      </c>
      <c r="AA2153">
        <v>0.99959339999999997</v>
      </c>
      <c r="AB2153">
        <v>60</v>
      </c>
      <c r="AC2153">
        <v>0.36369999999999397</v>
      </c>
      <c r="AD2153">
        <v>-0.16673879999999999</v>
      </c>
      <c r="AE2153">
        <v>-1.6499999999979299E-2</v>
      </c>
      <c r="AF2153">
        <v>2.25430744778462E-2</v>
      </c>
      <c r="AG2153">
        <v>-0.16673879999999999</v>
      </c>
      <c r="AH2153">
        <v>0.30010533924469701</v>
      </c>
      <c r="AI2153">
        <v>118.98820635075</v>
      </c>
      <c r="AJ2153">
        <v>85.704168904578594</v>
      </c>
      <c r="AK2153">
        <v>0.34405411242350897</v>
      </c>
      <c r="AL2153">
        <v>89.172928479147004</v>
      </c>
      <c r="AM2153">
        <v>84.757213933878802</v>
      </c>
      <c r="AN2153">
        <v>1.0000000083596901</v>
      </c>
    </row>
    <row r="2154" spans="1:40" x14ac:dyDescent="0.3">
      <c r="A2154" t="str">
        <f>"20200111153917367"</f>
        <v>20200111153917367</v>
      </c>
      <c r="B2154" t="str">
        <f>"1578728357362607"</f>
        <v>1578728357362607</v>
      </c>
      <c r="C2154" t="s">
        <v>40</v>
      </c>
      <c r="D2154">
        <v>5.5185959999999996</v>
      </c>
      <c r="E2154">
        <v>0.51542390000000005</v>
      </c>
      <c r="F2154" t="s">
        <v>41</v>
      </c>
      <c r="G2154">
        <v>-276.96230000000003</v>
      </c>
      <c r="H2154">
        <v>0.88870969999999905</v>
      </c>
      <c r="I2154">
        <v>215.3963</v>
      </c>
      <c r="J2154">
        <v>-277.27019999999999</v>
      </c>
      <c r="K2154">
        <v>1.1044590000000001</v>
      </c>
      <c r="L2154">
        <v>215.48339999999999</v>
      </c>
      <c r="M2154">
        <v>0.99943110000000002</v>
      </c>
      <c r="N2154">
        <v>0</v>
      </c>
      <c r="O2154">
        <v>3.0095790000000001E-2</v>
      </c>
      <c r="P2154">
        <v>0.99818879999999999</v>
      </c>
      <c r="Q2154">
        <v>-8.8436809999999999E-4</v>
      </c>
      <c r="R2154">
        <v>-6.0154550000000001E-2</v>
      </c>
      <c r="S2154">
        <v>2.9903870000000001</v>
      </c>
      <c r="T2154">
        <v>-0.73242489999999905</v>
      </c>
      <c r="U2154">
        <v>-0.23680109999999999</v>
      </c>
      <c r="V2154">
        <v>9.0141079999999998E-2</v>
      </c>
      <c r="W2154">
        <v>1.4472280000000001E-2</v>
      </c>
      <c r="X2154">
        <v>0.99582389999999998</v>
      </c>
      <c r="Y2154">
        <v>0.1049408</v>
      </c>
      <c r="Z2154">
        <v>-1.990045E-2</v>
      </c>
      <c r="AA2154">
        <v>0.99427929999999998</v>
      </c>
      <c r="AB2154">
        <v>60</v>
      </c>
      <c r="AC2154">
        <v>0.30789999999996098</v>
      </c>
      <c r="AD2154">
        <v>-0.2157493</v>
      </c>
      <c r="AE2154">
        <v>-8.7099999999992406E-2</v>
      </c>
      <c r="AF2154">
        <v>6.6222286338850703E-2</v>
      </c>
      <c r="AG2154">
        <v>-0.2157493</v>
      </c>
      <c r="AH2154">
        <v>0.20977255195511199</v>
      </c>
      <c r="AI2154">
        <v>134.444086389322</v>
      </c>
      <c r="AJ2154">
        <v>72.479815705898403</v>
      </c>
      <c r="AK2154">
        <v>0.30811957940415702</v>
      </c>
      <c r="AL2154">
        <v>89.170770529640507</v>
      </c>
      <c r="AM2154">
        <v>84.827733731078297</v>
      </c>
      <c r="AN2154">
        <v>1.00000005050158</v>
      </c>
    </row>
    <row r="2155" spans="1:40" x14ac:dyDescent="0.3">
      <c r="A2155" t="str">
        <f>"20200111153917391"</f>
        <v>20200111153917391</v>
      </c>
      <c r="B2155" t="str">
        <f>"1578728357383103"</f>
        <v>1578728357383103</v>
      </c>
      <c r="C2155" t="s">
        <v>40</v>
      </c>
      <c r="D2155">
        <v>5.5012749999999997</v>
      </c>
      <c r="E2155">
        <v>0.51753009999999999</v>
      </c>
      <c r="F2155" t="s">
        <v>41</v>
      </c>
      <c r="G2155">
        <v>-276.4248</v>
      </c>
      <c r="H2155">
        <v>0.88516139999999999</v>
      </c>
      <c r="I2155">
        <v>215.4025</v>
      </c>
      <c r="J2155">
        <v>-276.62849999999997</v>
      </c>
      <c r="K2155">
        <v>1.104422</v>
      </c>
      <c r="L2155">
        <v>215.50290000000001</v>
      </c>
      <c r="M2155">
        <v>0.99941650000000004</v>
      </c>
      <c r="N2155">
        <v>0</v>
      </c>
      <c r="O2155">
        <v>3.0577420000000001E-2</v>
      </c>
      <c r="P2155">
        <v>0.99826360000000003</v>
      </c>
      <c r="Q2155">
        <v>-5.6545529999999997E-4</v>
      </c>
      <c r="R2155">
        <v>-5.8902129999999997E-2</v>
      </c>
      <c r="S2155">
        <v>2.9876399999999999</v>
      </c>
      <c r="T2155">
        <v>-0.77508159999999904</v>
      </c>
      <c r="U2155">
        <v>-0.28422550000000002</v>
      </c>
      <c r="V2155">
        <v>8.9372359999999998E-2</v>
      </c>
      <c r="W2155">
        <v>1.4778380000000001E-2</v>
      </c>
      <c r="X2155">
        <v>0.99588869999999896</v>
      </c>
      <c r="Y2155">
        <v>0.120156</v>
      </c>
      <c r="Z2155">
        <v>-2.3088870000000001E-2</v>
      </c>
      <c r="AA2155">
        <v>0.99248650000000005</v>
      </c>
      <c r="AB2155">
        <v>60</v>
      </c>
      <c r="AC2155">
        <v>0.20369999999996899</v>
      </c>
      <c r="AD2155">
        <v>-0.2192606</v>
      </c>
      <c r="AE2155">
        <v>-0.100400000000007</v>
      </c>
      <c r="AF2155">
        <v>5.5162224935523703E-2</v>
      </c>
      <c r="AG2155">
        <v>-0.2192606</v>
      </c>
      <c r="AH2155">
        <v>0.10378754161657</v>
      </c>
      <c r="AI2155">
        <v>151.80617941314401</v>
      </c>
      <c r="AJ2155">
        <v>62.009722980680301</v>
      </c>
      <c r="AK2155">
        <v>0.24877687908446899</v>
      </c>
      <c r="AL2155">
        <v>89.153230425236302</v>
      </c>
      <c r="AM2155">
        <v>84.871938337489695</v>
      </c>
      <c r="AN2155">
        <v>1.0000000610175399</v>
      </c>
    </row>
    <row r="2156" spans="1:40" x14ac:dyDescent="0.3">
      <c r="A2156" t="str">
        <f>"20200111153917414"</f>
        <v>20200111153917414</v>
      </c>
      <c r="B2156" t="str">
        <f>"1578728357402622"</f>
        <v>1578728357402622</v>
      </c>
      <c r="C2156" t="s">
        <v>40</v>
      </c>
      <c r="D2156">
        <v>5.5138059999999998</v>
      </c>
      <c r="E2156">
        <v>0.51789750000000001</v>
      </c>
      <c r="F2156" t="s">
        <v>41</v>
      </c>
      <c r="G2156">
        <v>-275.87869999999998</v>
      </c>
      <c r="H2156">
        <v>0.9060298</v>
      </c>
      <c r="I2156">
        <v>215.42840000000001</v>
      </c>
      <c r="J2156">
        <v>-276.02140000000003</v>
      </c>
      <c r="K2156">
        <v>1.104384</v>
      </c>
      <c r="L2156">
        <v>215.52160000000001</v>
      </c>
      <c r="M2156">
        <v>0.99940370000000001</v>
      </c>
      <c r="N2156">
        <v>0</v>
      </c>
      <c r="O2156">
        <v>3.0993980000000001E-2</v>
      </c>
      <c r="P2156">
        <v>0.99832730000000003</v>
      </c>
      <c r="Q2156" s="1">
        <v>-7.0730219999999997E-5</v>
      </c>
      <c r="R2156">
        <v>-5.7816569999999998E-2</v>
      </c>
      <c r="S2156">
        <v>2.9872740000000002</v>
      </c>
      <c r="T2156">
        <v>-0.79039919999999997</v>
      </c>
      <c r="U2156">
        <v>-0.29643249999999999</v>
      </c>
      <c r="V2156">
        <v>8.8704759999999994E-2</v>
      </c>
      <c r="W2156">
        <v>1.5260879999999999E-2</v>
      </c>
      <c r="X2156">
        <v>0.99594099999999997</v>
      </c>
      <c r="Y2156">
        <v>0.1242504</v>
      </c>
      <c r="Z2156">
        <v>-2.4168129999999999E-2</v>
      </c>
      <c r="AA2156">
        <v>0.99195650000000002</v>
      </c>
      <c r="AB2156">
        <v>60</v>
      </c>
      <c r="AC2156">
        <v>0.14270000000004701</v>
      </c>
      <c r="AD2156">
        <v>-0.19835419999999901</v>
      </c>
      <c r="AE2156">
        <v>-9.3199999999995897E-2</v>
      </c>
      <c r="AF2156">
        <v>4.1445373537793102E-2</v>
      </c>
      <c r="AG2156">
        <v>-0.19835419999999901</v>
      </c>
      <c r="AH2156">
        <v>5.93539991854347E-2</v>
      </c>
      <c r="AI2156">
        <v>159.949748688227</v>
      </c>
      <c r="AJ2156">
        <v>55.074392048140901</v>
      </c>
      <c r="AK2156">
        <v>0.21115161582292399</v>
      </c>
      <c r="AL2156">
        <v>89.125581999114999</v>
      </c>
      <c r="AM2156">
        <v>84.910308210838707</v>
      </c>
      <c r="AN2156">
        <v>0.99999995219301396</v>
      </c>
    </row>
    <row r="2157" spans="1:40" x14ac:dyDescent="0.3">
      <c r="A2157" t="str">
        <f>"20200111153917439"</f>
        <v>20200111153917439</v>
      </c>
      <c r="B2157" t="str">
        <f>"1578728357432878"</f>
        <v>1578728357432878</v>
      </c>
      <c r="C2157" t="s">
        <v>40</v>
      </c>
      <c r="D2157">
        <v>5.4640700000000004</v>
      </c>
      <c r="E2157">
        <v>0.51780809999999999</v>
      </c>
      <c r="F2157" t="s">
        <v>41</v>
      </c>
      <c r="G2157">
        <v>-275.33460000000002</v>
      </c>
      <c r="H2157">
        <v>0.92107559999999999</v>
      </c>
      <c r="I2157">
        <v>215.45320000000001</v>
      </c>
      <c r="J2157">
        <v>-275.35879999999997</v>
      </c>
      <c r="K2157">
        <v>1.104352</v>
      </c>
      <c r="L2157">
        <v>215.54230000000001</v>
      </c>
      <c r="M2157">
        <v>0.99939109999999998</v>
      </c>
      <c r="N2157">
        <v>0</v>
      </c>
      <c r="O2157">
        <v>3.1398839999999997E-2</v>
      </c>
      <c r="P2157">
        <v>0.99835249999999998</v>
      </c>
      <c r="Q2157">
        <v>4.6001279999999999E-4</v>
      </c>
      <c r="R2157">
        <v>-5.7378279999999997E-2</v>
      </c>
      <c r="S2157">
        <v>2.9878230000000001</v>
      </c>
      <c r="T2157">
        <v>-0.79746989999999995</v>
      </c>
      <c r="U2157">
        <v>-0.29603580000000002</v>
      </c>
      <c r="V2157">
        <v>8.8672000000000001E-2</v>
      </c>
      <c r="W2157">
        <v>1.5784380000000001E-2</v>
      </c>
      <c r="X2157">
        <v>0.99593580000000004</v>
      </c>
      <c r="Y2157">
        <v>0.124393</v>
      </c>
      <c r="Z2157">
        <v>-2.449759E-2</v>
      </c>
      <c r="AA2157">
        <v>0.99193050000000005</v>
      </c>
      <c r="AB2157">
        <v>60</v>
      </c>
      <c r="AC2157">
        <v>2.4199999999950698E-2</v>
      </c>
      <c r="AD2157">
        <v>-0.18327639999999901</v>
      </c>
      <c r="AE2157">
        <v>-8.91000000000019E-2</v>
      </c>
      <c r="AF2157">
        <v>1.81796898631519E-2</v>
      </c>
      <c r="AG2157">
        <v>-0.18327639999999901</v>
      </c>
      <c r="AH2157">
        <v>4.3295790920529096E-3</v>
      </c>
      <c r="AI2157">
        <v>174.177846868784</v>
      </c>
      <c r="AJ2157">
        <v>13.3957233631881</v>
      </c>
      <c r="AK2157">
        <v>0.18422672220824701</v>
      </c>
      <c r="AL2157">
        <v>89.0955840803055</v>
      </c>
      <c r="AM2157">
        <v>84.912151617668002</v>
      </c>
      <c r="AN2157">
        <v>0.99999999397881201</v>
      </c>
    </row>
    <row r="2158" spans="1:40" x14ac:dyDescent="0.3">
      <c r="A2158" t="str">
        <f>"20200111153917457"</f>
        <v>20200111153917457</v>
      </c>
      <c r="B2158" t="str">
        <f>"1578728357453374"</f>
        <v>1578728357453374</v>
      </c>
      <c r="C2158" t="s">
        <v>40</v>
      </c>
      <c r="D2158">
        <v>5.468979</v>
      </c>
      <c r="E2158">
        <v>0.51778570000000002</v>
      </c>
      <c r="F2158" t="s">
        <v>41</v>
      </c>
      <c r="G2158">
        <v>-274.30070000000001</v>
      </c>
      <c r="H2158">
        <v>0.81969859999999894</v>
      </c>
      <c r="I2158">
        <v>215.43780000000001</v>
      </c>
      <c r="J2158">
        <v>-274.86900000000003</v>
      </c>
      <c r="K2158">
        <v>1.1043339999999999</v>
      </c>
      <c r="L2158">
        <v>215.55770000000001</v>
      </c>
      <c r="M2158">
        <v>0.99938199999999999</v>
      </c>
      <c r="N2158">
        <v>0</v>
      </c>
      <c r="O2158">
        <v>3.166774E-2</v>
      </c>
      <c r="P2158">
        <v>0.99834509999999999</v>
      </c>
      <c r="Q2158">
        <v>1.552327E-3</v>
      </c>
      <c r="R2158">
        <v>-5.7489119999999998E-2</v>
      </c>
      <c r="S2158">
        <v>2.9883730000000002</v>
      </c>
      <c r="T2158">
        <v>-0.80391679999999999</v>
      </c>
      <c r="U2158">
        <v>-0.29460140000000001</v>
      </c>
      <c r="V2158">
        <v>8.9049909999999996E-2</v>
      </c>
      <c r="W2158">
        <v>1.6902420000000001E-2</v>
      </c>
      <c r="X2158">
        <v>0.99588379999999999</v>
      </c>
      <c r="Y2158">
        <v>0.12408710000000001</v>
      </c>
      <c r="Z2158">
        <v>-2.4715689999999998E-2</v>
      </c>
      <c r="AA2158">
        <v>0.99196340000000005</v>
      </c>
      <c r="AB2158">
        <v>60</v>
      </c>
      <c r="AC2158">
        <v>0.56830000000002201</v>
      </c>
      <c r="AD2158">
        <v>-0.28463539999999998</v>
      </c>
      <c r="AE2158">
        <v>-0.11990000000000101</v>
      </c>
      <c r="AF2158">
        <v>0.11114551425977499</v>
      </c>
      <c r="AG2158">
        <v>-0.28463539999999998</v>
      </c>
      <c r="AH2158">
        <v>0.454953755189417</v>
      </c>
      <c r="AI2158">
        <v>121.289654093762</v>
      </c>
      <c r="AJ2158">
        <v>76.271504310900497</v>
      </c>
      <c r="AK2158">
        <v>0.54804521312952104</v>
      </c>
      <c r="AL2158">
        <v>89.031516610859498</v>
      </c>
      <c r="AM2158">
        <v>84.890316944343795</v>
      </c>
      <c r="AN2158">
        <v>1.00000006068765</v>
      </c>
    </row>
    <row r="2159" spans="1:40" x14ac:dyDescent="0.3">
      <c r="A2159" t="str">
        <f>"20200111153917482"</f>
        <v>20200111153917482</v>
      </c>
      <c r="B2159" t="str">
        <f>"1578728357472896"</f>
        <v>1578728357472896</v>
      </c>
      <c r="C2159" t="s">
        <v>40</v>
      </c>
      <c r="D2159">
        <v>5.4212449999999999</v>
      </c>
      <c r="E2159">
        <v>0.51779649999999999</v>
      </c>
      <c r="F2159" t="s">
        <v>41</v>
      </c>
      <c r="G2159">
        <v>-273.76889999999997</v>
      </c>
      <c r="H2159">
        <v>0.80785490000000004</v>
      </c>
      <c r="I2159">
        <v>215.44919999999999</v>
      </c>
      <c r="J2159">
        <v>-274.1918</v>
      </c>
      <c r="K2159">
        <v>1.10432</v>
      </c>
      <c r="L2159">
        <v>215.57929999999999</v>
      </c>
      <c r="M2159">
        <v>0.99936999999999998</v>
      </c>
      <c r="N2159">
        <v>0</v>
      </c>
      <c r="O2159">
        <v>3.1996869999999997E-2</v>
      </c>
      <c r="P2159">
        <v>0.99833249999999996</v>
      </c>
      <c r="Q2159">
        <v>2.746109E-3</v>
      </c>
      <c r="R2159">
        <v>-5.7662270000000002E-2</v>
      </c>
      <c r="S2159">
        <v>2.989258</v>
      </c>
      <c r="T2159">
        <v>-0.80562330000000004</v>
      </c>
      <c r="U2159">
        <v>-0.29444890000000001</v>
      </c>
      <c r="V2159">
        <v>8.9550759999999993E-2</v>
      </c>
      <c r="W2159">
        <v>1.819111E-2</v>
      </c>
      <c r="X2159">
        <v>0.99581609999999998</v>
      </c>
      <c r="Y2159">
        <v>0.12429610000000001</v>
      </c>
      <c r="Z2159">
        <v>-2.487398E-2</v>
      </c>
      <c r="AA2159">
        <v>0.99193330000000002</v>
      </c>
      <c r="AB2159">
        <v>60</v>
      </c>
      <c r="AC2159">
        <v>0.42290000000002598</v>
      </c>
      <c r="AD2159">
        <v>-0.29646509999999898</v>
      </c>
      <c r="AE2159">
        <v>-0.130099999999998</v>
      </c>
      <c r="AF2159">
        <v>9.9082939864512401E-2</v>
      </c>
      <c r="AG2159">
        <v>-0.29646509999999898</v>
      </c>
      <c r="AH2159">
        <v>0.28884330006474201</v>
      </c>
      <c r="AI2159">
        <v>134.15275328795099</v>
      </c>
      <c r="AJ2159">
        <v>71.066312334928895</v>
      </c>
      <c r="AK2159">
        <v>0.425604789073731</v>
      </c>
      <c r="AL2159">
        <v>88.957668658727997</v>
      </c>
      <c r="AM2159">
        <v>84.861384136063407</v>
      </c>
      <c r="AN2159">
        <v>0.99999998005940904</v>
      </c>
    </row>
    <row r="2160" spans="1:40" x14ac:dyDescent="0.3">
      <c r="A2160" t="str">
        <f>"20200111153917502"</f>
        <v>20200111153917502</v>
      </c>
      <c r="B2160" t="str">
        <f>"1578728357493391"</f>
        <v>1578728357493391</v>
      </c>
      <c r="C2160" t="s">
        <v>40</v>
      </c>
      <c r="D2160">
        <v>5.4496349999999998</v>
      </c>
      <c r="E2160">
        <v>0.51790959999999997</v>
      </c>
      <c r="F2160" t="s">
        <v>41</v>
      </c>
      <c r="G2160">
        <v>-273.21960000000001</v>
      </c>
      <c r="H2160">
        <v>0.84316279999999999</v>
      </c>
      <c r="I2160">
        <v>215.48330000000001</v>
      </c>
      <c r="J2160">
        <v>-273.65620000000001</v>
      </c>
      <c r="K2160">
        <v>1.104317</v>
      </c>
      <c r="L2160">
        <v>215.5966</v>
      </c>
      <c r="M2160">
        <v>0.99936060000000004</v>
      </c>
      <c r="N2160">
        <v>0</v>
      </c>
      <c r="O2160">
        <v>3.2231379999999997E-2</v>
      </c>
      <c r="P2160">
        <v>0.99831159999999997</v>
      </c>
      <c r="Q2160">
        <v>4.1374949999999997E-3</v>
      </c>
      <c r="R2160">
        <v>-5.7939099999999903E-2</v>
      </c>
      <c r="S2160">
        <v>2.9902039999999999</v>
      </c>
      <c r="T2160">
        <v>-0.80322559999999998</v>
      </c>
      <c r="U2160">
        <v>-0.29443360000000002</v>
      </c>
      <c r="V2160">
        <v>9.0060000000000001E-2</v>
      </c>
      <c r="W2160">
        <v>1.9686680000000002E-2</v>
      </c>
      <c r="X2160">
        <v>0.99574169999999995</v>
      </c>
      <c r="Y2160">
        <v>0.1245129</v>
      </c>
      <c r="Z2160">
        <v>-2.4885279999999999E-2</v>
      </c>
      <c r="AA2160">
        <v>0.99190590000000001</v>
      </c>
      <c r="AB2160">
        <v>60</v>
      </c>
      <c r="AC2160">
        <v>0.43659999999999799</v>
      </c>
      <c r="AD2160">
        <v>-0.261154199999999</v>
      </c>
      <c r="AE2160">
        <v>-0.113299999999981</v>
      </c>
      <c r="AF2160">
        <v>9.5351752174706803E-2</v>
      </c>
      <c r="AG2160">
        <v>-0.261154199999999</v>
      </c>
      <c r="AH2160">
        <v>0.32408343954237001</v>
      </c>
      <c r="AI2160">
        <v>127.706115264171</v>
      </c>
      <c r="AJ2160">
        <v>73.605074928971504</v>
      </c>
      <c r="AK2160">
        <v>0.42699361658699198</v>
      </c>
      <c r="AL2160">
        <v>88.871963395490994</v>
      </c>
      <c r="AM2160">
        <v>84.831936588603696</v>
      </c>
      <c r="AN2160">
        <v>0.99999995104415496</v>
      </c>
    </row>
    <row r="2161" spans="1:40" x14ac:dyDescent="0.3">
      <c r="A2161" t="str">
        <f>"20200111153917525"</f>
        <v>20200111153917525</v>
      </c>
      <c r="B2161" t="str">
        <f>"1578728357512911"</f>
        <v>1578728357512911</v>
      </c>
      <c r="C2161" t="s">
        <v>40</v>
      </c>
      <c r="D2161">
        <v>5.4438909999999998</v>
      </c>
      <c r="E2161">
        <v>0.51813889999999996</v>
      </c>
      <c r="F2161" t="s">
        <v>41</v>
      </c>
      <c r="G2161">
        <v>-272.68400000000003</v>
      </c>
      <c r="H2161">
        <v>0.84401569999999904</v>
      </c>
      <c r="I2161">
        <v>215.50040000000001</v>
      </c>
      <c r="J2161">
        <v>-273.02929999999998</v>
      </c>
      <c r="K2161">
        <v>1.1043190000000001</v>
      </c>
      <c r="L2161">
        <v>215.61689999999999</v>
      </c>
      <c r="M2161">
        <v>0.99935019999999997</v>
      </c>
      <c r="N2161">
        <v>0</v>
      </c>
      <c r="O2161">
        <v>3.2478010000000002E-2</v>
      </c>
      <c r="P2161">
        <v>0.9982858</v>
      </c>
      <c r="Q2161">
        <v>5.2611079999999996E-3</v>
      </c>
      <c r="R2161">
        <v>-5.8293289999999998E-2</v>
      </c>
      <c r="S2161">
        <v>2.9912109999999998</v>
      </c>
      <c r="T2161">
        <v>-0.80089060000000001</v>
      </c>
      <c r="U2161">
        <v>-0.29582209999999998</v>
      </c>
      <c r="V2161">
        <v>9.0659149999999994E-2</v>
      </c>
      <c r="W2161">
        <v>2.0966729999999999E-2</v>
      </c>
      <c r="X2161">
        <v>0.99566129999999997</v>
      </c>
      <c r="Y2161">
        <v>0.1251844</v>
      </c>
      <c r="Z2161">
        <v>-2.4959769999999999E-2</v>
      </c>
      <c r="AA2161">
        <v>0.99181949999999997</v>
      </c>
      <c r="AB2161">
        <v>60</v>
      </c>
      <c r="AC2161">
        <v>0.34529999999995098</v>
      </c>
      <c r="AD2161">
        <v>-0.26030330000000002</v>
      </c>
      <c r="AE2161">
        <v>-0.116499999999973</v>
      </c>
      <c r="AF2161">
        <v>8.45278074267901E-2</v>
      </c>
      <c r="AG2161">
        <v>-0.26030330000000002</v>
      </c>
      <c r="AH2161">
        <v>0.226017668344829</v>
      </c>
      <c r="AI2161">
        <v>137.16882335081499</v>
      </c>
      <c r="AJ2161">
        <v>69.494826027760794</v>
      </c>
      <c r="AK2161">
        <v>0.35494611509819801</v>
      </c>
      <c r="AL2161">
        <v>88.798606892840098</v>
      </c>
      <c r="AM2161">
        <v>84.797324819030493</v>
      </c>
      <c r="AN2161">
        <v>1.0000000547816501</v>
      </c>
    </row>
    <row r="2162" spans="1:40" x14ac:dyDescent="0.3">
      <c r="A2162" t="str">
        <f>"20200111153917545"</f>
        <v>20200111153917545</v>
      </c>
      <c r="B2162" t="str">
        <f>"1578728357533407"</f>
        <v>1578728357533407</v>
      </c>
      <c r="C2162" t="s">
        <v>40</v>
      </c>
      <c r="D2162">
        <v>5.3887919999999996</v>
      </c>
      <c r="E2162">
        <v>0.53291709999999903</v>
      </c>
      <c r="F2162" t="s">
        <v>41</v>
      </c>
      <c r="G2162">
        <v>-272.1404</v>
      </c>
      <c r="H2162">
        <v>0.86739370000000005</v>
      </c>
      <c r="I2162">
        <v>215.52780000000001</v>
      </c>
      <c r="J2162">
        <v>-272.50580000000002</v>
      </c>
      <c r="K2162">
        <v>1.1043190000000001</v>
      </c>
      <c r="L2162">
        <v>215.63399999999999</v>
      </c>
      <c r="M2162">
        <v>0.99934140000000005</v>
      </c>
      <c r="N2162">
        <v>0</v>
      </c>
      <c r="O2162">
        <v>3.2665369999999999E-2</v>
      </c>
      <c r="P2162">
        <v>0.99825600000000003</v>
      </c>
      <c r="Q2162">
        <v>5.9404899999999997E-3</v>
      </c>
      <c r="R2162">
        <v>-5.873329E-2</v>
      </c>
      <c r="S2162">
        <v>2.9919129999999998</v>
      </c>
      <c r="T2162">
        <v>-0.79740529999999998</v>
      </c>
      <c r="U2162">
        <v>-0.2986145</v>
      </c>
      <c r="V2162">
        <v>9.1285530000000004E-2</v>
      </c>
      <c r="W2162">
        <v>2.180052E-2</v>
      </c>
      <c r="X2162">
        <v>0.99558610000000003</v>
      </c>
      <c r="Y2162">
        <v>0.1262701</v>
      </c>
      <c r="Z2162">
        <v>-2.503901E-2</v>
      </c>
      <c r="AA2162">
        <v>0.9916798</v>
      </c>
      <c r="AB2162">
        <v>60</v>
      </c>
      <c r="AC2162">
        <v>0.36540000000002198</v>
      </c>
      <c r="AD2162">
        <v>-0.23692529999999901</v>
      </c>
      <c r="AE2162">
        <v>-0.106200000000001</v>
      </c>
      <c r="AF2162">
        <v>8.5092510819170103E-2</v>
      </c>
      <c r="AG2162">
        <v>-0.23692529999999901</v>
      </c>
      <c r="AH2162">
        <v>0.26067740903821401</v>
      </c>
      <c r="AI2162">
        <v>130.82751805256399</v>
      </c>
      <c r="AJ2162">
        <v>71.921846601278702</v>
      </c>
      <c r="AK2162">
        <v>0.36239073492637303</v>
      </c>
      <c r="AL2162">
        <v>88.750823247370604</v>
      </c>
      <c r="AM2162">
        <v>84.761184449733605</v>
      </c>
      <c r="AN2162">
        <v>0.99999999658643002</v>
      </c>
    </row>
    <row r="2163" spans="1:40" x14ac:dyDescent="0.3">
      <c r="A2163" t="str">
        <f>"20200111153917569"</f>
        <v>20200111153917569</v>
      </c>
      <c r="B2163" t="str">
        <f>"1578728357562688"</f>
        <v>1578728357562688</v>
      </c>
      <c r="C2163" t="s">
        <v>40</v>
      </c>
      <c r="D2163">
        <v>5.3996240000000002</v>
      </c>
      <c r="E2163">
        <v>0.53151660000000001</v>
      </c>
      <c r="F2163" t="s">
        <v>41</v>
      </c>
      <c r="G2163">
        <v>-271.60480000000001</v>
      </c>
      <c r="H2163">
        <v>0.86355649999999995</v>
      </c>
      <c r="I2163">
        <v>215.5077</v>
      </c>
      <c r="J2163">
        <v>-271.87729999999999</v>
      </c>
      <c r="K2163">
        <v>1.10432</v>
      </c>
      <c r="L2163">
        <v>215.65469999999999</v>
      </c>
      <c r="M2163">
        <v>0.99933099999999997</v>
      </c>
      <c r="N2163">
        <v>0</v>
      </c>
      <c r="O2163">
        <v>3.2874210000000001E-2</v>
      </c>
      <c r="P2163">
        <v>0.99820940000000002</v>
      </c>
      <c r="Q2163">
        <v>6.2505209999999898E-3</v>
      </c>
      <c r="R2163">
        <v>-5.9490269999999998E-2</v>
      </c>
      <c r="S2163">
        <v>2.985382</v>
      </c>
      <c r="T2163">
        <v>-0.79778709999999997</v>
      </c>
      <c r="U2163">
        <v>-0.41801450000000001</v>
      </c>
      <c r="V2163">
        <v>9.2250059999999995E-2</v>
      </c>
      <c r="W2163">
        <v>2.2321580000000001E-2</v>
      </c>
      <c r="X2163">
        <v>0.99548570000000003</v>
      </c>
      <c r="Y2163">
        <v>0.16435569999999999</v>
      </c>
      <c r="Z2163">
        <v>-3.008079E-2</v>
      </c>
      <c r="AA2163">
        <v>0.9859424</v>
      </c>
      <c r="AB2163">
        <v>60</v>
      </c>
      <c r="AC2163">
        <v>0.27249999999997898</v>
      </c>
      <c r="AD2163">
        <v>-0.24076349999999899</v>
      </c>
      <c r="AE2163">
        <v>-0.146999999999991</v>
      </c>
      <c r="AF2163">
        <v>9.7141264769426902E-2</v>
      </c>
      <c r="AG2163">
        <v>-0.24076349999999899</v>
      </c>
      <c r="AH2163">
        <v>0.16671288120976999</v>
      </c>
      <c r="AI2163">
        <v>141.29103999587301</v>
      </c>
      <c r="AJ2163">
        <v>59.771242867968198</v>
      </c>
      <c r="AK2163">
        <v>0.308539580952779</v>
      </c>
      <c r="AL2163">
        <v>88.720961512241104</v>
      </c>
      <c r="AM2163">
        <v>84.7056127034501</v>
      </c>
      <c r="AN2163">
        <v>1.00000005270409</v>
      </c>
    </row>
    <row r="2164" spans="1:40" x14ac:dyDescent="0.3">
      <c r="A2164" t="str">
        <f>"20200111153917591"</f>
        <v>20200111153917591</v>
      </c>
      <c r="B2164" t="str">
        <f>"1578728357583183"</f>
        <v>1578728357583183</v>
      </c>
      <c r="C2164" t="s">
        <v>40</v>
      </c>
      <c r="D2164">
        <v>5.3768370000000001</v>
      </c>
      <c r="E2164">
        <v>0.53123860000000001</v>
      </c>
      <c r="F2164" t="s">
        <v>41</v>
      </c>
      <c r="G2164">
        <v>-271.06189999999998</v>
      </c>
      <c r="H2164">
        <v>0.88953169999999904</v>
      </c>
      <c r="I2164">
        <v>215.54259999999999</v>
      </c>
      <c r="J2164">
        <v>-271.26740000000001</v>
      </c>
      <c r="K2164">
        <v>1.1043229999999999</v>
      </c>
      <c r="L2164">
        <v>215.67490000000001</v>
      </c>
      <c r="M2164">
        <v>0.99932080000000001</v>
      </c>
      <c r="N2164">
        <v>0</v>
      </c>
      <c r="O2164">
        <v>3.3067050000000001E-2</v>
      </c>
      <c r="P2164">
        <v>0.99818770000000001</v>
      </c>
      <c r="Q2164">
        <v>6.3619030000000003E-3</v>
      </c>
      <c r="R2164">
        <v>-5.984304E-2</v>
      </c>
      <c r="S2164">
        <v>2.9859010000000001</v>
      </c>
      <c r="T2164">
        <v>-0.78649029999999998</v>
      </c>
      <c r="U2164">
        <v>-0.40968320000000003</v>
      </c>
      <c r="V2164">
        <v>9.2796009999999998E-2</v>
      </c>
      <c r="W2164">
        <v>2.266673E-2</v>
      </c>
      <c r="X2164">
        <v>0.99542710000000001</v>
      </c>
      <c r="Y2164">
        <v>0.1620799</v>
      </c>
      <c r="Z2164">
        <v>-2.9425570000000002E-2</v>
      </c>
      <c r="AA2164">
        <v>0.98633879999999996</v>
      </c>
      <c r="AB2164">
        <v>60</v>
      </c>
      <c r="AC2164">
        <v>0.20550000000002899</v>
      </c>
      <c r="AD2164">
        <v>-0.21479129999999999</v>
      </c>
      <c r="AE2164">
        <v>-0.13230000000001399</v>
      </c>
      <c r="AF2164">
        <v>7.8440304214392798E-2</v>
      </c>
      <c r="AG2164">
        <v>-0.21479129999999999</v>
      </c>
      <c r="AH2164">
        <v>0.113415547019892</v>
      </c>
      <c r="AI2164">
        <v>147.29908722376101</v>
      </c>
      <c r="AJ2164">
        <v>55.331544155065899</v>
      </c>
      <c r="AK2164">
        <v>0.25524746852174202</v>
      </c>
      <c r="AL2164">
        <v>88.7011807959165</v>
      </c>
      <c r="AM2164">
        <v>84.674147628272607</v>
      </c>
      <c r="AN2164">
        <v>0.99999999576761101</v>
      </c>
    </row>
    <row r="2165" spans="1:40" x14ac:dyDescent="0.3">
      <c r="A2165" t="str">
        <f>"20200111153917613"</f>
        <v>20200111153917613</v>
      </c>
      <c r="B2165" t="str">
        <f>"1578728357602703"</f>
        <v>1578728357602703</v>
      </c>
      <c r="C2165" t="s">
        <v>40</v>
      </c>
      <c r="D2165">
        <v>5.3616449999999896</v>
      </c>
      <c r="E2165">
        <v>0.53104479999999998</v>
      </c>
      <c r="F2165" t="s">
        <v>41</v>
      </c>
      <c r="G2165">
        <v>-270.52249999999998</v>
      </c>
      <c r="H2165">
        <v>0.90812110000000001</v>
      </c>
      <c r="I2165">
        <v>215.5727</v>
      </c>
      <c r="J2165">
        <v>-270.7063</v>
      </c>
      <c r="K2165">
        <v>1.104331</v>
      </c>
      <c r="L2165">
        <v>215.6936</v>
      </c>
      <c r="M2165">
        <v>0.99931060000000005</v>
      </c>
      <c r="N2165">
        <v>0</v>
      </c>
      <c r="O2165">
        <v>3.324299E-2</v>
      </c>
      <c r="P2165">
        <v>0.99813940000000001</v>
      </c>
      <c r="Q2165">
        <v>6.2615279999999997E-3</v>
      </c>
      <c r="R2165">
        <v>-6.065284E-2</v>
      </c>
      <c r="S2165">
        <v>2.9859309999999999</v>
      </c>
      <c r="T2165">
        <v>-0.78658779999999995</v>
      </c>
      <c r="U2165">
        <v>-0.40892030000000001</v>
      </c>
      <c r="V2165">
        <v>9.3780840000000004E-2</v>
      </c>
      <c r="W2165">
        <v>2.2819269999999999E-2</v>
      </c>
      <c r="X2165">
        <v>0.99533130000000003</v>
      </c>
      <c r="Y2165">
        <v>0.1619999</v>
      </c>
      <c r="Z2165">
        <v>-2.946441E-2</v>
      </c>
      <c r="AA2165">
        <v>0.98635079999999997</v>
      </c>
      <c r="AB2165">
        <v>60</v>
      </c>
      <c r="AC2165">
        <v>0.183800000000019</v>
      </c>
      <c r="AD2165">
        <v>-0.19620989999999999</v>
      </c>
      <c r="AE2165">
        <v>-0.120900000000006</v>
      </c>
      <c r="AF2165">
        <v>7.0703896438577496E-2</v>
      </c>
      <c r="AG2165">
        <v>-0.19620989999999999</v>
      </c>
      <c r="AH2165">
        <v>0.100075487688496</v>
      </c>
      <c r="AI2165">
        <v>148.01540398308001</v>
      </c>
      <c r="AJ2165">
        <v>54.758578741669801</v>
      </c>
      <c r="AK2165">
        <v>0.231327622790054</v>
      </c>
      <c r="AL2165">
        <v>88.692438617009103</v>
      </c>
      <c r="AM2165">
        <v>84.617440365214307</v>
      </c>
      <c r="AN2165">
        <v>0.99999998089706399</v>
      </c>
    </row>
    <row r="2166" spans="1:40" x14ac:dyDescent="0.3">
      <c r="A2166" t="str">
        <f>"20200111153917638"</f>
        <v>20200111153917638</v>
      </c>
      <c r="B2166" t="str">
        <f>"1578728357632959"</f>
        <v>1578728357632959</v>
      </c>
      <c r="C2166" t="s">
        <v>40</v>
      </c>
      <c r="D2166">
        <v>5.33338</v>
      </c>
      <c r="E2166">
        <v>0.51769620000000005</v>
      </c>
      <c r="F2166" t="s">
        <v>41</v>
      </c>
      <c r="G2166">
        <v>-269.98869999999999</v>
      </c>
      <c r="H2166">
        <v>0.91482399999999997</v>
      </c>
      <c r="I2166">
        <v>215.5949</v>
      </c>
      <c r="J2166">
        <v>-270.04680000000002</v>
      </c>
      <c r="K2166">
        <v>1.1043529999999999</v>
      </c>
      <c r="L2166">
        <v>215.7158</v>
      </c>
      <c r="M2166">
        <v>0.99929769999999896</v>
      </c>
      <c r="N2166">
        <v>0</v>
      </c>
      <c r="O2166">
        <v>3.3452200000000001E-2</v>
      </c>
      <c r="P2166">
        <v>0.9980658</v>
      </c>
      <c r="Q2166">
        <v>5.8467559999999998E-3</v>
      </c>
      <c r="R2166">
        <v>-6.1893440000000001E-2</v>
      </c>
      <c r="S2166">
        <v>2.9855649999999998</v>
      </c>
      <c r="T2166">
        <v>-0.78844179999999997</v>
      </c>
      <c r="U2166">
        <v>-0.41015629999999997</v>
      </c>
      <c r="V2166">
        <v>9.5229250000000001E-2</v>
      </c>
      <c r="W2166">
        <v>2.274634E-2</v>
      </c>
      <c r="X2166">
        <v>0.99519539999999995</v>
      </c>
      <c r="Y2166">
        <v>0.16256570000000001</v>
      </c>
      <c r="Z2166">
        <v>-2.966158E-2</v>
      </c>
      <c r="AA2166">
        <v>0.98625180000000001</v>
      </c>
      <c r="AB2166">
        <v>60</v>
      </c>
      <c r="AC2166">
        <v>5.8100000000024403E-2</v>
      </c>
      <c r="AD2166">
        <v>-0.189529</v>
      </c>
      <c r="AE2166">
        <v>-0.120900000000006</v>
      </c>
      <c r="AF2166">
        <v>4.0973665173793201E-2</v>
      </c>
      <c r="AG2166">
        <v>-0.189529</v>
      </c>
      <c r="AH2166">
        <v>1.80287507562812E-2</v>
      </c>
      <c r="AI2166">
        <v>166.71090058477</v>
      </c>
      <c r="AJ2166">
        <v>23.749890567405899</v>
      </c>
      <c r="AK2166">
        <v>0.19474372629845099</v>
      </c>
      <c r="AL2166">
        <v>88.6966182365192</v>
      </c>
      <c r="AM2166">
        <v>84.534066494668906</v>
      </c>
      <c r="AN2166">
        <v>0.99999994511005696</v>
      </c>
    </row>
    <row r="2167" spans="1:40" x14ac:dyDescent="0.3">
      <c r="A2167" t="str">
        <f>"20200111153917657"</f>
        <v>20200111153917657</v>
      </c>
      <c r="B2167" t="str">
        <f>"1578728357652479"</f>
        <v>1578728357652479</v>
      </c>
      <c r="C2167" t="s">
        <v>40</v>
      </c>
      <c r="D2167">
        <v>5.3372299999999999</v>
      </c>
      <c r="E2167">
        <v>0.5199106</v>
      </c>
      <c r="F2167" t="s">
        <v>41</v>
      </c>
      <c r="G2167">
        <v>-268.94260000000003</v>
      </c>
      <c r="H2167">
        <v>0.87798169999999898</v>
      </c>
      <c r="I2167">
        <v>215.60040000000001</v>
      </c>
      <c r="J2167">
        <v>-269.53210000000001</v>
      </c>
      <c r="K2167">
        <v>1.1043750000000001</v>
      </c>
      <c r="L2167">
        <v>215.73310000000001</v>
      </c>
      <c r="M2167">
        <v>0.99928709999999998</v>
      </c>
      <c r="N2167">
        <v>0</v>
      </c>
      <c r="O2167">
        <v>3.3616519999999997E-2</v>
      </c>
      <c r="P2167">
        <v>0.99796189999999996</v>
      </c>
      <c r="Q2167">
        <v>5.6135209999999998E-3</v>
      </c>
      <c r="R2167">
        <v>-6.3563700000000001E-2</v>
      </c>
      <c r="S2167">
        <v>2.9900820000000001</v>
      </c>
      <c r="T2167">
        <v>-0.61307330000000004</v>
      </c>
      <c r="U2167">
        <v>-0.31167600000000001</v>
      </c>
      <c r="V2167">
        <v>9.7060599999999997E-2</v>
      </c>
      <c r="W2167">
        <v>2.2805450000000001E-2</v>
      </c>
      <c r="X2167">
        <v>0.99501719999999905</v>
      </c>
      <c r="Y2167">
        <v>0.1336118</v>
      </c>
      <c r="Z2167">
        <v>-2.0327789999999998E-2</v>
      </c>
      <c r="AA2167">
        <v>0.99082519999999996</v>
      </c>
      <c r="AB2167">
        <v>59</v>
      </c>
      <c r="AC2167">
        <v>0.58949999999998604</v>
      </c>
      <c r="AD2167">
        <v>-0.22639329999999999</v>
      </c>
      <c r="AE2167">
        <v>-0.13269999999999901</v>
      </c>
      <c r="AF2167">
        <v>0.133679484108021</v>
      </c>
      <c r="AG2167">
        <v>-0.22639329999999999</v>
      </c>
      <c r="AH2167">
        <v>0.51273025801230898</v>
      </c>
      <c r="AI2167">
        <v>113.135164809397</v>
      </c>
      <c r="AJ2167">
        <v>75.387102526816093</v>
      </c>
      <c r="AK2167">
        <v>0.57620868462532404</v>
      </c>
      <c r="AL2167">
        <v>88.693230726045797</v>
      </c>
      <c r="AM2167">
        <v>84.428614944602998</v>
      </c>
      <c r="AN2167">
        <v>1.00000003845895</v>
      </c>
    </row>
    <row r="2168" spans="1:40" x14ac:dyDescent="0.3">
      <c r="A2168" t="str">
        <f>"20200111153917679"</f>
        <v>20200111153917679</v>
      </c>
      <c r="B2168" t="str">
        <f>"1578728357672975"</f>
        <v>1578728357672975</v>
      </c>
      <c r="C2168" t="s">
        <v>40</v>
      </c>
      <c r="D2168">
        <v>5.4134419999999999</v>
      </c>
      <c r="E2168">
        <v>0.53918009999999905</v>
      </c>
      <c r="F2168" t="s">
        <v>41</v>
      </c>
      <c r="G2168">
        <v>-268.39819999999997</v>
      </c>
      <c r="H2168">
        <v>0.91233359999999997</v>
      </c>
      <c r="I2168">
        <v>215.60470000000001</v>
      </c>
      <c r="J2168">
        <v>-268.928</v>
      </c>
      <c r="K2168">
        <v>1.104403</v>
      </c>
      <c r="L2168">
        <v>215.75360000000001</v>
      </c>
      <c r="M2168">
        <v>0.99927410000000005</v>
      </c>
      <c r="N2168">
        <v>0</v>
      </c>
      <c r="O2168">
        <v>3.3806330000000002E-2</v>
      </c>
      <c r="P2168">
        <v>0.99784689999999998</v>
      </c>
      <c r="Q2168">
        <v>4.5436249999999999E-3</v>
      </c>
      <c r="R2168">
        <v>-6.5430840000000004E-2</v>
      </c>
      <c r="S2168">
        <v>2.987457</v>
      </c>
      <c r="T2168">
        <v>-0.50600310000000004</v>
      </c>
      <c r="U2168">
        <v>-0.33781430000000001</v>
      </c>
      <c r="V2168">
        <v>9.9113699999999999E-2</v>
      </c>
      <c r="W2168">
        <v>2.210181E-2</v>
      </c>
      <c r="X2168">
        <v>0.99483060000000001</v>
      </c>
      <c r="Y2168">
        <v>0.1434001</v>
      </c>
      <c r="Z2168">
        <v>-1.7691430000000001E-2</v>
      </c>
      <c r="AA2168">
        <v>0.98950669999999996</v>
      </c>
      <c r="AB2168">
        <v>59</v>
      </c>
      <c r="AC2168">
        <v>0.52980000000002203</v>
      </c>
      <c r="AD2168">
        <v>-0.1920694</v>
      </c>
      <c r="AE2168">
        <v>-0.14889999999999701</v>
      </c>
      <c r="AF2168">
        <v>0.14862456975359301</v>
      </c>
      <c r="AG2168">
        <v>-0.1920694</v>
      </c>
      <c r="AH2168">
        <v>0.467515451934087</v>
      </c>
      <c r="AI2168">
        <v>111.38144006502201</v>
      </c>
      <c r="AJ2168">
        <v>72.364382862192699</v>
      </c>
      <c r="AK2168">
        <v>0.526830727034723</v>
      </c>
      <c r="AL2168">
        <v>88.733556406501705</v>
      </c>
      <c r="AM2168">
        <v>84.310469751082195</v>
      </c>
      <c r="AN2168">
        <v>0.99999996911466205</v>
      </c>
    </row>
    <row r="2169" spans="1:40" x14ac:dyDescent="0.3">
      <c r="A2169" t="str">
        <f>"20200111153917703"</f>
        <v>20200111153917703</v>
      </c>
      <c r="B2169" t="str">
        <f>"1578728357692494"</f>
        <v>1578728357692494</v>
      </c>
      <c r="C2169" t="s">
        <v>40</v>
      </c>
      <c r="D2169">
        <v>5.3577959999999996</v>
      </c>
      <c r="E2169">
        <v>0.53817700000000002</v>
      </c>
      <c r="F2169" t="s">
        <v>55</v>
      </c>
      <c r="G2169">
        <v>-212.30670000000001</v>
      </c>
      <c r="H2169">
        <v>8.0001149999999993E-2</v>
      </c>
      <c r="I2169">
        <v>206.10570000000001</v>
      </c>
      <c r="J2169">
        <v>-268.32850000000002</v>
      </c>
      <c r="K2169">
        <v>1.104427</v>
      </c>
      <c r="L2169">
        <v>215.774</v>
      </c>
      <c r="M2169">
        <v>0.99926130000000002</v>
      </c>
      <c r="N2169">
        <v>0</v>
      </c>
      <c r="O2169">
        <v>3.3988930000000001E-2</v>
      </c>
      <c r="P2169">
        <v>0.99773540000000005</v>
      </c>
      <c r="Q2169">
        <v>3.2325140000000001E-3</v>
      </c>
      <c r="R2169">
        <v>-6.7186650000000001E-2</v>
      </c>
      <c r="S2169">
        <v>2.973541</v>
      </c>
      <c r="T2169">
        <v>-5.379784E-2</v>
      </c>
      <c r="U2169">
        <v>-0.50666809999999995</v>
      </c>
      <c r="V2169">
        <v>0.1010484</v>
      </c>
      <c r="W2169">
        <v>2.115599E-2</v>
      </c>
      <c r="X2169">
        <v>0.9946566</v>
      </c>
      <c r="Y2169">
        <v>0.2013481</v>
      </c>
      <c r="Z2169">
        <v>-2.41917E-3</v>
      </c>
      <c r="AA2169">
        <v>0.97951679999999997</v>
      </c>
      <c r="AB2169">
        <v>59</v>
      </c>
      <c r="AC2169">
        <v>56.021799999999999</v>
      </c>
      <c r="AD2169">
        <v>-1.0244258500000001</v>
      </c>
      <c r="AE2169">
        <v>-9.6682999999999808</v>
      </c>
      <c r="AF2169">
        <v>11.563384461078501</v>
      </c>
      <c r="AG2169">
        <v>-1.0244258500000001</v>
      </c>
      <c r="AH2169">
        <v>55.6426847407593</v>
      </c>
      <c r="AI2169">
        <v>91.032682827612803</v>
      </c>
      <c r="AJ2169">
        <v>78.260177020780105</v>
      </c>
      <c r="AK2169">
        <v>56.840739559548197</v>
      </c>
      <c r="AL2169">
        <v>88.787760686769602</v>
      </c>
      <c r="AM2169">
        <v>84.199152356854398</v>
      </c>
      <c r="AN2169">
        <v>1.0000000534894899</v>
      </c>
    </row>
    <row r="2170" spans="1:40" x14ac:dyDescent="0.3">
      <c r="A2170" t="str">
        <f>"20200111153917727"</f>
        <v>20200111153917727</v>
      </c>
      <c r="B2170" t="str">
        <f>"1578728357722751"</f>
        <v>1578728357722751</v>
      </c>
      <c r="C2170" t="s">
        <v>40</v>
      </c>
      <c r="D2170">
        <v>5.4139059999999999</v>
      </c>
      <c r="E2170">
        <v>0.53670079999999998</v>
      </c>
      <c r="F2170" t="s">
        <v>55</v>
      </c>
      <c r="G2170">
        <v>-224.53450000000001</v>
      </c>
      <c r="H2170">
        <v>8.0000409999999994E-2</v>
      </c>
      <c r="I2170">
        <v>208.3526</v>
      </c>
      <c r="J2170">
        <v>-267.69940000000003</v>
      </c>
      <c r="K2170">
        <v>1.1044609999999999</v>
      </c>
      <c r="L2170">
        <v>215.7955</v>
      </c>
      <c r="M2170">
        <v>0.99924809999999997</v>
      </c>
      <c r="N2170">
        <v>0</v>
      </c>
      <c r="O2170">
        <v>3.4172670000000002E-2</v>
      </c>
      <c r="P2170">
        <v>0.99762340000000005</v>
      </c>
      <c r="Q2170">
        <v>2.4801900000000002E-3</v>
      </c>
      <c r="R2170">
        <v>-6.8860909999999997E-2</v>
      </c>
      <c r="S2170">
        <v>2.9731139999999998</v>
      </c>
      <c r="T2170">
        <v>-6.9546940000000002E-2</v>
      </c>
      <c r="U2170">
        <v>-0.50383</v>
      </c>
      <c r="V2170">
        <v>0.1029022</v>
      </c>
      <c r="W2170">
        <v>2.0781750000000002E-2</v>
      </c>
      <c r="X2170">
        <v>0.99447439999999998</v>
      </c>
      <c r="Y2170">
        <v>0.20061780000000001</v>
      </c>
      <c r="Z2170">
        <v>-3.1236910000000001E-3</v>
      </c>
      <c r="AA2170">
        <v>0.9796646</v>
      </c>
      <c r="AB2170">
        <v>59</v>
      </c>
      <c r="AC2170">
        <v>43.164900000000003</v>
      </c>
      <c r="AD2170">
        <v>-1.0244605899999999</v>
      </c>
      <c r="AE2170">
        <v>-7.4428999999999998</v>
      </c>
      <c r="AF2170">
        <v>8.9089854165276705</v>
      </c>
      <c r="AG2170">
        <v>-1.0244605899999999</v>
      </c>
      <c r="AH2170">
        <v>42.861847992624597</v>
      </c>
      <c r="AI2170">
        <v>91.340550901466699</v>
      </c>
      <c r="AJ2170">
        <v>78.2580620262042</v>
      </c>
      <c r="AK2170">
        <v>43.789925256789701</v>
      </c>
      <c r="AL2170">
        <v>88.809207755507202</v>
      </c>
      <c r="AM2170">
        <v>84.092403123277194</v>
      </c>
      <c r="AN2170">
        <v>1.0000000380766301</v>
      </c>
    </row>
    <row r="2171" spans="1:40" x14ac:dyDescent="0.3">
      <c r="A2171" t="str">
        <f>"20200111153917753"</f>
        <v>20200111153917753</v>
      </c>
      <c r="B2171" t="str">
        <f>"1578728357743247"</f>
        <v>1578728357743247</v>
      </c>
      <c r="C2171" t="s">
        <v>40</v>
      </c>
      <c r="D2171">
        <v>5.6474349999999998</v>
      </c>
      <c r="E2171">
        <v>0.53692010000000001</v>
      </c>
      <c r="F2171" t="s">
        <v>55</v>
      </c>
      <c r="G2171">
        <v>-235.02629999999999</v>
      </c>
      <c r="H2171" s="1">
        <v>1.3249100000000001E-6</v>
      </c>
      <c r="I2171">
        <v>210.3391</v>
      </c>
      <c r="J2171">
        <v>-267.0324</v>
      </c>
      <c r="K2171">
        <v>1.104492</v>
      </c>
      <c r="L2171">
        <v>215.8184</v>
      </c>
      <c r="M2171">
        <v>0.99923419999999996</v>
      </c>
      <c r="N2171">
        <v>0</v>
      </c>
      <c r="O2171">
        <v>3.4361290000000003E-2</v>
      </c>
      <c r="P2171">
        <v>0.99756330000000004</v>
      </c>
      <c r="Q2171">
        <v>2.2684150000000002E-3</v>
      </c>
      <c r="R2171">
        <v>-6.9731810000000005E-2</v>
      </c>
      <c r="S2171">
        <v>2.9731139999999998</v>
      </c>
      <c r="T2171">
        <v>-0.1005011</v>
      </c>
      <c r="U2171">
        <v>-0.49650569999999999</v>
      </c>
      <c r="V2171">
        <v>0.103959</v>
      </c>
      <c r="W2171">
        <v>2.0958620000000001E-2</v>
      </c>
      <c r="X2171">
        <v>0.99436069999999999</v>
      </c>
      <c r="Y2171">
        <v>0.1983885</v>
      </c>
      <c r="Z2171">
        <v>-4.4831740000000004E-3</v>
      </c>
      <c r="AA2171">
        <v>0.98011320000000002</v>
      </c>
      <c r="AB2171">
        <v>59</v>
      </c>
      <c r="AC2171">
        <v>32.006100000000004</v>
      </c>
      <c r="AD2171">
        <v>-1.1044906750900001</v>
      </c>
      <c r="AE2171">
        <v>-5.4792999999999896</v>
      </c>
      <c r="AF2171">
        <v>6.5684274588756697</v>
      </c>
      <c r="AG2171">
        <v>-1.1044906750900001</v>
      </c>
      <c r="AH2171">
        <v>31.7621371237631</v>
      </c>
      <c r="AI2171">
        <v>91.950354929906396</v>
      </c>
      <c r="AJ2171">
        <v>78.315905572469902</v>
      </c>
      <c r="AK2171">
        <v>32.453004384842401</v>
      </c>
      <c r="AL2171">
        <v>88.799071561366304</v>
      </c>
      <c r="AM2171">
        <v>84.031490617265803</v>
      </c>
      <c r="AN2171">
        <v>0.99999996956889603</v>
      </c>
    </row>
    <row r="2172" spans="1:40" x14ac:dyDescent="0.3">
      <c r="A2172" t="str">
        <f>"20200111153917774"</f>
        <v>20200111153917774</v>
      </c>
      <c r="B2172" t="str">
        <f>"1578728357762767"</f>
        <v>1578728357762767</v>
      </c>
      <c r="C2172" t="s">
        <v>40</v>
      </c>
      <c r="D2172">
        <v>5.4273720000000001</v>
      </c>
      <c r="E2172">
        <v>0.53635749999999904</v>
      </c>
      <c r="F2172" t="s">
        <v>55</v>
      </c>
      <c r="G2172">
        <v>-235.59960000000001</v>
      </c>
      <c r="H2172" s="1">
        <v>1.6219399999999999E-6</v>
      </c>
      <c r="I2172">
        <v>210.52340000000001</v>
      </c>
      <c r="J2172">
        <v>-266.47190000000001</v>
      </c>
      <c r="K2172">
        <v>1.1045199999999999</v>
      </c>
      <c r="L2172">
        <v>215.83779999999999</v>
      </c>
      <c r="M2172">
        <v>0.99922290000000002</v>
      </c>
      <c r="N2172">
        <v>0</v>
      </c>
      <c r="O2172">
        <v>3.4517659999999999E-2</v>
      </c>
      <c r="P2172">
        <v>0.99752859999999999</v>
      </c>
      <c r="Q2172">
        <v>2.4501900000000001E-3</v>
      </c>
      <c r="R2172">
        <v>-7.0221130000000007E-2</v>
      </c>
      <c r="S2172">
        <v>2.9725649999999999</v>
      </c>
      <c r="T2172">
        <v>-0.1044503</v>
      </c>
      <c r="U2172">
        <v>-0.50074770000000002</v>
      </c>
      <c r="V2172">
        <v>0.10460270000000001</v>
      </c>
      <c r="W2172">
        <v>2.1452990000000002E-2</v>
      </c>
      <c r="X2172">
        <v>0.99428269999999996</v>
      </c>
      <c r="Y2172">
        <v>0.1999203</v>
      </c>
      <c r="Z2172">
        <v>-4.6917340000000004E-3</v>
      </c>
      <c r="AA2172">
        <v>0.97980089999999997</v>
      </c>
      <c r="AB2172">
        <v>59</v>
      </c>
      <c r="AC2172">
        <v>30.872299999999999</v>
      </c>
      <c r="AD2172">
        <v>-1.1045183780600001</v>
      </c>
      <c r="AE2172">
        <v>-5.3143999999999698</v>
      </c>
      <c r="AF2172">
        <v>6.3691466509918504</v>
      </c>
      <c r="AG2172">
        <v>-1.1045183780600001</v>
      </c>
      <c r="AH2172">
        <v>30.632341506456999</v>
      </c>
      <c r="AI2172">
        <v>92.021830225678897</v>
      </c>
      <c r="AJ2172">
        <v>78.254284204699601</v>
      </c>
      <c r="AK2172">
        <v>31.3069694489505</v>
      </c>
      <c r="AL2172">
        <v>88.770739938733698</v>
      </c>
      <c r="AM2172">
        <v>83.994335995415298</v>
      </c>
      <c r="AN2172">
        <v>1.0000000215732501</v>
      </c>
    </row>
    <row r="2173" spans="1:40" x14ac:dyDescent="0.3">
      <c r="A2173" t="str">
        <f>"20200111153917793"</f>
        <v>20200111153917793</v>
      </c>
      <c r="B2173" t="str">
        <f>"1578728357783262"</f>
        <v>1578728357783262</v>
      </c>
      <c r="C2173" t="s">
        <v>40</v>
      </c>
      <c r="D2173">
        <v>5.4256820000000001</v>
      </c>
      <c r="E2173">
        <v>0.53587169999999995</v>
      </c>
      <c r="F2173" t="s">
        <v>55</v>
      </c>
      <c r="G2173">
        <v>-237.6182</v>
      </c>
      <c r="H2173" s="1">
        <v>2.6748210000000002E-6</v>
      </c>
      <c r="I2173">
        <v>211.0112</v>
      </c>
      <c r="J2173">
        <v>-265.96539999999999</v>
      </c>
      <c r="K2173">
        <v>1.104544</v>
      </c>
      <c r="L2173">
        <v>215.8554</v>
      </c>
      <c r="M2173">
        <v>0.99921289999999996</v>
      </c>
      <c r="N2173">
        <v>0</v>
      </c>
      <c r="O2173">
        <v>3.4659309999999999E-2</v>
      </c>
      <c r="P2173">
        <v>0.9975193</v>
      </c>
      <c r="Q2173">
        <v>1.717225E-3</v>
      </c>
      <c r="R2173">
        <v>-7.0376140000000004E-2</v>
      </c>
      <c r="S2173">
        <v>2.9726870000000001</v>
      </c>
      <c r="T2173">
        <v>-0.1137943</v>
      </c>
      <c r="U2173">
        <v>-0.49726870000000001</v>
      </c>
      <c r="V2173">
        <v>0.1048992</v>
      </c>
      <c r="W2173">
        <v>2.0987229999999999E-2</v>
      </c>
      <c r="X2173">
        <v>0.99426139999999996</v>
      </c>
      <c r="Y2173">
        <v>0.1989117</v>
      </c>
      <c r="Z2173">
        <v>-5.0976700000000003E-3</v>
      </c>
      <c r="AA2173">
        <v>0.98000419999999999</v>
      </c>
      <c r="AB2173">
        <v>59</v>
      </c>
      <c r="AC2173">
        <v>28.347199999999901</v>
      </c>
      <c r="AD2173">
        <v>-1.1045413251789999</v>
      </c>
      <c r="AE2173">
        <v>-4.8441999999999998</v>
      </c>
      <c r="AF2173">
        <v>5.8153870954989397</v>
      </c>
      <c r="AG2173">
        <v>-1.1045413251789999</v>
      </c>
      <c r="AH2173">
        <v>28.1207514108707</v>
      </c>
      <c r="AI2173">
        <v>92.202774826908595</v>
      </c>
      <c r="AJ2173">
        <v>78.315905165001197</v>
      </c>
      <c r="AK2173">
        <v>28.737003993483899</v>
      </c>
      <c r="AL2173">
        <v>88.797432027586694</v>
      </c>
      <c r="AM2173">
        <v>83.977309598915397</v>
      </c>
      <c r="AN2173">
        <v>1.0000000187568301</v>
      </c>
    </row>
    <row r="2174" spans="1:40" x14ac:dyDescent="0.3">
      <c r="A2174" t="str">
        <f>"20200111153917818"</f>
        <v>20200111153917818</v>
      </c>
      <c r="B2174" t="str">
        <f>"1578728357812543"</f>
        <v>1578728357812543</v>
      </c>
      <c r="C2174" t="s">
        <v>40</v>
      </c>
      <c r="D2174">
        <v>5.5321559999999996</v>
      </c>
      <c r="E2174">
        <v>0.53552759999999999</v>
      </c>
      <c r="F2174" t="s">
        <v>55</v>
      </c>
      <c r="G2174">
        <v>-240.0087</v>
      </c>
      <c r="H2174" s="1">
        <v>-1.397914E-6</v>
      </c>
      <c r="I2174">
        <v>211.54480000000001</v>
      </c>
      <c r="J2174">
        <v>-265.32749999999999</v>
      </c>
      <c r="K2174">
        <v>1.1045609999999999</v>
      </c>
      <c r="L2174">
        <v>215.8776</v>
      </c>
      <c r="M2174">
        <v>0.99920019999999998</v>
      </c>
      <c r="N2174">
        <v>0</v>
      </c>
      <c r="O2174">
        <v>3.4839439999999999E-2</v>
      </c>
      <c r="P2174">
        <v>0.99750039999999995</v>
      </c>
      <c r="Q2174">
        <v>1.7252630000000001E-3</v>
      </c>
      <c r="R2174">
        <v>-7.0642250000000004E-2</v>
      </c>
      <c r="S2174">
        <v>2.9728699999999999</v>
      </c>
      <c r="T2174">
        <v>-0.12650539999999999</v>
      </c>
      <c r="U2174">
        <v>-0.49369809999999997</v>
      </c>
      <c r="V2174">
        <v>0.1053443</v>
      </c>
      <c r="W2174">
        <v>2.1316169999999999E-2</v>
      </c>
      <c r="X2174">
        <v>0.99420730000000002</v>
      </c>
      <c r="Y2174">
        <v>0.19789480000000001</v>
      </c>
      <c r="Z2174">
        <v>-5.6529630000000004E-3</v>
      </c>
      <c r="AA2174">
        <v>0.98020700000000005</v>
      </c>
      <c r="AB2174">
        <v>58</v>
      </c>
      <c r="AC2174">
        <v>25.3187999999999</v>
      </c>
      <c r="AD2174">
        <v>-1.104562397914</v>
      </c>
      <c r="AE2174">
        <v>-4.33279999999999</v>
      </c>
      <c r="AF2174">
        <v>5.2028109077750804</v>
      </c>
      <c r="AG2174">
        <v>-1.104562397914</v>
      </c>
      <c r="AH2174">
        <v>25.106018862148101</v>
      </c>
      <c r="AI2174">
        <v>92.466810080840702</v>
      </c>
      <c r="AJ2174">
        <v>78.292112816583298</v>
      </c>
      <c r="AK2174">
        <v>25.663232114047702</v>
      </c>
      <c r="AL2174">
        <v>88.778580886957101</v>
      </c>
      <c r="AM2174">
        <v>83.951616942632398</v>
      </c>
      <c r="AN2174">
        <v>0.99999997800962404</v>
      </c>
    </row>
    <row r="2175" spans="1:40" x14ac:dyDescent="0.3">
      <c r="A2175" t="str">
        <f>"20200111153917843"</f>
        <v>20200111153917843</v>
      </c>
      <c r="B2175" t="str">
        <f>"1578728357833039"</f>
        <v>1578728357833039</v>
      </c>
      <c r="C2175" t="s">
        <v>40</v>
      </c>
      <c r="D2175">
        <v>5.5456289999999999</v>
      </c>
      <c r="E2175">
        <v>0.53559860000000004</v>
      </c>
      <c r="F2175" t="s">
        <v>55</v>
      </c>
      <c r="G2175">
        <v>-241.3049</v>
      </c>
      <c r="H2175" s="1">
        <v>-7.2391140000000002E-7</v>
      </c>
      <c r="I2175">
        <v>211.9066</v>
      </c>
      <c r="J2175">
        <v>-264.67189999999999</v>
      </c>
      <c r="K2175">
        <v>1.104592</v>
      </c>
      <c r="L2175">
        <v>215.9007</v>
      </c>
      <c r="M2175">
        <v>0.99918739999999995</v>
      </c>
      <c r="N2175">
        <v>0</v>
      </c>
      <c r="O2175">
        <v>3.5024630000000001E-2</v>
      </c>
      <c r="P2175">
        <v>0.99743610000000005</v>
      </c>
      <c r="Q2175">
        <v>1.338197E-3</v>
      </c>
      <c r="R2175">
        <v>-7.1552039999999997E-2</v>
      </c>
      <c r="S2175">
        <v>2.9729920000000001</v>
      </c>
      <c r="T2175">
        <v>-0.13669909999999999</v>
      </c>
      <c r="U2175">
        <v>-0.49145509999999898</v>
      </c>
      <c r="V2175">
        <v>0.10643619999999999</v>
      </c>
      <c r="W2175">
        <v>2.124419E-2</v>
      </c>
      <c r="X2175">
        <v>0.99409259999999999</v>
      </c>
      <c r="Y2175">
        <v>0.1973164</v>
      </c>
      <c r="Z2175">
        <v>-6.1034139999999997E-3</v>
      </c>
      <c r="AA2175">
        <v>0.98032090000000005</v>
      </c>
      <c r="AB2175">
        <v>58</v>
      </c>
      <c r="AC2175">
        <v>23.366999999999901</v>
      </c>
      <c r="AD2175">
        <v>-1.10459272391139</v>
      </c>
      <c r="AE2175">
        <v>-3.9941</v>
      </c>
      <c r="AF2175">
        <v>4.7998106586233504</v>
      </c>
      <c r="AG2175">
        <v>-1.10459272391139</v>
      </c>
      <c r="AH2175">
        <v>23.162448393722801</v>
      </c>
      <c r="AI2175">
        <v>92.673590890893806</v>
      </c>
      <c r="AJ2175">
        <v>78.292651512485804</v>
      </c>
      <c r="AK2175">
        <v>23.6803150957968</v>
      </c>
      <c r="AL2175">
        <v>88.782706045421705</v>
      </c>
      <c r="AM2175">
        <v>83.888697270613804</v>
      </c>
      <c r="AN2175">
        <v>1.0000000388269701</v>
      </c>
    </row>
    <row r="2176" spans="1:40" x14ac:dyDescent="0.3">
      <c r="A2176" t="str">
        <f>"20200111153917864"</f>
        <v>20200111153917864</v>
      </c>
      <c r="B2176" t="str">
        <f>"1578728357852559"</f>
        <v>1578728357852559</v>
      </c>
      <c r="C2176" t="s">
        <v>40</v>
      </c>
      <c r="D2176">
        <v>5.4877120000000001</v>
      </c>
      <c r="E2176">
        <v>0.53580490000000003</v>
      </c>
      <c r="F2176" t="s">
        <v>55</v>
      </c>
      <c r="G2176">
        <v>-241.89580000000001</v>
      </c>
      <c r="H2176" s="1">
        <v>-4.1840380000000001E-7</v>
      </c>
      <c r="I2176">
        <v>212.11019999999999</v>
      </c>
      <c r="J2176">
        <v>-264.14299999999997</v>
      </c>
      <c r="K2176">
        <v>1.104606</v>
      </c>
      <c r="L2176">
        <v>215.91929999999999</v>
      </c>
      <c r="M2176">
        <v>0.99917739999999999</v>
      </c>
      <c r="N2176">
        <v>0</v>
      </c>
      <c r="O2176">
        <v>3.5173429999999999E-2</v>
      </c>
      <c r="P2176">
        <v>0.99735870000000004</v>
      </c>
      <c r="Q2176">
        <v>9.7313429999999995E-4</v>
      </c>
      <c r="R2176">
        <v>-7.2630180000000003E-2</v>
      </c>
      <c r="S2176">
        <v>2.9724119999999998</v>
      </c>
      <c r="T2176">
        <v>-0.14415529999999999</v>
      </c>
      <c r="U2176">
        <v>-0.49467470000000002</v>
      </c>
      <c r="V2176">
        <v>0.10765950000000001</v>
      </c>
      <c r="W2176">
        <v>2.111642E-2</v>
      </c>
      <c r="X2176">
        <v>0.9939635</v>
      </c>
      <c r="Y2176">
        <v>0.19849820000000001</v>
      </c>
      <c r="Z2176">
        <v>-6.4722540000000002E-3</v>
      </c>
      <c r="AA2176">
        <v>0.9800799</v>
      </c>
      <c r="AB2176">
        <v>58</v>
      </c>
      <c r="AC2176">
        <v>22.2471999999999</v>
      </c>
      <c r="AD2176">
        <v>-1.1046064184038</v>
      </c>
      <c r="AE2176">
        <v>-3.8090999999999999</v>
      </c>
      <c r="AF2176">
        <v>4.5784461742010496</v>
      </c>
      <c r="AG2176">
        <v>-1.1046064184038</v>
      </c>
      <c r="AH2176">
        <v>22.046619008707498</v>
      </c>
      <c r="AI2176">
        <v>92.808481209892705</v>
      </c>
      <c r="AJ2176">
        <v>78.268079333407201</v>
      </c>
      <c r="AK2176">
        <v>22.544084244535998</v>
      </c>
      <c r="AL2176">
        <v>88.790028268330403</v>
      </c>
      <c r="AM2176">
        <v>83.818202453590501</v>
      </c>
      <c r="AN2176">
        <v>0.99999995523305696</v>
      </c>
    </row>
    <row r="2177" spans="1:40" x14ac:dyDescent="0.3">
      <c r="A2177" t="str">
        <f>"20200111153917886"</f>
        <v>20200111153917886</v>
      </c>
      <c r="B2177" t="str">
        <f>"1578728357882815"</f>
        <v>1578728357882815</v>
      </c>
      <c r="C2177" t="s">
        <v>40</v>
      </c>
      <c r="D2177">
        <v>5.5023200000000001</v>
      </c>
      <c r="E2177">
        <v>0.53596469999999996</v>
      </c>
      <c r="F2177" t="s">
        <v>55</v>
      </c>
      <c r="G2177">
        <v>-242.08439999999999</v>
      </c>
      <c r="H2177" s="1">
        <v>-3.2240680000000003E-7</v>
      </c>
      <c r="I2177">
        <v>212.21080000000001</v>
      </c>
      <c r="J2177">
        <v>-263.55110000000002</v>
      </c>
      <c r="K2177">
        <v>1.104614</v>
      </c>
      <c r="L2177">
        <v>215.94030000000001</v>
      </c>
      <c r="M2177">
        <v>0.99916640000000001</v>
      </c>
      <c r="N2177">
        <v>0</v>
      </c>
      <c r="O2177">
        <v>3.5338120000000001E-2</v>
      </c>
      <c r="P2177">
        <v>0.99729630000000002</v>
      </c>
      <c r="Q2177">
        <v>2.1848359999999999E-4</v>
      </c>
      <c r="R2177">
        <v>-7.3487230000000001E-2</v>
      </c>
      <c r="S2177">
        <v>2.9717099999999999</v>
      </c>
      <c r="T2177">
        <v>-0.14881150000000001</v>
      </c>
      <c r="U2177">
        <v>-0.49960329999999997</v>
      </c>
      <c r="V2177">
        <v>0.1086787</v>
      </c>
      <c r="W2177">
        <v>2.0603929999999999E-2</v>
      </c>
      <c r="X2177">
        <v>0.99386339999999995</v>
      </c>
      <c r="Y2177">
        <v>0.2002583</v>
      </c>
      <c r="Z2177">
        <v>-6.733658E-3</v>
      </c>
      <c r="AA2177">
        <v>0.97972000000000004</v>
      </c>
      <c r="AB2177">
        <v>58</v>
      </c>
      <c r="AC2177">
        <v>21.466699999999999</v>
      </c>
      <c r="AD2177">
        <v>-1.1046143224067999</v>
      </c>
      <c r="AE2177">
        <v>-3.7294999999999998</v>
      </c>
      <c r="AF2177">
        <v>4.4744205420782199</v>
      </c>
      <c r="AG2177">
        <v>-1.1046143224067999</v>
      </c>
      <c r="AH2177">
        <v>21.266804430256499</v>
      </c>
      <c r="AI2177">
        <v>92.909724969200894</v>
      </c>
      <c r="AJ2177">
        <v>78.118569318994005</v>
      </c>
      <c r="AK2177">
        <v>21.7604591556202</v>
      </c>
      <c r="AL2177">
        <v>88.819398251070496</v>
      </c>
      <c r="AM2177">
        <v>83.759516088601202</v>
      </c>
      <c r="AN2177">
        <v>1.00000001981234</v>
      </c>
    </row>
    <row r="2178" spans="1:40" x14ac:dyDescent="0.3">
      <c r="A2178" t="str">
        <f>"20200111153917906"</f>
        <v>20200111153917906</v>
      </c>
      <c r="B2178" t="str">
        <f>"1578728357903311"</f>
        <v>1578728357903311</v>
      </c>
      <c r="C2178" t="s">
        <v>40</v>
      </c>
      <c r="D2178">
        <v>5.5724419999999997</v>
      </c>
      <c r="E2178">
        <v>0.53612859999999996</v>
      </c>
      <c r="F2178" t="s">
        <v>55</v>
      </c>
      <c r="G2178">
        <v>-242.58320000000001</v>
      </c>
      <c r="H2178" s="1">
        <v>-6.4755129999999995E-8</v>
      </c>
      <c r="I2178">
        <v>212.38800000000001</v>
      </c>
      <c r="J2178">
        <v>-263.05860000000001</v>
      </c>
      <c r="K2178">
        <v>1.1046240000000001</v>
      </c>
      <c r="L2178">
        <v>215.95769999999999</v>
      </c>
      <c r="M2178">
        <v>0.99915779999999998</v>
      </c>
      <c r="N2178">
        <v>0</v>
      </c>
      <c r="O2178">
        <v>3.5473490000000003E-2</v>
      </c>
      <c r="P2178">
        <v>0.99721850000000001</v>
      </c>
      <c r="Q2178">
        <v>-3.2353589999999999E-4</v>
      </c>
      <c r="R2178">
        <v>-7.4535909999999997E-2</v>
      </c>
      <c r="S2178">
        <v>2.9710390000000002</v>
      </c>
      <c r="T2178">
        <v>-0.15651709999999999</v>
      </c>
      <c r="U2178">
        <v>-0.5033417</v>
      </c>
      <c r="V2178">
        <v>0.109859</v>
      </c>
      <c r="W2178">
        <v>2.0247810000000002E-2</v>
      </c>
      <c r="X2178">
        <v>0.99374090000000004</v>
      </c>
      <c r="Y2178">
        <v>0.2015932</v>
      </c>
      <c r="Z2178">
        <v>-7.1247059999999997E-3</v>
      </c>
      <c r="AA2178">
        <v>0.97944339999999996</v>
      </c>
      <c r="AB2178">
        <v>58</v>
      </c>
      <c r="AC2178">
        <v>20.4754</v>
      </c>
      <c r="AD2178">
        <v>-1.10462406475512</v>
      </c>
      <c r="AE2178">
        <v>-3.5696999999999801</v>
      </c>
      <c r="AF2178">
        <v>4.2818461437538398</v>
      </c>
      <c r="AG2178">
        <v>-1.10462406475512</v>
      </c>
      <c r="AH2178">
        <v>20.2785716747231</v>
      </c>
      <c r="AI2178">
        <v>93.050824274789406</v>
      </c>
      <c r="AJ2178">
        <v>78.077058767405902</v>
      </c>
      <c r="AK2178">
        <v>20.755116715887102</v>
      </c>
      <c r="AL2178">
        <v>88.839806629597604</v>
      </c>
      <c r="AM2178">
        <v>83.691513698091399</v>
      </c>
      <c r="AN2178">
        <v>0.99999997501180204</v>
      </c>
    </row>
    <row r="2179" spans="1:40" x14ac:dyDescent="0.3">
      <c r="A2179" t="str">
        <f>"20200111153917926"</f>
        <v>20200111153917926</v>
      </c>
      <c r="B2179" t="str">
        <f>"1578728357922831"</f>
        <v>1578728357922831</v>
      </c>
      <c r="C2179" t="s">
        <v>40</v>
      </c>
      <c r="D2179">
        <v>5.6275199999999996</v>
      </c>
      <c r="E2179">
        <v>0.53639709999999996</v>
      </c>
      <c r="F2179" t="s">
        <v>55</v>
      </c>
      <c r="G2179">
        <v>-242.64089999999999</v>
      </c>
      <c r="H2179" s="1">
        <v>-3.755211E-8</v>
      </c>
      <c r="I2179">
        <v>212.46799999999999</v>
      </c>
      <c r="J2179">
        <v>-262.5213</v>
      </c>
      <c r="K2179">
        <v>1.104635</v>
      </c>
      <c r="L2179">
        <v>215.9769</v>
      </c>
      <c r="M2179">
        <v>0.99914849999999999</v>
      </c>
      <c r="N2179">
        <v>0</v>
      </c>
      <c r="O2179">
        <v>3.5619640000000001E-2</v>
      </c>
      <c r="P2179">
        <v>0.9971487</v>
      </c>
      <c r="Q2179">
        <v>-6.3304140000000001E-4</v>
      </c>
      <c r="R2179">
        <v>-7.5459609999999996E-2</v>
      </c>
      <c r="S2179">
        <v>2.970367</v>
      </c>
      <c r="T2179">
        <v>-0.16070039999999999</v>
      </c>
      <c r="U2179">
        <v>-0.50769039999999999</v>
      </c>
      <c r="V2179">
        <v>0.1109255</v>
      </c>
      <c r="W2179">
        <v>2.01291E-2</v>
      </c>
      <c r="X2179">
        <v>0.99362490000000003</v>
      </c>
      <c r="Y2179">
        <v>0.20314660000000001</v>
      </c>
      <c r="Z2179">
        <v>-7.3651599999999999E-3</v>
      </c>
      <c r="AA2179">
        <v>0.97912060000000001</v>
      </c>
      <c r="AB2179">
        <v>57</v>
      </c>
      <c r="AC2179">
        <v>19.880400000000002</v>
      </c>
      <c r="AD2179">
        <v>-1.1046350375521099</v>
      </c>
      <c r="AE2179">
        <v>-3.5089000000000099</v>
      </c>
      <c r="AF2179">
        <v>4.2023763046271201</v>
      </c>
      <c r="AG2179">
        <v>-1.1046350375521099</v>
      </c>
      <c r="AH2179">
        <v>19.683830835604201</v>
      </c>
      <c r="AI2179">
        <v>93.141360652092203</v>
      </c>
      <c r="AJ2179">
        <v>77.948630016697606</v>
      </c>
      <c r="AK2179">
        <v>20.157712705973399</v>
      </c>
      <c r="AL2179">
        <v>88.846609678479894</v>
      </c>
      <c r="AM2179">
        <v>83.630034992557896</v>
      </c>
      <c r="AN2179">
        <v>1.00000004455853</v>
      </c>
    </row>
    <row r="2180" spans="1:40" x14ac:dyDescent="0.3">
      <c r="A2180" t="str">
        <f>"20200111153917951"</f>
        <v>20200111153917951</v>
      </c>
      <c r="B2180" t="str">
        <f>"1578728357943328"</f>
        <v>1578728357943328</v>
      </c>
      <c r="C2180" t="s">
        <v>40</v>
      </c>
      <c r="D2180">
        <v>5.6270360000000004</v>
      </c>
      <c r="E2180">
        <v>0.5365974</v>
      </c>
      <c r="F2180" t="s">
        <v>55</v>
      </c>
      <c r="G2180">
        <v>-242.45769999999999</v>
      </c>
      <c r="H2180" s="1">
        <v>-1.3701359999999999E-7</v>
      </c>
      <c r="I2180">
        <v>212.51349999999999</v>
      </c>
      <c r="J2180">
        <v>-261.91480000000001</v>
      </c>
      <c r="K2180">
        <v>1.104654</v>
      </c>
      <c r="L2180">
        <v>215.99870000000001</v>
      </c>
      <c r="M2180">
        <v>0.99913850000000004</v>
      </c>
      <c r="N2180">
        <v>0</v>
      </c>
      <c r="O2180">
        <v>3.5782220000000003E-2</v>
      </c>
      <c r="P2180">
        <v>0.99709380000000003</v>
      </c>
      <c r="Q2180">
        <v>-8.3050690000000004E-4</v>
      </c>
      <c r="R2180">
        <v>-7.6180739999999997E-2</v>
      </c>
      <c r="S2180">
        <v>2.9696959999999999</v>
      </c>
      <c r="T2180">
        <v>-0.16350149999999999</v>
      </c>
      <c r="U2180">
        <v>-0.51263429999999999</v>
      </c>
      <c r="V2180">
        <v>0.11180619999999999</v>
      </c>
      <c r="W2180">
        <v>2.013005E-2</v>
      </c>
      <c r="X2180">
        <v>0.99352609999999997</v>
      </c>
      <c r="Y2180">
        <v>0.20491100000000001</v>
      </c>
      <c r="Z2180">
        <v>-7.5510619999999999E-3</v>
      </c>
      <c r="AA2180">
        <v>0.9787515</v>
      </c>
      <c r="AB2180">
        <v>57</v>
      </c>
      <c r="AC2180">
        <v>19.457100000000001</v>
      </c>
      <c r="AD2180">
        <v>-1.1046541370136</v>
      </c>
      <c r="AE2180">
        <v>-3.4852000000000198</v>
      </c>
      <c r="AF2180">
        <v>4.1663275278497798</v>
      </c>
      <c r="AG2180">
        <v>-1.1046541370136</v>
      </c>
      <c r="AH2180">
        <v>19.259749175293901</v>
      </c>
      <c r="AI2180">
        <v>93.208581332887903</v>
      </c>
      <c r="AJ2180">
        <v>77.793684098978105</v>
      </c>
      <c r="AK2180">
        <v>19.736171972471599</v>
      </c>
      <c r="AL2180">
        <v>88.846555160055203</v>
      </c>
      <c r="AM2180">
        <v>83.579247775513394</v>
      </c>
      <c r="AN2180">
        <v>0.99999997832632503</v>
      </c>
    </row>
    <row r="2181" spans="1:40" x14ac:dyDescent="0.3">
      <c r="A2181" t="str">
        <f>"20200111153917972"</f>
        <v>20200111153917972</v>
      </c>
      <c r="B2181" t="str">
        <f>"1578728357962847"</f>
        <v>1578728357962847</v>
      </c>
      <c r="C2181" t="s">
        <v>40</v>
      </c>
      <c r="D2181">
        <v>5.6322809999999999</v>
      </c>
      <c r="E2181">
        <v>0.53677439999999998</v>
      </c>
      <c r="F2181" t="s">
        <v>55</v>
      </c>
      <c r="G2181">
        <v>-242.1225</v>
      </c>
      <c r="H2181" s="1">
        <v>-3.1730890000000001E-7</v>
      </c>
      <c r="I2181">
        <v>212.55699999999999</v>
      </c>
      <c r="J2181">
        <v>-261.36509999999998</v>
      </c>
      <c r="K2181">
        <v>1.1046640000000001</v>
      </c>
      <c r="L2181">
        <v>216.01840000000001</v>
      </c>
      <c r="M2181">
        <v>0.99912970000000001</v>
      </c>
      <c r="N2181">
        <v>0</v>
      </c>
      <c r="O2181">
        <v>3.5927199999999999E-2</v>
      </c>
      <c r="P2181">
        <v>0.99702639999999998</v>
      </c>
      <c r="Q2181">
        <v>-1.1186709999999999E-3</v>
      </c>
      <c r="R2181">
        <v>-7.7052999999999996E-2</v>
      </c>
      <c r="S2181">
        <v>2.969147</v>
      </c>
      <c r="T2181">
        <v>-0.16571459999999999</v>
      </c>
      <c r="U2181">
        <v>-0.51629639999999999</v>
      </c>
      <c r="V2181">
        <v>0.1128202</v>
      </c>
      <c r="W2181">
        <v>2.0001809999999998E-2</v>
      </c>
      <c r="X2181">
        <v>0.99341400000000002</v>
      </c>
      <c r="Y2181">
        <v>0.20624339999999999</v>
      </c>
      <c r="Z2181">
        <v>-7.6986419999999899E-3</v>
      </c>
      <c r="AA2181">
        <v>0.97847039999999996</v>
      </c>
      <c r="AB2181">
        <v>57</v>
      </c>
      <c r="AC2181">
        <v>19.2425999999999</v>
      </c>
      <c r="AD2181">
        <v>-1.1046643173088999</v>
      </c>
      <c r="AE2181">
        <v>-3.46139999999999</v>
      </c>
      <c r="AF2181">
        <v>4.1374444296396602</v>
      </c>
      <c r="AG2181">
        <v>-1.1046643173088999</v>
      </c>
      <c r="AH2181">
        <v>19.0449880223352</v>
      </c>
      <c r="AI2181">
        <v>93.244097338602302</v>
      </c>
      <c r="AJ2181">
        <v>77.743184874607493</v>
      </c>
      <c r="AK2181">
        <v>19.520509686818698</v>
      </c>
      <c r="AL2181">
        <v>88.853904186854606</v>
      </c>
      <c r="AM2181">
        <v>83.520784304000202</v>
      </c>
      <c r="AN2181">
        <v>0.99999992266365501</v>
      </c>
    </row>
    <row r="2182" spans="1:40" x14ac:dyDescent="0.3">
      <c r="A2182" t="str">
        <f>"20200111153917995"</f>
        <v>20200111153917995</v>
      </c>
      <c r="B2182" t="str">
        <f>"1578728357983343"</f>
        <v>1578728357983343</v>
      </c>
      <c r="C2182" t="s">
        <v>40</v>
      </c>
      <c r="D2182">
        <v>5.6750080000000001</v>
      </c>
      <c r="E2182">
        <v>0.53693570000000002</v>
      </c>
      <c r="F2182" t="s">
        <v>55</v>
      </c>
      <c r="G2182">
        <v>-241.92949999999999</v>
      </c>
      <c r="H2182" s="1">
        <v>-4.2237910000000002E-7</v>
      </c>
      <c r="I2182">
        <v>212.61189999999999</v>
      </c>
      <c r="J2182">
        <v>-260.8032</v>
      </c>
      <c r="K2182">
        <v>1.104676</v>
      </c>
      <c r="L2182">
        <v>216.03880000000001</v>
      </c>
      <c r="M2182">
        <v>0.99912140000000005</v>
      </c>
      <c r="N2182">
        <v>0</v>
      </c>
      <c r="O2182">
        <v>3.6071579999999999E-2</v>
      </c>
      <c r="P2182">
        <v>0.99695319999999998</v>
      </c>
      <c r="Q2182">
        <v>-1.1459630000000001E-3</v>
      </c>
      <c r="R2182">
        <v>-7.7993809999999997E-2</v>
      </c>
      <c r="S2182">
        <v>2.9685359999999998</v>
      </c>
      <c r="T2182">
        <v>-0.16872379999999901</v>
      </c>
      <c r="U2182">
        <v>-0.52030940000000003</v>
      </c>
      <c r="V2182">
        <v>0.11390169999999999</v>
      </c>
      <c r="W2182">
        <v>2.0119089999999999E-2</v>
      </c>
      <c r="X2182">
        <v>0.99328830000000001</v>
      </c>
      <c r="Y2182">
        <v>0.20768619999999999</v>
      </c>
      <c r="Z2182">
        <v>-7.8877359999999994E-3</v>
      </c>
      <c r="AA2182">
        <v>0.97816369999999997</v>
      </c>
      <c r="AB2182">
        <v>57</v>
      </c>
      <c r="AC2182">
        <v>18.873699999999999</v>
      </c>
      <c r="AD2182">
        <v>-1.1046764223790999</v>
      </c>
      <c r="AE2182">
        <v>-3.42690000000001</v>
      </c>
      <c r="AF2182">
        <v>4.0920570208456102</v>
      </c>
      <c r="AG2182">
        <v>-1.1046764223790999</v>
      </c>
      <c r="AH2182">
        <v>18.6758328422723</v>
      </c>
      <c r="AI2182">
        <v>93.306835743729295</v>
      </c>
      <c r="AJ2182">
        <v>77.641243454638996</v>
      </c>
      <c r="AK2182">
        <v>19.150769514891799</v>
      </c>
      <c r="AL2182">
        <v>88.847183286662698</v>
      </c>
      <c r="AM2182">
        <v>83.458389356677699</v>
      </c>
      <c r="AN2182">
        <v>1.0000000109811</v>
      </c>
    </row>
    <row r="2183" spans="1:40" x14ac:dyDescent="0.3">
      <c r="A2183" t="str">
        <f>"20200111153918016"</f>
        <v>20200111153918016</v>
      </c>
      <c r="B2183" t="str">
        <f>"1578728358012623"</f>
        <v>1578728358012623</v>
      </c>
      <c r="C2183" t="s">
        <v>40</v>
      </c>
      <c r="D2183">
        <v>5.6799650000000002</v>
      </c>
      <c r="E2183">
        <v>0.53723599999999905</v>
      </c>
      <c r="F2183" t="s">
        <v>55</v>
      </c>
      <c r="G2183">
        <v>-241.37960000000001</v>
      </c>
      <c r="H2183" s="1">
        <v>-7.1479959999999899E-7</v>
      </c>
      <c r="I2183">
        <v>212.60720000000001</v>
      </c>
      <c r="J2183">
        <v>-260.2636</v>
      </c>
      <c r="K2183">
        <v>1.1046860000000001</v>
      </c>
      <c r="L2183">
        <v>216.0583</v>
      </c>
      <c r="M2183">
        <v>0.9991139</v>
      </c>
      <c r="N2183">
        <v>0</v>
      </c>
      <c r="O2183">
        <v>3.6205870000000001E-2</v>
      </c>
      <c r="P2183">
        <v>0.9968572</v>
      </c>
      <c r="Q2183">
        <v>-1.1886329999999999E-3</v>
      </c>
      <c r="R2183">
        <v>-7.9212660000000004E-2</v>
      </c>
      <c r="S2183">
        <v>2.9679570000000002</v>
      </c>
      <c r="T2183">
        <v>-0.1687968</v>
      </c>
      <c r="U2183">
        <v>-0.52435299999999996</v>
      </c>
      <c r="V2183">
        <v>0.1152502</v>
      </c>
      <c r="W2183">
        <v>2.0196800000000001E-2</v>
      </c>
      <c r="X2183">
        <v>0.99313119999999999</v>
      </c>
      <c r="Y2183">
        <v>0.20913989999999999</v>
      </c>
      <c r="Z2183">
        <v>-7.9403240000000003E-3</v>
      </c>
      <c r="AA2183">
        <v>0.97785350000000004</v>
      </c>
      <c r="AB2183">
        <v>57</v>
      </c>
      <c r="AC2183">
        <v>18.883999999999901</v>
      </c>
      <c r="AD2183">
        <v>-1.1046867147996</v>
      </c>
      <c r="AE2183">
        <v>-3.4510999999999901</v>
      </c>
      <c r="AF2183">
        <v>4.1190651855527403</v>
      </c>
      <c r="AG2183">
        <v>-1.1046867147996</v>
      </c>
      <c r="AH2183">
        <v>18.684759933029099</v>
      </c>
      <c r="AI2183">
        <v>93.304363131522294</v>
      </c>
      <c r="AJ2183">
        <v>77.567962158403503</v>
      </c>
      <c r="AK2183">
        <v>19.165262442649201</v>
      </c>
      <c r="AL2183">
        <v>88.842729971810598</v>
      </c>
      <c r="AM2183">
        <v>83.380587684841998</v>
      </c>
      <c r="AN2183">
        <v>1.00000004987185</v>
      </c>
    </row>
    <row r="2184" spans="1:40" x14ac:dyDescent="0.3">
      <c r="A2184" t="str">
        <f>"20200111153918041"</f>
        <v>20200111153918041</v>
      </c>
      <c r="B2184" t="str">
        <f>"1578728358033119"</f>
        <v>1578728358033119</v>
      </c>
      <c r="C2184" t="s">
        <v>40</v>
      </c>
      <c r="D2184">
        <v>5.6471419999999997</v>
      </c>
      <c r="E2184">
        <v>0.53746579999999999</v>
      </c>
      <c r="F2184" t="s">
        <v>55</v>
      </c>
      <c r="G2184">
        <v>-241.05930000000001</v>
      </c>
      <c r="H2184" s="1">
        <v>-8.8609820000000001E-7</v>
      </c>
      <c r="I2184">
        <v>212.62690000000001</v>
      </c>
      <c r="J2184">
        <v>-259.6069</v>
      </c>
      <c r="K2184">
        <v>1.1046959999999999</v>
      </c>
      <c r="L2184">
        <v>216.0822</v>
      </c>
      <c r="M2184">
        <v>0.99910529999999997</v>
      </c>
      <c r="N2184">
        <v>0</v>
      </c>
      <c r="O2184">
        <v>3.6361589999999999E-2</v>
      </c>
      <c r="P2184">
        <v>0.99676109999999896</v>
      </c>
      <c r="Q2184">
        <v>-6.7898259999999897E-4</v>
      </c>
      <c r="R2184">
        <v>-8.0417810000000006E-2</v>
      </c>
      <c r="S2184">
        <v>2.967133</v>
      </c>
      <c r="T2184">
        <v>-0.17067869999999999</v>
      </c>
      <c r="U2184">
        <v>-0.53016660000000004</v>
      </c>
      <c r="V2184">
        <v>0.1166059</v>
      </c>
      <c r="W2184">
        <v>2.0831329999999999E-2</v>
      </c>
      <c r="X2184">
        <v>0.99295979999999995</v>
      </c>
      <c r="Y2184">
        <v>0.2111835</v>
      </c>
      <c r="Z2184">
        <v>-8.0967230000000001E-3</v>
      </c>
      <c r="AA2184">
        <v>0.97741290000000003</v>
      </c>
      <c r="AB2184">
        <v>57</v>
      </c>
      <c r="AC2184">
        <v>18.5475999999999</v>
      </c>
      <c r="AD2184">
        <v>-1.1046968860981901</v>
      </c>
      <c r="AE2184">
        <v>-3.45529999999999</v>
      </c>
      <c r="AF2184">
        <v>4.1134887363808899</v>
      </c>
      <c r="AG2184">
        <v>-1.1046968860981901</v>
      </c>
      <c r="AH2184">
        <v>18.346758797880501</v>
      </c>
      <c r="AI2184">
        <v>93.362459944281099</v>
      </c>
      <c r="AJ2184">
        <v>77.362819550193507</v>
      </c>
      <c r="AK2184">
        <v>18.834667588839899</v>
      </c>
      <c r="AL2184">
        <v>88.806366396965004</v>
      </c>
      <c r="AM2184">
        <v>83.302280542146207</v>
      </c>
      <c r="AN2184">
        <v>1.0000000223201999</v>
      </c>
    </row>
    <row r="2185" spans="1:40" x14ac:dyDescent="0.3">
      <c r="A2185" t="str">
        <f>"20200111153918062"</f>
        <v>20200111153918062</v>
      </c>
      <c r="B2185" t="str">
        <f>"1578728358052638"</f>
        <v>1578728358052638</v>
      </c>
      <c r="C2185" t="s">
        <v>40</v>
      </c>
      <c r="D2185">
        <v>5.6504219999999998</v>
      </c>
      <c r="E2185">
        <v>0.53770169999999995</v>
      </c>
      <c r="F2185" t="s">
        <v>55</v>
      </c>
      <c r="G2185">
        <v>-240.47110000000001</v>
      </c>
      <c r="H2185" s="1">
        <v>-1.199144E-6</v>
      </c>
      <c r="I2185">
        <v>212.62719999999999</v>
      </c>
      <c r="J2185">
        <v>-259.08760000000001</v>
      </c>
      <c r="K2185">
        <v>1.104706</v>
      </c>
      <c r="L2185">
        <v>216.10120000000001</v>
      </c>
      <c r="M2185">
        <v>0.99909910000000002</v>
      </c>
      <c r="N2185">
        <v>0</v>
      </c>
      <c r="O2185">
        <v>3.647918E-2</v>
      </c>
      <c r="P2185">
        <v>0.99663029999999997</v>
      </c>
      <c r="Q2185" s="1">
        <v>-9.2322939999999999E-5</v>
      </c>
      <c r="R2185">
        <v>-8.2028400000000001E-2</v>
      </c>
      <c r="S2185">
        <v>2.966431</v>
      </c>
      <c r="T2185">
        <v>-0.17124990000000001</v>
      </c>
      <c r="U2185">
        <v>-0.53559880000000004</v>
      </c>
      <c r="V2185">
        <v>0.1183278</v>
      </c>
      <c r="W2185">
        <v>2.1501619999999999E-2</v>
      </c>
      <c r="X2185">
        <v>0.99274180000000001</v>
      </c>
      <c r="Y2185">
        <v>0.21306620000000001</v>
      </c>
      <c r="Z2185">
        <v>-8.1849820000000004E-3</v>
      </c>
      <c r="AA2185">
        <v>0.97700350000000002</v>
      </c>
      <c r="AB2185">
        <v>56</v>
      </c>
      <c r="AC2185">
        <v>18.616499999999998</v>
      </c>
      <c r="AD2185">
        <v>-1.1047071991440001</v>
      </c>
      <c r="AE2185">
        <v>-3.47400000000001</v>
      </c>
      <c r="AF2185">
        <v>4.1368841972163803</v>
      </c>
      <c r="AG2185">
        <v>-1.1047071991440001</v>
      </c>
      <c r="AH2185">
        <v>18.414683899085301</v>
      </c>
      <c r="AI2185">
        <v>93.349799858689295</v>
      </c>
      <c r="AJ2185">
        <v>77.338629761235595</v>
      </c>
      <c r="AK2185">
        <v>18.905945413024199</v>
      </c>
      <c r="AL2185">
        <v>88.767953018354703</v>
      </c>
      <c r="AM2185">
        <v>83.202816427677405</v>
      </c>
      <c r="AN2185">
        <v>1.00000003469135</v>
      </c>
    </row>
    <row r="2186" spans="1:40" x14ac:dyDescent="0.3">
      <c r="A2186" t="str">
        <f>"20200111153918082"</f>
        <v>20200111153918082</v>
      </c>
      <c r="B2186" t="str">
        <f>"1578728358073134"</f>
        <v>1578728358073134</v>
      </c>
      <c r="C2186" t="s">
        <v>40</v>
      </c>
      <c r="D2186">
        <v>5.6521860000000004</v>
      </c>
      <c r="E2186">
        <v>0.5379235</v>
      </c>
      <c r="F2186" t="s">
        <v>55</v>
      </c>
      <c r="G2186">
        <v>-239.96969999999999</v>
      </c>
      <c r="H2186" s="1">
        <v>-1.465054E-6</v>
      </c>
      <c r="I2186">
        <v>212.6062</v>
      </c>
      <c r="J2186">
        <v>-258.56740000000002</v>
      </c>
      <c r="K2186">
        <v>1.1047290000000001</v>
      </c>
      <c r="L2186">
        <v>216.12029999999999</v>
      </c>
      <c r="M2186">
        <v>0.99909320000000001</v>
      </c>
      <c r="N2186">
        <v>0</v>
      </c>
      <c r="O2186">
        <v>3.6589900000000002E-2</v>
      </c>
      <c r="P2186">
        <v>0.99650899999999998</v>
      </c>
      <c r="Q2186">
        <v>6.5190530000000003E-4</v>
      </c>
      <c r="R2186">
        <v>-8.3484779999999995E-2</v>
      </c>
      <c r="S2186">
        <v>2.9655149999999999</v>
      </c>
      <c r="T2186">
        <v>-0.1713587</v>
      </c>
      <c r="U2186">
        <v>-0.54212950000000004</v>
      </c>
      <c r="V2186">
        <v>0.11988890000000001</v>
      </c>
      <c r="W2186">
        <v>2.2322060000000001E-2</v>
      </c>
      <c r="X2186">
        <v>0.99253639999999999</v>
      </c>
      <c r="Y2186">
        <v>0.2153051</v>
      </c>
      <c r="Z2186">
        <v>-8.2615429999999997E-3</v>
      </c>
      <c r="AA2186">
        <v>0.97651189999999999</v>
      </c>
      <c r="AB2186">
        <v>56</v>
      </c>
      <c r="AC2186">
        <v>18.5977</v>
      </c>
      <c r="AD2186">
        <v>-1.104730465054</v>
      </c>
      <c r="AE2186">
        <v>-3.51409999999998</v>
      </c>
      <c r="AF2186">
        <v>4.1781604674935098</v>
      </c>
      <c r="AG2186">
        <v>-1.104730465054</v>
      </c>
      <c r="AH2186">
        <v>18.393963075174</v>
      </c>
      <c r="AI2186">
        <v>93.351839957726995</v>
      </c>
      <c r="AJ2186">
        <v>77.202504160021704</v>
      </c>
      <c r="AK2186">
        <v>18.894849348523799</v>
      </c>
      <c r="AL2186">
        <v>88.720934017884503</v>
      </c>
      <c r="AM2186">
        <v>83.112585278786796</v>
      </c>
      <c r="AN2186">
        <v>1.0000000640154001</v>
      </c>
    </row>
    <row r="2187" spans="1:40" x14ac:dyDescent="0.3">
      <c r="A2187" t="str">
        <f>"20200111153918104"</f>
        <v>20200111153918104</v>
      </c>
      <c r="B2187" t="str">
        <f>"1578728358092655"</f>
        <v>1578728358092655</v>
      </c>
      <c r="C2187" t="s">
        <v>40</v>
      </c>
      <c r="D2187">
        <v>5.6731999999999996</v>
      </c>
      <c r="E2187">
        <v>0.53818650000000001</v>
      </c>
      <c r="F2187" t="s">
        <v>55</v>
      </c>
      <c r="G2187">
        <v>-239.4051</v>
      </c>
      <c r="H2187" s="1">
        <v>3.5572859999999998E-6</v>
      </c>
      <c r="I2187">
        <v>212.57679999999999</v>
      </c>
      <c r="J2187">
        <v>-258.04360000000003</v>
      </c>
      <c r="K2187">
        <v>1.104743</v>
      </c>
      <c r="L2187">
        <v>216.1395</v>
      </c>
      <c r="M2187">
        <v>0.99908790000000003</v>
      </c>
      <c r="N2187">
        <v>0</v>
      </c>
      <c r="O2187">
        <v>3.6689600000000003E-2</v>
      </c>
      <c r="P2187">
        <v>0.99633159999999998</v>
      </c>
      <c r="Q2187">
        <v>9.833016E-4</v>
      </c>
      <c r="R2187">
        <v>-8.5573220000000005E-2</v>
      </c>
      <c r="S2187">
        <v>2.9646910000000002</v>
      </c>
      <c r="T2187">
        <v>-0.17091770000000001</v>
      </c>
      <c r="U2187">
        <v>-0.54823299999999997</v>
      </c>
      <c r="V2187">
        <v>0.122069</v>
      </c>
      <c r="W2187">
        <v>2.2724879999999999E-2</v>
      </c>
      <c r="X2187">
        <v>0.99226139999999996</v>
      </c>
      <c r="Y2187">
        <v>0.21739330000000001</v>
      </c>
      <c r="Z2187">
        <v>-8.3064139999999998E-3</v>
      </c>
      <c r="AA2187">
        <v>0.97604880000000005</v>
      </c>
      <c r="AB2187">
        <v>56</v>
      </c>
      <c r="AC2187">
        <v>18.638500000000001</v>
      </c>
      <c r="AD2187">
        <v>-1.104739442714</v>
      </c>
      <c r="AE2187">
        <v>-3.5627</v>
      </c>
      <c r="AF2187">
        <v>4.2299657529713901</v>
      </c>
      <c r="AG2187">
        <v>-1.104739442714</v>
      </c>
      <c r="AH2187">
        <v>18.432725203842399</v>
      </c>
      <c r="AI2187">
        <v>93.343145529954199</v>
      </c>
      <c r="AJ2187">
        <v>77.075464808596493</v>
      </c>
      <c r="AK2187">
        <v>18.944086622161699</v>
      </c>
      <c r="AL2187">
        <v>88.697848158809506</v>
      </c>
      <c r="AM2187">
        <v>82.986654034396395</v>
      </c>
      <c r="AN2187">
        <v>0.99999997343098601</v>
      </c>
    </row>
    <row r="2188" spans="1:40" x14ac:dyDescent="0.3">
      <c r="A2188" t="str">
        <f>"20200111153918130"</f>
        <v>20200111153918130</v>
      </c>
      <c r="B2188" t="str">
        <f>"1578728358122911"</f>
        <v>1578728358122911</v>
      </c>
      <c r="C2188" t="s">
        <v>40</v>
      </c>
      <c r="D2188">
        <v>5.5868029999999997</v>
      </c>
      <c r="E2188">
        <v>0.53842489999999998</v>
      </c>
      <c r="F2188" t="s">
        <v>55</v>
      </c>
      <c r="G2188">
        <v>-238.9512</v>
      </c>
      <c r="H2188" s="1">
        <v>3.3167170000000002E-6</v>
      </c>
      <c r="I2188">
        <v>212.55410000000001</v>
      </c>
      <c r="J2188">
        <v>-257.40649999999999</v>
      </c>
      <c r="K2188">
        <v>1.104759</v>
      </c>
      <c r="L2188">
        <v>216.16300000000001</v>
      </c>
      <c r="M2188">
        <v>0.99908229999999998</v>
      </c>
      <c r="N2188">
        <v>0</v>
      </c>
      <c r="O2188">
        <v>3.678932E-2</v>
      </c>
      <c r="P2188">
        <v>0.99616190000000004</v>
      </c>
      <c r="Q2188">
        <v>1.259561E-3</v>
      </c>
      <c r="R2188">
        <v>-8.7523710000000005E-2</v>
      </c>
      <c r="S2188">
        <v>2.9634550000000002</v>
      </c>
      <c r="T2188">
        <v>-0.17147299999999999</v>
      </c>
      <c r="U2188">
        <v>-0.55651859999999997</v>
      </c>
      <c r="V2188">
        <v>0.1241121</v>
      </c>
      <c r="W2188">
        <v>2.3082419999999999E-2</v>
      </c>
      <c r="X2188">
        <v>0.99199970000000004</v>
      </c>
      <c r="Y2188">
        <v>0.22019259999999999</v>
      </c>
      <c r="Z2188">
        <v>-8.4206290000000007E-3</v>
      </c>
      <c r="AA2188">
        <v>0.97542010000000001</v>
      </c>
      <c r="AB2188">
        <v>56</v>
      </c>
      <c r="AC2188">
        <v>18.455299999999902</v>
      </c>
      <c r="AD2188">
        <v>-1.1047556832829999</v>
      </c>
      <c r="AE2188">
        <v>-3.60889999999997</v>
      </c>
      <c r="AF2188">
        <v>4.2708367927971</v>
      </c>
      <c r="AG2188">
        <v>-1.1047556832829999</v>
      </c>
      <c r="AH2188">
        <v>18.247022204268699</v>
      </c>
      <c r="AI2188">
        <v>93.373751404547306</v>
      </c>
      <c r="AJ2188">
        <v>76.826681123924303</v>
      </c>
      <c r="AK2188">
        <v>18.772702292252202</v>
      </c>
      <c r="AL2188">
        <v>88.677357295827306</v>
      </c>
      <c r="AM2188">
        <v>82.868606561269104</v>
      </c>
      <c r="AN2188">
        <v>1.00000000813977</v>
      </c>
    </row>
    <row r="2189" spans="1:40" x14ac:dyDescent="0.3">
      <c r="A2189" t="str">
        <f>"20200111153918153"</f>
        <v>20200111153918153</v>
      </c>
      <c r="B2189" t="str">
        <f>"1578728358143408"</f>
        <v>1578728358143408</v>
      </c>
      <c r="C2189" t="s">
        <v>40</v>
      </c>
      <c r="D2189">
        <v>5.4840519999999904</v>
      </c>
      <c r="E2189">
        <v>0.53854269999999904</v>
      </c>
      <c r="F2189" t="s">
        <v>55</v>
      </c>
      <c r="G2189">
        <v>-238.23419999999999</v>
      </c>
      <c r="H2189" s="1">
        <v>2.9369990000000002E-6</v>
      </c>
      <c r="I2189">
        <v>212.51220000000001</v>
      </c>
      <c r="J2189">
        <v>-256.82850000000002</v>
      </c>
      <c r="K2189">
        <v>1.104765</v>
      </c>
      <c r="L2189">
        <v>216.18430000000001</v>
      </c>
      <c r="M2189">
        <v>0.99907849999999998</v>
      </c>
      <c r="N2189">
        <v>0</v>
      </c>
      <c r="O2189">
        <v>3.684217E-2</v>
      </c>
      <c r="P2189">
        <v>0.99594459999999996</v>
      </c>
      <c r="Q2189">
        <v>4.2173080000000003E-3</v>
      </c>
      <c r="R2189">
        <v>-8.9869630000000006E-2</v>
      </c>
      <c r="S2189">
        <v>2.9621580000000001</v>
      </c>
      <c r="T2189">
        <v>-0.17068710000000001</v>
      </c>
      <c r="U2189">
        <v>-0.56405640000000001</v>
      </c>
      <c r="V2189">
        <v>0.12650159999999999</v>
      </c>
      <c r="W2189">
        <v>2.609798E-2</v>
      </c>
      <c r="X2189">
        <v>0.99162300000000003</v>
      </c>
      <c r="Y2189">
        <v>0.2227169</v>
      </c>
      <c r="Z2189">
        <v>-8.4588100000000006E-3</v>
      </c>
      <c r="AA2189">
        <v>0.97484649999999995</v>
      </c>
      <c r="AB2189">
        <v>56</v>
      </c>
      <c r="AC2189">
        <v>18.5943</v>
      </c>
      <c r="AD2189">
        <v>-1.104762063001</v>
      </c>
      <c r="AE2189">
        <v>-3.6720999999999999</v>
      </c>
      <c r="AF2189">
        <v>4.3400807567340198</v>
      </c>
      <c r="AG2189">
        <v>-1.104762063001</v>
      </c>
      <c r="AH2189">
        <v>18.3838895610306</v>
      </c>
      <c r="AI2189">
        <v>93.347204568055304</v>
      </c>
      <c r="AJ2189">
        <v>76.716786188559496</v>
      </c>
      <c r="AK2189">
        <v>18.9215273057697</v>
      </c>
      <c r="AL2189">
        <v>88.5045260473198</v>
      </c>
      <c r="AM2189">
        <v>82.730030604382605</v>
      </c>
      <c r="AN2189">
        <v>0.99999996674581904</v>
      </c>
    </row>
    <row r="2190" spans="1:40" x14ac:dyDescent="0.3">
      <c r="A2190" t="str">
        <f>"20200111153918173"</f>
        <v>20200111153918173</v>
      </c>
      <c r="B2190" t="str">
        <f>"1578728358162927"</f>
        <v>1578728358162927</v>
      </c>
      <c r="C2190" t="s">
        <v>40</v>
      </c>
      <c r="D2190">
        <v>5.522799</v>
      </c>
      <c r="E2190">
        <v>0.53883530000000002</v>
      </c>
      <c r="F2190" t="s">
        <v>55</v>
      </c>
      <c r="G2190">
        <v>-236.7704</v>
      </c>
      <c r="H2190" s="1">
        <v>2.1668639999999998E-6</v>
      </c>
      <c r="I2190">
        <v>212.31100000000001</v>
      </c>
      <c r="J2190">
        <v>-256.3372</v>
      </c>
      <c r="K2190">
        <v>1.104741</v>
      </c>
      <c r="L2190">
        <v>216.20240000000001</v>
      </c>
      <c r="M2190">
        <v>0.99907849999999998</v>
      </c>
      <c r="N2190">
        <v>0</v>
      </c>
      <c r="O2190">
        <v>3.6813640000000002E-2</v>
      </c>
      <c r="P2190">
        <v>0.99570380000000003</v>
      </c>
      <c r="Q2190">
        <v>7.5261009999999899E-3</v>
      </c>
      <c r="R2190">
        <v>-9.2291150000000002E-2</v>
      </c>
      <c r="S2190">
        <v>2.9613040000000002</v>
      </c>
      <c r="T2190">
        <v>-0.1631032</v>
      </c>
      <c r="U2190">
        <v>-0.57183839999999997</v>
      </c>
      <c r="V2190">
        <v>0.12888669999999999</v>
      </c>
      <c r="W2190">
        <v>2.943931E-2</v>
      </c>
      <c r="X2190">
        <v>0.9912223</v>
      </c>
      <c r="Y2190">
        <v>0.22524340000000001</v>
      </c>
      <c r="Z2190">
        <v>-8.1512040000000004E-3</v>
      </c>
      <c r="AA2190">
        <v>0.97426840000000003</v>
      </c>
      <c r="AB2190">
        <v>56</v>
      </c>
      <c r="AC2190">
        <v>19.566800000000001</v>
      </c>
      <c r="AD2190">
        <v>-1.104738833136</v>
      </c>
      <c r="AE2190">
        <v>-3.8914000000000302</v>
      </c>
      <c r="AF2190">
        <v>4.5951707066506904</v>
      </c>
      <c r="AG2190">
        <v>-1.104738833136</v>
      </c>
      <c r="AH2190">
        <v>19.350900447506099</v>
      </c>
      <c r="AI2190">
        <v>93.179237131466905</v>
      </c>
      <c r="AJ2190">
        <v>76.641654252587699</v>
      </c>
      <c r="AK2190">
        <v>19.9196734371323</v>
      </c>
      <c r="AL2190">
        <v>88.313008133392501</v>
      </c>
      <c r="AM2190">
        <v>82.5915075982807</v>
      </c>
      <c r="AN2190">
        <v>1.0000000512137199</v>
      </c>
    </row>
    <row r="2191" spans="1:40" x14ac:dyDescent="0.3">
      <c r="A2191" t="str">
        <f>"20200111153918199"</f>
        <v>20200111153918199</v>
      </c>
      <c r="B2191" t="str">
        <f>"1578728358192713"</f>
        <v>1578728358192713</v>
      </c>
      <c r="C2191" t="s">
        <v>40</v>
      </c>
      <c r="D2191">
        <v>5.4912590000000003</v>
      </c>
      <c r="E2191">
        <v>0.53914300000000004</v>
      </c>
      <c r="F2191" t="s">
        <v>55</v>
      </c>
      <c r="G2191">
        <v>-234.96459999999999</v>
      </c>
      <c r="H2191" s="1">
        <v>1.2192130000000001E-6</v>
      </c>
      <c r="I2191">
        <v>212.00659999999999</v>
      </c>
      <c r="J2191">
        <v>-255.7105</v>
      </c>
      <c r="K2191">
        <v>1.1046309999999999</v>
      </c>
      <c r="L2191">
        <v>216.2253</v>
      </c>
      <c r="M2191">
        <v>0.9990848</v>
      </c>
      <c r="N2191">
        <v>0</v>
      </c>
      <c r="O2191">
        <v>3.6602410000000002E-2</v>
      </c>
      <c r="P2191">
        <v>0.99546999999999997</v>
      </c>
      <c r="Q2191">
        <v>7.9743880000000007E-3</v>
      </c>
      <c r="R2191">
        <v>-9.4742560000000003E-2</v>
      </c>
      <c r="S2191">
        <v>2.9602360000000001</v>
      </c>
      <c r="T2191">
        <v>-0.1530137</v>
      </c>
      <c r="U2191">
        <v>-0.58114619999999995</v>
      </c>
      <c r="V2191">
        <v>0.13112650000000001</v>
      </c>
      <c r="W2191">
        <v>2.9904030000000002E-2</v>
      </c>
      <c r="X2191">
        <v>0.99091450000000003</v>
      </c>
      <c r="Y2191">
        <v>0.22809599999999999</v>
      </c>
      <c r="Z2191">
        <v>-7.7102689999999996E-3</v>
      </c>
      <c r="AA2191">
        <v>0.97360809999999998</v>
      </c>
      <c r="AB2191">
        <v>55</v>
      </c>
      <c r="AC2191">
        <v>20.745899999999999</v>
      </c>
      <c r="AD2191">
        <v>-1.104629780787</v>
      </c>
      <c r="AE2191">
        <v>-4.2187000000000099</v>
      </c>
      <c r="AF2191">
        <v>4.9618987918966804</v>
      </c>
      <c r="AG2191">
        <v>-1.104629780787</v>
      </c>
      <c r="AH2191">
        <v>20.521668378643199</v>
      </c>
      <c r="AI2191">
        <v>92.994976108224904</v>
      </c>
      <c r="AJ2191">
        <v>76.407425820527905</v>
      </c>
      <c r="AK2191">
        <v>21.141890161871402</v>
      </c>
      <c r="AL2191">
        <v>88.286369785805306</v>
      </c>
      <c r="AM2191">
        <v>82.461915756253703</v>
      </c>
      <c r="AN2191">
        <v>0.99999997816136998</v>
      </c>
    </row>
    <row r="2192" spans="1:40" x14ac:dyDescent="0.3">
      <c r="A2192" t="str">
        <f>"20200111153918219"</f>
        <v>20200111153918219</v>
      </c>
      <c r="B2192" t="str">
        <f>"1578728358213209"</f>
        <v>1578728358213209</v>
      </c>
      <c r="C2192" t="s">
        <v>40</v>
      </c>
      <c r="D2192">
        <v>5.3201890000000001</v>
      </c>
      <c r="E2192">
        <v>0.53930769999999995</v>
      </c>
      <c r="F2192" t="s">
        <v>55</v>
      </c>
      <c r="G2192">
        <v>-234.12020000000001</v>
      </c>
      <c r="H2192" s="1">
        <v>7.7394959999999899E-7</v>
      </c>
      <c r="I2192">
        <v>211.91290000000001</v>
      </c>
      <c r="J2192">
        <v>-255.209</v>
      </c>
      <c r="K2192">
        <v>1.1044750000000001</v>
      </c>
      <c r="L2192">
        <v>216.24340000000001</v>
      </c>
      <c r="M2192">
        <v>0.99909619999999999</v>
      </c>
      <c r="N2192">
        <v>0</v>
      </c>
      <c r="O2192">
        <v>3.6267519999999998E-2</v>
      </c>
      <c r="P2192">
        <v>0.99534579999999995</v>
      </c>
      <c r="Q2192">
        <v>3.6936680000000002E-3</v>
      </c>
      <c r="R2192">
        <v>-9.63001E-2</v>
      </c>
      <c r="S2192">
        <v>2.9586030000000001</v>
      </c>
      <c r="T2192">
        <v>-0.1513717</v>
      </c>
      <c r="U2192">
        <v>-0.59094239999999998</v>
      </c>
      <c r="V2192">
        <v>0.13235439999999901</v>
      </c>
      <c r="W2192">
        <v>2.5618910000000002E-2</v>
      </c>
      <c r="X2192">
        <v>0.99087130000000001</v>
      </c>
      <c r="Y2192">
        <v>0.23097619999999999</v>
      </c>
      <c r="Z2192">
        <v>-7.6852959999999899E-3</v>
      </c>
      <c r="AA2192">
        <v>0.97292909999999999</v>
      </c>
      <c r="AB2192">
        <v>55</v>
      </c>
      <c r="AC2192">
        <v>21.0887999999999</v>
      </c>
      <c r="AD2192">
        <v>-1.1044742260503999</v>
      </c>
      <c r="AE2192">
        <v>-4.3304999999999998</v>
      </c>
      <c r="AF2192">
        <v>5.0793078684490798</v>
      </c>
      <c r="AG2192">
        <v>-1.1044742260503999</v>
      </c>
      <c r="AH2192">
        <v>20.862914912306099</v>
      </c>
      <c r="AI2192">
        <v>92.944534462553094</v>
      </c>
      <c r="AJ2192">
        <v>76.316909365696702</v>
      </c>
      <c r="AK2192">
        <v>21.500708136631701</v>
      </c>
      <c r="AL2192">
        <v>88.531983930423394</v>
      </c>
      <c r="AM2192">
        <v>82.391822539974598</v>
      </c>
      <c r="AN2192">
        <v>0.99999997445631805</v>
      </c>
    </row>
    <row r="2193" spans="1:40" x14ac:dyDescent="0.3">
      <c r="A2193" t="str">
        <f>"20200111153918243"</f>
        <v>20200111153918243</v>
      </c>
      <c r="B2193" t="str">
        <f>"1578728358232729"</f>
        <v>1578728358232729</v>
      </c>
      <c r="C2193" t="s">
        <v>40</v>
      </c>
      <c r="D2193">
        <v>5.3269739999999999</v>
      </c>
      <c r="E2193">
        <v>0.53943030000000003</v>
      </c>
      <c r="F2193" t="s">
        <v>55</v>
      </c>
      <c r="G2193">
        <v>-235.23009999999999</v>
      </c>
      <c r="H2193" s="1">
        <v>1.351618E-6</v>
      </c>
      <c r="I2193">
        <v>212.20959999999999</v>
      </c>
      <c r="J2193">
        <v>-254.61009999999999</v>
      </c>
      <c r="K2193">
        <v>1.104255</v>
      </c>
      <c r="L2193">
        <v>216.2647</v>
      </c>
      <c r="M2193">
        <v>0.99911680000000003</v>
      </c>
      <c r="N2193">
        <v>0</v>
      </c>
      <c r="O2193">
        <v>3.5666249999999997E-2</v>
      </c>
      <c r="P2193">
        <v>0.99523689999999998</v>
      </c>
      <c r="Q2193">
        <v>-2.8403529999999999E-3</v>
      </c>
      <c r="R2193">
        <v>-9.7446320000000003E-2</v>
      </c>
      <c r="S2193">
        <v>2.9568940000000001</v>
      </c>
      <c r="T2193">
        <v>-0.16346279999999999</v>
      </c>
      <c r="U2193">
        <v>-0.59701539999999997</v>
      </c>
      <c r="V2193">
        <v>0.132906</v>
      </c>
      <c r="W2193">
        <v>1.906453E-2</v>
      </c>
      <c r="X2193">
        <v>0.99094530000000003</v>
      </c>
      <c r="Y2193">
        <v>0.23236200000000001</v>
      </c>
      <c r="Z2193">
        <v>-8.3063129999999992E-3</v>
      </c>
      <c r="AA2193">
        <v>0.97259390000000001</v>
      </c>
      <c r="AB2193">
        <v>55</v>
      </c>
      <c r="AC2193">
        <v>19.3799999999999</v>
      </c>
      <c r="AD2193">
        <v>-1.104253648382</v>
      </c>
      <c r="AE2193">
        <v>-4.0551000000000004</v>
      </c>
      <c r="AF2193">
        <v>4.7291914385579696</v>
      </c>
      <c r="AG2193">
        <v>-1.104253648382</v>
      </c>
      <c r="AH2193">
        <v>19.163391230450301</v>
      </c>
      <c r="AI2193">
        <v>93.202057112989493</v>
      </c>
      <c r="AJ2193">
        <v>76.137387363511394</v>
      </c>
      <c r="AK2193">
        <v>19.769172750365598</v>
      </c>
      <c r="AL2193">
        <v>88.907616740138806</v>
      </c>
      <c r="AM2193">
        <v>82.361052171010598</v>
      </c>
      <c r="AN2193">
        <v>1.0000000243661</v>
      </c>
    </row>
    <row r="2194" spans="1:40" x14ac:dyDescent="0.3">
      <c r="A2194" t="str">
        <f>"20200111153918262"</f>
        <v>20200111153918262</v>
      </c>
      <c r="B2194" t="str">
        <f>"1578728358253225"</f>
        <v>1578728358253225</v>
      </c>
      <c r="C2194" t="s">
        <v>40</v>
      </c>
      <c r="D2194">
        <v>5.3614829999999998</v>
      </c>
      <c r="E2194">
        <v>0.53967219999999905</v>
      </c>
      <c r="F2194" t="s">
        <v>55</v>
      </c>
      <c r="G2194">
        <v>-236.63939999999999</v>
      </c>
      <c r="H2194" s="1">
        <v>2.0844290000000001E-6</v>
      </c>
      <c r="I2194">
        <v>212.60220000000001</v>
      </c>
      <c r="J2194">
        <v>-254.12360000000001</v>
      </c>
      <c r="K2194">
        <v>1.104068</v>
      </c>
      <c r="L2194">
        <v>216.2816</v>
      </c>
      <c r="M2194">
        <v>0.99913949999999996</v>
      </c>
      <c r="N2194">
        <v>0</v>
      </c>
      <c r="O2194">
        <v>3.5004720000000003E-2</v>
      </c>
      <c r="P2194">
        <v>0.99509460000000005</v>
      </c>
      <c r="Q2194">
        <v>-6.76094E-3</v>
      </c>
      <c r="R2194">
        <v>-9.8696770000000003E-2</v>
      </c>
      <c r="S2194">
        <v>2.9548649999999999</v>
      </c>
      <c r="T2194">
        <v>-0.1815687</v>
      </c>
      <c r="U2194">
        <v>-0.60221859999999905</v>
      </c>
      <c r="V2194">
        <v>0.1334979</v>
      </c>
      <c r="W2194">
        <v>1.511356E-2</v>
      </c>
      <c r="X2194">
        <v>0.99093379999999998</v>
      </c>
      <c r="Y2194">
        <v>0.2333993</v>
      </c>
      <c r="Z2194">
        <v>-9.2206470000000002E-3</v>
      </c>
      <c r="AA2194">
        <v>0.97233720000000001</v>
      </c>
      <c r="AB2194">
        <v>55</v>
      </c>
      <c r="AC2194">
        <v>17.484200000000001</v>
      </c>
      <c r="AD2194">
        <v>-1.104065915571</v>
      </c>
      <c r="AE2194">
        <v>-3.6793999999999798</v>
      </c>
      <c r="AF2194">
        <v>4.2730090153303797</v>
      </c>
      <c r="AG2194">
        <v>-1.104065915571</v>
      </c>
      <c r="AH2194">
        <v>17.278674644986499</v>
      </c>
      <c r="AI2194">
        <v>93.549451933162203</v>
      </c>
      <c r="AJ2194">
        <v>76.109470036884005</v>
      </c>
      <c r="AK2194">
        <v>17.833400266867699</v>
      </c>
      <c r="AL2194">
        <v>89.134023787634902</v>
      </c>
      <c r="AM2194">
        <v>82.327348325518798</v>
      </c>
      <c r="AN2194">
        <v>0.99999995249135998</v>
      </c>
    </row>
    <row r="2195" spans="1:40" x14ac:dyDescent="0.3">
      <c r="A2195" t="str">
        <f>"20200111153918285"</f>
        <v>20200111153918285</v>
      </c>
      <c r="B2195" t="str">
        <f>"1578728358283015"</f>
        <v>1578728358283015</v>
      </c>
      <c r="C2195" t="s">
        <v>40</v>
      </c>
      <c r="D2195">
        <v>5.4139489999999997</v>
      </c>
      <c r="E2195">
        <v>0.53991739999999999</v>
      </c>
      <c r="F2195" t="s">
        <v>55</v>
      </c>
      <c r="G2195">
        <v>-237.25630000000001</v>
      </c>
      <c r="H2195" s="1">
        <v>2.4036530000000001E-6</v>
      </c>
      <c r="I2195">
        <v>212.8092</v>
      </c>
      <c r="J2195">
        <v>-253.59110000000001</v>
      </c>
      <c r="K2195">
        <v>1.10386299999999</v>
      </c>
      <c r="L2195">
        <v>216.29949999999999</v>
      </c>
      <c r="M2195">
        <v>0.99917060000000002</v>
      </c>
      <c r="N2195">
        <v>0</v>
      </c>
      <c r="O2195">
        <v>3.4085450000000003E-2</v>
      </c>
      <c r="P2195">
        <v>0.99484119999999998</v>
      </c>
      <c r="Q2195">
        <v>-7.7132329999999999E-3</v>
      </c>
      <c r="R2195">
        <v>-0.1011518</v>
      </c>
      <c r="S2195">
        <v>2.9531710000000002</v>
      </c>
      <c r="T2195">
        <v>-0.19330240000000001</v>
      </c>
      <c r="U2195">
        <v>-0.607940699999999</v>
      </c>
      <c r="V2195">
        <v>0.1350372</v>
      </c>
      <c r="W2195">
        <v>1.4113260000000001E-2</v>
      </c>
      <c r="X2195">
        <v>0.99073999999999995</v>
      </c>
      <c r="Y2195">
        <v>0.2343566</v>
      </c>
      <c r="Z2195">
        <v>-9.7903620000000004E-3</v>
      </c>
      <c r="AA2195">
        <v>0.9721014</v>
      </c>
      <c r="AB2195">
        <v>55</v>
      </c>
      <c r="AC2195">
        <v>16.334800000000001</v>
      </c>
      <c r="AD2195">
        <v>-1.1038605963469901</v>
      </c>
      <c r="AE2195">
        <v>-3.4902999999999902</v>
      </c>
      <c r="AF2195">
        <v>4.0275983917979499</v>
      </c>
      <c r="AG2195">
        <v>-1.1038605963469901</v>
      </c>
      <c r="AH2195">
        <v>16.135835651367501</v>
      </c>
      <c r="AI2195">
        <v>93.797385037502195</v>
      </c>
      <c r="AJ2195">
        <v>75.985015157916905</v>
      </c>
      <c r="AK2195">
        <v>16.6674907886498</v>
      </c>
      <c r="AL2195">
        <v>89.191342910777706</v>
      </c>
      <c r="AM2195">
        <v>82.238451131612194</v>
      </c>
      <c r="AN2195">
        <v>0.99999998854583305</v>
      </c>
    </row>
    <row r="2196" spans="1:40" x14ac:dyDescent="0.3">
      <c r="A2196" t="str">
        <f>"20200111153918305"</f>
        <v>20200111153918305</v>
      </c>
      <c r="B2196" t="str">
        <f>"1578728358302532"</f>
        <v>1578728358302532</v>
      </c>
      <c r="C2196" t="s">
        <v>40</v>
      </c>
      <c r="D2196">
        <v>5.3210259999999998</v>
      </c>
      <c r="E2196">
        <v>0.54007349999999998</v>
      </c>
      <c r="F2196" t="s">
        <v>55</v>
      </c>
      <c r="G2196">
        <v>-237.02760000000001</v>
      </c>
      <c r="H2196" s="1">
        <v>2.280728E-6</v>
      </c>
      <c r="I2196">
        <v>212.8373</v>
      </c>
      <c r="J2196">
        <v>-253.09209999999999</v>
      </c>
      <c r="K2196">
        <v>1.103667</v>
      </c>
      <c r="L2196">
        <v>216.31569999999999</v>
      </c>
      <c r="M2196">
        <v>0.99920529999999996</v>
      </c>
      <c r="N2196">
        <v>0</v>
      </c>
      <c r="O2196">
        <v>3.3046329999999999E-2</v>
      </c>
      <c r="P2196">
        <v>0.99454509999999996</v>
      </c>
      <c r="Q2196">
        <v>-6.5425869999999999E-3</v>
      </c>
      <c r="R2196">
        <v>-0.10410320000000001</v>
      </c>
      <c r="S2196">
        <v>2.9513240000000001</v>
      </c>
      <c r="T2196">
        <v>-0.19668849999999999</v>
      </c>
      <c r="U2196">
        <v>-0.61689759999999905</v>
      </c>
      <c r="V2196">
        <v>0.13695650000000001</v>
      </c>
      <c r="W2196">
        <v>1.521893E-2</v>
      </c>
      <c r="X2196">
        <v>0.99046020000000001</v>
      </c>
      <c r="Y2196">
        <v>0.23627219999999999</v>
      </c>
      <c r="Z2196">
        <v>-9.9591230000000003E-3</v>
      </c>
      <c r="AA2196">
        <v>0.9716359</v>
      </c>
      <c r="AB2196">
        <v>55</v>
      </c>
      <c r="AC2196">
        <v>16.064499999999899</v>
      </c>
      <c r="AD2196">
        <v>-1.1036647192719999</v>
      </c>
      <c r="AE2196">
        <v>-3.4783999999999899</v>
      </c>
      <c r="AF2196">
        <v>3.98951676827373</v>
      </c>
      <c r="AG2196">
        <v>-1.1036647192719999</v>
      </c>
      <c r="AH2196">
        <v>15.869196831909999</v>
      </c>
      <c r="AI2196">
        <v>93.858688017609694</v>
      </c>
      <c r="AJ2196">
        <v>75.888283496054001</v>
      </c>
      <c r="AK2196">
        <v>16.400174631594801</v>
      </c>
      <c r="AL2196">
        <v>89.127985924480996</v>
      </c>
      <c r="AM2196">
        <v>82.127312809639406</v>
      </c>
      <c r="AN2196">
        <v>1.00000005325331</v>
      </c>
    </row>
    <row r="2197" spans="1:40" x14ac:dyDescent="0.3">
      <c r="A2197" t="str">
        <f>"20200111153918327"</f>
        <v>20200111153918327</v>
      </c>
      <c r="B2197" t="str">
        <f>"1578728358323028"</f>
        <v>1578728358323028</v>
      </c>
      <c r="C2197" t="s">
        <v>40</v>
      </c>
      <c r="D2197">
        <v>5.3826890000000001</v>
      </c>
      <c r="E2197">
        <v>0.54027499999999995</v>
      </c>
      <c r="F2197" t="s">
        <v>55</v>
      </c>
      <c r="G2197">
        <v>-236.31819999999999</v>
      </c>
      <c r="H2197" s="1">
        <v>1.9069530000000001E-6</v>
      </c>
      <c r="I2197">
        <v>212.75129999999999</v>
      </c>
      <c r="J2197">
        <v>-252.5598</v>
      </c>
      <c r="K2197">
        <v>1.1034729999999999</v>
      </c>
      <c r="L2197">
        <v>216.33240000000001</v>
      </c>
      <c r="M2197">
        <v>0.99924679999999999</v>
      </c>
      <c r="N2197">
        <v>0</v>
      </c>
      <c r="O2197">
        <v>3.1776599999999898E-2</v>
      </c>
      <c r="P2197">
        <v>0.99422569999999999</v>
      </c>
      <c r="Q2197">
        <v>-4.6100339999999998E-3</v>
      </c>
      <c r="R2197">
        <v>-0.10721070000000001</v>
      </c>
      <c r="S2197">
        <v>2.9495849999999999</v>
      </c>
      <c r="T2197">
        <v>-0.19407189999999999</v>
      </c>
      <c r="U2197">
        <v>-0.62678529999999999</v>
      </c>
      <c r="V2197">
        <v>0.13880689999999901</v>
      </c>
      <c r="W2197">
        <v>1.7056410000000001E-2</v>
      </c>
      <c r="X2197">
        <v>0.99017259999999996</v>
      </c>
      <c r="Y2197">
        <v>0.23828389999999999</v>
      </c>
      <c r="Z2197">
        <v>-9.8119690000000002E-3</v>
      </c>
      <c r="AA2197">
        <v>0.97114599999999995</v>
      </c>
      <c r="AB2197">
        <v>54</v>
      </c>
      <c r="AC2197">
        <v>16.241599999999998</v>
      </c>
      <c r="AD2197">
        <v>-1.103471093047</v>
      </c>
      <c r="AE2197">
        <v>-3.5811000000000202</v>
      </c>
      <c r="AF2197">
        <v>4.0775721335596504</v>
      </c>
      <c r="AG2197">
        <v>-1.103471093047</v>
      </c>
      <c r="AH2197">
        <v>16.048923412067602</v>
      </c>
      <c r="AI2197">
        <v>93.812523711318406</v>
      </c>
      <c r="AJ2197">
        <v>75.744416720411294</v>
      </c>
      <c r="AK2197">
        <v>16.5955471631394</v>
      </c>
      <c r="AL2197">
        <v>89.022692329458906</v>
      </c>
      <c r="AM2197">
        <v>82.020019217674303</v>
      </c>
      <c r="AN2197">
        <v>1.0000000272002201</v>
      </c>
    </row>
    <row r="2198" spans="1:40" x14ac:dyDescent="0.3">
      <c r="A2198" t="str">
        <f>"20200111153918351"</f>
        <v>20200111153918351</v>
      </c>
      <c r="B2198" t="str">
        <f>"1578728358342548"</f>
        <v>1578728358342548</v>
      </c>
      <c r="C2198" t="s">
        <v>40</v>
      </c>
      <c r="D2198">
        <v>5.4717219999999998</v>
      </c>
      <c r="E2198">
        <v>0.54050180000000003</v>
      </c>
      <c r="F2198" t="s">
        <v>55</v>
      </c>
      <c r="G2198">
        <v>-235.37350000000001</v>
      </c>
      <c r="H2198" s="1">
        <v>1.410097E-6</v>
      </c>
      <c r="I2198">
        <v>212.61709999999999</v>
      </c>
      <c r="J2198">
        <v>-251.989</v>
      </c>
      <c r="K2198">
        <v>1.103278</v>
      </c>
      <c r="L2198">
        <v>216.3494</v>
      </c>
      <c r="M2198">
        <v>0.99929420000000002</v>
      </c>
      <c r="N2198">
        <v>0</v>
      </c>
      <c r="O2198">
        <v>3.0272770000000001E-2</v>
      </c>
      <c r="P2198">
        <v>0.99395750000000005</v>
      </c>
      <c r="Q2198">
        <v>-1.531971E-3</v>
      </c>
      <c r="R2198">
        <v>-0.1097539</v>
      </c>
      <c r="S2198">
        <v>2.9478300000000002</v>
      </c>
      <c r="T2198">
        <v>-0.18926889999999999</v>
      </c>
      <c r="U2198">
        <v>-0.63725279999999995</v>
      </c>
      <c r="V2198">
        <v>0.1398693</v>
      </c>
      <c r="W2198">
        <v>2.001754E-2</v>
      </c>
      <c r="X2198">
        <v>0.98996759999999995</v>
      </c>
      <c r="Y2198">
        <v>0.2402627</v>
      </c>
      <c r="Z2198">
        <v>-9.5389370000000008E-3</v>
      </c>
      <c r="AA2198">
        <v>0.970661</v>
      </c>
      <c r="AB2198">
        <v>54</v>
      </c>
      <c r="AC2198">
        <v>16.615499999999901</v>
      </c>
      <c r="AD2198">
        <v>-1.1032765899029999</v>
      </c>
      <c r="AE2198">
        <v>-3.7323</v>
      </c>
      <c r="AF2198">
        <v>4.2160145969646896</v>
      </c>
      <c r="AG2198">
        <v>-1.1032765899029999</v>
      </c>
      <c r="AH2198">
        <v>16.425922425730398</v>
      </c>
      <c r="AI2198">
        <v>93.7223035306546</v>
      </c>
      <c r="AJ2198">
        <v>75.604730229385396</v>
      </c>
      <c r="AK2198">
        <v>16.994202713036</v>
      </c>
      <c r="AL2198">
        <v>88.853002816371102</v>
      </c>
      <c r="AM2198">
        <v>81.958094584807696</v>
      </c>
      <c r="AN2198">
        <v>0.99999998601994999</v>
      </c>
    </row>
    <row r="2199" spans="1:40" x14ac:dyDescent="0.3">
      <c r="A2199" t="str">
        <f>"20200111153918372"</f>
        <v>20200111153918372</v>
      </c>
      <c r="B2199" t="str">
        <f>"1578728358363044"</f>
        <v>1578728358363044</v>
      </c>
      <c r="C2199" t="s">
        <v>40</v>
      </c>
      <c r="D2199">
        <v>5.4880719999999998</v>
      </c>
      <c r="E2199">
        <v>0.54068159999999998</v>
      </c>
      <c r="F2199" t="s">
        <v>55</v>
      </c>
      <c r="G2199">
        <v>-234.05420000000001</v>
      </c>
      <c r="H2199" s="1">
        <v>7.1680259999999997E-7</v>
      </c>
      <c r="I2199">
        <v>212.4169</v>
      </c>
      <c r="J2199">
        <v>-251.47370000000001</v>
      </c>
      <c r="K2199">
        <v>1.103129</v>
      </c>
      <c r="L2199">
        <v>216.364</v>
      </c>
      <c r="M2199">
        <v>0.99933830000000001</v>
      </c>
      <c r="N2199">
        <v>0</v>
      </c>
      <c r="O2199">
        <v>2.881682E-2</v>
      </c>
      <c r="P2199">
        <v>0.9936294</v>
      </c>
      <c r="Q2199">
        <v>9.1349330000000002E-4</v>
      </c>
      <c r="R2199">
        <v>-0.11269560000000001</v>
      </c>
      <c r="S2199">
        <v>2.946625</v>
      </c>
      <c r="T2199">
        <v>-0.1812645</v>
      </c>
      <c r="U2199">
        <v>-0.64610290000000004</v>
      </c>
      <c r="V2199">
        <v>0.1413749</v>
      </c>
      <c r="W2199">
        <v>2.2352569999999999E-2</v>
      </c>
      <c r="X2199">
        <v>0.98970380000000002</v>
      </c>
      <c r="Y2199">
        <v>0.24175779999999999</v>
      </c>
      <c r="Z2199">
        <v>-9.0938970000000001E-3</v>
      </c>
      <c r="AA2199">
        <v>0.97029399999999999</v>
      </c>
      <c r="AB2199">
        <v>54</v>
      </c>
      <c r="AC2199">
        <v>17.419499999999999</v>
      </c>
      <c r="AD2199">
        <v>-1.1031282831974001</v>
      </c>
      <c r="AE2199">
        <v>-3.9470999999999998</v>
      </c>
      <c r="AF2199">
        <v>4.4306575811954696</v>
      </c>
      <c r="AG2199">
        <v>-1.1031282831974001</v>
      </c>
      <c r="AH2199">
        <v>17.232757266473399</v>
      </c>
      <c r="AI2199">
        <v>93.547632487841</v>
      </c>
      <c r="AJ2199">
        <v>75.581169341649797</v>
      </c>
      <c r="AK2199">
        <v>17.8273817936395</v>
      </c>
      <c r="AL2199">
        <v>88.719185476882103</v>
      </c>
      <c r="AM2199">
        <v>81.870541983119907</v>
      </c>
      <c r="AN2199">
        <v>1.0000000557350199</v>
      </c>
    </row>
    <row r="2200" spans="1:40" x14ac:dyDescent="0.3">
      <c r="A2200" t="str">
        <f>"20200111153918396"</f>
        <v>20200111153918396</v>
      </c>
      <c r="B2200" t="str">
        <f>"1578728358392831"</f>
        <v>1578728358392831</v>
      </c>
      <c r="C2200" t="s">
        <v>40</v>
      </c>
      <c r="D2200">
        <v>5.5234300000000003</v>
      </c>
      <c r="E2200">
        <v>0.540991</v>
      </c>
      <c r="F2200" t="s">
        <v>55</v>
      </c>
      <c r="G2200">
        <v>-232.8955</v>
      </c>
      <c r="H2200" s="1">
        <v>1.086138E-7</v>
      </c>
      <c r="I2200">
        <v>212.2244</v>
      </c>
      <c r="J2200">
        <v>-250.93090000000001</v>
      </c>
      <c r="K2200">
        <v>1.102981</v>
      </c>
      <c r="L2200">
        <v>216.3785</v>
      </c>
      <c r="M2200">
        <v>0.9993843</v>
      </c>
      <c r="N2200">
        <v>0</v>
      </c>
      <c r="O2200">
        <v>2.721049E-2</v>
      </c>
      <c r="P2200">
        <v>0.99332379999999998</v>
      </c>
      <c r="Q2200">
        <v>2.1374660000000002E-3</v>
      </c>
      <c r="R2200">
        <v>-0.1153405</v>
      </c>
      <c r="S2200">
        <v>2.9449920000000001</v>
      </c>
      <c r="T2200">
        <v>-0.1748671</v>
      </c>
      <c r="U2200">
        <v>-0.65620419999999902</v>
      </c>
      <c r="V2200">
        <v>0.14243220000000001</v>
      </c>
      <c r="W2200">
        <v>2.3469500000000001E-2</v>
      </c>
      <c r="X2200">
        <v>0.98952629999999997</v>
      </c>
      <c r="Y2200">
        <v>0.24351690000000001</v>
      </c>
      <c r="Z2200">
        <v>-8.7323209999999995E-3</v>
      </c>
      <c r="AA2200">
        <v>0.96985730000000003</v>
      </c>
      <c r="AB2200">
        <v>54</v>
      </c>
      <c r="AC2200">
        <v>18.035399999999999</v>
      </c>
      <c r="AD2200">
        <v>-1.10298089138619</v>
      </c>
      <c r="AE2200">
        <v>-4.1540999999999997</v>
      </c>
      <c r="AF2200">
        <v>4.6269999382623803</v>
      </c>
      <c r="AG2200">
        <v>-1.10298089138619</v>
      </c>
      <c r="AH2200">
        <v>17.852250259403299</v>
      </c>
      <c r="AI2200">
        <v>93.422651232434404</v>
      </c>
      <c r="AJ2200">
        <v>75.469638660588004</v>
      </c>
      <c r="AK2200">
        <v>18.475078744076001</v>
      </c>
      <c r="AL2200">
        <v>88.655173256330698</v>
      </c>
      <c r="AM2200">
        <v>81.809116835239493</v>
      </c>
      <c r="AN2200">
        <v>1.00000002370938</v>
      </c>
    </row>
    <row r="2201" spans="1:40" x14ac:dyDescent="0.3">
      <c r="A2201" t="str">
        <f>"20200111153918417"</f>
        <v>20200111153918417</v>
      </c>
      <c r="B2201" t="str">
        <f>"1578728358413327"</f>
        <v>1578728358413327</v>
      </c>
      <c r="C2201" t="s">
        <v>40</v>
      </c>
      <c r="D2201">
        <v>5.5131129999999997</v>
      </c>
      <c r="E2201">
        <v>0.54119479999999998</v>
      </c>
      <c r="F2201" t="s">
        <v>55</v>
      </c>
      <c r="G2201">
        <v>-232.00640000000001</v>
      </c>
      <c r="H2201" s="1">
        <v>-3.588069E-7</v>
      </c>
      <c r="I2201">
        <v>212.09299999999999</v>
      </c>
      <c r="J2201">
        <v>-250.40549999999999</v>
      </c>
      <c r="K2201">
        <v>1.1028530000000001</v>
      </c>
      <c r="L2201">
        <v>216.39160000000001</v>
      </c>
      <c r="M2201">
        <v>0.99942790000000004</v>
      </c>
      <c r="N2201">
        <v>0</v>
      </c>
      <c r="O2201">
        <v>2.5604120000000001E-2</v>
      </c>
      <c r="P2201">
        <v>0.99305639999999995</v>
      </c>
      <c r="Q2201">
        <v>1.4478620000000001E-3</v>
      </c>
      <c r="R2201">
        <v>-0.1176328</v>
      </c>
      <c r="S2201">
        <v>2.9431609999999999</v>
      </c>
      <c r="T2201">
        <v>-0.17153660000000001</v>
      </c>
      <c r="U2201">
        <v>-0.66648859999999999</v>
      </c>
      <c r="V2201">
        <v>0.14312910000000001</v>
      </c>
      <c r="W2201">
        <v>2.2684840000000001E-2</v>
      </c>
      <c r="X2201">
        <v>0.98944399999999999</v>
      </c>
      <c r="Y2201">
        <v>0.24532860000000001</v>
      </c>
      <c r="Z2201">
        <v>-8.5278360000000004E-3</v>
      </c>
      <c r="AA2201">
        <v>0.96940249999999994</v>
      </c>
      <c r="AB2201">
        <v>54</v>
      </c>
      <c r="AC2201">
        <v>18.399099999999901</v>
      </c>
      <c r="AD2201">
        <v>-1.1028533588068901</v>
      </c>
      <c r="AE2201">
        <v>-4.29860000000002</v>
      </c>
      <c r="AF2201">
        <v>4.7522075137998696</v>
      </c>
      <c r="AG2201">
        <v>-1.1028533588068901</v>
      </c>
      <c r="AH2201">
        <v>18.220899279982302</v>
      </c>
      <c r="AI2201">
        <v>93.351850251248194</v>
      </c>
      <c r="AJ2201">
        <v>75.3822779444248</v>
      </c>
      <c r="AK2201">
        <v>18.862686244448501</v>
      </c>
      <c r="AL2201">
        <v>88.700142888713799</v>
      </c>
      <c r="AM2201">
        <v>81.768912564331899</v>
      </c>
      <c r="AN2201">
        <v>0.99999998518431699</v>
      </c>
    </row>
    <row r="2202" spans="1:40" x14ac:dyDescent="0.3">
      <c r="A2202" t="str">
        <f>"20200111153918442"</f>
        <v>20200111153918442</v>
      </c>
      <c r="B2202" t="str">
        <f>"1578728358432847"</f>
        <v>1578728358432847</v>
      </c>
      <c r="C2202" t="s">
        <v>40</v>
      </c>
      <c r="D2202">
        <v>5.4496510000000002</v>
      </c>
      <c r="E2202">
        <v>0.54144289999999995</v>
      </c>
      <c r="F2202" t="s">
        <v>55</v>
      </c>
      <c r="G2202">
        <v>-231.79910000000001</v>
      </c>
      <c r="H2202" s="1">
        <v>-4.7037450000000001E-7</v>
      </c>
      <c r="I2202">
        <v>212.1217</v>
      </c>
      <c r="J2202">
        <v>-249.80520000000001</v>
      </c>
      <c r="K2202">
        <v>1.102716</v>
      </c>
      <c r="L2202">
        <v>216.40559999999999</v>
      </c>
      <c r="M2202">
        <v>0.99947529999999996</v>
      </c>
      <c r="N2202">
        <v>0</v>
      </c>
      <c r="O2202">
        <v>2.3733089999999998E-2</v>
      </c>
      <c r="P2202">
        <v>0.99275809999999998</v>
      </c>
      <c r="Q2202">
        <v>-4.473263E-4</v>
      </c>
      <c r="R2202">
        <v>-0.1201308</v>
      </c>
      <c r="S2202">
        <v>2.9412539999999998</v>
      </c>
      <c r="T2202">
        <v>-0.17433609999999999</v>
      </c>
      <c r="U2202">
        <v>-0.67497249999999998</v>
      </c>
      <c r="V2202">
        <v>0.14376369999999999</v>
      </c>
      <c r="W2202">
        <v>2.0690219999999999E-2</v>
      </c>
      <c r="X2202">
        <v>0.98939569999999999</v>
      </c>
      <c r="Y2202">
        <v>0.24629409999999999</v>
      </c>
      <c r="Z2202">
        <v>-8.5882069999999901E-3</v>
      </c>
      <c r="AA2202">
        <v>0.96915709999999999</v>
      </c>
      <c r="AB2202">
        <v>53</v>
      </c>
      <c r="AC2202">
        <v>18.0061</v>
      </c>
      <c r="AD2202">
        <v>-1.1027164703745</v>
      </c>
      <c r="AE2202">
        <v>-4.2838999999999796</v>
      </c>
      <c r="AF2202">
        <v>4.69347715670082</v>
      </c>
      <c r="AG2202">
        <v>-1.1027164703745</v>
      </c>
      <c r="AH2202">
        <v>17.836020549457601</v>
      </c>
      <c r="AI2202">
        <v>93.421629984983696</v>
      </c>
      <c r="AJ2202">
        <v>75.257075465581195</v>
      </c>
      <c r="AK2202">
        <v>18.476155998345099</v>
      </c>
      <c r="AL2202">
        <v>88.814453083830799</v>
      </c>
      <c r="AM2202">
        <v>81.732523228256099</v>
      </c>
      <c r="AN2202">
        <v>0.99999996890991305</v>
      </c>
    </row>
    <row r="2203" spans="1:40" x14ac:dyDescent="0.3">
      <c r="A2203" t="str">
        <f>"20200111153918463"</f>
        <v>20200111153918463</v>
      </c>
      <c r="B2203" t="str">
        <f>"1578728358453343"</f>
        <v>1578728358453343</v>
      </c>
      <c r="C2203" t="s">
        <v>40</v>
      </c>
      <c r="D2203">
        <v>5.4615549999999997</v>
      </c>
      <c r="E2203">
        <v>0.5417476</v>
      </c>
      <c r="F2203" t="s">
        <v>55</v>
      </c>
      <c r="G2203">
        <v>-231.85429999999999</v>
      </c>
      <c r="H2203" s="1">
        <v>-4.4549050000000001E-7</v>
      </c>
      <c r="I2203">
        <v>212.2253</v>
      </c>
      <c r="J2203">
        <v>-249.31469999999999</v>
      </c>
      <c r="K2203">
        <v>1.102622</v>
      </c>
      <c r="L2203">
        <v>216.4162</v>
      </c>
      <c r="M2203">
        <v>0.9995117</v>
      </c>
      <c r="N2203">
        <v>0</v>
      </c>
      <c r="O2203">
        <v>2.2188880000000001E-2</v>
      </c>
      <c r="P2203">
        <v>0.99249790000000004</v>
      </c>
      <c r="Q2203">
        <v>-2.2408079999999999E-3</v>
      </c>
      <c r="R2203">
        <v>-0.12224260000000001</v>
      </c>
      <c r="S2203">
        <v>2.9389500000000002</v>
      </c>
      <c r="T2203">
        <v>-0.1805388</v>
      </c>
      <c r="U2203">
        <v>-0.68440249999999903</v>
      </c>
      <c r="V2203">
        <v>0.14433489999999999</v>
      </c>
      <c r="W2203">
        <v>1.8816139999999999E-2</v>
      </c>
      <c r="X2203">
        <v>0.98934999999999995</v>
      </c>
      <c r="Y2203">
        <v>0.24788099999999999</v>
      </c>
      <c r="Z2203">
        <v>-8.8512609999999992E-3</v>
      </c>
      <c r="AA2203">
        <v>0.96875009999999995</v>
      </c>
      <c r="AB2203">
        <v>53</v>
      </c>
      <c r="AC2203">
        <v>17.4603999999999</v>
      </c>
      <c r="AD2203">
        <v>-1.1026224454905</v>
      </c>
      <c r="AE2203">
        <v>-4.1908999999999903</v>
      </c>
      <c r="AF2203">
        <v>4.5601931872083101</v>
      </c>
      <c r="AG2203">
        <v>-1.1026224454905</v>
      </c>
      <c r="AH2203">
        <v>17.297860579520201</v>
      </c>
      <c r="AI2203">
        <v>93.527099352207401</v>
      </c>
      <c r="AJ2203">
        <v>75.231271833677596</v>
      </c>
      <c r="AK2203">
        <v>17.922810013791899</v>
      </c>
      <c r="AL2203">
        <v>88.921850983410906</v>
      </c>
      <c r="AM2203">
        <v>81.699753678945399</v>
      </c>
      <c r="AN2203">
        <v>1.0000000164912499</v>
      </c>
    </row>
    <row r="2204" spans="1:40" x14ac:dyDescent="0.3">
      <c r="A2204" t="str">
        <f>"20200111153918486"</f>
        <v>20200111153918486</v>
      </c>
      <c r="B2204" t="str">
        <f>"1578728358483131"</f>
        <v>1578728358483131</v>
      </c>
      <c r="C2204" t="s">
        <v>40</v>
      </c>
      <c r="D2204">
        <v>5.5029139999999996</v>
      </c>
      <c r="E2204">
        <v>0.54220590000000002</v>
      </c>
      <c r="F2204" t="s">
        <v>55</v>
      </c>
      <c r="G2204">
        <v>-231.88749999999999</v>
      </c>
      <c r="H2204" s="1">
        <v>-4.3120720000000002E-7</v>
      </c>
      <c r="I2204">
        <v>212.30269999999999</v>
      </c>
      <c r="J2204">
        <v>-248.76830000000001</v>
      </c>
      <c r="K2204">
        <v>1.1025400000000001</v>
      </c>
      <c r="L2204">
        <v>216.4272</v>
      </c>
      <c r="M2204">
        <v>0.99955000000000005</v>
      </c>
      <c r="N2204">
        <v>0</v>
      </c>
      <c r="O2204">
        <v>2.0458649999999998E-2</v>
      </c>
      <c r="P2204">
        <v>0.99220819999999998</v>
      </c>
      <c r="Q2204">
        <v>-2.5743129999999999E-3</v>
      </c>
      <c r="R2204">
        <v>-0.12456440000000001</v>
      </c>
      <c r="S2204">
        <v>2.936874</v>
      </c>
      <c r="T2204">
        <v>-0.18581710000000001</v>
      </c>
      <c r="U2204">
        <v>-0.693222</v>
      </c>
      <c r="V2204">
        <v>0.14493889999999901</v>
      </c>
      <c r="W2204">
        <v>1.8389920000000001E-2</v>
      </c>
      <c r="X2204">
        <v>0.98926970000000003</v>
      </c>
      <c r="Y2204">
        <v>0.2490849</v>
      </c>
      <c r="Z2204">
        <v>-9.0422469999999998E-3</v>
      </c>
      <c r="AA2204">
        <v>0.96843950000000001</v>
      </c>
      <c r="AB2204">
        <v>53</v>
      </c>
      <c r="AC2204">
        <v>16.880800000000001</v>
      </c>
      <c r="AD2204">
        <v>-1.10254043120719</v>
      </c>
      <c r="AE2204">
        <v>-4.12450000000001</v>
      </c>
      <c r="AF2204">
        <v>4.4511596412800598</v>
      </c>
      <c r="AG2204">
        <v>-1.10254043120719</v>
      </c>
      <c r="AH2204">
        <v>16.725534302781298</v>
      </c>
      <c r="AI2204">
        <v>93.644949287849101</v>
      </c>
      <c r="AJ2204">
        <v>75.097315743161502</v>
      </c>
      <c r="AK2204">
        <v>17.342777034492499</v>
      </c>
      <c r="AL2204">
        <v>88.946275806678699</v>
      </c>
      <c r="AM2204">
        <v>81.664839439762105</v>
      </c>
      <c r="AN2204">
        <v>1.0000000066144501</v>
      </c>
    </row>
    <row r="2205" spans="1:40" x14ac:dyDescent="0.3">
      <c r="A2205" t="str">
        <f>"20200111153918508"</f>
        <v>20200111153918508</v>
      </c>
      <c r="B2205" t="str">
        <f>"1578728358502650"</f>
        <v>1578728358502650</v>
      </c>
      <c r="C2205" t="s">
        <v>40</v>
      </c>
      <c r="D2205">
        <v>5.5071149999999998</v>
      </c>
      <c r="E2205">
        <v>0.54246939999999999</v>
      </c>
      <c r="F2205" t="s">
        <v>55</v>
      </c>
      <c r="G2205">
        <v>-231.54300000000001</v>
      </c>
      <c r="H2205" s="1">
        <v>-6.1422419999999999E-7</v>
      </c>
      <c r="I2205">
        <v>212.29509999999999</v>
      </c>
      <c r="J2205">
        <v>-248.2535</v>
      </c>
      <c r="K2205">
        <v>1.1024879999999999</v>
      </c>
      <c r="L2205">
        <v>216.4366</v>
      </c>
      <c r="M2205">
        <v>0.99958349999999996</v>
      </c>
      <c r="N2205">
        <v>0</v>
      </c>
      <c r="O2205">
        <v>1.8821569999999999E-2</v>
      </c>
      <c r="P2205">
        <v>0.99191390000000002</v>
      </c>
      <c r="Q2205">
        <v>-1.955708E-3</v>
      </c>
      <c r="R2205">
        <v>-0.12689729999999999</v>
      </c>
      <c r="S2205">
        <v>2.9346920000000001</v>
      </c>
      <c r="T2205">
        <v>-0.18784049999999999</v>
      </c>
      <c r="U2205">
        <v>-0.70397949999999998</v>
      </c>
      <c r="V2205">
        <v>0.145651</v>
      </c>
      <c r="W2205">
        <v>1.8921980000000001E-2</v>
      </c>
      <c r="X2205">
        <v>0.98915509999999995</v>
      </c>
      <c r="Y2205">
        <v>0.25100689999999998</v>
      </c>
      <c r="Z2205">
        <v>-9.1005589999999994E-3</v>
      </c>
      <c r="AA2205">
        <v>0.96794250000000004</v>
      </c>
      <c r="AB2205">
        <v>53</v>
      </c>
      <c r="AC2205">
        <v>16.7104999999999</v>
      </c>
      <c r="AD2205">
        <v>-1.1024886142242001</v>
      </c>
      <c r="AE2205">
        <v>-4.1414999999999997</v>
      </c>
      <c r="AF2205">
        <v>4.4371627329340697</v>
      </c>
      <c r="AG2205">
        <v>-1.1024886142242001</v>
      </c>
      <c r="AH2205">
        <v>16.561652378025801</v>
      </c>
      <c r="AI2205">
        <v>93.679110072674604</v>
      </c>
      <c r="AJ2205">
        <v>75.001674101800404</v>
      </c>
      <c r="AK2205">
        <v>17.181158975854899</v>
      </c>
      <c r="AL2205">
        <v>88.915785736800203</v>
      </c>
      <c r="AM2205">
        <v>81.623510843072594</v>
      </c>
      <c r="AN2205">
        <v>1.00000003349206</v>
      </c>
    </row>
    <row r="2206" spans="1:40" x14ac:dyDescent="0.3">
      <c r="A2206" t="str">
        <f>"20200111153918532"</f>
        <v>20200111153918532</v>
      </c>
      <c r="B2206" t="str">
        <f>"1578728358523147"</f>
        <v>1578728358523147</v>
      </c>
      <c r="C2206" t="s">
        <v>40</v>
      </c>
      <c r="D2206">
        <v>5.5744259999999999</v>
      </c>
      <c r="E2206">
        <v>0.54272039999999999</v>
      </c>
      <c r="F2206" t="s">
        <v>55</v>
      </c>
      <c r="G2206">
        <v>-230.92099999999999</v>
      </c>
      <c r="H2206" s="1">
        <v>-9.4208999999999999E-7</v>
      </c>
      <c r="I2206">
        <v>212.2234</v>
      </c>
      <c r="J2206">
        <v>-247.67359999999999</v>
      </c>
      <c r="K2206">
        <v>1.1024419999999999</v>
      </c>
      <c r="L2206">
        <v>216.4462</v>
      </c>
      <c r="M2206">
        <v>0.99961800000000001</v>
      </c>
      <c r="N2206">
        <v>0</v>
      </c>
      <c r="O2206">
        <v>1.6969310000000001E-2</v>
      </c>
      <c r="P2206">
        <v>0.99170340000000001</v>
      </c>
      <c r="Q2206">
        <v>-8.6207320000000005E-4</v>
      </c>
      <c r="R2206">
        <v>-0.12854579999999999</v>
      </c>
      <c r="S2206">
        <v>2.9328919999999998</v>
      </c>
      <c r="T2206">
        <v>-0.18655579999999999</v>
      </c>
      <c r="U2206">
        <v>-0.71292109999999997</v>
      </c>
      <c r="V2206">
        <v>0.14547019999999999</v>
      </c>
      <c r="W2206">
        <v>1.9933159999999998E-2</v>
      </c>
      <c r="X2206">
        <v>0.98916179999999998</v>
      </c>
      <c r="Y2206">
        <v>0.25214490000000001</v>
      </c>
      <c r="Z2206">
        <v>-8.9601319999999905E-3</v>
      </c>
      <c r="AA2206">
        <v>0.96764799999999995</v>
      </c>
      <c r="AB2206">
        <v>53</v>
      </c>
      <c r="AC2206">
        <v>16.752600000000001</v>
      </c>
      <c r="AD2206">
        <v>-1.1024429420899999</v>
      </c>
      <c r="AE2206">
        <v>-4.2228000000000003</v>
      </c>
      <c r="AF2206">
        <v>4.4882637478385599</v>
      </c>
      <c r="AG2206">
        <v>-1.1024429420899999</v>
      </c>
      <c r="AH2206">
        <v>16.610874169943799</v>
      </c>
      <c r="AI2206">
        <v>93.665992065025506</v>
      </c>
      <c r="AJ2206">
        <v>74.879727039309998</v>
      </c>
      <c r="AK2206">
        <v>17.241839594441</v>
      </c>
      <c r="AL2206">
        <v>88.857838401713195</v>
      </c>
      <c r="AM2206">
        <v>81.633817382081702</v>
      </c>
      <c r="AN2206">
        <v>0.99999998826743197</v>
      </c>
    </row>
    <row r="2207" spans="1:40" x14ac:dyDescent="0.3">
      <c r="A2207" t="str">
        <f>"20200111153918554"</f>
        <v>20200111153918554</v>
      </c>
      <c r="B2207" t="str">
        <f>"1578728358542666"</f>
        <v>1578728358542666</v>
      </c>
      <c r="C2207" t="s">
        <v>40</v>
      </c>
      <c r="D2207">
        <v>5.515943</v>
      </c>
      <c r="E2207">
        <v>0.54264840000000003</v>
      </c>
      <c r="F2207" t="s">
        <v>55</v>
      </c>
      <c r="G2207">
        <v>-230.10210000000001</v>
      </c>
      <c r="H2207" s="1">
        <v>-1.373852E-6</v>
      </c>
      <c r="I2207">
        <v>212.13200000000001</v>
      </c>
      <c r="J2207">
        <v>-247.1688</v>
      </c>
      <c r="K2207">
        <v>1.102414</v>
      </c>
      <c r="L2207">
        <v>216.4537</v>
      </c>
      <c r="M2207">
        <v>0.99964549999999996</v>
      </c>
      <c r="N2207">
        <v>0</v>
      </c>
      <c r="O2207">
        <v>1.53464E-2</v>
      </c>
      <c r="P2207">
        <v>0.99149569999999998</v>
      </c>
      <c r="Q2207">
        <v>-5.7631269999999996E-4</v>
      </c>
      <c r="R2207">
        <v>-0.13013810000000001</v>
      </c>
      <c r="S2207">
        <v>2.9316409999999999</v>
      </c>
      <c r="T2207">
        <v>-0.18393309999999999</v>
      </c>
      <c r="U2207">
        <v>-0.71978759999999997</v>
      </c>
      <c r="V2207">
        <v>0.14545559999999999</v>
      </c>
      <c r="W2207">
        <v>2.0144829999999999E-2</v>
      </c>
      <c r="X2207">
        <v>0.98915960000000003</v>
      </c>
      <c r="Y2207">
        <v>0.25282349999999998</v>
      </c>
      <c r="Z2207">
        <v>-8.7562569999999999E-3</v>
      </c>
      <c r="AA2207">
        <v>0.96747280000000002</v>
      </c>
      <c r="AB2207">
        <v>53</v>
      </c>
      <c r="AC2207">
        <v>17.066699999999901</v>
      </c>
      <c r="AD2207">
        <v>-1.1024153738519999</v>
      </c>
      <c r="AE2207">
        <v>-4.3216999999999901</v>
      </c>
      <c r="AF2207">
        <v>4.5652647144078804</v>
      </c>
      <c r="AG2207">
        <v>-1.1024153738519999</v>
      </c>
      <c r="AH2207">
        <v>16.9319603142159</v>
      </c>
      <c r="AI2207">
        <v>93.597087287818098</v>
      </c>
      <c r="AJ2207">
        <v>74.910500374768503</v>
      </c>
      <c r="AK2207">
        <v>17.571233356008499</v>
      </c>
      <c r="AL2207">
        <v>88.845708100882106</v>
      </c>
      <c r="AM2207">
        <v>81.634626822601604</v>
      </c>
      <c r="AN2207">
        <v>0.99999993000962195</v>
      </c>
    </row>
    <row r="2208" spans="1:40" x14ac:dyDescent="0.3">
      <c r="A2208" t="str">
        <f>"20200111153918577"</f>
        <v>20200111153918577</v>
      </c>
      <c r="B2208" t="str">
        <f>"1578728358572922"</f>
        <v>1578728358572922</v>
      </c>
      <c r="C2208" t="s">
        <v>40</v>
      </c>
      <c r="D2208">
        <v>5.5949999999999998</v>
      </c>
      <c r="E2208">
        <v>0.53415440000000003</v>
      </c>
      <c r="F2208" t="s">
        <v>55</v>
      </c>
      <c r="G2208">
        <v>-229.5804</v>
      </c>
      <c r="H2208" s="1">
        <v>3.671049E-6</v>
      </c>
      <c r="I2208">
        <v>212.10900000000001</v>
      </c>
      <c r="J2208">
        <v>-246.64109999999999</v>
      </c>
      <c r="K2208">
        <v>1.1023909999999999</v>
      </c>
      <c r="L2208">
        <v>216.4606</v>
      </c>
      <c r="M2208">
        <v>0.99967189999999995</v>
      </c>
      <c r="N2208">
        <v>0</v>
      </c>
      <c r="O2208">
        <v>1.363874E-2</v>
      </c>
      <c r="P2208">
        <v>0.99130589999999996</v>
      </c>
      <c r="Q2208">
        <v>1.5485189999999999E-4</v>
      </c>
      <c r="R2208">
        <v>-0.131578799999999</v>
      </c>
      <c r="S2208">
        <v>2.9306030000000001</v>
      </c>
      <c r="T2208">
        <v>-0.1836854</v>
      </c>
      <c r="U2208">
        <v>-0.72392270000000003</v>
      </c>
      <c r="V2208">
        <v>0.14520849999999999</v>
      </c>
      <c r="W2208">
        <v>2.0798919999999999E-2</v>
      </c>
      <c r="X2208">
        <v>0.98918249999999996</v>
      </c>
      <c r="Y2208">
        <v>0.25254219999999999</v>
      </c>
      <c r="Z2208">
        <v>-8.6319050000000005E-3</v>
      </c>
      <c r="AA2208">
        <v>0.96754739999999995</v>
      </c>
      <c r="AB2208">
        <v>53</v>
      </c>
      <c r="AC2208">
        <v>17.060699999999901</v>
      </c>
      <c r="AD2208">
        <v>-1.102387328951</v>
      </c>
      <c r="AE2208">
        <v>-4.3515999999999897</v>
      </c>
      <c r="AF2208">
        <v>4.5660367299040097</v>
      </c>
      <c r="AG2208">
        <v>-1.102387328951</v>
      </c>
      <c r="AH2208">
        <v>16.933366988864499</v>
      </c>
      <c r="AI2208">
        <v>93.596677084349906</v>
      </c>
      <c r="AJ2208">
        <v>74.909261557918498</v>
      </c>
      <c r="AK2208">
        <v>17.572787679290698</v>
      </c>
      <c r="AL2208">
        <v>88.808223801565404</v>
      </c>
      <c r="AM2208">
        <v>81.648827935507796</v>
      </c>
      <c r="AN2208">
        <v>1.0000000609258299</v>
      </c>
    </row>
    <row r="2209" spans="1:40" x14ac:dyDescent="0.3">
      <c r="A2209" t="str">
        <f>"20200111153918598"</f>
        <v>20200111153918598</v>
      </c>
      <c r="B2209" t="str">
        <f>"1578728358592951"</f>
        <v>1578728358592951</v>
      </c>
      <c r="C2209" t="s">
        <v>40</v>
      </c>
      <c r="D2209">
        <v>5.5533590000000004</v>
      </c>
      <c r="E2209">
        <v>0.53530710000000004</v>
      </c>
      <c r="F2209" t="s">
        <v>55</v>
      </c>
      <c r="G2209">
        <v>-227.58799999999999</v>
      </c>
      <c r="H2209" s="1">
        <v>2.60799E-6</v>
      </c>
      <c r="I2209">
        <v>212.17310000000001</v>
      </c>
      <c r="J2209">
        <v>-246.14779999999999</v>
      </c>
      <c r="K2209">
        <v>1.102376</v>
      </c>
      <c r="L2209">
        <v>216.46610000000001</v>
      </c>
      <c r="M2209">
        <v>0.99969390000000002</v>
      </c>
      <c r="N2209">
        <v>0</v>
      </c>
      <c r="O2209">
        <v>1.203507E-2</v>
      </c>
      <c r="P2209">
        <v>0.99113070000000003</v>
      </c>
      <c r="Q2209">
        <v>1.226743E-3</v>
      </c>
      <c r="R2209">
        <v>-0.13288649999999999</v>
      </c>
      <c r="S2209">
        <v>2.9385829999999999</v>
      </c>
      <c r="T2209">
        <v>-0.17002329999999999</v>
      </c>
      <c r="U2209">
        <v>-0.66127009999999997</v>
      </c>
      <c r="V2209">
        <v>0.14493339999999999</v>
      </c>
      <c r="W2209">
        <v>2.1801000000000001E-2</v>
      </c>
      <c r="X2209">
        <v>0.9892012</v>
      </c>
      <c r="Y2209">
        <v>0.23088159999999999</v>
      </c>
      <c r="Z2209">
        <v>-7.2790509999999999E-3</v>
      </c>
      <c r="AA2209">
        <v>0.9729546</v>
      </c>
      <c r="AB2209">
        <v>52</v>
      </c>
      <c r="AC2209">
        <v>18.559799999999999</v>
      </c>
      <c r="AD2209">
        <v>-1.1023733920100001</v>
      </c>
      <c r="AE2209">
        <v>-4.2930000000000001</v>
      </c>
      <c r="AF2209">
        <v>4.50103704678651</v>
      </c>
      <c r="AG2209">
        <v>-1.1023733920100001</v>
      </c>
      <c r="AH2209">
        <v>18.445009903371702</v>
      </c>
      <c r="AI2209">
        <v>93.322957787369702</v>
      </c>
      <c r="AJ2209">
        <v>76.286430283124005</v>
      </c>
      <c r="AK2209">
        <v>19.018226834472099</v>
      </c>
      <c r="AL2209">
        <v>88.750795735700805</v>
      </c>
      <c r="AM2209">
        <v>81.664582230000406</v>
      </c>
      <c r="AN2209">
        <v>0.99999999405899997</v>
      </c>
    </row>
    <row r="2210" spans="1:40" x14ac:dyDescent="0.3">
      <c r="A2210" t="str">
        <f>"20200111153918621"</f>
        <v>20200111153918621</v>
      </c>
      <c r="B2210" t="str">
        <f>"1578728358613447"</f>
        <v>1578728358613447</v>
      </c>
      <c r="C2210" t="s">
        <v>40</v>
      </c>
      <c r="D2210">
        <v>5.6069079999999998</v>
      </c>
      <c r="E2210">
        <v>0.53636809999999902</v>
      </c>
      <c r="F2210" t="s">
        <v>55</v>
      </c>
      <c r="G2210">
        <v>-225.9716</v>
      </c>
      <c r="H2210" s="1">
        <v>1.7626709999999999E-6</v>
      </c>
      <c r="I2210">
        <v>211.8323</v>
      </c>
      <c r="J2210">
        <v>-245.61150000000001</v>
      </c>
      <c r="K2210">
        <v>1.102365</v>
      </c>
      <c r="L2210">
        <v>216.47130000000001</v>
      </c>
      <c r="M2210">
        <v>0.99971509999999997</v>
      </c>
      <c r="N2210">
        <v>0</v>
      </c>
      <c r="O2210">
        <v>1.0282049999999999E-2</v>
      </c>
      <c r="P2210">
        <v>0.99088980000000004</v>
      </c>
      <c r="Q2210">
        <v>2.493211E-3</v>
      </c>
      <c r="R2210">
        <v>-0.13465250000000001</v>
      </c>
      <c r="S2210">
        <v>2.9365999999999999</v>
      </c>
      <c r="T2210">
        <v>-0.16044749999999999</v>
      </c>
      <c r="U2210">
        <v>-0.67443850000000005</v>
      </c>
      <c r="V2210">
        <v>0.1449694</v>
      </c>
      <c r="W2210">
        <v>2.2984210000000001E-2</v>
      </c>
      <c r="X2210">
        <v>0.98916910000000002</v>
      </c>
      <c r="Y2210">
        <v>0.23350499999999999</v>
      </c>
      <c r="Z2210">
        <v>-6.8469869999999997E-3</v>
      </c>
      <c r="AA2210">
        <v>0.97233150000000002</v>
      </c>
      <c r="AB2210">
        <v>52</v>
      </c>
      <c r="AC2210">
        <v>19.639900000000001</v>
      </c>
      <c r="AD2210">
        <v>-1.102363237329</v>
      </c>
      <c r="AE2210">
        <v>-4.6390000000000002</v>
      </c>
      <c r="AF2210">
        <v>4.826338372256</v>
      </c>
      <c r="AG2210">
        <v>-1.102363237329</v>
      </c>
      <c r="AH2210">
        <v>19.532866577897</v>
      </c>
      <c r="AI2210">
        <v>93.136020846227495</v>
      </c>
      <c r="AJ2210">
        <v>76.120890717873493</v>
      </c>
      <c r="AK2210">
        <v>20.150474523952301</v>
      </c>
      <c r="AL2210">
        <v>88.682985737046707</v>
      </c>
      <c r="AM2210">
        <v>81.662274137074505</v>
      </c>
      <c r="AN2210">
        <v>0.99999995462024605</v>
      </c>
    </row>
    <row r="2211" spans="1:40" x14ac:dyDescent="0.3">
      <c r="A2211" t="str">
        <f>"20200111153918643"</f>
        <v>20200111153918643</v>
      </c>
      <c r="B2211" t="str">
        <f>"1578728358632967"</f>
        <v>1578728358632967</v>
      </c>
      <c r="C2211" t="s">
        <v>40</v>
      </c>
      <c r="D2211">
        <v>5.5645449999999999</v>
      </c>
      <c r="E2211">
        <v>0.5369138</v>
      </c>
      <c r="F2211" t="s">
        <v>55</v>
      </c>
      <c r="G2211">
        <v>-225.2516</v>
      </c>
      <c r="H2211" s="1">
        <v>1.3854619999999999E-6</v>
      </c>
      <c r="I2211">
        <v>211.69720000000001</v>
      </c>
      <c r="J2211">
        <v>-245.0909</v>
      </c>
      <c r="K2211">
        <v>1.1023559999999999</v>
      </c>
      <c r="L2211">
        <v>216.47540000000001</v>
      </c>
      <c r="M2211">
        <v>0.99973290000000004</v>
      </c>
      <c r="N2211">
        <v>0</v>
      </c>
      <c r="O2211">
        <v>8.5732340000000008E-3</v>
      </c>
      <c r="P2211">
        <v>0.99071180000000003</v>
      </c>
      <c r="Q2211">
        <v>3.3998489999999999E-3</v>
      </c>
      <c r="R2211">
        <v>-0.1359368</v>
      </c>
      <c r="S2211">
        <v>2.9344790000000001</v>
      </c>
      <c r="T2211">
        <v>-0.1588842</v>
      </c>
      <c r="U2211">
        <v>-0.68809509999999996</v>
      </c>
      <c r="V2211">
        <v>0.1445659</v>
      </c>
      <c r="W2211">
        <v>2.381368E-2</v>
      </c>
      <c r="X2211">
        <v>0.98920859999999999</v>
      </c>
      <c r="Y2211">
        <v>0.23629420000000001</v>
      </c>
      <c r="Z2211">
        <v>-6.7647849999999997E-3</v>
      </c>
      <c r="AA2211">
        <v>0.97165800000000002</v>
      </c>
      <c r="AB2211">
        <v>52</v>
      </c>
      <c r="AC2211">
        <v>19.839300000000001</v>
      </c>
      <c r="AD2211">
        <v>-1.1023546145380001</v>
      </c>
      <c r="AE2211">
        <v>-4.7781999999999902</v>
      </c>
      <c r="AF2211">
        <v>4.9337532297027398</v>
      </c>
      <c r="AG2211">
        <v>-1.1023546145380001</v>
      </c>
      <c r="AH2211">
        <v>19.7399930167702</v>
      </c>
      <c r="AI2211">
        <v>93.101091408859105</v>
      </c>
      <c r="AJ2211">
        <v>75.967157723202902</v>
      </c>
      <c r="AK2211">
        <v>20.377056483455402</v>
      </c>
      <c r="AL2211">
        <v>88.635447680407296</v>
      </c>
      <c r="AM2211">
        <v>81.685483390985198</v>
      </c>
      <c r="AN2211">
        <v>1.00000002255595</v>
      </c>
    </row>
    <row r="2212" spans="1:40" x14ac:dyDescent="0.3">
      <c r="A2212" t="str">
        <f>"20200111153918664"</f>
        <v>20200111153918664</v>
      </c>
      <c r="B2212" t="str">
        <f>"1578728358653463"</f>
        <v>1578728358653463</v>
      </c>
      <c r="C2212" t="s">
        <v>40</v>
      </c>
      <c r="D2212">
        <v>5.5813009999999998</v>
      </c>
      <c r="E2212">
        <v>0.5377305</v>
      </c>
      <c r="F2212" t="s">
        <v>55</v>
      </c>
      <c r="G2212">
        <v>-224.94130000000001</v>
      </c>
      <c r="H2212" s="1">
        <v>1.2204889999999999E-6</v>
      </c>
      <c r="I2212">
        <v>211.6934</v>
      </c>
      <c r="J2212">
        <v>-244.6002</v>
      </c>
      <c r="K2212">
        <v>1.1023499999999999</v>
      </c>
      <c r="L2212">
        <v>216.4785</v>
      </c>
      <c r="M2212">
        <v>0.99974689999999999</v>
      </c>
      <c r="N2212">
        <v>0</v>
      </c>
      <c r="O2212">
        <v>6.9575640000000003E-3</v>
      </c>
      <c r="P2212">
        <v>0.99045749999999999</v>
      </c>
      <c r="Q2212">
        <v>4.6792580000000004E-3</v>
      </c>
      <c r="R2212">
        <v>-0.13774069999999999</v>
      </c>
      <c r="S2212">
        <v>2.9331510000000001</v>
      </c>
      <c r="T2212">
        <v>-0.16046869999999999</v>
      </c>
      <c r="U2212">
        <v>-0.696106</v>
      </c>
      <c r="V2212">
        <v>0.14477590000000001</v>
      </c>
      <c r="W2212">
        <v>2.5018769999999999E-2</v>
      </c>
      <c r="X2212">
        <v>0.98914809999999997</v>
      </c>
      <c r="Y2212">
        <v>0.2373294</v>
      </c>
      <c r="Z2212">
        <v>-6.773785E-3</v>
      </c>
      <c r="AA2212">
        <v>0.97140559999999998</v>
      </c>
      <c r="AB2212">
        <v>52</v>
      </c>
      <c r="AC2212">
        <v>19.6588999999999</v>
      </c>
      <c r="AD2212">
        <v>-1.1023487795110001</v>
      </c>
      <c r="AE2212">
        <v>-4.7850999999999999</v>
      </c>
      <c r="AF2212">
        <v>4.9072268809322601</v>
      </c>
      <c r="AG2212">
        <v>-1.1023487795110001</v>
      </c>
      <c r="AH2212">
        <v>19.567040874501899</v>
      </c>
      <c r="AI2212">
        <v>93.127803303675705</v>
      </c>
      <c r="AJ2212">
        <v>75.921139392274299</v>
      </c>
      <c r="AK2212">
        <v>20.203097214958401</v>
      </c>
      <c r="AL2212">
        <v>88.566380458217097</v>
      </c>
      <c r="AM2212">
        <v>81.673072594901001</v>
      </c>
      <c r="AN2212">
        <v>0.99999998190336603</v>
      </c>
    </row>
    <row r="2213" spans="1:40" x14ac:dyDescent="0.3">
      <c r="A2213" t="str">
        <f>"20200111153918688"</f>
        <v>20200111153918688</v>
      </c>
      <c r="B2213" t="str">
        <f>"1578728358683249"</f>
        <v>1578728358683249</v>
      </c>
      <c r="C2213" t="s">
        <v>40</v>
      </c>
      <c r="D2213">
        <v>5.5733949999999997</v>
      </c>
      <c r="E2213">
        <v>0.53859389999999996</v>
      </c>
      <c r="F2213" t="s">
        <v>55</v>
      </c>
      <c r="G2213">
        <v>-224.22069999999999</v>
      </c>
      <c r="H2213" s="1">
        <v>8.4298190000000001E-7</v>
      </c>
      <c r="I2213">
        <v>211.55680000000001</v>
      </c>
      <c r="J2213">
        <v>-244.0558</v>
      </c>
      <c r="K2213">
        <v>1.102349</v>
      </c>
      <c r="L2213">
        <v>216.48089999999999</v>
      </c>
      <c r="M2213">
        <v>0.99975939999999996</v>
      </c>
      <c r="N2213">
        <v>0</v>
      </c>
      <c r="O2213">
        <v>5.1591679999999996E-3</v>
      </c>
      <c r="P2213">
        <v>0.99011450000000001</v>
      </c>
      <c r="Q2213">
        <v>5.2792560000000004E-3</v>
      </c>
      <c r="R2213">
        <v>-0.14016479999999901</v>
      </c>
      <c r="S2213">
        <v>2.9312130000000001</v>
      </c>
      <c r="T2213">
        <v>-0.1585522</v>
      </c>
      <c r="U2213">
        <v>-0.70788569999999995</v>
      </c>
      <c r="V2213">
        <v>0.14542140000000001</v>
      </c>
      <c r="W2213">
        <v>2.5538350000000001E-2</v>
      </c>
      <c r="X2213">
        <v>0.98904009999999998</v>
      </c>
      <c r="Y2213">
        <v>0.23942569999999999</v>
      </c>
      <c r="Z2213">
        <v>-6.6541819999999998E-3</v>
      </c>
      <c r="AA2213">
        <v>0.97089190000000003</v>
      </c>
      <c r="AB2213">
        <v>52</v>
      </c>
      <c r="AC2213">
        <v>19.835100000000001</v>
      </c>
      <c r="AD2213">
        <v>-1.1023481570181</v>
      </c>
      <c r="AE2213">
        <v>-4.9240999999999797</v>
      </c>
      <c r="AF2213">
        <v>5.0118092064400299</v>
      </c>
      <c r="AG2213">
        <v>-1.1023481570181</v>
      </c>
      <c r="AH2213">
        <v>19.751960496734899</v>
      </c>
      <c r="AI2213">
        <v>93.096415463701007</v>
      </c>
      <c r="AJ2213">
        <v>75.762398664565396</v>
      </c>
      <c r="AK2213">
        <v>20.4076786148159</v>
      </c>
      <c r="AL2213">
        <v>88.536601160991694</v>
      </c>
      <c r="AM2213">
        <v>81.635569683183803</v>
      </c>
      <c r="AN2213">
        <v>0.99999995515334505</v>
      </c>
    </row>
    <row r="2214" spans="1:40" x14ac:dyDescent="0.3">
      <c r="A2214" t="str">
        <f>"20200111153918712"</f>
        <v>20200111153918712</v>
      </c>
      <c r="B2214" t="str">
        <f>"1578728358702770"</f>
        <v>1578728358702770</v>
      </c>
      <c r="C2214" t="s">
        <v>40</v>
      </c>
      <c r="D2214">
        <v>5.5662580000000004</v>
      </c>
      <c r="E2214">
        <v>0.53896509999999997</v>
      </c>
      <c r="F2214" t="s">
        <v>55</v>
      </c>
      <c r="G2214">
        <v>-224.14400000000001</v>
      </c>
      <c r="H2214" s="1">
        <v>8.0144089999999999E-7</v>
      </c>
      <c r="I2214">
        <v>211.57310000000001</v>
      </c>
      <c r="J2214">
        <v>-243.50540000000001</v>
      </c>
      <c r="K2214">
        <v>1.1023449999999999</v>
      </c>
      <c r="L2214">
        <v>216.48240000000001</v>
      </c>
      <c r="M2214">
        <v>0.99976860000000001</v>
      </c>
      <c r="N2214">
        <v>0</v>
      </c>
      <c r="O2214">
        <v>3.3364129999999999E-3</v>
      </c>
      <c r="P2214">
        <v>0.98976759999999997</v>
      </c>
      <c r="Q2214">
        <v>5.4652349999999997E-3</v>
      </c>
      <c r="R2214">
        <v>-0.1425844</v>
      </c>
      <c r="S2214">
        <v>2.9286500000000002</v>
      </c>
      <c r="T2214">
        <v>-0.16213459999999999</v>
      </c>
      <c r="U2214">
        <v>-0.72184749999999998</v>
      </c>
      <c r="V2214">
        <v>0.1460369</v>
      </c>
      <c r="W2214">
        <v>2.56499E-2</v>
      </c>
      <c r="X2214">
        <v>0.98894660000000001</v>
      </c>
      <c r="Y2214">
        <v>0.2422</v>
      </c>
      <c r="Z2214">
        <v>-6.7825200000000002E-3</v>
      </c>
      <c r="AA2214">
        <v>0.97020260000000003</v>
      </c>
      <c r="AB2214">
        <v>52</v>
      </c>
      <c r="AC2214">
        <v>19.3614</v>
      </c>
      <c r="AD2214">
        <v>-1.1023441985591</v>
      </c>
      <c r="AE2214">
        <v>-4.9093</v>
      </c>
      <c r="AF2214">
        <v>4.9587814866864504</v>
      </c>
      <c r="AG2214">
        <v>-1.1023441985591</v>
      </c>
      <c r="AH2214">
        <v>19.2861674682981</v>
      </c>
      <c r="AI2214">
        <v>93.168474146544099</v>
      </c>
      <c r="AJ2214">
        <v>75.580672328762304</v>
      </c>
      <c r="AK2214">
        <v>19.943944749723901</v>
      </c>
      <c r="AL2214">
        <v>88.5302078403667</v>
      </c>
      <c r="AM2214">
        <v>81.599888216563599</v>
      </c>
      <c r="AN2214">
        <v>1.0000000355915799</v>
      </c>
    </row>
    <row r="2215" spans="1:40" x14ac:dyDescent="0.3">
      <c r="A2215" t="str">
        <f>"20200111153918736"</f>
        <v>20200111153918736</v>
      </c>
      <c r="B2215" t="str">
        <f>"1578728358733026"</f>
        <v>1578728358733026</v>
      </c>
      <c r="C2215" t="s">
        <v>40</v>
      </c>
      <c r="D2215">
        <v>5.5661350000000001</v>
      </c>
      <c r="E2215">
        <v>0.53969820000000002</v>
      </c>
      <c r="F2215" t="s">
        <v>55</v>
      </c>
      <c r="G2215">
        <v>-223.6645</v>
      </c>
      <c r="H2215" s="1">
        <v>5.4860420000000002E-7</v>
      </c>
      <c r="I2215">
        <v>211.52070000000001</v>
      </c>
      <c r="J2215">
        <v>-242.95419999999999</v>
      </c>
      <c r="K2215">
        <v>1.102347</v>
      </c>
      <c r="L2215">
        <v>216.4829</v>
      </c>
      <c r="M2215">
        <v>0.99977439999999995</v>
      </c>
      <c r="N2215">
        <v>0</v>
      </c>
      <c r="O2215">
        <v>1.5067279999999999E-3</v>
      </c>
      <c r="P2215">
        <v>0.98940499999999998</v>
      </c>
      <c r="Q2215">
        <v>5.039277E-3</v>
      </c>
      <c r="R2215">
        <v>-0.14509569999999999</v>
      </c>
      <c r="S2215">
        <v>2.9264830000000002</v>
      </c>
      <c r="T2215">
        <v>-0.16259289999999901</v>
      </c>
      <c r="U2215">
        <v>-0.73184199999999999</v>
      </c>
      <c r="V2215">
        <v>0.146734</v>
      </c>
      <c r="W2215">
        <v>2.5154619999999999E-2</v>
      </c>
      <c r="X2215">
        <v>0.98885610000000002</v>
      </c>
      <c r="Y2215">
        <v>0.24371039999999999</v>
      </c>
      <c r="Z2215">
        <v>-6.7450080000000003E-3</v>
      </c>
      <c r="AA2215">
        <v>0.96982460000000004</v>
      </c>
      <c r="AB2215">
        <v>52</v>
      </c>
      <c r="AC2215">
        <v>19.2896999999999</v>
      </c>
      <c r="AD2215">
        <v>-1.1023464513957999</v>
      </c>
      <c r="AE2215">
        <v>-4.9621999999999904</v>
      </c>
      <c r="AF2215">
        <v>4.9760233265705001</v>
      </c>
      <c r="AG2215">
        <v>-1.1023464513957999</v>
      </c>
      <c r="AH2215">
        <v>19.223317413404999</v>
      </c>
      <c r="AI2215">
        <v>93.177485643062397</v>
      </c>
      <c r="AJ2215">
        <v>75.487330206054494</v>
      </c>
      <c r="AK2215">
        <v>19.887481193504598</v>
      </c>
      <c r="AL2215">
        <v>88.558594407962204</v>
      </c>
      <c r="AM2215">
        <v>81.559605573237405</v>
      </c>
      <c r="AN2215">
        <v>1.0000000040852699</v>
      </c>
    </row>
    <row r="2216" spans="1:40" x14ac:dyDescent="0.3">
      <c r="A2216" t="str">
        <f>"20200111153918756"</f>
        <v>20200111153918756</v>
      </c>
      <c r="B2216" t="str">
        <f>"1578728358752546"</f>
        <v>1578728358752546</v>
      </c>
      <c r="C2216" t="s">
        <v>40</v>
      </c>
      <c r="D2216">
        <v>5.4839349999999998</v>
      </c>
      <c r="E2216">
        <v>0.54001790000000005</v>
      </c>
      <c r="F2216" t="s">
        <v>55</v>
      </c>
      <c r="G2216">
        <v>-223.36250000000001</v>
      </c>
      <c r="H2216" s="1">
        <v>3.891745E-7</v>
      </c>
      <c r="I2216">
        <v>211.4905</v>
      </c>
      <c r="J2216">
        <v>-242.48609999999999</v>
      </c>
      <c r="K2216">
        <v>1.102357</v>
      </c>
      <c r="L2216">
        <v>216.48249999999999</v>
      </c>
      <c r="M2216">
        <v>0.99977649999999996</v>
      </c>
      <c r="N2216">
        <v>0</v>
      </c>
      <c r="O2216" s="1">
        <v>-4.9248729999999997E-5</v>
      </c>
      <c r="P2216">
        <v>0.98902449999999997</v>
      </c>
      <c r="Q2216">
        <v>5.7085900000000004E-3</v>
      </c>
      <c r="R2216">
        <v>-0.14764150000000001</v>
      </c>
      <c r="S2216">
        <v>2.9237060000000001</v>
      </c>
      <c r="T2216">
        <v>-0.16450490000000001</v>
      </c>
      <c r="U2216">
        <v>-0.74502559999999995</v>
      </c>
      <c r="V2216">
        <v>0.14774379999999901</v>
      </c>
      <c r="W2216">
        <v>2.5765730000000001E-2</v>
      </c>
      <c r="X2216">
        <v>0.98868999999999996</v>
      </c>
      <c r="Y2216">
        <v>0.2465175</v>
      </c>
      <c r="Z2216">
        <v>-6.8183219999999999E-3</v>
      </c>
      <c r="AA2216">
        <v>0.96911440000000004</v>
      </c>
      <c r="AB2216">
        <v>51</v>
      </c>
      <c r="AC2216">
        <v>19.1235999999999</v>
      </c>
      <c r="AD2216">
        <v>-1.1023566108255001</v>
      </c>
      <c r="AE2216">
        <v>-4.9919999999999902</v>
      </c>
      <c r="AF2216">
        <v>4.9755797886061597</v>
      </c>
      <c r="AG2216">
        <v>-1.1023566108255001</v>
      </c>
      <c r="AH2216">
        <v>19.0645393446672</v>
      </c>
      <c r="AI2216">
        <v>93.202264081425696</v>
      </c>
      <c r="AJ2216">
        <v>75.372874625061399</v>
      </c>
      <c r="AK2216">
        <v>19.7339363725178</v>
      </c>
      <c r="AL2216">
        <v>88.523569038093797</v>
      </c>
      <c r="AM2216">
        <v>81.5009585773292</v>
      </c>
      <c r="AN2216">
        <v>1.00000000969043</v>
      </c>
    </row>
    <row r="2217" spans="1:40" x14ac:dyDescent="0.3">
      <c r="A2217" t="str">
        <f>"20200111153918783"</f>
        <v>20200111153918783</v>
      </c>
      <c r="B2217" t="str">
        <f>"1578728358773042"</f>
        <v>1578728358773042</v>
      </c>
      <c r="C2217" t="s">
        <v>40</v>
      </c>
      <c r="D2217">
        <v>5.5118299999999998</v>
      </c>
      <c r="E2217">
        <v>0.54044099999999995</v>
      </c>
      <c r="F2217" t="s">
        <v>55</v>
      </c>
      <c r="G2217">
        <v>-222.8768</v>
      </c>
      <c r="H2217" s="1">
        <v>1.3409219999999999E-7</v>
      </c>
      <c r="I2217">
        <v>211.41390000000001</v>
      </c>
      <c r="J2217">
        <v>-241.87629999999999</v>
      </c>
      <c r="K2217">
        <v>1.1023700000000001</v>
      </c>
      <c r="L2217">
        <v>216.48079999999999</v>
      </c>
      <c r="M2217">
        <v>0.99977559999999999</v>
      </c>
      <c r="N2217">
        <v>0</v>
      </c>
      <c r="O2217">
        <v>-2.0805749999999999E-3</v>
      </c>
      <c r="P2217">
        <v>0.98853930000000001</v>
      </c>
      <c r="Q2217">
        <v>6.5557849999999997E-3</v>
      </c>
      <c r="R2217">
        <v>-0.1508226</v>
      </c>
      <c r="S2217">
        <v>2.9215390000000001</v>
      </c>
      <c r="T2217">
        <v>-0.1642371</v>
      </c>
      <c r="U2217">
        <v>-0.75515750000000004</v>
      </c>
      <c r="V2217">
        <v>0.14892040000000001</v>
      </c>
      <c r="W2217">
        <v>2.6545570000000001E-2</v>
      </c>
      <c r="X2217">
        <v>0.98849279999999995</v>
      </c>
      <c r="Y2217">
        <v>0.2478754</v>
      </c>
      <c r="Z2217">
        <v>-6.7344830000000003E-3</v>
      </c>
      <c r="AA2217">
        <v>0.96876850000000003</v>
      </c>
      <c r="AB2217">
        <v>51</v>
      </c>
      <c r="AC2217">
        <v>18.999499999999902</v>
      </c>
      <c r="AD2217">
        <v>-1.1023698659078001</v>
      </c>
      <c r="AE2217">
        <v>-5.0668999999999702</v>
      </c>
      <c r="AF2217">
        <v>5.0115993626188402</v>
      </c>
      <c r="AG2217">
        <v>-1.1023698659078001</v>
      </c>
      <c r="AH2217">
        <v>18.950443772780101</v>
      </c>
      <c r="AI2217">
        <v>93.218800282558902</v>
      </c>
      <c r="AJ2217">
        <v>75.186785250284601</v>
      </c>
      <c r="AK2217">
        <v>19.6328975619485</v>
      </c>
      <c r="AL2217">
        <v>88.478872166399398</v>
      </c>
      <c r="AM2217">
        <v>81.432590702215293</v>
      </c>
      <c r="AN2217">
        <v>0.99999998423731196</v>
      </c>
    </row>
    <row r="2218" spans="1:40" x14ac:dyDescent="0.3">
      <c r="A2218" t="str">
        <f>"20200111153918802"</f>
        <v>20200111153918802</v>
      </c>
      <c r="B2218" t="str">
        <f>"1578728358793069"</f>
        <v>1578728358793069</v>
      </c>
      <c r="C2218" t="s">
        <v>40</v>
      </c>
      <c r="D2218">
        <v>5.4449870000000002</v>
      </c>
      <c r="E2218">
        <v>0.54061419999999905</v>
      </c>
      <c r="F2218" t="s">
        <v>55</v>
      </c>
      <c r="G2218">
        <v>-222.0838</v>
      </c>
      <c r="H2218" s="1">
        <v>-2.817675E-7</v>
      </c>
      <c r="I2218">
        <v>211.27379999999999</v>
      </c>
      <c r="J2218">
        <v>-241.4263</v>
      </c>
      <c r="K2218">
        <v>1.1023849999999999</v>
      </c>
      <c r="L2218">
        <v>216.4787</v>
      </c>
      <c r="M2218">
        <v>0.9997722</v>
      </c>
      <c r="N2218">
        <v>0</v>
      </c>
      <c r="O2218">
        <v>-3.5821910000000002E-3</v>
      </c>
      <c r="P2218">
        <v>0.98810540000000002</v>
      </c>
      <c r="Q2218">
        <v>7.3292590000000003E-3</v>
      </c>
      <c r="R2218">
        <v>-0.1536043</v>
      </c>
      <c r="S2218">
        <v>2.9187159999999999</v>
      </c>
      <c r="T2218">
        <v>-0.16256229999999999</v>
      </c>
      <c r="U2218">
        <v>-0.7678528</v>
      </c>
      <c r="V2218">
        <v>0.1502222</v>
      </c>
      <c r="W2218">
        <v>2.7269620000000001E-2</v>
      </c>
      <c r="X2218">
        <v>0.98827609999999999</v>
      </c>
      <c r="Y2218">
        <v>0.25059710000000002</v>
      </c>
      <c r="Z2218">
        <v>-6.6608400000000003E-3</v>
      </c>
      <c r="AA2218">
        <v>0.9680685</v>
      </c>
      <c r="AB2218">
        <v>51</v>
      </c>
      <c r="AC2218">
        <v>19.342500000000001</v>
      </c>
      <c r="AD2218">
        <v>-1.1023852817674999</v>
      </c>
      <c r="AE2218">
        <v>-5.2049000000000003</v>
      </c>
      <c r="AF2218">
        <v>5.1200547363902498</v>
      </c>
      <c r="AG2218">
        <v>-1.1023852817674999</v>
      </c>
      <c r="AH2218">
        <v>19.302559966088999</v>
      </c>
      <c r="AI2218">
        <v>93.159627259388202</v>
      </c>
      <c r="AJ2218">
        <v>75.1442491055017</v>
      </c>
      <c r="AK2218">
        <v>20.0004758707775</v>
      </c>
      <c r="AL2218">
        <v>88.437372147458703</v>
      </c>
      <c r="AM2218">
        <v>81.356957563198804</v>
      </c>
      <c r="AN2218">
        <v>0.99999999568949705</v>
      </c>
    </row>
    <row r="2219" spans="1:40" x14ac:dyDescent="0.3">
      <c r="A2219" t="str">
        <f>"20200111153918824"</f>
        <v>20200111153918824</v>
      </c>
      <c r="B2219" t="str">
        <f>"1578728358812589"</f>
        <v>1578728358812589</v>
      </c>
      <c r="C2219" t="s">
        <v>40</v>
      </c>
      <c r="D2219">
        <v>5.4942349999999998</v>
      </c>
      <c r="E2219">
        <v>0.54086959999999995</v>
      </c>
      <c r="F2219" t="s">
        <v>55</v>
      </c>
      <c r="G2219">
        <v>-221.2826</v>
      </c>
      <c r="H2219" s="1">
        <v>-7.0089340000000002E-7</v>
      </c>
      <c r="I2219">
        <v>211.10839999999999</v>
      </c>
      <c r="J2219">
        <v>-240.95150000000001</v>
      </c>
      <c r="K2219">
        <v>1.1023989999999999</v>
      </c>
      <c r="L2219">
        <v>216.4759</v>
      </c>
      <c r="M2219">
        <v>0.99976609999999999</v>
      </c>
      <c r="N2219">
        <v>0</v>
      </c>
      <c r="O2219">
        <v>-5.1713050000000002E-3</v>
      </c>
      <c r="P2219">
        <v>0.98761949999999998</v>
      </c>
      <c r="Q2219">
        <v>8.1445100000000006E-3</v>
      </c>
      <c r="R2219">
        <v>-0.15665889999999999</v>
      </c>
      <c r="S2219">
        <v>2.9163969999999999</v>
      </c>
      <c r="T2219">
        <v>-0.15960350000000001</v>
      </c>
      <c r="U2219">
        <v>-0.77752690000000002</v>
      </c>
      <c r="V2219">
        <v>0.1517116</v>
      </c>
      <c r="W2219">
        <v>2.8034650000000001E-2</v>
      </c>
      <c r="X2219">
        <v>0.98802719999999999</v>
      </c>
      <c r="Y2219">
        <v>0.25226090000000001</v>
      </c>
      <c r="Z2219">
        <v>-6.5013839999999998E-3</v>
      </c>
      <c r="AA2219">
        <v>0.96763739999999998</v>
      </c>
      <c r="AB2219">
        <v>51</v>
      </c>
      <c r="AC2219">
        <v>19.668900000000001</v>
      </c>
      <c r="AD2219">
        <v>-1.1023997008933999</v>
      </c>
      <c r="AE2219">
        <v>-5.3674999999999997</v>
      </c>
      <c r="AF2219">
        <v>5.2503417843618001</v>
      </c>
      <c r="AG2219">
        <v>-1.1023997008933999</v>
      </c>
      <c r="AH2219">
        <v>19.6389827171955</v>
      </c>
      <c r="AI2219">
        <v>93.104038503920805</v>
      </c>
      <c r="AJ2219">
        <v>75.032418103667098</v>
      </c>
      <c r="AK2219">
        <v>20.358561248758399</v>
      </c>
      <c r="AL2219">
        <v>88.3935224746985</v>
      </c>
      <c r="AM2219">
        <v>81.270413180136799</v>
      </c>
      <c r="AN2219">
        <v>1.0000000495575001</v>
      </c>
    </row>
    <row r="2220" spans="1:40" x14ac:dyDescent="0.3">
      <c r="A2220" t="str">
        <f>"20200111153918844"</f>
        <v>20200111153918844</v>
      </c>
      <c r="B2220" t="str">
        <f>"1578728358833085"</f>
        <v>1578728358833085</v>
      </c>
      <c r="C2220" t="s">
        <v>40</v>
      </c>
      <c r="D2220">
        <v>5.5214189999999999</v>
      </c>
      <c r="E2220">
        <v>0.5411378</v>
      </c>
      <c r="F2220" t="s">
        <v>55</v>
      </c>
      <c r="G2220">
        <v>-220.37540000000001</v>
      </c>
      <c r="H2220" s="1">
        <v>-1.174964E-6</v>
      </c>
      <c r="I2220">
        <v>210.9084</v>
      </c>
      <c r="J2220">
        <v>-240.4804</v>
      </c>
      <c r="K2220">
        <v>1.1024149999999999</v>
      </c>
      <c r="L2220">
        <v>216.47229999999999</v>
      </c>
      <c r="M2220">
        <v>0.99975729999999996</v>
      </c>
      <c r="N2220">
        <v>0</v>
      </c>
      <c r="O2220">
        <v>-6.7639379999999997E-3</v>
      </c>
      <c r="P2220">
        <v>0.9870276</v>
      </c>
      <c r="Q2220">
        <v>9.9192050000000004E-3</v>
      </c>
      <c r="R2220">
        <v>-0.1602451</v>
      </c>
      <c r="S2220">
        <v>2.9138639999999998</v>
      </c>
      <c r="T2220">
        <v>-0.15611510000000001</v>
      </c>
      <c r="U2220">
        <v>-0.7884369</v>
      </c>
      <c r="V2220">
        <v>0.15373709999999999</v>
      </c>
      <c r="W2220">
        <v>2.9755790000000001E-2</v>
      </c>
      <c r="X2220">
        <v>0.98766359999999997</v>
      </c>
      <c r="Y2220">
        <v>0.25432149999999998</v>
      </c>
      <c r="Z2220">
        <v>-6.3322269999999898E-3</v>
      </c>
      <c r="AA2220">
        <v>0.96709900000000004</v>
      </c>
      <c r="AB2220">
        <v>51</v>
      </c>
      <c r="AC2220">
        <v>20.104999999999901</v>
      </c>
      <c r="AD2220">
        <v>-1.102416174964</v>
      </c>
      <c r="AE2220">
        <v>-5.5638999999999896</v>
      </c>
      <c r="AF2220">
        <v>5.41263757509389</v>
      </c>
      <c r="AG2220">
        <v>-1.102416174964</v>
      </c>
      <c r="AH2220">
        <v>20.0860863380084</v>
      </c>
      <c r="AI2220">
        <v>93.033506004678202</v>
      </c>
      <c r="AJ2220">
        <v>74.918626010727294</v>
      </c>
      <c r="AK2220">
        <v>20.831774560033701</v>
      </c>
      <c r="AL2220">
        <v>88.294867036947295</v>
      </c>
      <c r="AM2220">
        <v>81.152490855532307</v>
      </c>
      <c r="AN2220">
        <v>0.99999994485994503</v>
      </c>
    </row>
    <row r="2221" spans="1:40" x14ac:dyDescent="0.3">
      <c r="A2221" t="str">
        <f>"20200111153918869"</f>
        <v>20200111153918869</v>
      </c>
      <c r="B2221" t="str">
        <f>"1578728358863341"</f>
        <v>1578728358863341</v>
      </c>
      <c r="C2221" t="s">
        <v>40</v>
      </c>
      <c r="D2221">
        <v>5.4703739999999996</v>
      </c>
      <c r="E2221">
        <v>0.54125809999999996</v>
      </c>
      <c r="F2221" t="s">
        <v>55</v>
      </c>
      <c r="G2221">
        <v>-218.9667</v>
      </c>
      <c r="H2221" s="1">
        <v>3.412435E-6</v>
      </c>
      <c r="I2221">
        <v>210.55359999999999</v>
      </c>
      <c r="J2221">
        <v>-239.93770000000001</v>
      </c>
      <c r="K2221">
        <v>1.1024119999999999</v>
      </c>
      <c r="L2221">
        <v>216.46709999999999</v>
      </c>
      <c r="M2221">
        <v>0.99974350000000001</v>
      </c>
      <c r="N2221">
        <v>0</v>
      </c>
      <c r="O2221">
        <v>-8.6426109999999997E-3</v>
      </c>
      <c r="P2221">
        <v>0.98645190000000005</v>
      </c>
      <c r="Q2221">
        <v>1.194281E-2</v>
      </c>
      <c r="R2221">
        <v>-0.16361609999999999</v>
      </c>
      <c r="S2221">
        <v>2.9109039999999999</v>
      </c>
      <c r="T2221">
        <v>-0.14916160000000001</v>
      </c>
      <c r="U2221">
        <v>-0.80082699999999996</v>
      </c>
      <c r="V2221">
        <v>0.1552685</v>
      </c>
      <c r="W2221">
        <v>3.1723719999999997E-2</v>
      </c>
      <c r="X2221">
        <v>0.98736279999999998</v>
      </c>
      <c r="Y2221">
        <v>0.25661060000000002</v>
      </c>
      <c r="Z2221">
        <v>-6.0162660000000001E-3</v>
      </c>
      <c r="AA2221">
        <v>0.96649620000000003</v>
      </c>
      <c r="AB2221">
        <v>51</v>
      </c>
      <c r="AC2221">
        <v>20.971</v>
      </c>
      <c r="AD2221">
        <v>-1.102408587565</v>
      </c>
      <c r="AE2221">
        <v>-5.9134999999999902</v>
      </c>
      <c r="AF2221">
        <v>5.71735942044468</v>
      </c>
      <c r="AG2221">
        <v>-1.102408587565</v>
      </c>
      <c r="AH2221">
        <v>20.9676612056655</v>
      </c>
      <c r="AI2221">
        <v>92.903821548459305</v>
      </c>
      <c r="AJ2221">
        <v>74.747662886624298</v>
      </c>
      <c r="AK2221">
        <v>21.761119453558798</v>
      </c>
      <c r="AL2221">
        <v>88.182059719359103</v>
      </c>
      <c r="AM2221">
        <v>81.063096335991801</v>
      </c>
      <c r="AN2221">
        <v>1.00000000016336</v>
      </c>
    </row>
    <row r="2222" spans="1:40" x14ac:dyDescent="0.3">
      <c r="A2222" t="str">
        <f>"20200111153918891"</f>
        <v>20200111153918891</v>
      </c>
      <c r="B2222" t="str">
        <f>"1578728358883368"</f>
        <v>1578728358883368</v>
      </c>
      <c r="C2222" t="s">
        <v>40</v>
      </c>
      <c r="D2222">
        <v>5.4072310000000003</v>
      </c>
      <c r="E2222">
        <v>0.54147539999999905</v>
      </c>
      <c r="F2222" t="s">
        <v>55</v>
      </c>
      <c r="G2222">
        <v>-216.8699</v>
      </c>
      <c r="H2222" s="1">
        <v>2.3195430000000001E-6</v>
      </c>
      <c r="I2222">
        <v>210.02940000000001</v>
      </c>
      <c r="J2222">
        <v>-239.43459999999999</v>
      </c>
      <c r="K2222">
        <v>1.102376</v>
      </c>
      <c r="L2222">
        <v>216.4614</v>
      </c>
      <c r="M2222">
        <v>0.99972700000000003</v>
      </c>
      <c r="N2222">
        <v>0</v>
      </c>
      <c r="O2222">
        <v>-1.0453850000000001E-2</v>
      </c>
      <c r="P2222">
        <v>0.98601369999999999</v>
      </c>
      <c r="Q2222">
        <v>1.2571280000000001E-2</v>
      </c>
      <c r="R2222">
        <v>-0.16619149999999999</v>
      </c>
      <c r="S2222">
        <v>2.908264</v>
      </c>
      <c r="T2222">
        <v>-0.1389862</v>
      </c>
      <c r="U2222">
        <v>-0.81163019999999997</v>
      </c>
      <c r="V2222">
        <v>0.15606449999999999</v>
      </c>
      <c r="W2222">
        <v>3.2301360000000001E-2</v>
      </c>
      <c r="X2222">
        <v>0.98721859999999995</v>
      </c>
      <c r="Y2222">
        <v>0.2584573</v>
      </c>
      <c r="Z2222">
        <v>-5.5669109999999999E-3</v>
      </c>
      <c r="AA2222">
        <v>0.96600660000000005</v>
      </c>
      <c r="AB2222">
        <v>50</v>
      </c>
      <c r="AC2222">
        <v>22.564699999999899</v>
      </c>
      <c r="AD2222">
        <v>-1.1023736804569999</v>
      </c>
      <c r="AE2222">
        <v>-6.43199999999998</v>
      </c>
      <c r="AF2222">
        <v>6.1820628851610904</v>
      </c>
      <c r="AG2222">
        <v>-1.1023736804569999</v>
      </c>
      <c r="AH2222">
        <v>22.580876351465001</v>
      </c>
      <c r="AI2222">
        <v>92.695848098121402</v>
      </c>
      <c r="AJ2222">
        <v>74.689060804514298</v>
      </c>
      <c r="AK2222">
        <v>23.437770927449598</v>
      </c>
      <c r="AL2222">
        <v>88.148946477868094</v>
      </c>
      <c r="AM2222">
        <v>81.0167348908885</v>
      </c>
      <c r="AN2222">
        <v>1.00000003510202</v>
      </c>
    </row>
    <row r="2223" spans="1:40" x14ac:dyDescent="0.3">
      <c r="A2223" t="str">
        <f>"20200111153918912"</f>
        <v>20200111153918912</v>
      </c>
      <c r="B2223" t="str">
        <f>"1578728358902888"</f>
        <v>1578728358902888</v>
      </c>
      <c r="C2223" t="s">
        <v>40</v>
      </c>
      <c r="D2223">
        <v>5.342689</v>
      </c>
      <c r="E2223">
        <v>0.54166009999999998</v>
      </c>
      <c r="F2223" t="s">
        <v>55</v>
      </c>
      <c r="G2223">
        <v>-215.97970000000001</v>
      </c>
      <c r="H2223" s="1">
        <v>1.8543979999999999E-6</v>
      </c>
      <c r="I2223">
        <v>209.83279999999999</v>
      </c>
      <c r="J2223">
        <v>-238.95820000000001</v>
      </c>
      <c r="K2223">
        <v>1.102295</v>
      </c>
      <c r="L2223">
        <v>216.45509999999999</v>
      </c>
      <c r="M2223">
        <v>0.99970689999999995</v>
      </c>
      <c r="N2223">
        <v>0</v>
      </c>
      <c r="O2223">
        <v>-1.2262240000000001E-2</v>
      </c>
      <c r="P2223">
        <v>0.98564799999999997</v>
      </c>
      <c r="Q2223">
        <v>1.1257390000000001E-2</v>
      </c>
      <c r="R2223">
        <v>-0.16843849999999999</v>
      </c>
      <c r="S2223">
        <v>2.905869</v>
      </c>
      <c r="T2223">
        <v>-0.1365749</v>
      </c>
      <c r="U2223">
        <v>-0.82122799999999996</v>
      </c>
      <c r="V2223">
        <v>0.15652569999999999</v>
      </c>
      <c r="W2223">
        <v>3.093591E-2</v>
      </c>
      <c r="X2223">
        <v>0.98718930000000005</v>
      </c>
      <c r="Y2223">
        <v>0.25988230000000001</v>
      </c>
      <c r="Z2223">
        <v>-5.4219380000000003E-3</v>
      </c>
      <c r="AA2223">
        <v>0.96562510000000001</v>
      </c>
      <c r="AB2223">
        <v>50</v>
      </c>
      <c r="AC2223">
        <v>22.9785</v>
      </c>
      <c r="AD2223">
        <v>-1.102293145602</v>
      </c>
      <c r="AE2223">
        <v>-6.6222999999999903</v>
      </c>
      <c r="AF2223">
        <v>6.3265305552815203</v>
      </c>
      <c r="AG2223">
        <v>-1.102293145602</v>
      </c>
      <c r="AH2223">
        <v>23.0091058783484</v>
      </c>
      <c r="AI2223">
        <v>92.644756201397996</v>
      </c>
      <c r="AJ2223">
        <v>74.626002627002606</v>
      </c>
      <c r="AK2223">
        <v>23.8884698624002</v>
      </c>
      <c r="AL2223">
        <v>88.227220112339594</v>
      </c>
      <c r="AM2223">
        <v>80.990359447319094</v>
      </c>
      <c r="AN2223">
        <v>1.00000001966125</v>
      </c>
    </row>
    <row r="2224" spans="1:40" x14ac:dyDescent="0.3">
      <c r="A2224" t="str">
        <f>"20200111153918934"</f>
        <v>20200111153918934</v>
      </c>
      <c r="B2224" t="str">
        <f>"1578728358923384"</f>
        <v>1578728358923384</v>
      </c>
      <c r="C2224" t="s">
        <v>40</v>
      </c>
      <c r="D2224">
        <v>5.4741010000000001</v>
      </c>
      <c r="E2224">
        <v>0.54194589999999998</v>
      </c>
      <c r="F2224" t="s">
        <v>55</v>
      </c>
      <c r="G2224">
        <v>-216.3674</v>
      </c>
      <c r="H2224" s="1">
        <v>2.053396E-6</v>
      </c>
      <c r="I2224">
        <v>210.00059999999999</v>
      </c>
      <c r="J2224">
        <v>-238.46950000000001</v>
      </c>
      <c r="K2224">
        <v>1.1021829999999999</v>
      </c>
      <c r="L2224">
        <v>216.44759999999999</v>
      </c>
      <c r="M2224">
        <v>0.99968120000000005</v>
      </c>
      <c r="N2224">
        <v>0</v>
      </c>
      <c r="O2224">
        <v>-1.4239709999999999E-2</v>
      </c>
      <c r="P2224">
        <v>0.98531349999999995</v>
      </c>
      <c r="Q2224">
        <v>7.9113150000000004E-3</v>
      </c>
      <c r="R2224">
        <v>-0.17057310000000001</v>
      </c>
      <c r="S2224">
        <v>2.9035340000000001</v>
      </c>
      <c r="T2224">
        <v>-0.14167479999999999</v>
      </c>
      <c r="U2224">
        <v>-0.82957459999999905</v>
      </c>
      <c r="V2224">
        <v>0.15669649999999999</v>
      </c>
      <c r="W2224">
        <v>2.753274E-2</v>
      </c>
      <c r="X2224">
        <v>0.987263</v>
      </c>
      <c r="Y2224">
        <v>0.2607257</v>
      </c>
      <c r="Z2224">
        <v>-5.5520550000000002E-3</v>
      </c>
      <c r="AA2224">
        <v>0.9653969</v>
      </c>
      <c r="AB2224">
        <v>50</v>
      </c>
      <c r="AC2224">
        <v>22.1021</v>
      </c>
      <c r="AD2224">
        <v>-1.102180946604</v>
      </c>
      <c r="AE2224">
        <v>-6.4470000000000001</v>
      </c>
      <c r="AF2224">
        <v>6.1175300176822001</v>
      </c>
      <c r="AG2224">
        <v>-1.102180946604</v>
      </c>
      <c r="AH2224">
        <v>22.140939026931001</v>
      </c>
      <c r="AI2224">
        <v>92.747081288171699</v>
      </c>
      <c r="AJ2224">
        <v>74.554551627061102</v>
      </c>
      <c r="AK2224">
        <v>22.9969597414653</v>
      </c>
      <c r="AL2224">
        <v>88.422290885877203</v>
      </c>
      <c r="AM2224">
        <v>80.981351932246895</v>
      </c>
      <c r="AN2224">
        <v>1.0000000380265699</v>
      </c>
    </row>
    <row r="2225" spans="1:40" x14ac:dyDescent="0.3">
      <c r="A2225" t="str">
        <f>"20200111153918955"</f>
        <v>20200111153918955</v>
      </c>
      <c r="B2225" t="str">
        <f>"1578728358952664"</f>
        <v>1578728358952664</v>
      </c>
      <c r="C2225" t="s">
        <v>40</v>
      </c>
      <c r="D2225">
        <v>5.3711099999999998</v>
      </c>
      <c r="E2225">
        <v>0.54211640000000005</v>
      </c>
      <c r="F2225" t="s">
        <v>55</v>
      </c>
      <c r="G2225">
        <v>-217.4615</v>
      </c>
      <c r="H2225" s="1">
        <v>2.6192540000000001E-6</v>
      </c>
      <c r="I2225">
        <v>210.37459999999999</v>
      </c>
      <c r="J2225">
        <v>-238.0033</v>
      </c>
      <c r="K2225">
        <v>1.1020570000000001</v>
      </c>
      <c r="L2225">
        <v>216.43940000000001</v>
      </c>
      <c r="M2225">
        <v>0.9996505</v>
      </c>
      <c r="N2225">
        <v>0</v>
      </c>
      <c r="O2225">
        <v>-1.6266340000000001E-2</v>
      </c>
      <c r="P2225">
        <v>0.98500120000000002</v>
      </c>
      <c r="Q2225">
        <v>4.867896E-3</v>
      </c>
      <c r="R2225">
        <v>-0.17247979999999999</v>
      </c>
      <c r="S2225">
        <v>2.9008029999999998</v>
      </c>
      <c r="T2225">
        <v>-0.15218960000000001</v>
      </c>
      <c r="U2225">
        <v>-0.83856200000000003</v>
      </c>
      <c r="V2225">
        <v>0.15659289999999901</v>
      </c>
      <c r="W2225">
        <v>2.4430529999999999E-2</v>
      </c>
      <c r="X2225">
        <v>0.98736100000000004</v>
      </c>
      <c r="Y2225">
        <v>0.26173059999999998</v>
      </c>
      <c r="Z2225">
        <v>-5.8882910000000004E-3</v>
      </c>
      <c r="AA2225">
        <v>0.96512299999999995</v>
      </c>
      <c r="AB2225">
        <v>50</v>
      </c>
      <c r="AC2225">
        <v>20.541799999999899</v>
      </c>
      <c r="AD2225">
        <v>-1.1020543807459999</v>
      </c>
      <c r="AE2225">
        <v>-6.0648000000000204</v>
      </c>
      <c r="AF2225">
        <v>5.7146553328680696</v>
      </c>
      <c r="AG2225">
        <v>-1.1020543807459999</v>
      </c>
      <c r="AH2225">
        <v>20.583260804107098</v>
      </c>
      <c r="AI2225">
        <v>92.953264133449395</v>
      </c>
      <c r="AJ2225">
        <v>74.483427714674605</v>
      </c>
      <c r="AK2225">
        <v>21.390241577913301</v>
      </c>
      <c r="AL2225">
        <v>88.600094412393403</v>
      </c>
      <c r="AM2225">
        <v>80.988096588078307</v>
      </c>
      <c r="AN2225">
        <v>0.99999996572374406</v>
      </c>
    </row>
    <row r="2226" spans="1:40" x14ac:dyDescent="0.3">
      <c r="A2226" t="str">
        <f>"20200111153918979"</f>
        <v>20200111153918979</v>
      </c>
      <c r="B2226" t="str">
        <f>"1578728358973160"</f>
        <v>1578728358973160</v>
      </c>
      <c r="C2226" t="s">
        <v>40</v>
      </c>
      <c r="D2226">
        <v>5.3672079999999998</v>
      </c>
      <c r="E2226">
        <v>0.5257347</v>
      </c>
      <c r="F2226" t="s">
        <v>55</v>
      </c>
      <c r="G2226">
        <v>-218.31379999999999</v>
      </c>
      <c r="H2226" s="1">
        <v>3.0588330000000001E-6</v>
      </c>
      <c r="I2226">
        <v>210.69409999999999</v>
      </c>
      <c r="J2226">
        <v>-237.47059999999999</v>
      </c>
      <c r="K2226">
        <v>1.101912</v>
      </c>
      <c r="L2226">
        <v>216.42869999999999</v>
      </c>
      <c r="M2226">
        <v>0.99960729999999998</v>
      </c>
      <c r="N2226">
        <v>0</v>
      </c>
      <c r="O2226">
        <v>-1.8762129999999998E-2</v>
      </c>
      <c r="P2226">
        <v>0.98463140000000005</v>
      </c>
      <c r="Q2226">
        <v>3.058313E-3</v>
      </c>
      <c r="R2226">
        <v>-0.17461889999999999</v>
      </c>
      <c r="S2226">
        <v>2.8983919999999999</v>
      </c>
      <c r="T2226">
        <v>-0.1622277</v>
      </c>
      <c r="U2226">
        <v>-0.84573359999999997</v>
      </c>
      <c r="V2226">
        <v>0.1562684</v>
      </c>
      <c r="W2226">
        <v>2.255184E-2</v>
      </c>
      <c r="X2226">
        <v>0.98745720000000003</v>
      </c>
      <c r="Y2226">
        <v>0.2616985</v>
      </c>
      <c r="Z2226">
        <v>-6.1415489999999996E-3</v>
      </c>
      <c r="AA2226">
        <v>0.96513009999999999</v>
      </c>
      <c r="AB2226">
        <v>50</v>
      </c>
      <c r="AC2226">
        <v>19.1568</v>
      </c>
      <c r="AD2226">
        <v>-1.101908941167</v>
      </c>
      <c r="AE2226">
        <v>-5.7346000000000004</v>
      </c>
      <c r="AF2226">
        <v>5.3578208275681396</v>
      </c>
      <c r="AG2226">
        <v>-1.101908941167</v>
      </c>
      <c r="AH2226">
        <v>19.202733892435301</v>
      </c>
      <c r="AI2226">
        <v>93.163623163517798</v>
      </c>
      <c r="AJ2226">
        <v>74.410183282009299</v>
      </c>
      <c r="AK2226">
        <v>19.966608031376602</v>
      </c>
      <c r="AL2226">
        <v>88.707765274295596</v>
      </c>
      <c r="AM2226">
        <v>81.007327824707303</v>
      </c>
      <c r="AN2226">
        <v>1.0000000600788901</v>
      </c>
    </row>
    <row r="2227" spans="1:40" x14ac:dyDescent="0.3">
      <c r="A2227" t="str">
        <f>"20200111153919001"</f>
        <v>20200111153919001</v>
      </c>
      <c r="B2227" t="str">
        <f>"1578728358993188"</f>
        <v>1578728358993188</v>
      </c>
      <c r="C2227" t="s">
        <v>40</v>
      </c>
      <c r="D2227">
        <v>5.3223260000000003</v>
      </c>
      <c r="E2227">
        <v>0.52436689999999997</v>
      </c>
      <c r="F2227" t="s">
        <v>55</v>
      </c>
      <c r="G2227">
        <v>-221.40199999999999</v>
      </c>
      <c r="H2227" s="1">
        <v>-6.9599879999999997E-7</v>
      </c>
      <c r="I2227">
        <v>212.4494</v>
      </c>
      <c r="J2227">
        <v>-236.95590000000001</v>
      </c>
      <c r="K2227">
        <v>1.1017840000000001</v>
      </c>
      <c r="L2227">
        <v>216.417</v>
      </c>
      <c r="M2227">
        <v>0.99955629999999995</v>
      </c>
      <c r="N2227">
        <v>0</v>
      </c>
      <c r="O2227">
        <v>-2.1319689999999999E-2</v>
      </c>
      <c r="P2227">
        <v>0.98420359999999996</v>
      </c>
      <c r="Q2227">
        <v>2.6256970000000002E-3</v>
      </c>
      <c r="R2227">
        <v>-0.1770215</v>
      </c>
      <c r="S2227">
        <v>2.9192049999999998</v>
      </c>
      <c r="T2227">
        <v>-0.20018649999999999</v>
      </c>
      <c r="U2227">
        <v>-0.72293090000000004</v>
      </c>
      <c r="V2227">
        <v>0.15615599999999999</v>
      </c>
      <c r="W2227">
        <v>2.205176E-2</v>
      </c>
      <c r="X2227">
        <v>0.98748619999999998</v>
      </c>
      <c r="Y2227">
        <v>0.219194</v>
      </c>
      <c r="Z2227">
        <v>-5.9576169999999897E-3</v>
      </c>
      <c r="AA2227">
        <v>0.97566310000000001</v>
      </c>
      <c r="AB2227">
        <v>50</v>
      </c>
      <c r="AC2227">
        <v>15.553900000000001</v>
      </c>
      <c r="AD2227">
        <v>-1.1017846959988</v>
      </c>
      <c r="AE2227">
        <v>-3.9676</v>
      </c>
      <c r="AF2227">
        <v>3.6179765015962002</v>
      </c>
      <c r="AG2227">
        <v>-1.1017846959988</v>
      </c>
      <c r="AH2227">
        <v>15.561654546751701</v>
      </c>
      <c r="AI2227">
        <v>93.944984657898203</v>
      </c>
      <c r="AJ2227">
        <v>76.911645089359894</v>
      </c>
      <c r="AK2227">
        <v>16.0146425409648</v>
      </c>
      <c r="AL2227">
        <v>88.736424780551104</v>
      </c>
      <c r="AM2227">
        <v>81.013950040012702</v>
      </c>
      <c r="AN2227">
        <v>0.99999998582276795</v>
      </c>
    </row>
    <row r="2228" spans="1:40" x14ac:dyDescent="0.3">
      <c r="A2228" t="str">
        <f>"20200111153919026"</f>
        <v>20200111153919026</v>
      </c>
      <c r="B2228" t="str">
        <f>"1578728359023444"</f>
        <v>1578728359023444</v>
      </c>
      <c r="C2228" t="s">
        <v>40</v>
      </c>
      <c r="D2228">
        <v>5.3017450000000004</v>
      </c>
      <c r="E2228">
        <v>0.5251709</v>
      </c>
      <c r="F2228" t="s">
        <v>55</v>
      </c>
      <c r="G2228">
        <v>-220.78880000000001</v>
      </c>
      <c r="H2228" s="1">
        <v>-1.0216990000000001E-6</v>
      </c>
      <c r="I2228">
        <v>212.435</v>
      </c>
      <c r="J2228">
        <v>-236.43170000000001</v>
      </c>
      <c r="K2228">
        <v>1.1016709999999901</v>
      </c>
      <c r="L2228">
        <v>216.40360000000001</v>
      </c>
      <c r="M2228">
        <v>0.99949449999999995</v>
      </c>
      <c r="N2228">
        <v>0</v>
      </c>
      <c r="O2228">
        <v>-2.405463E-2</v>
      </c>
      <c r="P2228">
        <v>0.98394099999999995</v>
      </c>
      <c r="Q2228">
        <v>2.3825109999999999E-3</v>
      </c>
      <c r="R2228">
        <v>-0.17847769999999999</v>
      </c>
      <c r="S2228">
        <v>2.9193730000000002</v>
      </c>
      <c r="T2228">
        <v>-0.1989543</v>
      </c>
      <c r="U2228">
        <v>-0.71903989999999995</v>
      </c>
      <c r="V2228">
        <v>0.15492010000000001</v>
      </c>
      <c r="W2228">
        <v>2.1758099999999999E-2</v>
      </c>
      <c r="X2228">
        <v>0.98768739999999999</v>
      </c>
      <c r="Y2228">
        <v>0.21530389999999999</v>
      </c>
      <c r="Z2228">
        <v>-5.6079750000000003E-3</v>
      </c>
      <c r="AA2228">
        <v>0.97653100000000004</v>
      </c>
      <c r="AB2228">
        <v>50</v>
      </c>
      <c r="AC2228">
        <v>15.6428999999999</v>
      </c>
      <c r="AD2228">
        <v>-1.1016720216989999</v>
      </c>
      <c r="AE2228">
        <v>-3.9685999999999999</v>
      </c>
      <c r="AF2228">
        <v>3.5744290571665398</v>
      </c>
      <c r="AG2228">
        <v>-1.1016720216989999</v>
      </c>
      <c r="AH2228">
        <v>15.660876828111499</v>
      </c>
      <c r="AI2228">
        <v>93.923306649558796</v>
      </c>
      <c r="AJ2228">
        <v>77.143079285014494</v>
      </c>
      <c r="AK2228">
        <v>16.101344271624999</v>
      </c>
      <c r="AL2228">
        <v>88.753254347925704</v>
      </c>
      <c r="AM2228">
        <v>81.085710372888002</v>
      </c>
      <c r="AN2228">
        <v>1.0000000262091799</v>
      </c>
    </row>
    <row r="2229" spans="1:40" x14ac:dyDescent="0.3">
      <c r="A2229" t="str">
        <f>"20200111153919047"</f>
        <v>20200111153919047</v>
      </c>
      <c r="B2229" t="str">
        <f>"1578728359042965"</f>
        <v>1578728359042965</v>
      </c>
      <c r="C2229" t="s">
        <v>40</v>
      </c>
      <c r="D2229">
        <v>5.3028829999999996</v>
      </c>
      <c r="E2229">
        <v>0.52544369999999996</v>
      </c>
      <c r="F2229" t="s">
        <v>55</v>
      </c>
      <c r="G2229">
        <v>-220.21039999999999</v>
      </c>
      <c r="H2229" s="1">
        <v>-1.3256080000000001E-6</v>
      </c>
      <c r="I2229">
        <v>212.346</v>
      </c>
      <c r="J2229">
        <v>-235.96879999999999</v>
      </c>
      <c r="K2229">
        <v>1.1015980000000001</v>
      </c>
      <c r="L2229">
        <v>216.3905</v>
      </c>
      <c r="M2229">
        <v>0.99943150000000003</v>
      </c>
      <c r="N2229">
        <v>0</v>
      </c>
      <c r="O2229">
        <v>-2.6557609999999999E-2</v>
      </c>
      <c r="P2229">
        <v>0.98369059999999997</v>
      </c>
      <c r="Q2229">
        <v>4.5626399999999998E-3</v>
      </c>
      <c r="R2229">
        <v>-0.17981220000000001</v>
      </c>
      <c r="S2229">
        <v>2.917068</v>
      </c>
      <c r="T2229">
        <v>-0.19811280000000001</v>
      </c>
      <c r="U2229">
        <v>-0.72967530000000003</v>
      </c>
      <c r="V2229">
        <v>0.1538079</v>
      </c>
      <c r="W2229">
        <v>2.3899009999999998E-2</v>
      </c>
      <c r="X2229">
        <v>0.98781169999999996</v>
      </c>
      <c r="Y2229">
        <v>0.21639749999999999</v>
      </c>
      <c r="Z2229">
        <v>-5.4557599999999996E-3</v>
      </c>
      <c r="AA2229">
        <v>0.97629010000000005</v>
      </c>
      <c r="AB2229">
        <v>49</v>
      </c>
      <c r="AC2229">
        <v>15.7583999999999</v>
      </c>
      <c r="AD2229">
        <v>-1.1015993256079999</v>
      </c>
      <c r="AE2229">
        <v>-4.0445000000000197</v>
      </c>
      <c r="AF2229">
        <v>3.6079355284094201</v>
      </c>
      <c r="AG2229">
        <v>-1.1015993256079999</v>
      </c>
      <c r="AH2229">
        <v>15.7878909162983</v>
      </c>
      <c r="AI2229">
        <v>93.891343968663506</v>
      </c>
      <c r="AJ2229">
        <v>77.127499794796705</v>
      </c>
      <c r="AK2229">
        <v>16.2323202111181</v>
      </c>
      <c r="AL2229">
        <v>88.630557200317895</v>
      </c>
      <c r="AM2229">
        <v>81.149786924947804</v>
      </c>
      <c r="AN2229">
        <v>0.99999999371913995</v>
      </c>
    </row>
    <row r="2230" spans="1:40" x14ac:dyDescent="0.3">
      <c r="A2230" t="str">
        <f>"20200111153919069"</f>
        <v>20200111153919069</v>
      </c>
      <c r="B2230" t="str">
        <f>"1578728359063460"</f>
        <v>1578728359063460</v>
      </c>
      <c r="C2230" t="s">
        <v>40</v>
      </c>
      <c r="D2230">
        <v>5.3542610000000002</v>
      </c>
      <c r="E2230">
        <v>0.52563110000000002</v>
      </c>
      <c r="F2230" t="s">
        <v>55</v>
      </c>
      <c r="G2230">
        <v>-219.17869999999999</v>
      </c>
      <c r="H2230" s="1">
        <v>3.4551440000000001E-6</v>
      </c>
      <c r="I2230">
        <v>212.15719999999999</v>
      </c>
      <c r="J2230">
        <v>-235.4965</v>
      </c>
      <c r="K2230">
        <v>1.1015509999999999</v>
      </c>
      <c r="L2230">
        <v>216.376</v>
      </c>
      <c r="M2230">
        <v>0.99935870000000004</v>
      </c>
      <c r="N2230">
        <v>0</v>
      </c>
      <c r="O2230">
        <v>-2.9175300000000001E-2</v>
      </c>
      <c r="P2230">
        <v>0.98321400000000003</v>
      </c>
      <c r="Q2230">
        <v>8.0705710000000003E-3</v>
      </c>
      <c r="R2230">
        <v>-0.18227689999999999</v>
      </c>
      <c r="S2230">
        <v>2.916245</v>
      </c>
      <c r="T2230">
        <v>-0.19133349999999999</v>
      </c>
      <c r="U2230">
        <v>-0.73527529999999997</v>
      </c>
      <c r="V2230">
        <v>0.153729799999999</v>
      </c>
      <c r="W2230">
        <v>2.7361139999999999E-2</v>
      </c>
      <c r="X2230">
        <v>0.987734</v>
      </c>
      <c r="Y2230">
        <v>0.21570320000000001</v>
      </c>
      <c r="Z2230">
        <v>-5.0786750000000004E-3</v>
      </c>
      <c r="AA2230">
        <v>0.97644569999999997</v>
      </c>
      <c r="AB2230">
        <v>49</v>
      </c>
      <c r="AC2230">
        <v>16.317799999999998</v>
      </c>
      <c r="AD2230">
        <v>-1.1015475448559999</v>
      </c>
      <c r="AE2230">
        <v>-4.2187999999999803</v>
      </c>
      <c r="AF2230">
        <v>3.7249129351384198</v>
      </c>
      <c r="AG2230">
        <v>-1.1015475448559999</v>
      </c>
      <c r="AH2230">
        <v>16.364062488308502</v>
      </c>
      <c r="AI2230">
        <v>93.755283304679196</v>
      </c>
      <c r="AJ2230">
        <v>77.176399155565207</v>
      </c>
      <c r="AK2230">
        <v>16.818767032372101</v>
      </c>
      <c r="AL2230">
        <v>88.432126438611704</v>
      </c>
      <c r="AM2230">
        <v>81.153524917333996</v>
      </c>
      <c r="AN2230">
        <v>0.99999996907306898</v>
      </c>
    </row>
    <row r="2231" spans="1:40" x14ac:dyDescent="0.3">
      <c r="A2231" t="str">
        <f>"20200111153919093"</f>
        <v>20200111153919093</v>
      </c>
      <c r="B2231" t="str">
        <f>"1578728359082980"</f>
        <v>1578728359082980</v>
      </c>
      <c r="C2231" t="s">
        <v>40</v>
      </c>
      <c r="D2231">
        <v>5.3540590000000003</v>
      </c>
      <c r="E2231">
        <v>0.52590969999999904</v>
      </c>
      <c r="F2231" t="s">
        <v>55</v>
      </c>
      <c r="G2231">
        <v>-217.62970000000001</v>
      </c>
      <c r="H2231" s="1">
        <v>2.6457949999999998E-6</v>
      </c>
      <c r="I2231">
        <v>211.81549999999999</v>
      </c>
      <c r="J2231">
        <v>-234.95150000000001</v>
      </c>
      <c r="K2231">
        <v>1.101494</v>
      </c>
      <c r="L2231">
        <v>216.35769999999999</v>
      </c>
      <c r="M2231">
        <v>0.99926459999999995</v>
      </c>
      <c r="N2231">
        <v>0</v>
      </c>
      <c r="O2231">
        <v>-3.2248569999999997E-2</v>
      </c>
      <c r="P2231">
        <v>0.98246690000000003</v>
      </c>
      <c r="Q2231">
        <v>1.191732E-2</v>
      </c>
      <c r="R2231">
        <v>-0.18605640000000001</v>
      </c>
      <c r="S2231">
        <v>2.9147639999999999</v>
      </c>
      <c r="T2231">
        <v>-0.17970529999999901</v>
      </c>
      <c r="U2231">
        <v>-0.74398799999999998</v>
      </c>
      <c r="V2231">
        <v>0.15452839999999901</v>
      </c>
      <c r="W2231">
        <v>3.1150850000000001E-2</v>
      </c>
      <c r="X2231">
        <v>0.98749719999999996</v>
      </c>
      <c r="Y2231">
        <v>0.2156102</v>
      </c>
      <c r="Z2231">
        <v>-4.5824860000000002E-3</v>
      </c>
      <c r="AA2231">
        <v>0.97646869999999997</v>
      </c>
      <c r="AB2231">
        <v>49</v>
      </c>
      <c r="AC2231">
        <v>17.3217999999999</v>
      </c>
      <c r="AD2231">
        <v>-1.101491354205</v>
      </c>
      <c r="AE2231">
        <v>-4.5422000000000002</v>
      </c>
      <c r="AF2231">
        <v>3.96610717335833</v>
      </c>
      <c r="AG2231">
        <v>-1.101491354205</v>
      </c>
      <c r="AH2231">
        <v>17.393489179486501</v>
      </c>
      <c r="AI2231">
        <v>93.533127941612804</v>
      </c>
      <c r="AJ2231">
        <v>77.154890809453406</v>
      </c>
      <c r="AK2231">
        <v>17.873912698423599</v>
      </c>
      <c r="AL2231">
        <v>88.214899093114497</v>
      </c>
      <c r="AM2231">
        <v>81.106203327931794</v>
      </c>
      <c r="AN2231">
        <v>1.0000000609350499</v>
      </c>
    </row>
    <row r="2232" spans="1:40" x14ac:dyDescent="0.3">
      <c r="A2232" t="str">
        <f>"20200111153919118"</f>
        <v>20200111153919118</v>
      </c>
      <c r="B2232" t="str">
        <f>"1578728359113238"</f>
        <v>1578728359113238</v>
      </c>
      <c r="C2232" t="s">
        <v>40</v>
      </c>
      <c r="D2232">
        <v>5.4038959999999996</v>
      </c>
      <c r="E2232">
        <v>0.52637900000000004</v>
      </c>
      <c r="F2232" t="s">
        <v>55</v>
      </c>
      <c r="G2232">
        <v>-215.7731</v>
      </c>
      <c r="H2232" s="1">
        <v>1.6772199999999999E-6</v>
      </c>
      <c r="I2232">
        <v>211.37100000000001</v>
      </c>
      <c r="J2232">
        <v>-234.4375</v>
      </c>
      <c r="K2232">
        <v>1.101437</v>
      </c>
      <c r="L2232">
        <v>216.3389</v>
      </c>
      <c r="M2232">
        <v>0.9991662</v>
      </c>
      <c r="N2232">
        <v>0</v>
      </c>
      <c r="O2232">
        <v>-3.5178830000000001E-2</v>
      </c>
      <c r="P2232">
        <v>0.98173100000000002</v>
      </c>
      <c r="Q2232">
        <v>1.3189019999999999E-2</v>
      </c>
      <c r="R2232">
        <v>-0.1898183</v>
      </c>
      <c r="S2232">
        <v>2.9121860000000002</v>
      </c>
      <c r="T2232">
        <v>-0.16725870000000001</v>
      </c>
      <c r="U2232">
        <v>-0.75721740000000004</v>
      </c>
      <c r="V2232">
        <v>0.15543109999999999</v>
      </c>
      <c r="W2232">
        <v>3.2374269999999997E-2</v>
      </c>
      <c r="X2232">
        <v>0.98731610000000003</v>
      </c>
      <c r="Y2232">
        <v>0.21715899999999999</v>
      </c>
      <c r="Z2232">
        <v>-4.1456160000000004E-3</v>
      </c>
      <c r="AA2232">
        <v>0.97612739999999998</v>
      </c>
      <c r="AB2232">
        <v>49</v>
      </c>
      <c r="AC2232">
        <v>18.664400000000001</v>
      </c>
      <c r="AD2232">
        <v>-1.10143532278</v>
      </c>
      <c r="AE2232">
        <v>-4.96790000000001</v>
      </c>
      <c r="AF2232">
        <v>4.29412606805443</v>
      </c>
      <c r="AG2232">
        <v>-1.10143532278</v>
      </c>
      <c r="AH2232">
        <v>18.766614088504799</v>
      </c>
      <c r="AI2232">
        <v>93.274469149898593</v>
      </c>
      <c r="AJ2232">
        <v>77.111610915761403</v>
      </c>
      <c r="AK2232">
        <v>19.2831139291733</v>
      </c>
      <c r="AL2232">
        <v>88.144766793040901</v>
      </c>
      <c r="AM2232">
        <v>81.053472434048601</v>
      </c>
      <c r="AN2232">
        <v>1.0000000007622201</v>
      </c>
    </row>
    <row r="2233" spans="1:40" x14ac:dyDescent="0.3">
      <c r="A2233" t="str">
        <f>"20200111153919141"</f>
        <v>20200111153919141</v>
      </c>
      <c r="B2233" t="str">
        <f>"1578728359132756"</f>
        <v>1578728359132756</v>
      </c>
      <c r="C2233" t="s">
        <v>40</v>
      </c>
      <c r="D2233">
        <v>5.3854319999999998</v>
      </c>
      <c r="E2233">
        <v>0.52663769999999999</v>
      </c>
      <c r="F2233" t="s">
        <v>55</v>
      </c>
      <c r="G2233">
        <v>-214.85720000000001</v>
      </c>
      <c r="H2233" s="1">
        <v>1.199955E-6</v>
      </c>
      <c r="I2233">
        <v>211.13990000000001</v>
      </c>
      <c r="J2233">
        <v>-233.9118</v>
      </c>
      <c r="K2233">
        <v>1.10137</v>
      </c>
      <c r="L2233">
        <v>216.31790000000001</v>
      </c>
      <c r="M2233">
        <v>0.99905580000000005</v>
      </c>
      <c r="N2233">
        <v>0</v>
      </c>
      <c r="O2233">
        <v>-3.819119E-2</v>
      </c>
      <c r="P2233">
        <v>0.98102020000000001</v>
      </c>
      <c r="Q2233">
        <v>1.079163E-2</v>
      </c>
      <c r="R2233">
        <v>-0.1936061</v>
      </c>
      <c r="S2233">
        <v>2.9086910000000001</v>
      </c>
      <c r="T2233">
        <v>-0.1636206</v>
      </c>
      <c r="U2233">
        <v>-0.7723236</v>
      </c>
      <c r="V2233">
        <v>0.15624830000000001</v>
      </c>
      <c r="W2233">
        <v>2.9934530000000001E-2</v>
      </c>
      <c r="X2233">
        <v>0.98726409999999998</v>
      </c>
      <c r="Y2233">
        <v>0.21925620000000001</v>
      </c>
      <c r="Z2233">
        <v>-3.9496440000000004E-3</v>
      </c>
      <c r="AA2233">
        <v>0.97565930000000001</v>
      </c>
      <c r="AB2233">
        <v>49</v>
      </c>
      <c r="AC2233">
        <v>19.054599999999901</v>
      </c>
      <c r="AD2233">
        <v>-1.1013688000449999</v>
      </c>
      <c r="AE2233">
        <v>-5.1779999999999902</v>
      </c>
      <c r="AF2233">
        <v>4.4325563512865198</v>
      </c>
      <c r="AG2233">
        <v>-1.1013688000449999</v>
      </c>
      <c r="AH2233">
        <v>19.1788205523996</v>
      </c>
      <c r="AI2233">
        <v>93.202441000937299</v>
      </c>
      <c r="AJ2233">
        <v>76.986452576398804</v>
      </c>
      <c r="AK2233">
        <v>19.7151648946233</v>
      </c>
      <c r="AL2233">
        <v>88.284621528278805</v>
      </c>
      <c r="AM2233">
        <v>81.006735684498096</v>
      </c>
      <c r="AN2233">
        <v>1.0000000052440099</v>
      </c>
    </row>
    <row r="2234" spans="1:40" x14ac:dyDescent="0.3">
      <c r="A2234" t="str">
        <f>"20200111153919164"</f>
        <v>20200111153919164</v>
      </c>
      <c r="B2234" t="str">
        <f>"1578728359153253"</f>
        <v>1578728359153253</v>
      </c>
      <c r="C2234" t="s">
        <v>40</v>
      </c>
      <c r="D2234">
        <v>5.3726059999999896</v>
      </c>
      <c r="E2234">
        <v>0.52693369999999995</v>
      </c>
      <c r="F2234" t="s">
        <v>55</v>
      </c>
      <c r="G2234">
        <v>-215.28370000000001</v>
      </c>
      <c r="H2234" s="1">
        <v>1.420985E-6</v>
      </c>
      <c r="I2234">
        <v>211.2749</v>
      </c>
      <c r="J2234">
        <v>-233.4161</v>
      </c>
      <c r="K2234">
        <v>1.101305</v>
      </c>
      <c r="L2234">
        <v>216.29679999999999</v>
      </c>
      <c r="M2234">
        <v>0.99894309999999997</v>
      </c>
      <c r="N2234">
        <v>0</v>
      </c>
      <c r="O2234">
        <v>-4.1037940000000002E-2</v>
      </c>
      <c r="P2234">
        <v>0.9804735</v>
      </c>
      <c r="Q2234">
        <v>7.0511790000000003E-3</v>
      </c>
      <c r="R2234">
        <v>-0.19652559999999999</v>
      </c>
      <c r="S2234">
        <v>2.9047239999999999</v>
      </c>
      <c r="T2234">
        <v>-0.17173910000000001</v>
      </c>
      <c r="U2234">
        <v>-0.78637699999999999</v>
      </c>
      <c r="V2234">
        <v>0.1563436</v>
      </c>
      <c r="W2234">
        <v>2.616566E-2</v>
      </c>
      <c r="X2234">
        <v>0.98735609999999996</v>
      </c>
      <c r="Y2234">
        <v>0.22118360000000001</v>
      </c>
      <c r="Z2234">
        <v>-4.0394879999999999E-3</v>
      </c>
      <c r="AA2234">
        <v>0.97522379999999997</v>
      </c>
      <c r="AB2234">
        <v>49</v>
      </c>
      <c r="AC2234">
        <v>18.132399999999901</v>
      </c>
      <c r="AD2234">
        <v>-1.1013035790150001</v>
      </c>
      <c r="AE2234">
        <v>-5.02189999999998</v>
      </c>
      <c r="AF2234">
        <v>4.2588005345026101</v>
      </c>
      <c r="AG2234">
        <v>-1.1013035790150001</v>
      </c>
      <c r="AH2234">
        <v>18.260687225626199</v>
      </c>
      <c r="AI2234">
        <v>93.361342221218905</v>
      </c>
      <c r="AJ2234">
        <v>76.872007950693799</v>
      </c>
      <c r="AK2234">
        <v>18.783049526580601</v>
      </c>
      <c r="AL2234">
        <v>88.500647017430794</v>
      </c>
      <c r="AM2234">
        <v>81.002164943798405</v>
      </c>
      <c r="AN2234">
        <v>1.0000000156157001</v>
      </c>
    </row>
    <row r="2235" spans="1:40" x14ac:dyDescent="0.3">
      <c r="A2235" t="str">
        <f>"20200111153919185"</f>
        <v>20200111153919185</v>
      </c>
      <c r="B2235" t="str">
        <f>"1578728359183508"</f>
        <v>1578728359183508</v>
      </c>
      <c r="C2235" t="s">
        <v>40</v>
      </c>
      <c r="D2235">
        <v>5.7741680000000004</v>
      </c>
      <c r="E2235">
        <v>0.52727109999999899</v>
      </c>
      <c r="F2235" t="s">
        <v>55</v>
      </c>
      <c r="G2235">
        <v>-216.09909999999999</v>
      </c>
      <c r="H2235" s="1">
        <v>1.8433819999999999E-6</v>
      </c>
      <c r="I2235">
        <v>211.53819999999999</v>
      </c>
      <c r="J2235">
        <v>-232.94210000000001</v>
      </c>
      <c r="K2235">
        <v>1.1012569999999999</v>
      </c>
      <c r="L2235">
        <v>216.27520000000001</v>
      </c>
      <c r="M2235">
        <v>0.99882769999999999</v>
      </c>
      <c r="N2235">
        <v>0</v>
      </c>
      <c r="O2235">
        <v>-4.3764079999999997E-2</v>
      </c>
      <c r="P2235">
        <v>0.97994610000000004</v>
      </c>
      <c r="Q2235">
        <v>4.5434569999999999E-3</v>
      </c>
      <c r="R2235">
        <v>-0.19921179999999999</v>
      </c>
      <c r="S2235">
        <v>2.9012760000000002</v>
      </c>
      <c r="T2235">
        <v>-0.1845107</v>
      </c>
      <c r="U2235">
        <v>-0.79724119999999998</v>
      </c>
      <c r="V2235">
        <v>0.15633420000000001</v>
      </c>
      <c r="W2235">
        <v>2.3635400000000001E-2</v>
      </c>
      <c r="X2235">
        <v>0.9874214</v>
      </c>
      <c r="Y2235">
        <v>0.22217110000000001</v>
      </c>
      <c r="Z2235">
        <v>-4.2035659999999997E-3</v>
      </c>
      <c r="AA2235">
        <v>0.9749987</v>
      </c>
      <c r="AB2235">
        <v>48</v>
      </c>
      <c r="AC2235">
        <v>16.843</v>
      </c>
      <c r="AD2235">
        <v>-1.101255156618</v>
      </c>
      <c r="AE2235">
        <v>-4.7370000000000196</v>
      </c>
      <c r="AF2235">
        <v>3.9794182814758998</v>
      </c>
      <c r="AG2235">
        <v>-1.101255156618</v>
      </c>
      <c r="AH2235">
        <v>16.966993256388399</v>
      </c>
      <c r="AI2235">
        <v>93.615768929391095</v>
      </c>
      <c r="AJ2235">
        <v>76.800493115134799</v>
      </c>
      <c r="AK2235">
        <v>17.462170338799599</v>
      </c>
      <c r="AL2235">
        <v>88.645665241087599</v>
      </c>
      <c r="AM2235">
        <v>81.003282355156003</v>
      </c>
      <c r="AN2235">
        <v>1.0000000177003701</v>
      </c>
    </row>
    <row r="2236" spans="1:40" x14ac:dyDescent="0.3">
      <c r="A2236" t="str">
        <f>"20200111153919205"</f>
        <v>20200111153919205</v>
      </c>
      <c r="B2236" t="str">
        <f>"1578728359203028"</f>
        <v>1578728359203028</v>
      </c>
      <c r="C2236" t="s">
        <v>40</v>
      </c>
      <c r="D2236">
        <v>5.3962659999999998</v>
      </c>
      <c r="E2236">
        <v>0.50502559999999996</v>
      </c>
      <c r="F2236" t="s">
        <v>55</v>
      </c>
      <c r="G2236">
        <v>-216.33439999999999</v>
      </c>
      <c r="H2236" s="1">
        <v>1.9638510000000001E-6</v>
      </c>
      <c r="I2236">
        <v>211.6465</v>
      </c>
      <c r="J2236">
        <v>-232.51750000000001</v>
      </c>
      <c r="K2236">
        <v>1.1012280000000001</v>
      </c>
      <c r="L2236">
        <v>216.25479999999999</v>
      </c>
      <c r="M2236">
        <v>0.99871770000000004</v>
      </c>
      <c r="N2236">
        <v>0</v>
      </c>
      <c r="O2236">
        <v>-4.6208829999999999E-2</v>
      </c>
      <c r="P2236">
        <v>0.97964510000000005</v>
      </c>
      <c r="Q2236">
        <v>4.2964780000000003E-3</v>
      </c>
      <c r="R2236">
        <v>-0.2006906</v>
      </c>
      <c r="S2236">
        <v>2.8980869999999999</v>
      </c>
      <c r="T2236">
        <v>-0.19217119999999999</v>
      </c>
      <c r="U2236">
        <v>-0.80770869999999995</v>
      </c>
      <c r="V2236">
        <v>0.155406399999999</v>
      </c>
      <c r="W2236">
        <v>2.3381309999999999E-2</v>
      </c>
      <c r="X2236">
        <v>0.9875739</v>
      </c>
      <c r="Y2236">
        <v>0.22330359999999999</v>
      </c>
      <c r="Z2236">
        <v>-4.2588269999999998E-3</v>
      </c>
      <c r="AA2236">
        <v>0.97473960000000004</v>
      </c>
      <c r="AB2236">
        <v>48</v>
      </c>
      <c r="AC2236">
        <v>16.1831</v>
      </c>
      <c r="AD2236">
        <v>-1.1012260361489901</v>
      </c>
      <c r="AE2236">
        <v>-4.6082999999999803</v>
      </c>
      <c r="AF2236">
        <v>3.8389701511340699</v>
      </c>
      <c r="AG2236">
        <v>-1.1012260361489901</v>
      </c>
      <c r="AH2236">
        <v>16.308941084256201</v>
      </c>
      <c r="AI2236">
        <v>93.760441118223696</v>
      </c>
      <c r="AJ2236">
        <v>76.754246408594597</v>
      </c>
      <c r="AK2236">
        <v>16.790829339068701</v>
      </c>
      <c r="AL2236">
        <v>88.660227554862701</v>
      </c>
      <c r="AM2236">
        <v>81.057168486472506</v>
      </c>
      <c r="AN2236">
        <v>1.00000002138974</v>
      </c>
    </row>
    <row r="2237" spans="1:40" x14ac:dyDescent="0.3">
      <c r="A2237" t="str">
        <f>"20200111153919226"</f>
        <v>20200111153919226</v>
      </c>
      <c r="B2237" t="str">
        <f>"1578728359222548"</f>
        <v>1578728359222548</v>
      </c>
      <c r="C2237" t="s">
        <v>40</v>
      </c>
      <c r="D2237">
        <v>5.5619990000000001</v>
      </c>
      <c r="E2237">
        <v>0.50205949999999999</v>
      </c>
      <c r="F2237" t="s">
        <v>55</v>
      </c>
      <c r="G2237">
        <v>-218.27930000000001</v>
      </c>
      <c r="H2237" s="1">
        <v>2.9327330000000002E-6</v>
      </c>
      <c r="I2237">
        <v>213.15979999999999</v>
      </c>
      <c r="J2237">
        <v>-232.06700000000001</v>
      </c>
      <c r="K2237">
        <v>1.1012230000000001</v>
      </c>
      <c r="L2237">
        <v>216.232</v>
      </c>
      <c r="M2237">
        <v>0.99859439999999999</v>
      </c>
      <c r="N2237">
        <v>0</v>
      </c>
      <c r="O2237">
        <v>-4.8806570000000001E-2</v>
      </c>
      <c r="P2237">
        <v>0.97941369999999905</v>
      </c>
      <c r="Q2237">
        <v>4.801853E-3</v>
      </c>
      <c r="R2237">
        <v>-0.20180690000000001</v>
      </c>
      <c r="S2237">
        <v>2.9327390000000002</v>
      </c>
      <c r="T2237">
        <v>-0.22682740000000001</v>
      </c>
      <c r="U2237">
        <v>-0.63749690000000003</v>
      </c>
      <c r="V2237">
        <v>0.15396750000000001</v>
      </c>
      <c r="W2237">
        <v>2.388757E-2</v>
      </c>
      <c r="X2237">
        <v>0.98778710000000003</v>
      </c>
      <c r="Y2237">
        <v>0.16412779999999999</v>
      </c>
      <c r="Z2237">
        <v>-2.5440609999999998E-3</v>
      </c>
      <c r="AA2237">
        <v>0.98643579999999997</v>
      </c>
      <c r="AB2237">
        <v>48</v>
      </c>
      <c r="AC2237">
        <v>13.787699999999999</v>
      </c>
      <c r="AD2237">
        <v>-1.1012200672669901</v>
      </c>
      <c r="AE2237">
        <v>-3.0722</v>
      </c>
      <c r="AF2237">
        <v>2.3809927015182999</v>
      </c>
      <c r="AG2237">
        <v>-1.1012200672669901</v>
      </c>
      <c r="AH2237">
        <v>13.8371427271461</v>
      </c>
      <c r="AI2237">
        <v>94.484623723083004</v>
      </c>
      <c r="AJ2237">
        <v>80.236580337167695</v>
      </c>
      <c r="AK2237">
        <v>14.083619234154501</v>
      </c>
      <c r="AL2237">
        <v>88.631212833793796</v>
      </c>
      <c r="AM2237">
        <v>81.140531900866506</v>
      </c>
      <c r="AN2237">
        <v>0.99999998099158205</v>
      </c>
    </row>
    <row r="2238" spans="1:40" x14ac:dyDescent="0.3">
      <c r="A2238" t="str">
        <f>"20200111153919250"</f>
        <v>20200111153919250</v>
      </c>
      <c r="B2238" t="str">
        <f>"1578728359243044"</f>
        <v>1578728359243044</v>
      </c>
      <c r="C2238" t="s">
        <v>40</v>
      </c>
      <c r="D2238">
        <v>5.4430670000000001</v>
      </c>
      <c r="E2238">
        <v>0.50223770000000001</v>
      </c>
      <c r="F2238" t="s">
        <v>55</v>
      </c>
      <c r="G2238">
        <v>-216.8665</v>
      </c>
      <c r="H2238" s="1">
        <v>2.1863339999999998E-6</v>
      </c>
      <c r="I2238">
        <v>213.03460000000001</v>
      </c>
      <c r="J2238">
        <v>-231.54660000000001</v>
      </c>
      <c r="K2238">
        <v>1.101227</v>
      </c>
      <c r="L2238">
        <v>216.20410000000001</v>
      </c>
      <c r="M2238">
        <v>0.99844319999999998</v>
      </c>
      <c r="N2238">
        <v>0</v>
      </c>
      <c r="O2238">
        <v>-5.1812839999999999E-2</v>
      </c>
      <c r="P2238">
        <v>0.97907979999999994</v>
      </c>
      <c r="Q2238">
        <v>6.478691E-3</v>
      </c>
      <c r="R2238">
        <v>-0.20337469999999999</v>
      </c>
      <c r="S2238">
        <v>2.9368289999999999</v>
      </c>
      <c r="T2238">
        <v>-0.21276239999999999</v>
      </c>
      <c r="U2238">
        <v>-0.61775210000000003</v>
      </c>
      <c r="V2238">
        <v>0.1525899</v>
      </c>
      <c r="W2238">
        <v>2.5564099999999999E-2</v>
      </c>
      <c r="X2238">
        <v>0.98795889999999997</v>
      </c>
      <c r="Y2238">
        <v>0.15459410000000001</v>
      </c>
      <c r="Z2238">
        <v>-1.8293770000000001E-3</v>
      </c>
      <c r="AA2238">
        <v>0.98797639999999998</v>
      </c>
      <c r="AB2238">
        <v>48</v>
      </c>
      <c r="AC2238">
        <v>14.680099999999999</v>
      </c>
      <c r="AD2238">
        <v>-1.1012248136659999</v>
      </c>
      <c r="AE2238">
        <v>-3.1695000000000002</v>
      </c>
      <c r="AF2238">
        <v>2.3916023131488</v>
      </c>
      <c r="AG2238">
        <v>-1.1012248136659999</v>
      </c>
      <c r="AH2238">
        <v>14.745349561242101</v>
      </c>
      <c r="AI2238">
        <v>94.216188907623405</v>
      </c>
      <c r="AJ2238">
        <v>80.787214638041405</v>
      </c>
      <c r="AK2238">
        <v>14.978577749496701</v>
      </c>
      <c r="AL2238">
        <v>88.535125370322007</v>
      </c>
      <c r="AM2238">
        <v>81.220062866414196</v>
      </c>
      <c r="AN2238">
        <v>0.99999999444001497</v>
      </c>
    </row>
    <row r="2239" spans="1:40" x14ac:dyDescent="0.3">
      <c r="A2239" t="str">
        <f>"20200111153919275"</f>
        <v>20200111153919275</v>
      </c>
      <c r="B2239" t="str">
        <f>"1578728359263540"</f>
        <v>1578728359263540</v>
      </c>
      <c r="C2239" t="s">
        <v>40</v>
      </c>
      <c r="D2239">
        <v>5.4007180000000004</v>
      </c>
      <c r="E2239">
        <v>0.5025773</v>
      </c>
      <c r="F2239" t="s">
        <v>55</v>
      </c>
      <c r="G2239">
        <v>-215.66650000000001</v>
      </c>
      <c r="H2239" s="1">
        <v>1.5568160000000001E-6</v>
      </c>
      <c r="I2239">
        <v>212.82839999999999</v>
      </c>
      <c r="J2239">
        <v>-231.04220000000001</v>
      </c>
      <c r="K2239">
        <v>1.101237</v>
      </c>
      <c r="L2239">
        <v>216.17570000000001</v>
      </c>
      <c r="M2239">
        <v>0.99828760000000005</v>
      </c>
      <c r="N2239">
        <v>0</v>
      </c>
      <c r="O2239">
        <v>-5.4733669999999998E-2</v>
      </c>
      <c r="P2239">
        <v>0.97853849999999998</v>
      </c>
      <c r="Q2239">
        <v>7.3442009999999999E-3</v>
      </c>
      <c r="R2239">
        <v>-0.2059337</v>
      </c>
      <c r="S2239">
        <v>2.9358219999999999</v>
      </c>
      <c r="T2239">
        <v>-0.2035884</v>
      </c>
      <c r="U2239">
        <v>-0.62408450000000004</v>
      </c>
      <c r="V2239">
        <v>0.1522906</v>
      </c>
      <c r="W2239">
        <v>2.642021E-2</v>
      </c>
      <c r="X2239">
        <v>0.98798260000000004</v>
      </c>
      <c r="Y2239">
        <v>0.153841899999999</v>
      </c>
      <c r="Z2239">
        <v>-1.5258229999999999E-3</v>
      </c>
      <c r="AA2239">
        <v>0.98809429999999998</v>
      </c>
      <c r="AB2239">
        <v>48</v>
      </c>
      <c r="AC2239">
        <v>15.375699999999901</v>
      </c>
      <c r="AD2239">
        <v>-1.1012354431839999</v>
      </c>
      <c r="AE2239">
        <v>-3.3473000000000099</v>
      </c>
      <c r="AF2239">
        <v>2.4883455334509401</v>
      </c>
      <c r="AG2239">
        <v>-1.1012354431839999</v>
      </c>
      <c r="AH2239">
        <v>15.460173601027501</v>
      </c>
      <c r="AI2239">
        <v>94.022724879875199</v>
      </c>
      <c r="AJ2239">
        <v>80.8565481069692</v>
      </c>
      <c r="AK2239">
        <v>15.6978199368281</v>
      </c>
      <c r="AL2239">
        <v>88.486057364068699</v>
      </c>
      <c r="AM2239">
        <v>81.237223804914805</v>
      </c>
      <c r="AN2239">
        <v>1.00000003612378</v>
      </c>
    </row>
    <row r="2240" spans="1:40" x14ac:dyDescent="0.3">
      <c r="A2240" t="str">
        <f>"20200111153919296"</f>
        <v>20200111153919296</v>
      </c>
      <c r="B2240" t="str">
        <f>"1578728359292820"</f>
        <v>1578728359292820</v>
      </c>
      <c r="C2240" t="s">
        <v>40</v>
      </c>
      <c r="D2240">
        <v>5.218604</v>
      </c>
      <c r="E2240">
        <v>0.50322479999999903</v>
      </c>
      <c r="F2240" t="s">
        <v>55</v>
      </c>
      <c r="G2240">
        <v>-214.74760000000001</v>
      </c>
      <c r="H2240" s="1">
        <v>1.0756079999999999E-6</v>
      </c>
      <c r="I2240">
        <v>212.65020000000001</v>
      </c>
      <c r="J2240">
        <v>-230.58539999999999</v>
      </c>
      <c r="K2240">
        <v>1.1012550000000001</v>
      </c>
      <c r="L2240">
        <v>216.14850000000001</v>
      </c>
      <c r="M2240">
        <v>0.998139</v>
      </c>
      <c r="N2240">
        <v>0</v>
      </c>
      <c r="O2240">
        <v>-5.7385419999999999E-2</v>
      </c>
      <c r="P2240">
        <v>0.97801559999999998</v>
      </c>
      <c r="Q2240">
        <v>8.6700389999999992E-3</v>
      </c>
      <c r="R2240">
        <v>-0.2083525</v>
      </c>
      <c r="S2240">
        <v>2.9337010000000001</v>
      </c>
      <c r="T2240">
        <v>-0.19826830000000001</v>
      </c>
      <c r="U2240">
        <v>-0.6347351</v>
      </c>
      <c r="V2240">
        <v>0.152120799999999</v>
      </c>
      <c r="W2240">
        <v>2.7737700000000001E-2</v>
      </c>
      <c r="X2240">
        <v>0.98797259999999998</v>
      </c>
      <c r="Y2240">
        <v>0.154807</v>
      </c>
      <c r="Z2240">
        <v>-1.342558E-3</v>
      </c>
      <c r="AA2240">
        <v>0.98794380000000004</v>
      </c>
      <c r="AB2240">
        <v>48</v>
      </c>
      <c r="AC2240">
        <v>15.8377999999999</v>
      </c>
      <c r="AD2240">
        <v>-1.1012539243920001</v>
      </c>
      <c r="AE2240">
        <v>-3.4983</v>
      </c>
      <c r="AF2240">
        <v>2.5716254028054601</v>
      </c>
      <c r="AG2240">
        <v>-1.1012539243920001</v>
      </c>
      <c r="AH2240">
        <v>15.939005738289101</v>
      </c>
      <c r="AI2240">
        <v>93.902082376718397</v>
      </c>
      <c r="AJ2240">
        <v>80.834786986509201</v>
      </c>
      <c r="AK2240">
        <v>16.1826425945689</v>
      </c>
      <c r="AL2240">
        <v>88.410542977117004</v>
      </c>
      <c r="AM2240">
        <v>81.2467554502512</v>
      </c>
      <c r="AN2240">
        <v>0.99999998807234503</v>
      </c>
    </row>
    <row r="2241" spans="1:40" x14ac:dyDescent="0.3">
      <c r="A2241" t="str">
        <f>"20200111153919317"</f>
        <v>20200111153919317</v>
      </c>
      <c r="B2241" t="str">
        <f>"1578728359313317"</f>
        <v>1578728359313317</v>
      </c>
      <c r="C2241" t="s">
        <v>40</v>
      </c>
      <c r="D2241">
        <v>5.4119359999999999</v>
      </c>
      <c r="E2241">
        <v>0.50370400000000004</v>
      </c>
      <c r="F2241" t="s">
        <v>55</v>
      </c>
      <c r="G2241">
        <v>-214.20310000000001</v>
      </c>
      <c r="H2241" s="1">
        <v>7.9097719999999895E-7</v>
      </c>
      <c r="I2241">
        <v>212.5326</v>
      </c>
      <c r="J2241">
        <v>-230.13890000000001</v>
      </c>
      <c r="K2241">
        <v>1.1012729999999999</v>
      </c>
      <c r="L2241">
        <v>216.1208</v>
      </c>
      <c r="M2241">
        <v>0.99798659999999995</v>
      </c>
      <c r="N2241">
        <v>0</v>
      </c>
      <c r="O2241">
        <v>-5.9982689999999998E-2</v>
      </c>
      <c r="P2241">
        <v>0.97747419999999996</v>
      </c>
      <c r="Q2241">
        <v>1.048673E-2</v>
      </c>
      <c r="R2241">
        <v>-0.21079390000000001</v>
      </c>
      <c r="S2241">
        <v>2.9313509999999998</v>
      </c>
      <c r="T2241">
        <v>-0.19705210000000001</v>
      </c>
      <c r="U2241">
        <v>-0.64701839999999999</v>
      </c>
      <c r="V2241">
        <v>0.15203329999999901</v>
      </c>
      <c r="W2241">
        <v>2.9535599999999999E-2</v>
      </c>
      <c r="X2241">
        <v>0.98793399999999998</v>
      </c>
      <c r="Y2241">
        <v>0.15635539999999901</v>
      </c>
      <c r="Z2241">
        <v>-1.214683E-3</v>
      </c>
      <c r="AA2241">
        <v>0.98770009999999997</v>
      </c>
      <c r="AB2241">
        <v>48</v>
      </c>
      <c r="AC2241">
        <v>15.9358</v>
      </c>
      <c r="AD2241">
        <v>-1.1012722090228</v>
      </c>
      <c r="AE2241">
        <v>-3.5882000000000001</v>
      </c>
      <c r="AF2241">
        <v>2.6137807170443699</v>
      </c>
      <c r="AG2241">
        <v>-1.1012722090228</v>
      </c>
      <c r="AH2241">
        <v>16.049420184890302</v>
      </c>
      <c r="AI2241">
        <v>93.8744582237006</v>
      </c>
      <c r="AJ2241">
        <v>80.7501159464815</v>
      </c>
      <c r="AK2241">
        <v>16.2981145653822</v>
      </c>
      <c r="AL2241">
        <v>88.307488690702996</v>
      </c>
      <c r="AM2241">
        <v>81.251375892743596</v>
      </c>
      <c r="AN2241">
        <v>1.00000003216612</v>
      </c>
    </row>
    <row r="2242" spans="1:40" x14ac:dyDescent="0.3">
      <c r="A2242" t="str">
        <f>"20200111153919337"</f>
        <v>20200111153919337</v>
      </c>
      <c r="B2242" t="str">
        <f>"1578728359332837"</f>
        <v>1578728359332837</v>
      </c>
      <c r="C2242" t="s">
        <v>40</v>
      </c>
      <c r="D2242">
        <v>5.4061409999999999</v>
      </c>
      <c r="E2242">
        <v>0.50393500000000002</v>
      </c>
      <c r="F2242" t="s">
        <v>55</v>
      </c>
      <c r="G2242">
        <v>-213.01320000000001</v>
      </c>
      <c r="H2242" s="1">
        <v>1.6911470000000001E-7</v>
      </c>
      <c r="I2242">
        <v>212.27350000000001</v>
      </c>
      <c r="J2242">
        <v>-229.71899999999999</v>
      </c>
      <c r="K2242">
        <v>1.1012900000000001</v>
      </c>
      <c r="L2242">
        <v>216.09370000000001</v>
      </c>
      <c r="M2242">
        <v>0.99783719999999998</v>
      </c>
      <c r="N2242">
        <v>0</v>
      </c>
      <c r="O2242">
        <v>-6.2427709999999997E-2</v>
      </c>
      <c r="P2242">
        <v>0.97693839999999998</v>
      </c>
      <c r="Q2242">
        <v>1.194011E-2</v>
      </c>
      <c r="R2242">
        <v>-0.21318880000000001</v>
      </c>
      <c r="S2242">
        <v>2.9292449999999999</v>
      </c>
      <c r="T2242">
        <v>-0.18836649999999999</v>
      </c>
      <c r="U2242">
        <v>-0.65805049999999998</v>
      </c>
      <c r="V2242">
        <v>0.15204670000000001</v>
      </c>
      <c r="W2242">
        <v>3.0965929999999999E-2</v>
      </c>
      <c r="X2242">
        <v>0.98788810000000005</v>
      </c>
      <c r="Y2242">
        <v>0.15764879999999901</v>
      </c>
      <c r="Z2242">
        <v>-1.0483129999999999E-3</v>
      </c>
      <c r="AA2242">
        <v>0.98749469999999995</v>
      </c>
      <c r="AB2242">
        <v>47</v>
      </c>
      <c r="AC2242">
        <v>16.7058</v>
      </c>
      <c r="AD2242">
        <v>-1.1012898308853001</v>
      </c>
      <c r="AE2242">
        <v>-3.8201999999999998</v>
      </c>
      <c r="AF2242">
        <v>2.7582286254058199</v>
      </c>
      <c r="AG2242">
        <v>-1.1012898308853001</v>
      </c>
      <c r="AH2242">
        <v>16.842182818583002</v>
      </c>
      <c r="AI2242">
        <v>93.692129639920907</v>
      </c>
      <c r="AJ2242">
        <v>80.699286303446797</v>
      </c>
      <c r="AK2242">
        <v>17.102040420259499</v>
      </c>
      <c r="AL2242">
        <v>88.225499221231999</v>
      </c>
      <c r="AM2242">
        <v>81.250216502829502</v>
      </c>
      <c r="AN2242">
        <v>0.999999992961632</v>
      </c>
    </row>
    <row r="2243" spans="1:40" x14ac:dyDescent="0.3">
      <c r="A2243" t="str">
        <f>"20200111153919361"</f>
        <v>20200111153919361</v>
      </c>
      <c r="B2243" t="str">
        <f>"1578728359353333"</f>
        <v>1578728359353333</v>
      </c>
      <c r="C2243" t="s">
        <v>40</v>
      </c>
      <c r="D2243">
        <v>5.4307319999999999</v>
      </c>
      <c r="E2243">
        <v>0.50450929999999905</v>
      </c>
      <c r="F2243" t="s">
        <v>55</v>
      </c>
      <c r="G2243">
        <v>-212.10050000000001</v>
      </c>
      <c r="H2243" s="1">
        <v>-3.0815119999999998E-7</v>
      </c>
      <c r="I2243">
        <v>212.0804</v>
      </c>
      <c r="J2243">
        <v>-229.2062</v>
      </c>
      <c r="K2243">
        <v>1.10131</v>
      </c>
      <c r="L2243">
        <v>216.059</v>
      </c>
      <c r="M2243">
        <v>0.99764649999999999</v>
      </c>
      <c r="N2243">
        <v>0</v>
      </c>
      <c r="O2243">
        <v>-6.5413799999999994E-2</v>
      </c>
      <c r="P2243">
        <v>0.97632149999999995</v>
      </c>
      <c r="Q2243">
        <v>1.2696860000000001E-2</v>
      </c>
      <c r="R2243">
        <v>-0.21595239999999999</v>
      </c>
      <c r="S2243">
        <v>2.927521</v>
      </c>
      <c r="T2243">
        <v>-0.18299260000000001</v>
      </c>
      <c r="U2243">
        <v>-0.66685490000000003</v>
      </c>
      <c r="V2243">
        <v>0.15189159999999999</v>
      </c>
      <c r="W2243">
        <v>3.1697030000000001E-2</v>
      </c>
      <c r="X2243">
        <v>0.98788880000000001</v>
      </c>
      <c r="Y2243">
        <v>0.15765899999999999</v>
      </c>
      <c r="Z2243">
        <v>-8.3590300000000004E-4</v>
      </c>
      <c r="AA2243">
        <v>0.98749330000000002</v>
      </c>
      <c r="AB2243">
        <v>47</v>
      </c>
      <c r="AC2243">
        <v>17.105699999999899</v>
      </c>
      <c r="AD2243">
        <v>-1.1013103081511999</v>
      </c>
      <c r="AE2243">
        <v>-3.9786000000000201</v>
      </c>
      <c r="AF2243">
        <v>2.8397229297647701</v>
      </c>
      <c r="AG2243">
        <v>-1.1013103081511999</v>
      </c>
      <c r="AH2243">
        <v>17.2614793484959</v>
      </c>
      <c r="AI2243">
        <v>93.602323766354203</v>
      </c>
      <c r="AJ2243">
        <v>80.6578284473309</v>
      </c>
      <c r="AK2243">
        <v>17.528136809462101</v>
      </c>
      <c r="AL2243">
        <v>88.183589750124995</v>
      </c>
      <c r="AM2243">
        <v>81.259010176568907</v>
      </c>
      <c r="AN2243">
        <v>1.0000000205134101</v>
      </c>
    </row>
    <row r="2244" spans="1:40" x14ac:dyDescent="0.3">
      <c r="A2244" t="str">
        <f>"20200111153919383"</f>
        <v>20200111153919383</v>
      </c>
      <c r="B2244" t="str">
        <f>"1578728359372852"</f>
        <v>1578728359372852</v>
      </c>
      <c r="C2244" t="s">
        <v>40</v>
      </c>
      <c r="D2244">
        <v>5.4605449999999998</v>
      </c>
      <c r="E2244">
        <v>0.50473579999999996</v>
      </c>
      <c r="F2244" t="s">
        <v>55</v>
      </c>
      <c r="G2244">
        <v>-211.5745</v>
      </c>
      <c r="H2244" s="1">
        <v>-5.828893E-7</v>
      </c>
      <c r="I2244">
        <v>211.9615</v>
      </c>
      <c r="J2244">
        <v>-228.7372</v>
      </c>
      <c r="K2244">
        <v>1.1013139999999999</v>
      </c>
      <c r="L2244">
        <v>216.02600000000001</v>
      </c>
      <c r="M2244">
        <v>0.99746440000000003</v>
      </c>
      <c r="N2244">
        <v>0</v>
      </c>
      <c r="O2244">
        <v>-6.8142930000000004E-2</v>
      </c>
      <c r="P2244">
        <v>0.97587659999999998</v>
      </c>
      <c r="Q2244">
        <v>1.218494E-2</v>
      </c>
      <c r="R2244">
        <v>-0.2179835</v>
      </c>
      <c r="S2244">
        <v>2.9248050000000001</v>
      </c>
      <c r="T2244">
        <v>-0.18268870000000001</v>
      </c>
      <c r="U2244">
        <v>-0.67970280000000005</v>
      </c>
      <c r="V2244">
        <v>0.15123789999999901</v>
      </c>
      <c r="W2244">
        <v>3.1170389999999999E-2</v>
      </c>
      <c r="X2244">
        <v>0.98800580000000005</v>
      </c>
      <c r="Y2244">
        <v>0.1592779</v>
      </c>
      <c r="Z2244">
        <v>-7.1768039999999997E-4</v>
      </c>
      <c r="AA2244">
        <v>0.98723349999999999</v>
      </c>
      <c r="AB2244">
        <v>47</v>
      </c>
      <c r="AC2244">
        <v>17.162700000000001</v>
      </c>
      <c r="AD2244">
        <v>-1.1013145828892901</v>
      </c>
      <c r="AE2244">
        <v>-4.0644999999999802</v>
      </c>
      <c r="AF2244">
        <v>2.87407922978498</v>
      </c>
      <c r="AG2244">
        <v>-1.1013145828892901</v>
      </c>
      <c r="AH2244">
        <v>17.332236621697302</v>
      </c>
      <c r="AI2244">
        <v>93.586916038039504</v>
      </c>
      <c r="AJ2244">
        <v>80.584729961685198</v>
      </c>
      <c r="AK2244">
        <v>17.603398863289801</v>
      </c>
      <c r="AL2244">
        <v>88.213778841924906</v>
      </c>
      <c r="AM2244">
        <v>81.297066641431002</v>
      </c>
      <c r="AN2244">
        <v>0.99999997822140096</v>
      </c>
    </row>
    <row r="2245" spans="1:40" x14ac:dyDescent="0.3">
      <c r="A2245" t="str">
        <f>"20200111153919404"</f>
        <v>20200111153919404</v>
      </c>
      <c r="B2245" t="str">
        <f>"1578728359393349"</f>
        <v>1578728359393349</v>
      </c>
      <c r="C2245" t="s">
        <v>40</v>
      </c>
      <c r="D2245">
        <v>5.5250629999999896</v>
      </c>
      <c r="E2245">
        <v>0.50492130000000002</v>
      </c>
      <c r="F2245" t="s">
        <v>55</v>
      </c>
      <c r="G2245">
        <v>-211.38050000000001</v>
      </c>
      <c r="H2245" s="1">
        <v>-6.8527079999999998E-7</v>
      </c>
      <c r="I2245">
        <v>211.94210000000001</v>
      </c>
      <c r="J2245">
        <v>-228.3032</v>
      </c>
      <c r="K2245">
        <v>1.101324</v>
      </c>
      <c r="L2245">
        <v>215.99430000000001</v>
      </c>
      <c r="M2245">
        <v>0.9972898</v>
      </c>
      <c r="N2245">
        <v>0</v>
      </c>
      <c r="O2245">
        <v>-7.0663920000000005E-2</v>
      </c>
      <c r="P2245">
        <v>0.97540709999999997</v>
      </c>
      <c r="Q2245">
        <v>1.083218E-2</v>
      </c>
      <c r="R2245">
        <v>-0.22014520000000001</v>
      </c>
      <c r="S2245">
        <v>2.922882</v>
      </c>
      <c r="T2245">
        <v>-0.18546190000000001</v>
      </c>
      <c r="U2245">
        <v>-0.68772889999999998</v>
      </c>
      <c r="V2245">
        <v>0.150915299999999</v>
      </c>
      <c r="W2245">
        <v>2.979822E-2</v>
      </c>
      <c r="X2245">
        <v>0.98809749999999996</v>
      </c>
      <c r="Y2245">
        <v>0.15949530000000001</v>
      </c>
      <c r="Z2245">
        <v>-5.7892550000000005E-4</v>
      </c>
      <c r="AA2245">
        <v>0.98719849999999998</v>
      </c>
      <c r="AB2245">
        <v>47</v>
      </c>
      <c r="AC2245">
        <v>16.922699999999899</v>
      </c>
      <c r="AD2245">
        <v>-1.1013246852708001</v>
      </c>
      <c r="AE2245">
        <v>-4.0521999999999903</v>
      </c>
      <c r="AF2245">
        <v>2.8346359729942998</v>
      </c>
      <c r="AG2245">
        <v>-1.1013246852708001</v>
      </c>
      <c r="AH2245">
        <v>17.098292463054801</v>
      </c>
      <c r="AI2245">
        <v>93.635918084388393</v>
      </c>
      <c r="AJ2245">
        <v>80.586849785784693</v>
      </c>
      <c r="AK2245">
        <v>17.366625530422901</v>
      </c>
      <c r="AL2245">
        <v>88.292435019222097</v>
      </c>
      <c r="AM2245">
        <v>81.316140906130499</v>
      </c>
      <c r="AN2245">
        <v>1.00000001559775</v>
      </c>
    </row>
    <row r="2246" spans="1:40" x14ac:dyDescent="0.3">
      <c r="A2246" t="str">
        <f>"20200111153919426"</f>
        <v>20200111153919426</v>
      </c>
      <c r="B2246" t="str">
        <f>"1578728359422628"</f>
        <v>1578728359422628</v>
      </c>
      <c r="C2246" t="s">
        <v>40</v>
      </c>
      <c r="D2246">
        <v>5.4798580000000001</v>
      </c>
      <c r="E2246">
        <v>0.50523779999999996</v>
      </c>
      <c r="F2246" t="s">
        <v>55</v>
      </c>
      <c r="G2246">
        <v>-211.92179999999999</v>
      </c>
      <c r="H2246" s="1">
        <v>-4.0388450000000001E-7</v>
      </c>
      <c r="I2246">
        <v>212.0943</v>
      </c>
      <c r="J2246">
        <v>-227.84690000000001</v>
      </c>
      <c r="K2246">
        <v>1.1013409999999999</v>
      </c>
      <c r="L2246">
        <v>215.9599</v>
      </c>
      <c r="M2246">
        <v>0.99710010000000004</v>
      </c>
      <c r="N2246">
        <v>0</v>
      </c>
      <c r="O2246">
        <v>-7.3300909999999997E-2</v>
      </c>
      <c r="P2246">
        <v>0.97485820000000001</v>
      </c>
      <c r="Q2246">
        <v>9.7314319999999999E-3</v>
      </c>
      <c r="R2246">
        <v>-0.22261349999999999</v>
      </c>
      <c r="S2246">
        <v>2.920868</v>
      </c>
      <c r="T2246">
        <v>-0.19637009999999999</v>
      </c>
      <c r="U2246">
        <v>-0.69538880000000003</v>
      </c>
      <c r="V2246">
        <v>0.15079119999999999</v>
      </c>
      <c r="W2246">
        <v>2.8667160000000001E-2</v>
      </c>
      <c r="X2246">
        <v>0.98814990000000003</v>
      </c>
      <c r="Y2246">
        <v>0.15947329999999901</v>
      </c>
      <c r="Z2246">
        <v>-4.3890249999999997E-4</v>
      </c>
      <c r="AA2246">
        <v>0.98720220000000003</v>
      </c>
      <c r="AB2246">
        <v>47</v>
      </c>
      <c r="AC2246">
        <v>15.9251</v>
      </c>
      <c r="AD2246">
        <v>-1.1013414038845</v>
      </c>
      <c r="AE2246">
        <v>-3.8656000000000001</v>
      </c>
      <c r="AF2246">
        <v>2.67554360742067</v>
      </c>
      <c r="AG2246">
        <v>-1.1013414038845</v>
      </c>
      <c r="AH2246">
        <v>16.092966507590099</v>
      </c>
      <c r="AI2246">
        <v>93.862151746408699</v>
      </c>
      <c r="AJ2246">
        <v>80.560602757491097</v>
      </c>
      <c r="AK2246">
        <v>16.3509956118133</v>
      </c>
      <c r="AL2246">
        <v>88.357267681639001</v>
      </c>
      <c r="AM2246">
        <v>81.323626172363603</v>
      </c>
      <c r="AN2246">
        <v>1.0000000084649501</v>
      </c>
    </row>
    <row r="2247" spans="1:40" x14ac:dyDescent="0.3">
      <c r="A2247" t="str">
        <f>"20200111153919449"</f>
        <v>20200111153919449</v>
      </c>
      <c r="B2247" t="str">
        <f>"1578728359443124"</f>
        <v>1578728359443124</v>
      </c>
      <c r="C2247" t="s">
        <v>40</v>
      </c>
      <c r="D2247">
        <v>5.463883</v>
      </c>
      <c r="E2247">
        <v>0.50565329999999997</v>
      </c>
      <c r="F2247" t="s">
        <v>55</v>
      </c>
      <c r="G2247">
        <v>-211.94300000000001</v>
      </c>
      <c r="H2247" s="1">
        <v>-3.9353320000000002E-7</v>
      </c>
      <c r="I2247">
        <v>212.1165</v>
      </c>
      <c r="J2247">
        <v>-227.3622</v>
      </c>
      <c r="K2247">
        <v>1.101362</v>
      </c>
      <c r="L2247">
        <v>215.92189999999999</v>
      </c>
      <c r="M2247">
        <v>0.99689300000000003</v>
      </c>
      <c r="N2247">
        <v>0</v>
      </c>
      <c r="O2247">
        <v>-7.607767E-2</v>
      </c>
      <c r="P2247">
        <v>0.97420309999999999</v>
      </c>
      <c r="Q2247">
        <v>8.9947789999999996E-3</v>
      </c>
      <c r="R2247">
        <v>-0.22549440000000001</v>
      </c>
      <c r="S2247">
        <v>2.91832</v>
      </c>
      <c r="T2247">
        <v>-0.2020931</v>
      </c>
      <c r="U2247">
        <v>-0.70524600000000004</v>
      </c>
      <c r="V2247">
        <v>0.15095069999999999</v>
      </c>
      <c r="W2247">
        <v>2.7894519999999999E-2</v>
      </c>
      <c r="X2247">
        <v>0.98814769999999996</v>
      </c>
      <c r="Y2247">
        <v>0.16006500000000001</v>
      </c>
      <c r="Z2247">
        <v>-2.8405800000000001E-4</v>
      </c>
      <c r="AA2247">
        <v>0.98710640000000005</v>
      </c>
      <c r="AB2247">
        <v>47</v>
      </c>
      <c r="AC2247">
        <v>15.4192</v>
      </c>
      <c r="AD2247">
        <v>-1.1013623935332</v>
      </c>
      <c r="AE2247">
        <v>-3.8053999999999899</v>
      </c>
      <c r="AF2247">
        <v>2.6085212535386102</v>
      </c>
      <c r="AG2247">
        <v>-1.1013623935332</v>
      </c>
      <c r="AH2247">
        <v>15.5890925005474</v>
      </c>
      <c r="AI2247">
        <v>93.985971737885095</v>
      </c>
      <c r="AJ2247">
        <v>80.500708469665</v>
      </c>
      <c r="AK2247">
        <v>15.8441530932605</v>
      </c>
      <c r="AL2247">
        <v>88.401554469871797</v>
      </c>
      <c r="AM2247">
        <v>81.314569537993094</v>
      </c>
      <c r="AN2247">
        <v>1.0000000475459001</v>
      </c>
    </row>
    <row r="2248" spans="1:40" x14ac:dyDescent="0.3">
      <c r="A2248" t="str">
        <f>"20200111153919474"</f>
        <v>20200111153919474</v>
      </c>
      <c r="B2248" t="str">
        <f>"1578728359462644"</f>
        <v>1578728359462644</v>
      </c>
      <c r="C2248" t="s">
        <v>40</v>
      </c>
      <c r="D2248">
        <v>5.5036639999999997</v>
      </c>
      <c r="E2248">
        <v>0.50604740000000004</v>
      </c>
      <c r="F2248" t="s">
        <v>55</v>
      </c>
      <c r="G2248">
        <v>-211.84139999999999</v>
      </c>
      <c r="H2248" s="1">
        <v>-4.4718070000000001E-7</v>
      </c>
      <c r="I2248">
        <v>212.10589999999999</v>
      </c>
      <c r="J2248">
        <v>-226.85749999999999</v>
      </c>
      <c r="K2248">
        <v>1.1014090000000001</v>
      </c>
      <c r="L2248">
        <v>215.8811</v>
      </c>
      <c r="M2248">
        <v>0.99667209999999995</v>
      </c>
      <c r="N2248">
        <v>0</v>
      </c>
      <c r="O2248">
        <v>-7.8932199999999994E-2</v>
      </c>
      <c r="P2248">
        <v>0.97352519999999998</v>
      </c>
      <c r="Q2248">
        <v>8.4434239999999997E-3</v>
      </c>
      <c r="R2248">
        <v>-0.22842390000000001</v>
      </c>
      <c r="S2248">
        <v>2.915451</v>
      </c>
      <c r="T2248">
        <v>-0.20688129999999999</v>
      </c>
      <c r="U2248">
        <v>-0.71681209999999995</v>
      </c>
      <c r="V2248">
        <v>0.1510851</v>
      </c>
      <c r="W2248">
        <v>2.731109E-2</v>
      </c>
      <c r="X2248">
        <v>0.98814340000000001</v>
      </c>
      <c r="Y2248">
        <v>0.16115119999999999</v>
      </c>
      <c r="Z2248">
        <v>-1.3104219999999901E-4</v>
      </c>
      <c r="AA2248">
        <v>0.98692970000000002</v>
      </c>
      <c r="AB2248">
        <v>47</v>
      </c>
      <c r="AC2248">
        <v>15.0160999999999</v>
      </c>
      <c r="AD2248">
        <v>-1.1014094471807001</v>
      </c>
      <c r="AE2248">
        <v>-3.7752000000000101</v>
      </c>
      <c r="AF2248">
        <v>2.5649379139044601</v>
      </c>
      <c r="AG2248">
        <v>-1.1014094471807001</v>
      </c>
      <c r="AH2248">
        <v>15.1904106025237</v>
      </c>
      <c r="AI2248">
        <v>94.089395186860102</v>
      </c>
      <c r="AJ2248">
        <v>80.415870238877005</v>
      </c>
      <c r="AK2248">
        <v>15.444759096398601</v>
      </c>
      <c r="AL2248">
        <v>88.434995198869899</v>
      </c>
      <c r="AM2248">
        <v>81.306917233700602</v>
      </c>
      <c r="AN2248">
        <v>0.99999999102127901</v>
      </c>
    </row>
    <row r="2249" spans="1:40" x14ac:dyDescent="0.3">
      <c r="A2249" t="str">
        <f>"20200111153919497"</f>
        <v>20200111153919497</v>
      </c>
      <c r="B2249" t="str">
        <f>"1578728359493096"</f>
        <v>1578728359493096</v>
      </c>
      <c r="C2249" t="s">
        <v>40</v>
      </c>
      <c r="D2249">
        <v>5.518834</v>
      </c>
      <c r="E2249">
        <v>0.50659100000000001</v>
      </c>
      <c r="F2249" t="s">
        <v>55</v>
      </c>
      <c r="G2249">
        <v>-211.6833</v>
      </c>
      <c r="H2249" s="1">
        <v>-5.3042180000000003E-7</v>
      </c>
      <c r="I2249">
        <v>212.08600000000001</v>
      </c>
      <c r="J2249">
        <v>-226.38419999999999</v>
      </c>
      <c r="K2249">
        <v>1.101461</v>
      </c>
      <c r="L2249">
        <v>215.84139999999999</v>
      </c>
      <c r="M2249">
        <v>0.9964615</v>
      </c>
      <c r="N2249">
        <v>0</v>
      </c>
      <c r="O2249">
        <v>-8.1559320000000005E-2</v>
      </c>
      <c r="P2249">
        <v>0.97286870000000003</v>
      </c>
      <c r="Q2249">
        <v>8.6726749999999995E-3</v>
      </c>
      <c r="R2249">
        <v>-0.23119609999999999</v>
      </c>
      <c r="S2249">
        <v>2.912506</v>
      </c>
      <c r="T2249">
        <v>-0.2114027</v>
      </c>
      <c r="U2249">
        <v>-0.72842410000000002</v>
      </c>
      <c r="V2249">
        <v>0.15129329999999999</v>
      </c>
      <c r="W2249">
        <v>2.7514150000000001E-2</v>
      </c>
      <c r="X2249">
        <v>0.98810589999999998</v>
      </c>
      <c r="Y2249">
        <v>0.16248199999999999</v>
      </c>
      <c r="Z2249" s="1">
        <v>4.5238989999999998E-6</v>
      </c>
      <c r="AA2249">
        <v>0.98671149999999996</v>
      </c>
      <c r="AB2249">
        <v>47</v>
      </c>
      <c r="AC2249">
        <v>14.700899999999899</v>
      </c>
      <c r="AD2249">
        <v>-1.1014615304218001</v>
      </c>
      <c r="AE2249">
        <v>-3.7553999999999998</v>
      </c>
      <c r="AF2249">
        <v>2.53030657670298</v>
      </c>
      <c r="AG2249">
        <v>-1.1014615304218001</v>
      </c>
      <c r="AH2249">
        <v>14.879840390722</v>
      </c>
      <c r="AI2249">
        <v>94.173826542771593</v>
      </c>
      <c r="AJ2249">
        <v>80.349208862675198</v>
      </c>
      <c r="AK2249">
        <v>15.1335824882434</v>
      </c>
      <c r="AL2249">
        <v>88.423356327079702</v>
      </c>
      <c r="AM2249">
        <v>81.294795960254405</v>
      </c>
      <c r="AN2249">
        <v>0.99999998034496096</v>
      </c>
    </row>
    <row r="2250" spans="1:40" x14ac:dyDescent="0.3">
      <c r="A2250" t="str">
        <f>"20200111153919534"</f>
        <v>20200111153919534</v>
      </c>
      <c r="B2250" t="str">
        <f>"1578728359523356"</f>
        <v>1578728359523356</v>
      </c>
      <c r="C2250" t="s">
        <v>40</v>
      </c>
      <c r="D2250">
        <v>5.4922599999999999</v>
      </c>
      <c r="E2250">
        <v>0.50693999999999995</v>
      </c>
      <c r="F2250" t="s">
        <v>55</v>
      </c>
      <c r="G2250">
        <v>-211.3921</v>
      </c>
      <c r="H2250" s="1">
        <v>-6.8264589999999999E-7</v>
      </c>
      <c r="I2250">
        <v>212.0231</v>
      </c>
      <c r="J2250">
        <v>-225.61699999999999</v>
      </c>
      <c r="K2250">
        <v>1.1015790000000001</v>
      </c>
      <c r="L2250">
        <v>215.77449999999999</v>
      </c>
      <c r="M2250">
        <v>0.99611490000000003</v>
      </c>
      <c r="N2250">
        <v>0</v>
      </c>
      <c r="O2250">
        <v>-8.5704639999999999E-2</v>
      </c>
      <c r="P2250">
        <v>0.97205719999999995</v>
      </c>
      <c r="Q2250">
        <v>9.7186919999999993E-3</v>
      </c>
      <c r="R2250">
        <v>-0.2345429</v>
      </c>
      <c r="S2250">
        <v>2.9094699999999998</v>
      </c>
      <c r="T2250">
        <v>-0.21375720000000001</v>
      </c>
      <c r="U2250">
        <v>-0.74099729999999997</v>
      </c>
      <c r="V2250">
        <v>0.150584</v>
      </c>
      <c r="W2250">
        <v>2.853895E-2</v>
      </c>
      <c r="X2250">
        <v>0.98818519999999999</v>
      </c>
      <c r="Y2250">
        <v>0.1626331</v>
      </c>
      <c r="Z2250">
        <v>2.9595240000000002E-4</v>
      </c>
      <c r="AA2250">
        <v>0.98668659999999997</v>
      </c>
      <c r="AB2250">
        <v>46</v>
      </c>
      <c r="AC2250">
        <v>14.2249</v>
      </c>
      <c r="AD2250">
        <v>-1.1015796826458999</v>
      </c>
      <c r="AE2250">
        <v>-3.7513999999999799</v>
      </c>
      <c r="AF2250">
        <v>2.5041606570423598</v>
      </c>
      <c r="AG2250">
        <v>-1.1015796826458999</v>
      </c>
      <c r="AH2250">
        <v>14.4133017126375</v>
      </c>
      <c r="AI2250">
        <v>94.306243171411893</v>
      </c>
      <c r="AJ2250">
        <v>80.143841554658394</v>
      </c>
      <c r="AK2250">
        <v>14.670636136617199</v>
      </c>
      <c r="AL2250">
        <v>88.364616568253297</v>
      </c>
      <c r="AM2250">
        <v>81.335672013749601</v>
      </c>
      <c r="AN2250">
        <v>1.0000000011110699</v>
      </c>
    </row>
    <row r="2251" spans="1:40" x14ac:dyDescent="0.3">
      <c r="A2251" t="str">
        <f>"20200111153919560"</f>
        <v>20200111153919560</v>
      </c>
      <c r="B2251" t="str">
        <f>"1578728359552632"</f>
        <v>1578728359552632</v>
      </c>
      <c r="C2251" t="s">
        <v>40</v>
      </c>
      <c r="D2251">
        <v>5.5162079999999998</v>
      </c>
      <c r="E2251">
        <v>0.50733070000000002</v>
      </c>
      <c r="F2251" t="s">
        <v>55</v>
      </c>
      <c r="G2251">
        <v>-210.48429999999999</v>
      </c>
      <c r="H2251" s="1">
        <v>-1.1580669999999999E-6</v>
      </c>
      <c r="I2251">
        <v>211.8475</v>
      </c>
      <c r="J2251">
        <v>-225.08160000000001</v>
      </c>
      <c r="K2251">
        <v>1.101664</v>
      </c>
      <c r="L2251">
        <v>215.7259</v>
      </c>
      <c r="M2251">
        <v>0.99587040000000004</v>
      </c>
      <c r="N2251">
        <v>0</v>
      </c>
      <c r="O2251">
        <v>-8.850972E-2</v>
      </c>
      <c r="P2251">
        <v>0.97154470000000004</v>
      </c>
      <c r="Q2251">
        <v>1.068944E-2</v>
      </c>
      <c r="R2251">
        <v>-0.23661470000000001</v>
      </c>
      <c r="S2251">
        <v>2.9063720000000002</v>
      </c>
      <c r="T2251">
        <v>-0.21156829999999999</v>
      </c>
      <c r="U2251">
        <v>-0.75421139999999998</v>
      </c>
      <c r="V2251">
        <v>0.1499104</v>
      </c>
      <c r="W2251">
        <v>2.9502230000000001E-2</v>
      </c>
      <c r="X2251">
        <v>0.98825929999999995</v>
      </c>
      <c r="Y2251">
        <v>0.16431989999999999</v>
      </c>
      <c r="Z2251">
        <v>4.3142030000000001E-4</v>
      </c>
      <c r="AA2251">
        <v>0.98640700000000003</v>
      </c>
      <c r="AB2251">
        <v>46</v>
      </c>
      <c r="AC2251">
        <v>14.597300000000001</v>
      </c>
      <c r="AD2251">
        <v>-1.101665158067</v>
      </c>
      <c r="AE2251">
        <v>-3.8783999999999899</v>
      </c>
      <c r="AF2251">
        <v>2.5573001600437899</v>
      </c>
      <c r="AG2251">
        <v>-1.101665158067</v>
      </c>
      <c r="AH2251">
        <v>14.8045692920335</v>
      </c>
      <c r="AI2251">
        <v>94.193874129802893</v>
      </c>
      <c r="AJ2251">
        <v>80.199597841808995</v>
      </c>
      <c r="AK2251">
        <v>15.0641535491271</v>
      </c>
      <c r="AL2251">
        <v>88.309401390762005</v>
      </c>
      <c r="AM2251">
        <v>81.374482486116406</v>
      </c>
      <c r="AN2251">
        <v>0.99999997681981101</v>
      </c>
    </row>
    <row r="2252" spans="1:40" x14ac:dyDescent="0.3">
      <c r="A2252" t="str">
        <f>"20200111153919584"</f>
        <v>20200111153919584</v>
      </c>
      <c r="B2252" t="str">
        <f>"1578728359573128"</f>
        <v>1578728359573128</v>
      </c>
      <c r="C2252" t="s">
        <v>40</v>
      </c>
      <c r="D2252">
        <v>5.4938789999999997</v>
      </c>
      <c r="E2252">
        <v>0.50760499999999997</v>
      </c>
      <c r="F2252" t="s">
        <v>53</v>
      </c>
      <c r="G2252">
        <v>-209.94630000000001</v>
      </c>
      <c r="H2252" s="1">
        <v>6.8787509999999901E-6</v>
      </c>
      <c r="I2252">
        <v>211.74520000000001</v>
      </c>
      <c r="J2252">
        <v>-224.5856</v>
      </c>
      <c r="K2252">
        <v>1.1017509999999999</v>
      </c>
      <c r="L2252">
        <v>215.67959999999999</v>
      </c>
      <c r="M2252">
        <v>0.99564249999999999</v>
      </c>
      <c r="N2252">
        <v>0</v>
      </c>
      <c r="O2252">
        <v>-9.104479E-2</v>
      </c>
      <c r="P2252">
        <v>0.97118700000000002</v>
      </c>
      <c r="Q2252">
        <v>1.1612239999999999E-2</v>
      </c>
      <c r="R2252">
        <v>-0.23803560000000001</v>
      </c>
      <c r="S2252">
        <v>2.9041600000000001</v>
      </c>
      <c r="T2252">
        <v>-0.21138499999999999</v>
      </c>
      <c r="U2252">
        <v>-0.76380919999999997</v>
      </c>
      <c r="V2252">
        <v>0.1488419</v>
      </c>
      <c r="W2252">
        <v>3.0426399999999999E-2</v>
      </c>
      <c r="X2252">
        <v>0.98839279999999996</v>
      </c>
      <c r="Y2252">
        <v>0.16504759999999999</v>
      </c>
      <c r="Z2252">
        <v>5.8459579999999998E-4</v>
      </c>
      <c r="AA2252">
        <v>0.98628539999999998</v>
      </c>
      <c r="AB2252">
        <v>46</v>
      </c>
      <c r="AC2252">
        <v>14.639299999999899</v>
      </c>
      <c r="AD2252">
        <v>-1.101744121249</v>
      </c>
      <c r="AE2252">
        <v>-3.9343999999999801</v>
      </c>
      <c r="AF2252">
        <v>2.5713667245986498</v>
      </c>
      <c r="AG2252">
        <v>-1.101744121249</v>
      </c>
      <c r="AH2252">
        <v>14.858267134759</v>
      </c>
      <c r="AI2252">
        <v>94.178844282814396</v>
      </c>
      <c r="AJ2252">
        <v>80.181659450713596</v>
      </c>
      <c r="AK2252">
        <v>15.119321055819301</v>
      </c>
      <c r="AL2252">
        <v>88.256426603761696</v>
      </c>
      <c r="AM2252">
        <v>81.436186345019294</v>
      </c>
      <c r="AN2252">
        <v>1.0000000020522</v>
      </c>
    </row>
    <row r="2253" spans="1:40" x14ac:dyDescent="0.3">
      <c r="A2253" t="str">
        <f>"20200111153919604"</f>
        <v>20200111153919604</v>
      </c>
      <c r="B2253" t="str">
        <f>"1578728359592648"</f>
        <v>1578728359592648</v>
      </c>
      <c r="C2253" t="s">
        <v>40</v>
      </c>
      <c r="D2253">
        <v>5.6887040000000004</v>
      </c>
      <c r="E2253">
        <v>0.50766909999999998</v>
      </c>
      <c r="F2253" t="s">
        <v>53</v>
      </c>
      <c r="G2253">
        <v>-209.38419999999999</v>
      </c>
      <c r="H2253" s="1">
        <v>6.6382549999999999E-6</v>
      </c>
      <c r="I2253">
        <v>211.64510000000001</v>
      </c>
      <c r="J2253">
        <v>-224.1704</v>
      </c>
      <c r="K2253">
        <v>1.10182</v>
      </c>
      <c r="L2253">
        <v>215.63990000000001</v>
      </c>
      <c r="M2253">
        <v>0.99545070000000002</v>
      </c>
      <c r="N2253">
        <v>0</v>
      </c>
      <c r="O2253">
        <v>-9.3126039999999993E-2</v>
      </c>
      <c r="P2253">
        <v>0.97086689999999998</v>
      </c>
      <c r="Q2253">
        <v>1.2060649999999999E-2</v>
      </c>
      <c r="R2253">
        <v>-0.23931569999999999</v>
      </c>
      <c r="S2253">
        <v>2.9027099999999999</v>
      </c>
      <c r="T2253">
        <v>-0.21037829999999999</v>
      </c>
      <c r="U2253">
        <v>-0.77038569999999995</v>
      </c>
      <c r="V2253">
        <v>0.1480775</v>
      </c>
      <c r="W2253">
        <v>3.0876319999999999E-2</v>
      </c>
      <c r="X2253">
        <v>0.98849370000000003</v>
      </c>
      <c r="Y2253">
        <v>0.16520209999999999</v>
      </c>
      <c r="Z2253">
        <v>7.2303129999999995E-4</v>
      </c>
      <c r="AA2253">
        <v>0.98625949999999996</v>
      </c>
      <c r="AB2253">
        <v>46</v>
      </c>
      <c r="AC2253">
        <v>14.786199999999999</v>
      </c>
      <c r="AD2253">
        <v>-1.1018133617450001</v>
      </c>
      <c r="AE2253">
        <v>-3.9947999999999899</v>
      </c>
      <c r="AF2253">
        <v>2.5867868724922798</v>
      </c>
      <c r="AG2253">
        <v>-1.1018133617450001</v>
      </c>
      <c r="AH2253">
        <v>15.016304593404699</v>
      </c>
      <c r="AI2253">
        <v>94.135825769821807</v>
      </c>
      <c r="AJ2253">
        <v>80.225860566167199</v>
      </c>
      <c r="AK2253">
        <v>15.2772662034058</v>
      </c>
      <c r="AL2253">
        <v>88.230636042721997</v>
      </c>
      <c r="AM2253">
        <v>81.480376877898294</v>
      </c>
      <c r="AN2253">
        <v>1.0000000440413399</v>
      </c>
    </row>
    <row r="2254" spans="1:40" x14ac:dyDescent="0.3">
      <c r="A2254" t="str">
        <f>"20200111153919629"</f>
        <v>20200111153919629</v>
      </c>
      <c r="B2254" t="str">
        <f>"1578728359622904"</f>
        <v>1578728359622904</v>
      </c>
      <c r="C2254" t="s">
        <v>40</v>
      </c>
      <c r="D2254">
        <v>5.4780569999999997</v>
      </c>
      <c r="E2254">
        <v>0.51293089999999997</v>
      </c>
      <c r="F2254" t="s">
        <v>53</v>
      </c>
      <c r="G2254">
        <v>-208.8075</v>
      </c>
      <c r="H2254" s="1">
        <v>6.391894E-6</v>
      </c>
      <c r="I2254">
        <v>211.53739999999999</v>
      </c>
      <c r="J2254">
        <v>-223.66040000000001</v>
      </c>
      <c r="K2254">
        <v>1.101898</v>
      </c>
      <c r="L2254">
        <v>215.59</v>
      </c>
      <c r="M2254">
        <v>0.99521320000000002</v>
      </c>
      <c r="N2254">
        <v>0</v>
      </c>
      <c r="O2254">
        <v>-9.5637410000000006E-2</v>
      </c>
      <c r="P2254">
        <v>0.97038579999999997</v>
      </c>
      <c r="Q2254">
        <v>1.234799E-2</v>
      </c>
      <c r="R2254">
        <v>-0.2412455</v>
      </c>
      <c r="S2254">
        <v>2.9016109999999999</v>
      </c>
      <c r="T2254">
        <v>-0.2081008</v>
      </c>
      <c r="U2254">
        <v>-0.77484129999999996</v>
      </c>
      <c r="V2254">
        <v>0.14754500000000001</v>
      </c>
      <c r="W2254">
        <v>3.1162289999999999E-2</v>
      </c>
      <c r="X2254">
        <v>0.98856429999999995</v>
      </c>
      <c r="Y2254">
        <v>0.1642325</v>
      </c>
      <c r="Z2254">
        <v>9.2450720000000004E-4</v>
      </c>
      <c r="AA2254">
        <v>0.9864212</v>
      </c>
      <c r="AB2254">
        <v>46</v>
      </c>
      <c r="AC2254">
        <v>14.8529</v>
      </c>
      <c r="AD2254">
        <v>-1.101891608106</v>
      </c>
      <c r="AE2254">
        <v>-4.0526000000000098</v>
      </c>
      <c r="AF2254">
        <v>2.5999185517406098</v>
      </c>
      <c r="AG2254">
        <v>-1.101891608106</v>
      </c>
      <c r="AH2254">
        <v>15.0951260354609</v>
      </c>
      <c r="AI2254">
        <v>94.114615764899796</v>
      </c>
      <c r="AJ2254">
        <v>80.227506536151907</v>
      </c>
      <c r="AK2254">
        <v>15.356971433787001</v>
      </c>
      <c r="AL2254">
        <v>88.214243193799007</v>
      </c>
      <c r="AM2254">
        <v>81.511164433483401</v>
      </c>
      <c r="AN2254">
        <v>0.99999999528876704</v>
      </c>
    </row>
    <row r="2255" spans="1:40" x14ac:dyDescent="0.3">
      <c r="A2255" t="str">
        <f>"20200111153919653"</f>
        <v>20200111153919653</v>
      </c>
      <c r="B2255" t="str">
        <f>"1578728359643401"</f>
        <v>1578728359643401</v>
      </c>
      <c r="C2255" t="s">
        <v>40</v>
      </c>
      <c r="D2255">
        <v>5.4847270000000004</v>
      </c>
      <c r="E2255">
        <v>0.51212919999999995</v>
      </c>
      <c r="F2255" t="s">
        <v>53</v>
      </c>
      <c r="G2255">
        <v>-196.87309999999999</v>
      </c>
      <c r="H2255" s="1">
        <v>3.6198620000000001E-6</v>
      </c>
      <c r="I2255">
        <v>207.9648</v>
      </c>
      <c r="J2255">
        <v>-223.1927</v>
      </c>
      <c r="K2255">
        <v>1.1019650000000001</v>
      </c>
      <c r="L2255">
        <v>215.54310000000001</v>
      </c>
      <c r="M2255">
        <v>0.99499329999999997</v>
      </c>
      <c r="N2255">
        <v>0</v>
      </c>
      <c r="O2255">
        <v>-9.7904939999999996E-2</v>
      </c>
      <c r="P2255">
        <v>0.96994499999999995</v>
      </c>
      <c r="Q2255">
        <v>1.245105E-2</v>
      </c>
      <c r="R2255">
        <v>-0.24300669999999999</v>
      </c>
      <c r="S2255">
        <v>2.888611</v>
      </c>
      <c r="T2255">
        <v>-0.1188232</v>
      </c>
      <c r="U2255">
        <v>-0.82226559999999904</v>
      </c>
      <c r="V2255">
        <v>0.14708270000000001</v>
      </c>
      <c r="W2255">
        <v>3.1265710000000002E-2</v>
      </c>
      <c r="X2255">
        <v>0.98862989999999995</v>
      </c>
      <c r="Y2255">
        <v>0.17821999999999999</v>
      </c>
      <c r="Z2255">
        <v>3.3723979999999998E-4</v>
      </c>
      <c r="AA2255">
        <v>0.98399060000000005</v>
      </c>
      <c r="AB2255">
        <v>46</v>
      </c>
      <c r="AC2255">
        <v>26.319600000000001</v>
      </c>
      <c r="AD2255">
        <v>-1.1019613801379999</v>
      </c>
      <c r="AE2255">
        <v>-7.5783000000000103</v>
      </c>
      <c r="AF2255">
        <v>4.9565157835164504</v>
      </c>
      <c r="AG2255">
        <v>-1.1019613801379999</v>
      </c>
      <c r="AH2255">
        <v>26.891674788962</v>
      </c>
      <c r="AI2255">
        <v>92.307713527812794</v>
      </c>
      <c r="AJ2255">
        <v>79.5567832316693</v>
      </c>
      <c r="AK2255">
        <v>27.366832855682301</v>
      </c>
      <c r="AL2255">
        <v>88.208314734127597</v>
      </c>
      <c r="AM2255">
        <v>81.537930008455902</v>
      </c>
      <c r="AN2255">
        <v>0.99999997221755099</v>
      </c>
    </row>
    <row r="2256" spans="1:40" x14ac:dyDescent="0.3">
      <c r="A2256" t="str">
        <f>"20200111153919674"</f>
        <v>20200111153919674</v>
      </c>
      <c r="B2256" t="str">
        <f>"1578728359662920"</f>
        <v>1578728359662920</v>
      </c>
      <c r="C2256" t="s">
        <v>40</v>
      </c>
      <c r="D2256">
        <v>5.4515750000000001</v>
      </c>
      <c r="E2256">
        <v>0.50974609999999998</v>
      </c>
      <c r="F2256" t="s">
        <v>53</v>
      </c>
      <c r="G2256">
        <v>-199.88489999999999</v>
      </c>
      <c r="H2256" s="1">
        <v>2.8339920000000001E-6</v>
      </c>
      <c r="I2256">
        <v>208.9151</v>
      </c>
      <c r="J2256">
        <v>-222.75579999999999</v>
      </c>
      <c r="K2256">
        <v>1.102025</v>
      </c>
      <c r="L2256">
        <v>215.4984</v>
      </c>
      <c r="M2256">
        <v>0.99478529999999998</v>
      </c>
      <c r="N2256">
        <v>0</v>
      </c>
      <c r="O2256">
        <v>-0.10000009999999999</v>
      </c>
      <c r="P2256">
        <v>0.96960310000000005</v>
      </c>
      <c r="Q2256">
        <v>1.2421079999999999E-2</v>
      </c>
      <c r="R2256">
        <v>-0.24436830000000001</v>
      </c>
      <c r="S2256">
        <v>2.8889010000000002</v>
      </c>
      <c r="T2256">
        <v>-0.13658329999999999</v>
      </c>
      <c r="U2256">
        <v>-0.82151790000000002</v>
      </c>
      <c r="V2256">
        <v>0.14638409999999999</v>
      </c>
      <c r="W2256">
        <v>3.1238539999999999E-2</v>
      </c>
      <c r="X2256">
        <v>0.98873449999999996</v>
      </c>
      <c r="Y2256">
        <v>0.17587030000000001</v>
      </c>
      <c r="Z2256">
        <v>5.3810139999999995E-4</v>
      </c>
      <c r="AA2256">
        <v>0.98441319999999999</v>
      </c>
      <c r="AB2256">
        <v>45</v>
      </c>
      <c r="AC2256">
        <v>22.870899999999999</v>
      </c>
      <c r="AD2256">
        <v>-1.1020221660079901</v>
      </c>
      <c r="AE2256">
        <v>-6.5833000000000004</v>
      </c>
      <c r="AF2256">
        <v>4.2536149253217799</v>
      </c>
      <c r="AG2256">
        <v>-1.1020221660079901</v>
      </c>
      <c r="AH2256">
        <v>23.364578949486901</v>
      </c>
      <c r="AI2256">
        <v>92.656826627627595</v>
      </c>
      <c r="AJ2256">
        <v>79.682075362430496</v>
      </c>
      <c r="AK2256">
        <v>23.7741717473838</v>
      </c>
      <c r="AL2256">
        <v>88.209872327084895</v>
      </c>
      <c r="AM2256">
        <v>81.578422770266997</v>
      </c>
      <c r="AN2256">
        <v>1.00000003130219</v>
      </c>
    </row>
    <row r="2257" spans="1:40" x14ac:dyDescent="0.3">
      <c r="A2257" t="str">
        <f>"20200111153919695"</f>
        <v>20200111153919695</v>
      </c>
      <c r="B2257" t="str">
        <f>"1578728359682947"</f>
        <v>1578728359682947</v>
      </c>
      <c r="C2257" t="s">
        <v>40</v>
      </c>
      <c r="D2257">
        <v>5.4677629999999997</v>
      </c>
      <c r="E2257">
        <v>0.50768659999999999</v>
      </c>
      <c r="F2257" t="s">
        <v>53</v>
      </c>
      <c r="G2257">
        <v>-202.7012</v>
      </c>
      <c r="H2257" s="1">
        <v>3.8267369999999997E-6</v>
      </c>
      <c r="I2257">
        <v>209.90520000000001</v>
      </c>
      <c r="J2257">
        <v>-222.3407</v>
      </c>
      <c r="K2257">
        <v>1.1020760000000001</v>
      </c>
      <c r="L2257">
        <v>215.45490000000001</v>
      </c>
      <c r="M2257">
        <v>0.9945851</v>
      </c>
      <c r="N2257">
        <v>0</v>
      </c>
      <c r="O2257">
        <v>-0.10197630000000001</v>
      </c>
      <c r="P2257">
        <v>0.96925519999999998</v>
      </c>
      <c r="Q2257">
        <v>1.2367970000000001E-2</v>
      </c>
      <c r="R2257">
        <v>-0.2457474</v>
      </c>
      <c r="S2257">
        <v>2.8927610000000001</v>
      </c>
      <c r="T2257">
        <v>-0.1589605</v>
      </c>
      <c r="U2257">
        <v>-0.806778</v>
      </c>
      <c r="V2257">
        <v>0.14582200000000001</v>
      </c>
      <c r="W2257">
        <v>3.1187550000000001E-2</v>
      </c>
      <c r="X2257">
        <v>0.98881909999999895</v>
      </c>
      <c r="Y2257">
        <v>0.16890150000000001</v>
      </c>
      <c r="Z2257">
        <v>9.1922559999999996E-4</v>
      </c>
      <c r="AA2257">
        <v>0.98563250000000002</v>
      </c>
      <c r="AB2257">
        <v>45</v>
      </c>
      <c r="AC2257">
        <v>19.639500000000002</v>
      </c>
      <c r="AD2257">
        <v>-1.1020721732629899</v>
      </c>
      <c r="AE2257">
        <v>-5.5496999999999996</v>
      </c>
      <c r="AF2257">
        <v>3.5073636227927798</v>
      </c>
      <c r="AG2257">
        <v>-1.1020721732629899</v>
      </c>
      <c r="AH2257">
        <v>20.044674820013199</v>
      </c>
      <c r="AI2257">
        <v>93.099994480090601</v>
      </c>
      <c r="AJ2257">
        <v>80.075014957546003</v>
      </c>
      <c r="AK2257">
        <v>20.3790370552105</v>
      </c>
      <c r="AL2257">
        <v>88.212795145771494</v>
      </c>
      <c r="AM2257">
        <v>81.611007215488002</v>
      </c>
      <c r="AN2257">
        <v>0.99999996574190497</v>
      </c>
    </row>
    <row r="2258" spans="1:40" x14ac:dyDescent="0.3">
      <c r="A2258" t="str">
        <f>"20200111153919719"</f>
        <v>20200111153919719</v>
      </c>
      <c r="B2258" t="str">
        <f>"1578728359713203"</f>
        <v>1578728359713203</v>
      </c>
      <c r="C2258" t="s">
        <v>40</v>
      </c>
      <c r="D2258">
        <v>5.464086</v>
      </c>
      <c r="E2258">
        <v>0.50634420000000002</v>
      </c>
      <c r="F2258" t="s">
        <v>53</v>
      </c>
      <c r="G2258">
        <v>-203.64570000000001</v>
      </c>
      <c r="H2258" s="1">
        <v>4.209181E-6</v>
      </c>
      <c r="I2258">
        <v>210.3211</v>
      </c>
      <c r="J2258">
        <v>-221.86619999999999</v>
      </c>
      <c r="K2258">
        <v>1.1021289999999999</v>
      </c>
      <c r="L2258">
        <v>215.4042</v>
      </c>
      <c r="M2258">
        <v>0.99435240000000003</v>
      </c>
      <c r="N2258">
        <v>0</v>
      </c>
      <c r="O2258">
        <v>-0.1042251</v>
      </c>
      <c r="P2258">
        <v>0.96872789999999998</v>
      </c>
      <c r="Q2258">
        <v>1.2339330000000001E-2</v>
      </c>
      <c r="R2258">
        <v>-0.24781900000000001</v>
      </c>
      <c r="S2258">
        <v>2.895721</v>
      </c>
      <c r="T2258">
        <v>-0.17070260000000001</v>
      </c>
      <c r="U2258">
        <v>-0.79518129999999998</v>
      </c>
      <c r="V2258">
        <v>0.1456961</v>
      </c>
      <c r="W2258">
        <v>3.1155140000000001E-2</v>
      </c>
      <c r="X2258">
        <v>0.98883869999999896</v>
      </c>
      <c r="Y2258">
        <v>0.1627412</v>
      </c>
      <c r="Z2258">
        <v>1.293654E-3</v>
      </c>
      <c r="AA2258">
        <v>0.98666790000000004</v>
      </c>
      <c r="AB2258">
        <v>45</v>
      </c>
      <c r="AC2258">
        <v>18.220499999999902</v>
      </c>
      <c r="AD2258">
        <v>-1.1021247908189999</v>
      </c>
      <c r="AE2258">
        <v>-5.0831</v>
      </c>
      <c r="AF2258">
        <v>3.1453140422408499</v>
      </c>
      <c r="AG2258">
        <v>-1.1021247908189999</v>
      </c>
      <c r="AH2258">
        <v>18.5880198435229</v>
      </c>
      <c r="AI2258">
        <v>93.345770039468405</v>
      </c>
      <c r="AJ2258">
        <v>80.395847212896001</v>
      </c>
      <c r="AK2258">
        <v>18.884442305296101</v>
      </c>
      <c r="AL2258">
        <v>88.214653040081799</v>
      </c>
      <c r="AM2258">
        <v>81.618310955060394</v>
      </c>
      <c r="AN2258">
        <v>0.99999998546065905</v>
      </c>
    </row>
    <row r="2259" spans="1:40" x14ac:dyDescent="0.3">
      <c r="A2259" t="str">
        <f>"20200111153919742"</f>
        <v>20200111153919742</v>
      </c>
      <c r="B2259" t="str">
        <f>"1578728359732724"</f>
        <v>1578728359732724</v>
      </c>
      <c r="C2259" t="s">
        <v>40</v>
      </c>
      <c r="D2259">
        <v>5.4466299999999999</v>
      </c>
      <c r="E2259">
        <v>0.50622089999999997</v>
      </c>
      <c r="F2259" t="s">
        <v>53</v>
      </c>
      <c r="G2259">
        <v>-203.97219999999999</v>
      </c>
      <c r="H2259" s="1">
        <v>4.3367770000000001E-6</v>
      </c>
      <c r="I2259">
        <v>210.5179</v>
      </c>
      <c r="J2259">
        <v>-221.40110000000001</v>
      </c>
      <c r="K2259">
        <v>1.102171</v>
      </c>
      <c r="L2259">
        <v>215.35339999999999</v>
      </c>
      <c r="M2259">
        <v>0.99411989999999995</v>
      </c>
      <c r="N2259">
        <v>0</v>
      </c>
      <c r="O2259">
        <v>-0.10642359999999999</v>
      </c>
      <c r="P2259">
        <v>0.96821520000000005</v>
      </c>
      <c r="Q2259">
        <v>1.2388379999999999E-2</v>
      </c>
      <c r="R2259">
        <v>-0.24981200000000001</v>
      </c>
      <c r="S2259">
        <v>2.8967740000000002</v>
      </c>
      <c r="T2259">
        <v>-0.17841699999999999</v>
      </c>
      <c r="U2259">
        <v>-0.79101560000000004</v>
      </c>
      <c r="V2259">
        <v>0.14554159999999999</v>
      </c>
      <c r="W2259">
        <v>3.1200410000000001E-2</v>
      </c>
      <c r="X2259">
        <v>0.98885999999999996</v>
      </c>
      <c r="Y2259">
        <v>0.1591485</v>
      </c>
      <c r="Z2259">
        <v>1.5918579999999901E-3</v>
      </c>
      <c r="AA2259">
        <v>0.98725339999999995</v>
      </c>
      <c r="AB2259">
        <v>45</v>
      </c>
      <c r="AC2259">
        <v>17.428899999999999</v>
      </c>
      <c r="AD2259">
        <v>-1.1021666632230001</v>
      </c>
      <c r="AE2259">
        <v>-4.8354999999999899</v>
      </c>
      <c r="AF2259">
        <v>2.94188674475342</v>
      </c>
      <c r="AG2259">
        <v>-1.1021666632230001</v>
      </c>
      <c r="AH2259">
        <v>17.778578136300698</v>
      </c>
      <c r="AI2259">
        <v>93.499986217241897</v>
      </c>
      <c r="AJ2259">
        <v>80.604196365018595</v>
      </c>
      <c r="AK2259">
        <v>18.054010898441</v>
      </c>
      <c r="AL2259">
        <v>88.2120579552507</v>
      </c>
      <c r="AM2259">
        <v>81.627250849067593</v>
      </c>
      <c r="AN2259">
        <v>0.99999996125736301</v>
      </c>
    </row>
    <row r="2260" spans="1:40" x14ac:dyDescent="0.3">
      <c r="A2260" t="str">
        <f>"20200111153919779"</f>
        <v>20200111153919779</v>
      </c>
      <c r="B2260" t="str">
        <f>"1578728359772739"</f>
        <v>1578728359772739</v>
      </c>
      <c r="C2260" t="s">
        <v>40</v>
      </c>
      <c r="D2260">
        <v>5.3912579999999997</v>
      </c>
      <c r="E2260">
        <v>0.50575950000000003</v>
      </c>
      <c r="F2260" t="s">
        <v>53</v>
      </c>
      <c r="G2260">
        <v>-204.0951</v>
      </c>
      <c r="H2260" s="1">
        <v>4.3843919999999997E-6</v>
      </c>
      <c r="I2260">
        <v>210.59700000000001</v>
      </c>
      <c r="J2260">
        <v>-220.67080000000001</v>
      </c>
      <c r="K2260">
        <v>1.1022289999999999</v>
      </c>
      <c r="L2260">
        <v>215.27170000000001</v>
      </c>
      <c r="M2260">
        <v>0.99374510000000005</v>
      </c>
      <c r="N2260">
        <v>0</v>
      </c>
      <c r="O2260">
        <v>-0.109873</v>
      </c>
      <c r="P2260">
        <v>0.96731750000000005</v>
      </c>
      <c r="Q2260">
        <v>1.304539E-2</v>
      </c>
      <c r="R2260">
        <v>-0.25323309999999999</v>
      </c>
      <c r="S2260">
        <v>2.895508</v>
      </c>
      <c r="T2260">
        <v>-0.18440609999999999</v>
      </c>
      <c r="U2260">
        <v>-0.79580689999999998</v>
      </c>
      <c r="V2260">
        <v>0.14560629999999999</v>
      </c>
      <c r="W2260">
        <v>3.1848109999999999E-2</v>
      </c>
      <c r="X2260">
        <v>0.98882990000000004</v>
      </c>
      <c r="Y2260">
        <v>0.15735469999999999</v>
      </c>
      <c r="Z2260">
        <v>1.914422E-3</v>
      </c>
      <c r="AA2260">
        <v>0.98754030000000004</v>
      </c>
      <c r="AB2260">
        <v>45</v>
      </c>
      <c r="AC2260">
        <v>16.575700000000001</v>
      </c>
      <c r="AD2260">
        <v>-1.102224615608</v>
      </c>
      <c r="AE2260">
        <v>-4.6746999999999996</v>
      </c>
      <c r="AF2260">
        <v>2.8132782010017898</v>
      </c>
      <c r="AG2260">
        <v>-1.102224615608</v>
      </c>
      <c r="AH2260">
        <v>16.9197271160388</v>
      </c>
      <c r="AI2260">
        <v>93.676891156672298</v>
      </c>
      <c r="AJ2260">
        <v>80.559676382701099</v>
      </c>
      <c r="AK2260">
        <v>17.187396516654399</v>
      </c>
      <c r="AL2260">
        <v>88.174929155871098</v>
      </c>
      <c r="AM2260">
        <v>81.623330210367698</v>
      </c>
      <c r="AN2260">
        <v>1.00000003392213</v>
      </c>
    </row>
    <row r="2261" spans="1:40" x14ac:dyDescent="0.3">
      <c r="A2261" t="str">
        <f>"20200111153919803"</f>
        <v>20200111153919803</v>
      </c>
      <c r="B2261" t="str">
        <f>"1578728359792767"</f>
        <v>1578728359792767</v>
      </c>
      <c r="C2261" t="s">
        <v>40</v>
      </c>
      <c r="D2261">
        <v>5.4072639999999996</v>
      </c>
      <c r="E2261">
        <v>0.50569439999999999</v>
      </c>
      <c r="F2261" t="s">
        <v>53</v>
      </c>
      <c r="G2261">
        <v>-203.7698</v>
      </c>
      <c r="H2261" s="1">
        <v>4.2410529999999997E-6</v>
      </c>
      <c r="I2261">
        <v>210.58619999999999</v>
      </c>
      <c r="J2261">
        <v>-220.18190000000001</v>
      </c>
      <c r="K2261">
        <v>1.102263</v>
      </c>
      <c r="L2261">
        <v>215.21539999999999</v>
      </c>
      <c r="M2261">
        <v>0.99348740000000002</v>
      </c>
      <c r="N2261">
        <v>0</v>
      </c>
      <c r="O2261">
        <v>-0.1121848</v>
      </c>
      <c r="P2261">
        <v>0.9666671</v>
      </c>
      <c r="Q2261">
        <v>1.274784E-2</v>
      </c>
      <c r="R2261">
        <v>-0.25572040000000001</v>
      </c>
      <c r="S2261">
        <v>2.8938899999999999</v>
      </c>
      <c r="T2261">
        <v>-0.1887289</v>
      </c>
      <c r="U2261">
        <v>-0.80227660000000001</v>
      </c>
      <c r="V2261">
        <v>0.14584440000000001</v>
      </c>
      <c r="W2261">
        <v>3.1537370000000002E-2</v>
      </c>
      <c r="X2261">
        <v>0.98880480000000004</v>
      </c>
      <c r="Y2261">
        <v>0.1572501</v>
      </c>
      <c r="Z2261">
        <v>2.10888E-3</v>
      </c>
      <c r="AA2261">
        <v>0.98755660000000001</v>
      </c>
      <c r="AB2261">
        <v>45</v>
      </c>
      <c r="AC2261">
        <v>16.412099999999999</v>
      </c>
      <c r="AD2261">
        <v>-1.1022587589470001</v>
      </c>
      <c r="AE2261">
        <v>-4.6291999999999902</v>
      </c>
      <c r="AF2261">
        <v>2.74693446977642</v>
      </c>
      <c r="AG2261">
        <v>-1.1022587589470001</v>
      </c>
      <c r="AH2261">
        <v>16.757865802922701</v>
      </c>
      <c r="AI2261">
        <v>93.713821660186397</v>
      </c>
      <c r="AJ2261">
        <v>80.690914342981699</v>
      </c>
      <c r="AK2261">
        <v>17.017246828488101</v>
      </c>
      <c r="AL2261">
        <v>88.192742247757096</v>
      </c>
      <c r="AM2261">
        <v>81.609617296459106</v>
      </c>
      <c r="AN2261">
        <v>1.00000006361045</v>
      </c>
    </row>
    <row r="2262" spans="1:40" x14ac:dyDescent="0.3">
      <c r="A2262" t="str">
        <f>"20200111153919824"</f>
        <v>20200111153919824</v>
      </c>
      <c r="B2262" t="str">
        <f>"1578728359813264"</f>
        <v>1578728359813264</v>
      </c>
      <c r="C2262" t="s">
        <v>40</v>
      </c>
      <c r="D2262">
        <v>5.3910429999999998</v>
      </c>
      <c r="E2262">
        <v>0.50590579999999996</v>
      </c>
      <c r="F2262" t="s">
        <v>53</v>
      </c>
      <c r="G2262">
        <v>-203.80019999999999</v>
      </c>
      <c r="H2262" s="1">
        <v>4.2504839999999998E-6</v>
      </c>
      <c r="I2262">
        <v>210.6328</v>
      </c>
      <c r="J2262">
        <v>-219.7714</v>
      </c>
      <c r="K2262">
        <v>1.102287</v>
      </c>
      <c r="L2262">
        <v>215.16730000000001</v>
      </c>
      <c r="M2262">
        <v>0.99326639999999999</v>
      </c>
      <c r="N2262">
        <v>0</v>
      </c>
      <c r="O2262">
        <v>-0.1141283</v>
      </c>
      <c r="P2262">
        <v>0.96605399999999997</v>
      </c>
      <c r="Q2262">
        <v>1.227775E-2</v>
      </c>
      <c r="R2262">
        <v>-0.25804870000000002</v>
      </c>
      <c r="S2262">
        <v>2.8919980000000001</v>
      </c>
      <c r="T2262">
        <v>-0.19459180000000001</v>
      </c>
      <c r="U2262">
        <v>-0.80900569999999905</v>
      </c>
      <c r="V2262">
        <v>0.146287</v>
      </c>
      <c r="W2262">
        <v>3.1043620000000001E-2</v>
      </c>
      <c r="X2262">
        <v>0.98875500000000005</v>
      </c>
      <c r="Y2262">
        <v>0.15761439999999999</v>
      </c>
      <c r="Z2262">
        <v>2.2892920000000001E-3</v>
      </c>
      <c r="AA2262">
        <v>0.98749810000000005</v>
      </c>
      <c r="AB2262">
        <v>44</v>
      </c>
      <c r="AC2262">
        <v>15.9712</v>
      </c>
      <c r="AD2262">
        <v>-1.1022827495159999</v>
      </c>
      <c r="AE2262">
        <v>-4.5345000000000004</v>
      </c>
      <c r="AF2262">
        <v>2.6699631944292501</v>
      </c>
      <c r="AG2262">
        <v>-1.1022827495159999</v>
      </c>
      <c r="AH2262">
        <v>16.312514684799499</v>
      </c>
      <c r="AI2262">
        <v>93.815148431033805</v>
      </c>
      <c r="AJ2262">
        <v>80.704493185656304</v>
      </c>
      <c r="AK2262">
        <v>16.5662870330465</v>
      </c>
      <c r="AL2262">
        <v>88.221045821582905</v>
      </c>
      <c r="AM2262">
        <v>81.584100959449501</v>
      </c>
      <c r="AN2262">
        <v>1.00000002136835</v>
      </c>
    </row>
    <row r="2263" spans="1:40" x14ac:dyDescent="0.3">
      <c r="A2263" t="str">
        <f>"20200111153919850"</f>
        <v>20200111153919850</v>
      </c>
      <c r="B2263" t="str">
        <f>"1578728359843519"</f>
        <v>1578728359843519</v>
      </c>
      <c r="C2263" t="s">
        <v>40</v>
      </c>
      <c r="D2263">
        <v>5.3756069999999996</v>
      </c>
      <c r="E2263">
        <v>0.50639120000000004</v>
      </c>
      <c r="F2263" t="s">
        <v>53</v>
      </c>
      <c r="G2263">
        <v>-204.1285</v>
      </c>
      <c r="H2263" s="1">
        <v>4.3865679999999996E-6</v>
      </c>
      <c r="I2263">
        <v>210.74160000000001</v>
      </c>
      <c r="J2263">
        <v>-219.27189999999999</v>
      </c>
      <c r="K2263">
        <v>1.102317</v>
      </c>
      <c r="L2263">
        <v>215.10769999999999</v>
      </c>
      <c r="M2263">
        <v>0.99299230000000005</v>
      </c>
      <c r="N2263">
        <v>0</v>
      </c>
      <c r="O2263">
        <v>-0.11649610000000001</v>
      </c>
      <c r="P2263">
        <v>0.96520859999999997</v>
      </c>
      <c r="Q2263">
        <v>1.179329E-2</v>
      </c>
      <c r="R2263">
        <v>-0.26121650000000002</v>
      </c>
      <c r="S2263">
        <v>2.8896480000000002</v>
      </c>
      <c r="T2263">
        <v>-0.20362089999999999</v>
      </c>
      <c r="U2263">
        <v>-0.81755069999999996</v>
      </c>
      <c r="V2263">
        <v>0.147167299999999</v>
      </c>
      <c r="W2263">
        <v>3.052363E-2</v>
      </c>
      <c r="X2263">
        <v>0.98864050000000003</v>
      </c>
      <c r="Y2263">
        <v>0.15816959999999999</v>
      </c>
      <c r="Z2263">
        <v>2.5380649999999999E-3</v>
      </c>
      <c r="AA2263">
        <v>0.98740870000000003</v>
      </c>
      <c r="AB2263">
        <v>44</v>
      </c>
      <c r="AC2263">
        <v>15.1433999999999</v>
      </c>
      <c r="AD2263">
        <v>-1.102312613432</v>
      </c>
      <c r="AE2263">
        <v>-4.3660999999999799</v>
      </c>
      <c r="AF2263">
        <v>2.5593443428814702</v>
      </c>
      <c r="AG2263">
        <v>-1.102312613432</v>
      </c>
      <c r="AH2263">
        <v>15.473289245868299</v>
      </c>
      <c r="AI2263">
        <v>94.0204082318471</v>
      </c>
      <c r="AJ2263">
        <v>80.608080888096396</v>
      </c>
      <c r="AK2263">
        <v>15.7222141140959</v>
      </c>
      <c r="AL2263">
        <v>88.250853094202398</v>
      </c>
      <c r="AM2263">
        <v>81.533222733510101</v>
      </c>
      <c r="AN2263">
        <v>0.99999997220895798</v>
      </c>
    </row>
    <row r="2264" spans="1:40" x14ac:dyDescent="0.3">
      <c r="A2264" t="str">
        <f>"20200111153919873"</f>
        <v>20200111153919873</v>
      </c>
      <c r="B2264" t="str">
        <f>"1578728359863040"</f>
        <v>1578728359863040</v>
      </c>
      <c r="C2264" t="s">
        <v>40</v>
      </c>
      <c r="D2264">
        <v>5.3679899999999998</v>
      </c>
      <c r="E2264">
        <v>0.50669739999999996</v>
      </c>
      <c r="F2264" t="s">
        <v>53</v>
      </c>
      <c r="G2264">
        <v>-204.45140000000001</v>
      </c>
      <c r="H2264" s="1">
        <v>4.5208690000000004E-6</v>
      </c>
      <c r="I2264">
        <v>210.84299999999999</v>
      </c>
      <c r="J2264">
        <v>-218.81630000000001</v>
      </c>
      <c r="K2264">
        <v>1.102339</v>
      </c>
      <c r="L2264">
        <v>215.0523</v>
      </c>
      <c r="M2264">
        <v>0.99273679999999997</v>
      </c>
      <c r="N2264">
        <v>0</v>
      </c>
      <c r="O2264">
        <v>-0.1186591</v>
      </c>
      <c r="P2264">
        <v>0.9644585</v>
      </c>
      <c r="Q2264">
        <v>1.159054E-2</v>
      </c>
      <c r="R2264">
        <v>-0.26398129999999997</v>
      </c>
      <c r="S2264">
        <v>2.886002</v>
      </c>
      <c r="T2264">
        <v>-0.2146536</v>
      </c>
      <c r="U2264">
        <v>-0.83047490000000002</v>
      </c>
      <c r="V2264">
        <v>0.14784359999999999</v>
      </c>
      <c r="W2264">
        <v>3.0289610000000002E-2</v>
      </c>
      <c r="X2264">
        <v>0.98854679999999995</v>
      </c>
      <c r="Y2264">
        <v>0.1604226</v>
      </c>
      <c r="Z2264">
        <v>2.7496980000000001E-3</v>
      </c>
      <c r="AA2264">
        <v>0.98704460000000005</v>
      </c>
      <c r="AB2264">
        <v>44</v>
      </c>
      <c r="AC2264">
        <v>14.3649</v>
      </c>
      <c r="AD2264">
        <v>-1.1023344791309999</v>
      </c>
      <c r="AE2264">
        <v>-4.2093000000000096</v>
      </c>
      <c r="AF2264">
        <v>2.46134001304224</v>
      </c>
      <c r="AG2264">
        <v>-1.1023344791309999</v>
      </c>
      <c r="AH2264">
        <v>14.683313953798701</v>
      </c>
      <c r="AI2264">
        <v>94.234505326184404</v>
      </c>
      <c r="AJ2264">
        <v>80.484073746786393</v>
      </c>
      <c r="AK2264">
        <v>14.9289331376861</v>
      </c>
      <c r="AL2264">
        <v>88.264267674680596</v>
      </c>
      <c r="AM2264">
        <v>81.494087495827202</v>
      </c>
      <c r="AN2264">
        <v>0.99999998316257499</v>
      </c>
    </row>
    <row r="2265" spans="1:40" x14ac:dyDescent="0.3">
      <c r="A2265" t="str">
        <f>"20200111153919894"</f>
        <v>20200111153919894</v>
      </c>
      <c r="B2265" t="str">
        <f>"1578728359883068"</f>
        <v>1578728359883068</v>
      </c>
      <c r="C2265" t="s">
        <v>40</v>
      </c>
      <c r="D2265">
        <v>5.3596279999999998</v>
      </c>
      <c r="E2265">
        <v>0.50676100000000002</v>
      </c>
      <c r="F2265" t="s">
        <v>53</v>
      </c>
      <c r="G2265">
        <v>-204.46719999999999</v>
      </c>
      <c r="H2265" s="1">
        <v>4.525956E-6</v>
      </c>
      <c r="I2265">
        <v>210.86510000000001</v>
      </c>
      <c r="J2265">
        <v>-218.40629999999999</v>
      </c>
      <c r="K2265">
        <v>1.1023579999999999</v>
      </c>
      <c r="L2265">
        <v>215.0016</v>
      </c>
      <c r="M2265">
        <v>0.99250249999999995</v>
      </c>
      <c r="N2265">
        <v>0</v>
      </c>
      <c r="O2265">
        <v>-0.12060839999999901</v>
      </c>
      <c r="P2265">
        <v>0.96380920000000003</v>
      </c>
      <c r="Q2265">
        <v>1.2055069999999999E-2</v>
      </c>
      <c r="R2265">
        <v>-0.26632080000000002</v>
      </c>
      <c r="S2265">
        <v>2.882965</v>
      </c>
      <c r="T2265">
        <v>-0.2214778</v>
      </c>
      <c r="U2265">
        <v>-0.84127809999999903</v>
      </c>
      <c r="V2265">
        <v>0.14830360000000001</v>
      </c>
      <c r="W2265">
        <v>3.0726670000000001E-2</v>
      </c>
      <c r="X2265">
        <v>0.98846440000000002</v>
      </c>
      <c r="Y2265">
        <v>0.1621658</v>
      </c>
      <c r="Z2265">
        <v>2.9167780000000001E-3</v>
      </c>
      <c r="AA2265">
        <v>0.98675919999999895</v>
      </c>
      <c r="AB2265">
        <v>44</v>
      </c>
      <c r="AC2265">
        <v>13.9390999999999</v>
      </c>
      <c r="AD2265">
        <v>-1.102353474044</v>
      </c>
      <c r="AE2265">
        <v>-4.1364999999999803</v>
      </c>
      <c r="AF2265">
        <v>2.41093175991019</v>
      </c>
      <c r="AG2265">
        <v>-1.102353474044</v>
      </c>
      <c r="AH2265">
        <v>14.254366979019</v>
      </c>
      <c r="AI2265">
        <v>94.360449091325606</v>
      </c>
      <c r="AJ2265">
        <v>80.400054515910696</v>
      </c>
      <c r="AK2265">
        <v>14.498784538892499</v>
      </c>
      <c r="AL2265">
        <v>88.239214309773203</v>
      </c>
      <c r="AM2265">
        <v>81.467310377356398</v>
      </c>
      <c r="AN2265">
        <v>0.99999997804480401</v>
      </c>
    </row>
    <row r="2266" spans="1:40" x14ac:dyDescent="0.3">
      <c r="A2266" t="str">
        <f>"20200111153919917"</f>
        <v>20200111153919917</v>
      </c>
      <c r="B2266" t="str">
        <f>"1578728359913323"</f>
        <v>1578728359913323</v>
      </c>
      <c r="C2266" t="s">
        <v>40</v>
      </c>
      <c r="D2266">
        <v>5.3395640000000002</v>
      </c>
      <c r="E2266">
        <v>0.50700599999999996</v>
      </c>
      <c r="F2266" t="s">
        <v>53</v>
      </c>
      <c r="G2266">
        <v>-204.36089999999999</v>
      </c>
      <c r="H2266" s="1">
        <v>4.4790130000000004E-6</v>
      </c>
      <c r="I2266">
        <v>210.8629</v>
      </c>
      <c r="J2266">
        <v>-217.9743</v>
      </c>
      <c r="K2266">
        <v>1.1023780000000001</v>
      </c>
      <c r="L2266">
        <v>214.94720000000001</v>
      </c>
      <c r="M2266">
        <v>0.99225099999999999</v>
      </c>
      <c r="N2266">
        <v>0</v>
      </c>
      <c r="O2266">
        <v>-0.12266539999999999</v>
      </c>
      <c r="P2266">
        <v>0.96294409999999997</v>
      </c>
      <c r="Q2266">
        <v>1.219046E-2</v>
      </c>
      <c r="R2266">
        <v>-0.26942630000000001</v>
      </c>
      <c r="S2266">
        <v>2.88089</v>
      </c>
      <c r="T2266">
        <v>-0.2261068</v>
      </c>
      <c r="U2266">
        <v>-0.84890750000000004</v>
      </c>
      <c r="V2266">
        <v>0.14944099999999999</v>
      </c>
      <c r="W2266">
        <v>3.0828189999999998E-2</v>
      </c>
      <c r="X2266">
        <v>0.98829</v>
      </c>
      <c r="Y2266">
        <v>0.16271720000000001</v>
      </c>
      <c r="Z2266">
        <v>3.1126389999999999E-3</v>
      </c>
      <c r="AA2266">
        <v>0.98666779999999998</v>
      </c>
      <c r="AB2266">
        <v>44</v>
      </c>
      <c r="AC2266">
        <v>13.6134</v>
      </c>
      <c r="AD2266">
        <v>-1.102373520987</v>
      </c>
      <c r="AE2266">
        <v>-4.0843000000000096</v>
      </c>
      <c r="AF2266">
        <v>2.36897250129697</v>
      </c>
      <c r="AG2266">
        <v>-1.102373520987</v>
      </c>
      <c r="AH2266">
        <v>13.9278655093881</v>
      </c>
      <c r="AI2266">
        <v>94.461643060265999</v>
      </c>
      <c r="AJ2266">
        <v>80.347015516761502</v>
      </c>
      <c r="AK2266">
        <v>14.170839627180699</v>
      </c>
      <c r="AL2266">
        <v>88.233395024648701</v>
      </c>
      <c r="AM2266">
        <v>81.401349511878706</v>
      </c>
      <c r="AN2266">
        <v>1.00000005693983</v>
      </c>
    </row>
    <row r="2267" spans="1:40" x14ac:dyDescent="0.3">
      <c r="A2267" t="str">
        <f>"20200111153919940"</f>
        <v>20200111153919940</v>
      </c>
      <c r="B2267" t="str">
        <f>"1578728359932845"</f>
        <v>1578728359932845</v>
      </c>
      <c r="C2267" t="s">
        <v>40</v>
      </c>
      <c r="D2267">
        <v>5.3660129999999997</v>
      </c>
      <c r="E2267">
        <v>0.50715469999999996</v>
      </c>
      <c r="F2267" t="s">
        <v>53</v>
      </c>
      <c r="G2267">
        <v>-204.3099</v>
      </c>
      <c r="H2267" s="1">
        <v>4.4561870000000001E-6</v>
      </c>
      <c r="I2267">
        <v>210.86510000000001</v>
      </c>
      <c r="J2267">
        <v>-217.50899999999999</v>
      </c>
      <c r="K2267">
        <v>1.1023940000000001</v>
      </c>
      <c r="L2267">
        <v>214.88759999999999</v>
      </c>
      <c r="M2267">
        <v>0.99197489999999999</v>
      </c>
      <c r="N2267">
        <v>0</v>
      </c>
      <c r="O2267">
        <v>-0.1248828</v>
      </c>
      <c r="P2267">
        <v>0.96210019999999996</v>
      </c>
      <c r="Q2267">
        <v>1.168227E-2</v>
      </c>
      <c r="R2267">
        <v>-0.27244649999999998</v>
      </c>
      <c r="S2267">
        <v>2.8778380000000001</v>
      </c>
      <c r="T2267">
        <v>-0.23216890000000001</v>
      </c>
      <c r="U2267">
        <v>-0.85972599999999999</v>
      </c>
      <c r="V2267">
        <v>0.1503283</v>
      </c>
      <c r="W2267">
        <v>3.0287700000000001E-2</v>
      </c>
      <c r="X2267">
        <v>0.9881721</v>
      </c>
      <c r="Y2267">
        <v>0.16420019999999999</v>
      </c>
      <c r="Z2267">
        <v>3.3106559999999999E-3</v>
      </c>
      <c r="AA2267">
        <v>0.98642149999999995</v>
      </c>
      <c r="AB2267">
        <v>44</v>
      </c>
      <c r="AC2267">
        <v>13.1991</v>
      </c>
      <c r="AD2267">
        <v>-1.102389543813</v>
      </c>
      <c r="AE2267">
        <v>-4.0224999999999804</v>
      </c>
      <c r="AF2267">
        <v>2.3274795518431799</v>
      </c>
      <c r="AG2267">
        <v>-1.102389543813</v>
      </c>
      <c r="AH2267">
        <v>13.5119256368823</v>
      </c>
      <c r="AI2267">
        <v>94.5968245915859</v>
      </c>
      <c r="AJ2267">
        <v>80.2264995560231</v>
      </c>
      <c r="AK2267">
        <v>13.755164782262501</v>
      </c>
      <c r="AL2267">
        <v>88.264377225346294</v>
      </c>
      <c r="AM2267">
        <v>81.350048875833707</v>
      </c>
      <c r="AN2267">
        <v>1.0000000208852899</v>
      </c>
    </row>
    <row r="2268" spans="1:40" x14ac:dyDescent="0.3">
      <c r="A2268" t="str">
        <f>"20200111153919963"</f>
        <v>20200111153919963</v>
      </c>
      <c r="B2268" t="str">
        <f>"1578728359953339"</f>
        <v>1578728359953339</v>
      </c>
      <c r="C2268" t="s">
        <v>40</v>
      </c>
      <c r="D2268">
        <v>5.3750410000000004</v>
      </c>
      <c r="E2268">
        <v>0.50731839999999995</v>
      </c>
      <c r="F2268" t="s">
        <v>53</v>
      </c>
      <c r="G2268">
        <v>-204.166</v>
      </c>
      <c r="H2268" s="1">
        <v>4.39370799999999E-6</v>
      </c>
      <c r="I2268">
        <v>210.84989999999999</v>
      </c>
      <c r="J2268">
        <v>-217.0805</v>
      </c>
      <c r="K2268">
        <v>1.1024130000000001</v>
      </c>
      <c r="L2268">
        <v>214.83179999999999</v>
      </c>
      <c r="M2268">
        <v>0.99171600000000004</v>
      </c>
      <c r="N2268">
        <v>0</v>
      </c>
      <c r="O2268">
        <v>-0.12692719999999999</v>
      </c>
      <c r="P2268">
        <v>0.96131480000000002</v>
      </c>
      <c r="Q2268">
        <v>1.2127199999999999E-2</v>
      </c>
      <c r="R2268">
        <v>-0.27518609999999999</v>
      </c>
      <c r="S2268">
        <v>2.8747099999999999</v>
      </c>
      <c r="T2268">
        <v>-0.2375073</v>
      </c>
      <c r="U2268">
        <v>-0.8699036</v>
      </c>
      <c r="V2268">
        <v>0.15110889999999999</v>
      </c>
      <c r="W2268">
        <v>3.0704269999999999E-2</v>
      </c>
      <c r="X2268">
        <v>0.98804009999999998</v>
      </c>
      <c r="Y2268">
        <v>0.16566</v>
      </c>
      <c r="Z2268">
        <v>3.4913980000000002E-3</v>
      </c>
      <c r="AA2268">
        <v>0.98617670000000002</v>
      </c>
      <c r="AB2268">
        <v>44</v>
      </c>
      <c r="AC2268">
        <v>12.9145</v>
      </c>
      <c r="AD2268">
        <v>-1.10240860629199</v>
      </c>
      <c r="AE2268">
        <v>-3.9818999999999898</v>
      </c>
      <c r="AF2268">
        <v>2.2948913767243599</v>
      </c>
      <c r="AG2268">
        <v>-1.10240860629199</v>
      </c>
      <c r="AH2268">
        <v>13.227499718064699</v>
      </c>
      <c r="AI2268">
        <v>94.694338882198196</v>
      </c>
      <c r="AJ2268">
        <v>80.157501194818593</v>
      </c>
      <c r="AK2268">
        <v>13.4702850733603</v>
      </c>
      <c r="AL2268">
        <v>88.240498283883994</v>
      </c>
      <c r="AM2268">
        <v>81.3046736473745</v>
      </c>
      <c r="AN2268">
        <v>0.999999945531725</v>
      </c>
    </row>
    <row r="2269" spans="1:40" x14ac:dyDescent="0.3">
      <c r="A2269" t="str">
        <f>"20200111153919983"</f>
        <v>20200111153919983</v>
      </c>
      <c r="B2269" t="str">
        <f>"1578728359972859"</f>
        <v>1578728359972859</v>
      </c>
      <c r="C2269" t="s">
        <v>40</v>
      </c>
      <c r="D2269">
        <v>5.3716710000000001</v>
      </c>
      <c r="E2269">
        <v>0.50744619999999996</v>
      </c>
      <c r="F2269" t="s">
        <v>53</v>
      </c>
      <c r="G2269">
        <v>-203.8802</v>
      </c>
      <c r="H2269" s="1">
        <v>4.27228E-6</v>
      </c>
      <c r="I2269">
        <v>210.7893</v>
      </c>
      <c r="J2269">
        <v>-216.6866</v>
      </c>
      <c r="K2269">
        <v>1.102428</v>
      </c>
      <c r="L2269">
        <v>214.77959999999999</v>
      </c>
      <c r="M2269">
        <v>0.99147300000000005</v>
      </c>
      <c r="N2269">
        <v>0</v>
      </c>
      <c r="O2269">
        <v>-0.12881310000000001</v>
      </c>
      <c r="P2269">
        <v>0.96051730000000002</v>
      </c>
      <c r="Q2269">
        <v>1.28914999999999E-2</v>
      </c>
      <c r="R2269">
        <v>-0.27792129999999998</v>
      </c>
      <c r="S2269">
        <v>2.8719640000000002</v>
      </c>
      <c r="T2269">
        <v>-0.23984929999999999</v>
      </c>
      <c r="U2269">
        <v>-0.87951659999999898</v>
      </c>
      <c r="V2269">
        <v>0.1520476</v>
      </c>
      <c r="W2269">
        <v>3.1439670000000003E-2</v>
      </c>
      <c r="X2269">
        <v>0.987873</v>
      </c>
      <c r="Y2269">
        <v>0.1670654</v>
      </c>
      <c r="Z2269">
        <v>3.6207779999999998E-3</v>
      </c>
      <c r="AA2269">
        <v>0.98593909999999996</v>
      </c>
      <c r="AB2269">
        <v>44</v>
      </c>
      <c r="AC2269">
        <v>12.806399999999901</v>
      </c>
      <c r="AD2269">
        <v>-1.10242372772</v>
      </c>
      <c r="AE2269">
        <v>-3.9902999999999902</v>
      </c>
      <c r="AF2269">
        <v>2.2916117807991099</v>
      </c>
      <c r="AG2269">
        <v>-1.10242372772</v>
      </c>
      <c r="AH2269">
        <v>13.125114167889199</v>
      </c>
      <c r="AI2269">
        <v>94.729979393577395</v>
      </c>
      <c r="AJ2269">
        <v>80.096133740217198</v>
      </c>
      <c r="AK2269">
        <v>13.369197603052401</v>
      </c>
      <c r="AL2269">
        <v>88.198342698336404</v>
      </c>
      <c r="AM2269">
        <v>81.250033837658293</v>
      </c>
      <c r="AN2269">
        <v>0.99999999482223401</v>
      </c>
    </row>
    <row r="2270" spans="1:40" x14ac:dyDescent="0.3">
      <c r="A2270" t="str">
        <f>"20200111153920006"</f>
        <v>20200111153920006</v>
      </c>
      <c r="B2270" t="str">
        <f>"1578728359992886"</f>
        <v>1578728359992886</v>
      </c>
      <c r="C2270" t="s">
        <v>40</v>
      </c>
      <c r="D2270">
        <v>5.3770470000000001</v>
      </c>
      <c r="E2270">
        <v>0.50762819999999997</v>
      </c>
      <c r="F2270" t="s">
        <v>53</v>
      </c>
      <c r="G2270">
        <v>-203.5505</v>
      </c>
      <c r="H2270" s="1">
        <v>4.1329540000000001E-6</v>
      </c>
      <c r="I2270">
        <v>210.71019999999999</v>
      </c>
      <c r="J2270">
        <v>-216.25309999999999</v>
      </c>
      <c r="K2270">
        <v>1.10244599999999</v>
      </c>
      <c r="L2270">
        <v>214.72139999999999</v>
      </c>
      <c r="M2270">
        <v>0.99119939999999995</v>
      </c>
      <c r="N2270">
        <v>0</v>
      </c>
      <c r="O2270">
        <v>-0.1309062</v>
      </c>
      <c r="P2270">
        <v>0.95948270000000002</v>
      </c>
      <c r="Q2270">
        <v>1.33001E-2</v>
      </c>
      <c r="R2270">
        <v>-0.28145369999999997</v>
      </c>
      <c r="S2270">
        <v>2.869354</v>
      </c>
      <c r="T2270">
        <v>-0.24080509999999999</v>
      </c>
      <c r="U2270">
        <v>-0.88890079999999905</v>
      </c>
      <c r="V2270">
        <v>0.15359999999999999</v>
      </c>
      <c r="W2270">
        <v>3.181237E-2</v>
      </c>
      <c r="X2270">
        <v>0.98762090000000002</v>
      </c>
      <c r="Y2270">
        <v>0.16818159999999999</v>
      </c>
      <c r="Z2270">
        <v>3.7589870000000001E-3</v>
      </c>
      <c r="AA2270">
        <v>0.98574890000000004</v>
      </c>
      <c r="AB2270">
        <v>43</v>
      </c>
      <c r="AC2270">
        <v>12.702599999999901</v>
      </c>
      <c r="AD2270">
        <v>-1.1024418670459999</v>
      </c>
      <c r="AE2270">
        <v>-4.0111999999999997</v>
      </c>
      <c r="AF2270">
        <v>2.2977599770967099</v>
      </c>
      <c r="AG2270">
        <v>-1.1024418670459999</v>
      </c>
      <c r="AH2270">
        <v>13.0292003767659</v>
      </c>
      <c r="AI2270">
        <v>94.763298709471002</v>
      </c>
      <c r="AJ2270">
        <v>79.998462883011797</v>
      </c>
      <c r="AK2270">
        <v>13.276111683790599</v>
      </c>
      <c r="AL2270">
        <v>88.176977909687196</v>
      </c>
      <c r="AM2270">
        <v>81.159880089613594</v>
      </c>
      <c r="AN2270">
        <v>1.00000001450091</v>
      </c>
    </row>
    <row r="2271" spans="1:40" x14ac:dyDescent="0.3">
      <c r="A2271" t="str">
        <f>"20200111153920047"</f>
        <v>20200111153920047</v>
      </c>
      <c r="B2271" t="str">
        <f>"1578728360042662"</f>
        <v>1578728360042662</v>
      </c>
      <c r="C2271" t="s">
        <v>40</v>
      </c>
      <c r="D2271">
        <v>5.4187779999999997</v>
      </c>
      <c r="E2271">
        <v>0.50854889999999997</v>
      </c>
      <c r="F2271" t="s">
        <v>53</v>
      </c>
      <c r="G2271">
        <v>-203.21860000000001</v>
      </c>
      <c r="H2271" s="1">
        <v>3.9932470000000004E-6</v>
      </c>
      <c r="I2271">
        <v>210.62459999999999</v>
      </c>
      <c r="J2271">
        <v>-215.46190000000001</v>
      </c>
      <c r="K2271">
        <v>1.102452</v>
      </c>
      <c r="L2271">
        <v>214.61259999999999</v>
      </c>
      <c r="M2271">
        <v>0.99067530000000004</v>
      </c>
      <c r="N2271">
        <v>0</v>
      </c>
      <c r="O2271">
        <v>-0.1348212</v>
      </c>
      <c r="P2271">
        <v>0.95778490000000005</v>
      </c>
      <c r="Q2271">
        <v>1.499731E-2</v>
      </c>
      <c r="R2271">
        <v>-0.28709459999999998</v>
      </c>
      <c r="S2271">
        <v>2.8658139999999999</v>
      </c>
      <c r="T2271">
        <v>-0.24238589999999999</v>
      </c>
      <c r="U2271">
        <v>-0.90072629999999998</v>
      </c>
      <c r="V2271">
        <v>0.15552550000000001</v>
      </c>
      <c r="W2271">
        <v>3.3445620000000002E-2</v>
      </c>
      <c r="X2271">
        <v>0.98726550000000002</v>
      </c>
      <c r="Y2271">
        <v>0.1683481</v>
      </c>
      <c r="Z2271">
        <v>4.0956070000000002E-3</v>
      </c>
      <c r="AA2271">
        <v>0.98571909999999896</v>
      </c>
      <c r="AB2271">
        <v>43</v>
      </c>
      <c r="AC2271">
        <v>12.2433</v>
      </c>
      <c r="AD2271">
        <v>-1.102448006753</v>
      </c>
      <c r="AE2271">
        <v>-3.988</v>
      </c>
      <c r="AF2271">
        <v>2.2838589066632098</v>
      </c>
      <c r="AG2271">
        <v>-1.102448006753</v>
      </c>
      <c r="AH2271">
        <v>12.577051048196299</v>
      </c>
      <c r="AI2271">
        <v>94.929282913853399</v>
      </c>
      <c r="AJ2271">
        <v>79.707843900215707</v>
      </c>
      <c r="AK2271">
        <v>12.830183793776101</v>
      </c>
      <c r="AL2271">
        <v>88.0833496468112</v>
      </c>
      <c r="AM2271">
        <v>81.047675415177807</v>
      </c>
      <c r="AN2271">
        <v>0.99999997906884197</v>
      </c>
    </row>
    <row r="2272" spans="1:40" x14ac:dyDescent="0.3">
      <c r="A2272" t="str">
        <f>"20200111153920072"</f>
        <v>20200111153920072</v>
      </c>
      <c r="B2272" t="str">
        <f>"1578728360063158"</f>
        <v>1578728360063158</v>
      </c>
      <c r="C2272" t="s">
        <v>40</v>
      </c>
      <c r="D2272">
        <v>5.4154730000000004</v>
      </c>
      <c r="E2272">
        <v>0.52052989999999999</v>
      </c>
      <c r="F2272" t="s">
        <v>53</v>
      </c>
      <c r="G2272">
        <v>-202.6266</v>
      </c>
      <c r="H2272" s="1">
        <v>3.745247E-6</v>
      </c>
      <c r="I2272">
        <v>210.45849999999999</v>
      </c>
      <c r="J2272">
        <v>-214.97370000000001</v>
      </c>
      <c r="K2272">
        <v>1.102428</v>
      </c>
      <c r="L2272">
        <v>214.5438</v>
      </c>
      <c r="M2272">
        <v>0.99033190000000004</v>
      </c>
      <c r="N2272">
        <v>0</v>
      </c>
      <c r="O2272">
        <v>-0.13732520000000001</v>
      </c>
      <c r="P2272">
        <v>0.95673070000000004</v>
      </c>
      <c r="Q2272">
        <v>1.6282189999999998E-2</v>
      </c>
      <c r="R2272">
        <v>-0.29051939999999998</v>
      </c>
      <c r="S2272">
        <v>2.8587340000000001</v>
      </c>
      <c r="T2272">
        <v>-0.24554219999999999</v>
      </c>
      <c r="U2272">
        <v>-0.9252167</v>
      </c>
      <c r="V2272">
        <v>0.15657560000000001</v>
      </c>
      <c r="W2272">
        <v>3.4678E-2</v>
      </c>
      <c r="X2272">
        <v>0.98705699999999996</v>
      </c>
      <c r="Y2272">
        <v>0.17420039999999901</v>
      </c>
      <c r="Z2272">
        <v>4.112709E-3</v>
      </c>
      <c r="AA2272">
        <v>0.98470159999999995</v>
      </c>
      <c r="AB2272">
        <v>43</v>
      </c>
      <c r="AC2272">
        <v>12.347099999999999</v>
      </c>
      <c r="AD2272">
        <v>-1.1024242547530001</v>
      </c>
      <c r="AE2272">
        <v>-4.0853000000000099</v>
      </c>
      <c r="AF2272">
        <v>2.3339168370155998</v>
      </c>
      <c r="AG2272">
        <v>-1.1024242547530001</v>
      </c>
      <c r="AH2272">
        <v>12.699947145249</v>
      </c>
      <c r="AI2272">
        <v>94.879834083573201</v>
      </c>
      <c r="AJ2272">
        <v>79.586730965889402</v>
      </c>
      <c r="AK2272">
        <v>12.959597390802401</v>
      </c>
      <c r="AL2272">
        <v>88.012698516241699</v>
      </c>
      <c r="AM2272">
        <v>80.986346179949393</v>
      </c>
      <c r="AN2272">
        <v>1.0000000017241799</v>
      </c>
    </row>
    <row r="2273" spans="1:40" x14ac:dyDescent="0.3">
      <c r="A2273" t="str">
        <f>"20200111153920097"</f>
        <v>20200111153920097</v>
      </c>
      <c r="B2273" t="str">
        <f>"1578728360092761"</f>
        <v>1578728360092761</v>
      </c>
      <c r="C2273" t="s">
        <v>40</v>
      </c>
      <c r="D2273">
        <v>5.4017660000000003</v>
      </c>
      <c r="E2273">
        <v>0.52144599999999997</v>
      </c>
      <c r="F2273" t="s">
        <v>41</v>
      </c>
      <c r="G2273">
        <v>-214.25059999999999</v>
      </c>
      <c r="H2273">
        <v>1.0126470000000001</v>
      </c>
      <c r="I2273">
        <v>214.28120000000001</v>
      </c>
      <c r="J2273">
        <v>-214.52369999999999</v>
      </c>
      <c r="K2273">
        <v>1.1023829999999999</v>
      </c>
      <c r="L2273">
        <v>214.47909999999999</v>
      </c>
      <c r="M2273">
        <v>0.98999539999999997</v>
      </c>
      <c r="N2273">
        <v>0</v>
      </c>
      <c r="O2273">
        <v>-0.1397359</v>
      </c>
      <c r="P2273">
        <v>0.95565</v>
      </c>
      <c r="Q2273">
        <v>1.6588149999999999E-2</v>
      </c>
      <c r="R2273">
        <v>-0.29403790000000002</v>
      </c>
      <c r="S2273">
        <v>2.8298800000000002</v>
      </c>
      <c r="T2273">
        <v>-0.35135870000000002</v>
      </c>
      <c r="U2273">
        <v>-1.0267029999999999</v>
      </c>
      <c r="V2273">
        <v>0.1578118</v>
      </c>
      <c r="W2273">
        <v>3.4916759999999998E-2</v>
      </c>
      <c r="X2273">
        <v>0.9868517</v>
      </c>
      <c r="Y2273">
        <v>0.2058768</v>
      </c>
      <c r="Z2273">
        <v>4.272573E-3</v>
      </c>
      <c r="AA2273">
        <v>0.97856860000000001</v>
      </c>
      <c r="AB2273">
        <v>43</v>
      </c>
      <c r="AC2273">
        <v>0.27309999999999901</v>
      </c>
      <c r="AD2273">
        <v>-8.9735999999999996E-2</v>
      </c>
      <c r="AE2273">
        <v>-0.19789999999997501</v>
      </c>
      <c r="AF2273">
        <v>0.14735663349338801</v>
      </c>
      <c r="AG2273">
        <v>-8.9735999999999996E-2</v>
      </c>
      <c r="AH2273">
        <v>0.27837182143184902</v>
      </c>
      <c r="AI2273">
        <v>105.902524106481</v>
      </c>
      <c r="AJ2273">
        <v>62.105411208418602</v>
      </c>
      <c r="AK2273">
        <v>0.32750175281636301</v>
      </c>
      <c r="AL2273">
        <v>87.999010304866403</v>
      </c>
      <c r="AM2273">
        <v>80.9145050982291</v>
      </c>
      <c r="AN2273">
        <v>1.0000000110705101</v>
      </c>
    </row>
    <row r="2274" spans="1:40" x14ac:dyDescent="0.3">
      <c r="A2274" t="str">
        <f>"20200111153920119"</f>
        <v>20200111153920119</v>
      </c>
      <c r="B2274" t="str">
        <f>"1578728360113258"</f>
        <v>1578728360113258</v>
      </c>
      <c r="C2274" t="s">
        <v>40</v>
      </c>
      <c r="D2274">
        <v>5.3710800000000001</v>
      </c>
      <c r="E2274">
        <v>0.52170939999999999</v>
      </c>
      <c r="F2274" t="s">
        <v>53</v>
      </c>
      <c r="G2274">
        <v>-205.58699999999999</v>
      </c>
      <c r="H2274" s="1">
        <v>4.9954539999999999E-6</v>
      </c>
      <c r="I2274">
        <v>211.17490000000001</v>
      </c>
      <c r="J2274">
        <v>-214.09829999999999</v>
      </c>
      <c r="K2274">
        <v>1.1023210000000001</v>
      </c>
      <c r="L2274">
        <v>214.41679999999999</v>
      </c>
      <c r="M2274">
        <v>0.98965190000000003</v>
      </c>
      <c r="N2274">
        <v>0</v>
      </c>
      <c r="O2274">
        <v>-0.14215220000000001</v>
      </c>
      <c r="P2274">
        <v>0.9542583</v>
      </c>
      <c r="Q2274">
        <v>1.7825899999999999E-2</v>
      </c>
      <c r="R2274">
        <v>-0.29845270000000002</v>
      </c>
      <c r="S2274">
        <v>2.824036</v>
      </c>
      <c r="T2274">
        <v>-0.34835650000000001</v>
      </c>
      <c r="U2274">
        <v>-1.0441590000000001</v>
      </c>
      <c r="V2274">
        <v>0.15998329999999999</v>
      </c>
      <c r="W2274">
        <v>3.6070449999999997E-2</v>
      </c>
      <c r="X2274">
        <v>0.98646040000000002</v>
      </c>
      <c r="Y2274">
        <v>0.2094674</v>
      </c>
      <c r="Z2274">
        <v>4.3065949999999999E-3</v>
      </c>
      <c r="AA2274">
        <v>0.97780619999999996</v>
      </c>
      <c r="AB2274">
        <v>43</v>
      </c>
      <c r="AC2274">
        <v>8.5112999999999701</v>
      </c>
      <c r="AD2274">
        <v>-1.1023160045460001</v>
      </c>
      <c r="AE2274">
        <v>-3.2418999999999798</v>
      </c>
      <c r="AF2274">
        <v>1.9699775094274501</v>
      </c>
      <c r="AG2274">
        <v>-1.1023160045460001</v>
      </c>
      <c r="AH2274">
        <v>8.7574827310901</v>
      </c>
      <c r="AI2274">
        <v>97.001022035801</v>
      </c>
      <c r="AJ2274">
        <v>77.322456815633501</v>
      </c>
      <c r="AK2274">
        <v>9.0437500931233998</v>
      </c>
      <c r="AL2274">
        <v>87.932866883982797</v>
      </c>
      <c r="AM2274">
        <v>80.788025589337593</v>
      </c>
      <c r="AN2274">
        <v>0.99999992720512298</v>
      </c>
    </row>
    <row r="2275" spans="1:40" x14ac:dyDescent="0.3">
      <c r="A2275" t="str">
        <f>"20200111153920144"</f>
        <v>20200111153920144</v>
      </c>
      <c r="B2275" t="str">
        <f>"1578728360132779"</f>
        <v>1578728360132779</v>
      </c>
      <c r="C2275" t="s">
        <v>40</v>
      </c>
      <c r="D2275">
        <v>5.4840669999999996</v>
      </c>
      <c r="E2275">
        <v>0.52388440000000003</v>
      </c>
      <c r="F2275" t="s">
        <v>53</v>
      </c>
      <c r="G2275">
        <v>-205.136</v>
      </c>
      <c r="H2275" s="1">
        <v>4.8063390000000001E-6</v>
      </c>
      <c r="I2275">
        <v>211.05029999999999</v>
      </c>
      <c r="J2275">
        <v>-213.62569999999999</v>
      </c>
      <c r="K2275">
        <v>1.1022289999999999</v>
      </c>
      <c r="L2275">
        <v>214.34620000000001</v>
      </c>
      <c r="M2275">
        <v>0.98923899999999998</v>
      </c>
      <c r="N2275">
        <v>0</v>
      </c>
      <c r="O2275">
        <v>-0.14500179999999999</v>
      </c>
      <c r="P2275">
        <v>0.95207419999999998</v>
      </c>
      <c r="Q2275">
        <v>2.0133990000000001E-2</v>
      </c>
      <c r="R2275">
        <v>-0.30520449999999999</v>
      </c>
      <c r="S2275">
        <v>2.8190919999999999</v>
      </c>
      <c r="T2275">
        <v>-0.34673369999999998</v>
      </c>
      <c r="U2275">
        <v>-1.058929</v>
      </c>
      <c r="V2275">
        <v>0.16416249999999999</v>
      </c>
      <c r="W2275">
        <v>3.8258569999999999E-2</v>
      </c>
      <c r="X2275">
        <v>0.98569110000000004</v>
      </c>
      <c r="Y2275">
        <v>0.21171390000000001</v>
      </c>
      <c r="Z2275">
        <v>4.4860689999999996E-3</v>
      </c>
      <c r="AA2275">
        <v>0.97732140000000001</v>
      </c>
      <c r="AB2275">
        <v>43</v>
      </c>
      <c r="AC2275">
        <v>8.4896999999999991</v>
      </c>
      <c r="AD2275">
        <v>-1.102224193661</v>
      </c>
      <c r="AE2275">
        <v>-3.2959000000000098</v>
      </c>
      <c r="AF2275">
        <v>2.0004936428601701</v>
      </c>
      <c r="AG2275">
        <v>-1.102224193661</v>
      </c>
      <c r="AH2275">
        <v>8.7497746405472494</v>
      </c>
      <c r="AI2275">
        <v>97.001037640920302</v>
      </c>
      <c r="AJ2275">
        <v>77.121605924140198</v>
      </c>
      <c r="AK2275">
        <v>9.0429767913325705</v>
      </c>
      <c r="AL2275">
        <v>87.8074102860556</v>
      </c>
      <c r="AM2275">
        <v>80.544427943512304</v>
      </c>
      <c r="AN2275">
        <v>0.99999999460195199</v>
      </c>
    </row>
    <row r="2276" spans="1:40" x14ac:dyDescent="0.3">
      <c r="A2276" t="str">
        <f>"20200111153920164"</f>
        <v>20200111153920164</v>
      </c>
      <c r="B2276" t="str">
        <f>"1578728360153273"</f>
        <v>1578728360153273</v>
      </c>
      <c r="C2276" t="s">
        <v>40</v>
      </c>
      <c r="D2276">
        <v>5.7912970000000001</v>
      </c>
      <c r="E2276">
        <v>0.53189690000000001</v>
      </c>
      <c r="F2276" t="s">
        <v>53</v>
      </c>
      <c r="G2276">
        <v>-203.9777</v>
      </c>
      <c r="H2276" s="1">
        <v>4.3335140000000001E-6</v>
      </c>
      <c r="I2276">
        <v>210.58340000000001</v>
      </c>
      <c r="J2276">
        <v>-213.23779999999999</v>
      </c>
      <c r="K2276">
        <v>1.1021099999999999</v>
      </c>
      <c r="L2276">
        <v>214.28710000000001</v>
      </c>
      <c r="M2276">
        <v>0.98886589999999996</v>
      </c>
      <c r="N2276">
        <v>0</v>
      </c>
      <c r="O2276">
        <v>-0.14752870000000001</v>
      </c>
      <c r="P2276">
        <v>0.94962250000000004</v>
      </c>
      <c r="Q2276">
        <v>2.2414010000000002E-2</v>
      </c>
      <c r="R2276">
        <v>-0.3125946</v>
      </c>
      <c r="S2276">
        <v>2.806854</v>
      </c>
      <c r="T2276">
        <v>-0.32066549999999999</v>
      </c>
      <c r="U2276">
        <v>-1.0946959999999999</v>
      </c>
      <c r="V2276">
        <v>0.16934070000000001</v>
      </c>
      <c r="W2276">
        <v>4.040697E-2</v>
      </c>
      <c r="X2276">
        <v>0.98472890000000002</v>
      </c>
      <c r="Y2276">
        <v>0.22148660000000001</v>
      </c>
      <c r="Z2276">
        <v>3.8896820000000002E-3</v>
      </c>
      <c r="AA2276">
        <v>0.97515569999999896</v>
      </c>
      <c r="AB2276">
        <v>43</v>
      </c>
      <c r="AC2276">
        <v>9.2600999999999907</v>
      </c>
      <c r="AD2276">
        <v>-1.1021056664860001</v>
      </c>
      <c r="AE2276">
        <v>-3.7036999999999898</v>
      </c>
      <c r="AF2276">
        <v>2.2690594262202501</v>
      </c>
      <c r="AG2276">
        <v>-1.1021056664860001</v>
      </c>
      <c r="AH2276">
        <v>9.5881554606010404</v>
      </c>
      <c r="AI2276">
        <v>96.382289004069804</v>
      </c>
      <c r="AJ2276">
        <v>76.685764420410294</v>
      </c>
      <c r="AK2276">
        <v>9.9144335549981495</v>
      </c>
      <c r="AL2276">
        <v>87.684220695989694</v>
      </c>
      <c r="AM2276">
        <v>80.2424650496326</v>
      </c>
      <c r="AN2276">
        <v>1.00000000119814</v>
      </c>
    </row>
    <row r="2277" spans="1:40" x14ac:dyDescent="0.3">
      <c r="A2277" t="str">
        <f>"20200111153920184"</f>
        <v>20200111153920184</v>
      </c>
      <c r="B2277" t="str">
        <f>"1578728360172794"</f>
        <v>1578728360172794</v>
      </c>
      <c r="C2277" t="s">
        <v>40</v>
      </c>
      <c r="D2277">
        <v>5.3974549999999999</v>
      </c>
      <c r="E2277">
        <v>0.53622060000000005</v>
      </c>
      <c r="F2277" t="s">
        <v>41</v>
      </c>
      <c r="G2277">
        <v>-212.41030000000001</v>
      </c>
      <c r="H2277">
        <v>0.93990399999999996</v>
      </c>
      <c r="I2277">
        <v>213.93809999999999</v>
      </c>
      <c r="J2277">
        <v>-212.86</v>
      </c>
      <c r="K2277">
        <v>1.101926</v>
      </c>
      <c r="L2277">
        <v>214.22829999999999</v>
      </c>
      <c r="M2277">
        <v>0.98846040000000002</v>
      </c>
      <c r="N2277">
        <v>0</v>
      </c>
      <c r="O2277">
        <v>-0.1502251</v>
      </c>
      <c r="P2277">
        <v>0.94754850000000002</v>
      </c>
      <c r="Q2277">
        <v>2.2015960000000001E-2</v>
      </c>
      <c r="R2277">
        <v>-0.31885390000000002</v>
      </c>
      <c r="S2277">
        <v>2.7855989999999999</v>
      </c>
      <c r="T2277">
        <v>-0.54591630000000002</v>
      </c>
      <c r="U2277">
        <v>-1.1740569999999999</v>
      </c>
      <c r="V2277">
        <v>0.1731665</v>
      </c>
      <c r="W2277">
        <v>3.987334E-2</v>
      </c>
      <c r="X2277">
        <v>0.98408510000000005</v>
      </c>
      <c r="Y2277">
        <v>0.24401220000000001</v>
      </c>
      <c r="Z2277">
        <v>4.9770489999999999E-3</v>
      </c>
      <c r="AA2277">
        <v>0.96975940000000005</v>
      </c>
      <c r="AB2277">
        <v>42</v>
      </c>
      <c r="AC2277">
        <v>0.44970000000000698</v>
      </c>
      <c r="AD2277">
        <v>-0.162021999999999</v>
      </c>
      <c r="AE2277">
        <v>-0.29019999999999802</v>
      </c>
      <c r="AF2277">
        <v>0.20092305515428899</v>
      </c>
      <c r="AG2277">
        <v>-0.162021999999999</v>
      </c>
      <c r="AH2277">
        <v>0.447213801405145</v>
      </c>
      <c r="AI2277">
        <v>108.287233218854</v>
      </c>
      <c r="AJ2277">
        <v>65.806693740799304</v>
      </c>
      <c r="AK2277">
        <v>0.51635393553624997</v>
      </c>
      <c r="AL2277">
        <v>87.714820106292507</v>
      </c>
      <c r="AM2277">
        <v>80.020004832475394</v>
      </c>
      <c r="AN2277">
        <v>1.0000000020035</v>
      </c>
    </row>
    <row r="2278" spans="1:40" x14ac:dyDescent="0.3">
      <c r="A2278" t="str">
        <f>"20200111153920208"</f>
        <v>20200111153920208</v>
      </c>
      <c r="B2278" t="str">
        <f>"1578728360203372"</f>
        <v>1578728360203372</v>
      </c>
      <c r="C2278" t="s">
        <v>40</v>
      </c>
      <c r="D2278">
        <v>5.6894799999999996</v>
      </c>
      <c r="E2278">
        <v>0.5615251</v>
      </c>
      <c r="F2278" t="s">
        <v>60</v>
      </c>
      <c r="G2278">
        <v>-168.4145</v>
      </c>
      <c r="H2278">
        <v>-3.8030620000000001E-2</v>
      </c>
      <c r="I2278">
        <v>194.3905</v>
      </c>
      <c r="J2278">
        <v>-212.42590000000001</v>
      </c>
      <c r="K2278">
        <v>1.1016319999999999</v>
      </c>
      <c r="L2278">
        <v>214.1593</v>
      </c>
      <c r="M2278">
        <v>0.98792800000000003</v>
      </c>
      <c r="N2278">
        <v>0</v>
      </c>
      <c r="O2278">
        <v>-0.1536894</v>
      </c>
      <c r="P2278">
        <v>0.9456888</v>
      </c>
      <c r="Q2278">
        <v>2.0737950000000002E-2</v>
      </c>
      <c r="R2278">
        <v>-0.32441130000000001</v>
      </c>
      <c r="S2278">
        <v>2.7540589999999998</v>
      </c>
      <c r="T2278">
        <v>-7.0635199999999995E-2</v>
      </c>
      <c r="U2278">
        <v>-1.2292479999999999</v>
      </c>
      <c r="V2278">
        <v>0.17550660000000001</v>
      </c>
      <c r="W2278">
        <v>3.8433929999999998E-2</v>
      </c>
      <c r="X2278">
        <v>0.98372780000000004</v>
      </c>
      <c r="Y2278">
        <v>0.2623393</v>
      </c>
      <c r="Z2278">
        <v>5.1044250000000001E-4</v>
      </c>
      <c r="AA2278">
        <v>0.96497549999999999</v>
      </c>
      <c r="AB2278">
        <v>42</v>
      </c>
      <c r="AC2278">
        <v>44.011400000000002</v>
      </c>
      <c r="AD2278">
        <v>-1.13966262</v>
      </c>
      <c r="AE2278">
        <v>-19.768799999999999</v>
      </c>
      <c r="AF2278">
        <v>12.7613574412375</v>
      </c>
      <c r="AG2278">
        <v>-1.13966262</v>
      </c>
      <c r="AH2278">
        <v>46.501194074605003</v>
      </c>
      <c r="AI2278">
        <v>91.353900328961402</v>
      </c>
      <c r="AJ2278">
        <v>74.654075789349093</v>
      </c>
      <c r="AK2278">
        <v>48.233931262074599</v>
      </c>
      <c r="AL2278">
        <v>87.797355644960405</v>
      </c>
      <c r="AM2278">
        <v>79.8843075738815</v>
      </c>
      <c r="AN2278">
        <v>1.00000005905582</v>
      </c>
    </row>
    <row r="2279" spans="1:40" x14ac:dyDescent="0.3">
      <c r="A2279" t="str">
        <f>"20200111153920231"</f>
        <v>20200111153920231</v>
      </c>
      <c r="B2279" t="str">
        <f>"1578728360222893"</f>
        <v>1578728360222893</v>
      </c>
      <c r="C2279" t="s">
        <v>40</v>
      </c>
      <c r="D2279">
        <v>5.3529239999999998</v>
      </c>
      <c r="E2279">
        <v>0.55820669999999994</v>
      </c>
      <c r="F2279" t="s">
        <v>53</v>
      </c>
      <c r="G2279">
        <v>-204.35759999999999</v>
      </c>
      <c r="H2279" s="1">
        <v>4.5658099999999901E-6</v>
      </c>
      <c r="I2279">
        <v>209.85329999999999</v>
      </c>
      <c r="J2279">
        <v>-211.98939999999999</v>
      </c>
      <c r="K2279">
        <v>1.101251</v>
      </c>
      <c r="L2279">
        <v>214.08779999999999</v>
      </c>
      <c r="M2279">
        <v>0.98730490000000004</v>
      </c>
      <c r="N2279">
        <v>0</v>
      </c>
      <c r="O2279">
        <v>-0.157643899999999</v>
      </c>
      <c r="P2279">
        <v>0.9444882</v>
      </c>
      <c r="Q2279">
        <v>1.8298769999999999E-2</v>
      </c>
      <c r="R2279">
        <v>-0.32803539999999998</v>
      </c>
      <c r="S2279">
        <v>2.6881710000000001</v>
      </c>
      <c r="T2279">
        <v>-0.36703720000000001</v>
      </c>
      <c r="U2279">
        <v>-1.434647</v>
      </c>
      <c r="V2279">
        <v>0.17534350000000001</v>
      </c>
      <c r="W2279">
        <v>3.5833139999999999E-2</v>
      </c>
      <c r="X2279">
        <v>0.98385500000000004</v>
      </c>
      <c r="Y2279">
        <v>0.32464969999999999</v>
      </c>
      <c r="Z2279">
        <v>-8.5019509999999905E-4</v>
      </c>
      <c r="AA2279">
        <v>0.94583399999999995</v>
      </c>
      <c r="AB2279">
        <v>42</v>
      </c>
      <c r="AC2279">
        <v>7.6317999999999904</v>
      </c>
      <c r="AD2279">
        <v>-1.1012464341899999</v>
      </c>
      <c r="AE2279">
        <v>-4.2344999999999899</v>
      </c>
      <c r="AF2279">
        <v>2.9315268375255101</v>
      </c>
      <c r="AG2279">
        <v>-1.1012464341899999</v>
      </c>
      <c r="AH2279">
        <v>8.0754406146866309</v>
      </c>
      <c r="AI2279">
        <v>97.304620510150102</v>
      </c>
      <c r="AJ2279">
        <v>70.048213263382095</v>
      </c>
      <c r="AK2279">
        <v>8.6613702397068195</v>
      </c>
      <c r="AL2279">
        <v>87.946472710134401</v>
      </c>
      <c r="AM2279">
        <v>79.894794025814704</v>
      </c>
      <c r="AN2279">
        <v>1.0000000089697501</v>
      </c>
    </row>
    <row r="2280" spans="1:40" x14ac:dyDescent="0.3">
      <c r="A2280" t="str">
        <f>"20200111153920253"</f>
        <v>20200111153920253</v>
      </c>
      <c r="B2280" t="str">
        <f>"1578728360243389"</f>
        <v>1578728360243389</v>
      </c>
      <c r="C2280" t="s">
        <v>40</v>
      </c>
      <c r="D2280">
        <v>5.5397730000000003</v>
      </c>
      <c r="E2280">
        <v>0.55960390000000004</v>
      </c>
      <c r="F2280" t="s">
        <v>53</v>
      </c>
      <c r="G2280">
        <v>-198.1825</v>
      </c>
      <c r="H2280" s="1">
        <v>3.7004420000000001E-6</v>
      </c>
      <c r="I2280">
        <v>206.7834</v>
      </c>
      <c r="J2280">
        <v>-211.59460000000001</v>
      </c>
      <c r="K2280">
        <v>1.100832</v>
      </c>
      <c r="L2280">
        <v>214.0213</v>
      </c>
      <c r="M2280">
        <v>0.98664470000000004</v>
      </c>
      <c r="N2280">
        <v>0</v>
      </c>
      <c r="O2280">
        <v>-0.16172690000000001</v>
      </c>
      <c r="P2280">
        <v>0.94386720000000002</v>
      </c>
      <c r="Q2280">
        <v>1.6640539999999999E-2</v>
      </c>
      <c r="R2280">
        <v>-0.32990639999999999</v>
      </c>
      <c r="S2280">
        <v>2.686798</v>
      </c>
      <c r="T2280">
        <v>-0.21430080000000001</v>
      </c>
      <c r="U2280">
        <v>-1.421432</v>
      </c>
      <c r="V2280">
        <v>0.17323450000000001</v>
      </c>
      <c r="W2280">
        <v>3.4021790000000003E-2</v>
      </c>
      <c r="X2280">
        <v>0.98429279999999997</v>
      </c>
      <c r="Y2280">
        <v>0.31811109999999998</v>
      </c>
      <c r="Z2280" s="1">
        <v>4.3024310000000001E-5</v>
      </c>
      <c r="AA2280">
        <v>0.94805349999999999</v>
      </c>
      <c r="AB2280">
        <v>42</v>
      </c>
      <c r="AC2280">
        <v>13.412100000000001</v>
      </c>
      <c r="AD2280">
        <v>-1.1008282995579901</v>
      </c>
      <c r="AE2280">
        <v>-7.23789999999999</v>
      </c>
      <c r="AF2280">
        <v>4.9472637574627401</v>
      </c>
      <c r="AG2280">
        <v>-1.1008282995579901</v>
      </c>
      <c r="AH2280">
        <v>14.331482629719</v>
      </c>
      <c r="AI2280">
        <v>94.152815533968294</v>
      </c>
      <c r="AJ2280">
        <v>70.955197538556405</v>
      </c>
      <c r="AK2280">
        <v>15.2012708678238</v>
      </c>
      <c r="AL2280">
        <v>88.050318768436398</v>
      </c>
      <c r="AM2280">
        <v>80.018229025359503</v>
      </c>
      <c r="AN2280">
        <v>0.99999999515844695</v>
      </c>
    </row>
    <row r="2281" spans="1:40" x14ac:dyDescent="0.3">
      <c r="A2281" t="str">
        <f>"20200111153920276"</f>
        <v>20200111153920276</v>
      </c>
      <c r="B2281" t="str">
        <f>"1578728360272669"</f>
        <v>1578728360272669</v>
      </c>
      <c r="C2281" t="s">
        <v>40</v>
      </c>
      <c r="D2281">
        <v>5.3838480000000004</v>
      </c>
      <c r="E2281">
        <v>0.55784049999999996</v>
      </c>
      <c r="F2281" t="s">
        <v>53</v>
      </c>
      <c r="G2281">
        <v>-194.6164</v>
      </c>
      <c r="H2281" s="1">
        <v>5.0414900000000001E-6</v>
      </c>
      <c r="I2281">
        <v>204.90549999999999</v>
      </c>
      <c r="J2281">
        <v>-211.1739</v>
      </c>
      <c r="K2281">
        <v>1.1003259999999999</v>
      </c>
      <c r="L2281">
        <v>213.9479</v>
      </c>
      <c r="M2281">
        <v>0.98581830000000004</v>
      </c>
      <c r="N2281">
        <v>0</v>
      </c>
      <c r="O2281">
        <v>-0.16669239999999999</v>
      </c>
      <c r="P2281">
        <v>0.943164</v>
      </c>
      <c r="Q2281">
        <v>1.7188200000000001E-2</v>
      </c>
      <c r="R2281">
        <v>-0.3318834</v>
      </c>
      <c r="S2281">
        <v>2.6787570000000001</v>
      </c>
      <c r="T2281">
        <v>-0.17368510000000001</v>
      </c>
      <c r="U2281">
        <v>-1.438248</v>
      </c>
      <c r="V2281">
        <v>0.17038800000000001</v>
      </c>
      <c r="W2281">
        <v>3.4378249999999999E-2</v>
      </c>
      <c r="X2281">
        <v>0.98477720000000002</v>
      </c>
      <c r="Y2281">
        <v>0.31928220000000002</v>
      </c>
      <c r="Z2281">
        <v>2.9036120000000001E-4</v>
      </c>
      <c r="AA2281">
        <v>0.94765960000000005</v>
      </c>
      <c r="AB2281">
        <v>42</v>
      </c>
      <c r="AC2281">
        <v>16.557500000000001</v>
      </c>
      <c r="AD2281">
        <v>-1.10032095851</v>
      </c>
      <c r="AE2281">
        <v>-9.0424000000000095</v>
      </c>
      <c r="AF2281">
        <v>6.1344437332422599</v>
      </c>
      <c r="AG2281">
        <v>-1.10032095851</v>
      </c>
      <c r="AH2281">
        <v>17.7728807771623</v>
      </c>
      <c r="AI2281">
        <v>93.349254391478993</v>
      </c>
      <c r="AJ2281">
        <v>70.957499964369305</v>
      </c>
      <c r="AK2281">
        <v>18.833942689922299</v>
      </c>
      <c r="AL2281">
        <v>88.0298832368061</v>
      </c>
      <c r="AM2281">
        <v>80.183761543748602</v>
      </c>
      <c r="AN2281">
        <v>1.0000000341284501</v>
      </c>
    </row>
    <row r="2282" spans="1:40" x14ac:dyDescent="0.3">
      <c r="A2282" t="str">
        <f>"20200111153920301"</f>
        <v>20200111153920301</v>
      </c>
      <c r="B2282" t="str">
        <f>"1578728360292698"</f>
        <v>1578728360292698</v>
      </c>
      <c r="C2282" t="s">
        <v>40</v>
      </c>
      <c r="D2282">
        <v>5.4449779999999999</v>
      </c>
      <c r="E2282">
        <v>0.55699319999999997</v>
      </c>
      <c r="F2282" t="s">
        <v>53</v>
      </c>
      <c r="G2282">
        <v>-195.15450000000001</v>
      </c>
      <c r="H2282" s="1">
        <v>4.7497699999999901E-6</v>
      </c>
      <c r="I2282">
        <v>205.39330000000001</v>
      </c>
      <c r="J2282">
        <v>-210.71289999999999</v>
      </c>
      <c r="K2282">
        <v>1.0997220000000001</v>
      </c>
      <c r="L2282">
        <v>213.86410000000001</v>
      </c>
      <c r="M2282">
        <v>0.98474110000000004</v>
      </c>
      <c r="N2282">
        <v>0</v>
      </c>
      <c r="O2282">
        <v>-0.17294479999999901</v>
      </c>
      <c r="P2282">
        <v>0.94210910000000003</v>
      </c>
      <c r="Q2282">
        <v>1.8370930000000001E-2</v>
      </c>
      <c r="R2282">
        <v>-0.3348025</v>
      </c>
      <c r="S2282">
        <v>2.68045</v>
      </c>
      <c r="T2282">
        <v>-0.18411169999999999</v>
      </c>
      <c r="U2282">
        <v>-1.4314119999999999</v>
      </c>
      <c r="V2282">
        <v>0.16725519999999999</v>
      </c>
      <c r="W2282">
        <v>3.5338029999999999E-2</v>
      </c>
      <c r="X2282">
        <v>0.98528009999999999</v>
      </c>
      <c r="Y2282">
        <v>0.31112479999999998</v>
      </c>
      <c r="Z2282">
        <v>9.6012929999999999E-4</v>
      </c>
      <c r="AA2282">
        <v>0.95036860000000001</v>
      </c>
      <c r="AB2282">
        <v>42</v>
      </c>
      <c r="AC2282">
        <v>15.558399999999899</v>
      </c>
      <c r="AD2282">
        <v>-1.0997172502300001</v>
      </c>
      <c r="AE2282">
        <v>-8.4707999999999899</v>
      </c>
      <c r="AF2282">
        <v>5.6301632745261996</v>
      </c>
      <c r="AG2282">
        <v>-1.0997172502300001</v>
      </c>
      <c r="AH2282">
        <v>16.724672764333</v>
      </c>
      <c r="AI2282">
        <v>93.565937748586904</v>
      </c>
      <c r="AJ2282">
        <v>71.394802471010806</v>
      </c>
      <c r="AK2282">
        <v>17.681142372660702</v>
      </c>
      <c r="AL2282">
        <v>87.974858337114298</v>
      </c>
      <c r="AM2282">
        <v>80.365656258298003</v>
      </c>
      <c r="AN2282">
        <v>0.99999997687366504</v>
      </c>
    </row>
    <row r="2283" spans="1:40" x14ac:dyDescent="0.3">
      <c r="A2283" t="str">
        <f>"20200111153920322"</f>
        <v>20200111153920322</v>
      </c>
      <c r="B2283" t="str">
        <f>"1578728360313192"</f>
        <v>1578728360313192</v>
      </c>
      <c r="C2283" t="s">
        <v>40</v>
      </c>
      <c r="D2283">
        <v>5.3977399999999998</v>
      </c>
      <c r="E2283">
        <v>0.55615630000000005</v>
      </c>
      <c r="F2283" t="s">
        <v>53</v>
      </c>
      <c r="G2283">
        <v>-195.3082</v>
      </c>
      <c r="H2283" s="1">
        <v>4.6375489999999999E-6</v>
      </c>
      <c r="I2283">
        <v>205.61429999999999</v>
      </c>
      <c r="J2283">
        <v>-210.3151</v>
      </c>
      <c r="K2283">
        <v>1.099207</v>
      </c>
      <c r="L2283">
        <v>213.78899999999999</v>
      </c>
      <c r="M2283">
        <v>0.98367459999999995</v>
      </c>
      <c r="N2283">
        <v>0</v>
      </c>
      <c r="O2283">
        <v>-0.17891379999999901</v>
      </c>
      <c r="P2283">
        <v>0.94118749999999995</v>
      </c>
      <c r="Q2283">
        <v>1.9533729999999999E-2</v>
      </c>
      <c r="R2283">
        <v>-0.33732000000000001</v>
      </c>
      <c r="S2283">
        <v>2.6783450000000002</v>
      </c>
      <c r="T2283">
        <v>-0.19120219999999999</v>
      </c>
      <c r="U2283">
        <v>-1.4343410000000001</v>
      </c>
      <c r="V2283">
        <v>0.16397600000000001</v>
      </c>
      <c r="W2283">
        <v>3.632063E-2</v>
      </c>
      <c r="X2283">
        <v>0.98579539999999999</v>
      </c>
      <c r="Y2283">
        <v>0.306477</v>
      </c>
      <c r="Z2283">
        <v>1.5381469999999999E-3</v>
      </c>
      <c r="AA2283">
        <v>0.95187679999999997</v>
      </c>
      <c r="AB2283">
        <v>42</v>
      </c>
      <c r="AC2283">
        <v>15.0069</v>
      </c>
      <c r="AD2283">
        <v>-1.0992023624509999</v>
      </c>
      <c r="AE2283">
        <v>-8.1747000000000298</v>
      </c>
      <c r="AF2283">
        <v>5.3352317196754404</v>
      </c>
      <c r="AG2283">
        <v>-1.0992023624509999</v>
      </c>
      <c r="AH2283">
        <v>16.160646431502901</v>
      </c>
      <c r="AI2283">
        <v>93.695513546212496</v>
      </c>
      <c r="AJ2283">
        <v>71.730017659767796</v>
      </c>
      <c r="AK2283">
        <v>17.054015258005801</v>
      </c>
      <c r="AL2283">
        <v>87.918523260115805</v>
      </c>
      <c r="AM2283">
        <v>80.555957777212299</v>
      </c>
      <c r="AN2283">
        <v>0.99999994370037604</v>
      </c>
    </row>
    <row r="2284" spans="1:40" x14ac:dyDescent="0.3">
      <c r="A2284" t="str">
        <f>"20200111153920344"</f>
        <v>20200111153920344</v>
      </c>
      <c r="B2284" t="str">
        <f>"1578728360332713"</f>
        <v>1578728360332713</v>
      </c>
      <c r="C2284" t="s">
        <v>40</v>
      </c>
      <c r="D2284">
        <v>5.4251050000000003</v>
      </c>
      <c r="E2284">
        <v>0.5556972</v>
      </c>
      <c r="F2284" t="s">
        <v>53</v>
      </c>
      <c r="G2284">
        <v>-195.12119999999999</v>
      </c>
      <c r="H2284" s="1">
        <v>4.6719579999999996E-6</v>
      </c>
      <c r="I2284">
        <v>205.6343</v>
      </c>
      <c r="J2284">
        <v>-209.92070000000001</v>
      </c>
      <c r="K2284">
        <v>1.098687</v>
      </c>
      <c r="L2284">
        <v>213.7116</v>
      </c>
      <c r="M2284">
        <v>0.98247390000000001</v>
      </c>
      <c r="N2284">
        <v>0</v>
      </c>
      <c r="O2284">
        <v>-0.18539729999999999</v>
      </c>
      <c r="P2284">
        <v>0.93974080000000004</v>
      </c>
      <c r="Q2284">
        <v>2.0090520000000001E-2</v>
      </c>
      <c r="R2284">
        <v>-0.34129710000000002</v>
      </c>
      <c r="S2284">
        <v>2.6766049999999999</v>
      </c>
      <c r="T2284">
        <v>-0.19363900000000001</v>
      </c>
      <c r="U2284">
        <v>-1.4365540000000001</v>
      </c>
      <c r="V2284">
        <v>0.16169829999999999</v>
      </c>
      <c r="W2284">
        <v>3.6683269999999997E-2</v>
      </c>
      <c r="X2284">
        <v>0.98615819999999998</v>
      </c>
      <c r="Y2284">
        <v>0.30108040000000003</v>
      </c>
      <c r="Z2284">
        <v>2.1644199999999998E-3</v>
      </c>
      <c r="AA2284">
        <v>0.95359629999999995</v>
      </c>
      <c r="AB2284">
        <v>41</v>
      </c>
      <c r="AC2284">
        <v>14.7995</v>
      </c>
      <c r="AD2284">
        <v>-1.0986823280419999</v>
      </c>
      <c r="AE2284">
        <v>-8.0772999999999993</v>
      </c>
      <c r="AF2284">
        <v>5.1709596086856902</v>
      </c>
      <c r="AG2284">
        <v>-1.0986823280419999</v>
      </c>
      <c r="AH2284">
        <v>15.972796790444599</v>
      </c>
      <c r="AI2284">
        <v>93.744141559277494</v>
      </c>
      <c r="AJ2284">
        <v>72.061397414229901</v>
      </c>
      <c r="AK2284">
        <v>16.824867412299199</v>
      </c>
      <c r="AL2284">
        <v>87.897731777699093</v>
      </c>
      <c r="AM2284">
        <v>80.688191507562394</v>
      </c>
      <c r="AN2284">
        <v>0.99999999897401104</v>
      </c>
    </row>
    <row r="2285" spans="1:40" x14ac:dyDescent="0.3">
      <c r="A2285" t="str">
        <f>"20200111153920363"</f>
        <v>20200111153920363</v>
      </c>
      <c r="B2285" t="str">
        <f>"1578728360353209"</f>
        <v>1578728360353209</v>
      </c>
      <c r="C2285" t="s">
        <v>40</v>
      </c>
      <c r="D2285">
        <v>5.4432510000000001</v>
      </c>
      <c r="E2285">
        <v>0.55575779999999997</v>
      </c>
      <c r="F2285" t="s">
        <v>53</v>
      </c>
      <c r="G2285">
        <v>-195.12700000000001</v>
      </c>
      <c r="H2285" s="1">
        <v>4.6440090000000004E-6</v>
      </c>
      <c r="I2285">
        <v>205.7097</v>
      </c>
      <c r="J2285">
        <v>-209.55590000000001</v>
      </c>
      <c r="K2285">
        <v>1.0981939999999999</v>
      </c>
      <c r="L2285">
        <v>213.63730000000001</v>
      </c>
      <c r="M2285">
        <v>0.9812227</v>
      </c>
      <c r="N2285">
        <v>0</v>
      </c>
      <c r="O2285">
        <v>-0.19191069999999999</v>
      </c>
      <c r="P2285">
        <v>0.93768320000000005</v>
      </c>
      <c r="Q2285">
        <v>2.1415699999999999E-2</v>
      </c>
      <c r="R2285">
        <v>-0.34683150000000001</v>
      </c>
      <c r="S2285">
        <v>2.6717529999999998</v>
      </c>
      <c r="T2285">
        <v>-0.19842280000000001</v>
      </c>
      <c r="U2285">
        <v>-1.4451449999999999</v>
      </c>
      <c r="V2285">
        <v>0.16104079999999901</v>
      </c>
      <c r="W2285">
        <v>3.7804959999999999E-2</v>
      </c>
      <c r="X2285">
        <v>0.98622350000000003</v>
      </c>
      <c r="Y2285">
        <v>0.29785810000000001</v>
      </c>
      <c r="Z2285">
        <v>2.766279E-3</v>
      </c>
      <c r="AA2285">
        <v>0.95460610000000001</v>
      </c>
      <c r="AB2285">
        <v>41</v>
      </c>
      <c r="AC2285">
        <v>14.428900000000001</v>
      </c>
      <c r="AD2285">
        <v>-1.0981893559909901</v>
      </c>
      <c r="AE2285">
        <v>-7.9276000000000098</v>
      </c>
      <c r="AF2285">
        <v>4.9884171142423499</v>
      </c>
      <c r="AG2285">
        <v>-1.0981893559909901</v>
      </c>
      <c r="AH2285">
        <v>15.612804228569299</v>
      </c>
      <c r="AI2285">
        <v>93.833210694425603</v>
      </c>
      <c r="AJ2285">
        <v>72.280898875670999</v>
      </c>
      <c r="AK2285">
        <v>16.4271111595103</v>
      </c>
      <c r="AL2285">
        <v>87.833419211673103</v>
      </c>
      <c r="AM2285">
        <v>80.725999471274505</v>
      </c>
      <c r="AN2285">
        <v>1.00000007310874</v>
      </c>
    </row>
    <row r="2286" spans="1:40" x14ac:dyDescent="0.3">
      <c r="A2286" t="str">
        <f>"20200111153920390"</f>
        <v>20200111153920390</v>
      </c>
      <c r="B2286" t="str">
        <f>"1578728360382998"</f>
        <v>1578728360382998</v>
      </c>
      <c r="C2286" t="s">
        <v>40</v>
      </c>
      <c r="D2286">
        <v>5.4556149999999999</v>
      </c>
      <c r="E2286">
        <v>0.55599670000000001</v>
      </c>
      <c r="F2286" t="s">
        <v>53</v>
      </c>
      <c r="G2286">
        <v>-194.96010000000001</v>
      </c>
      <c r="H2286" s="1">
        <v>4.7090579999999996E-6</v>
      </c>
      <c r="I2286">
        <v>205.63040000000001</v>
      </c>
      <c r="J2286">
        <v>-209.0804</v>
      </c>
      <c r="K2286">
        <v>1.097545</v>
      </c>
      <c r="L2286">
        <v>213.5361</v>
      </c>
      <c r="M2286">
        <v>0.97937510000000005</v>
      </c>
      <c r="N2286">
        <v>0</v>
      </c>
      <c r="O2286">
        <v>-0.20112930000000001</v>
      </c>
      <c r="P2286">
        <v>0.93418460000000003</v>
      </c>
      <c r="Q2286">
        <v>2.2912140000000001E-2</v>
      </c>
      <c r="R2286">
        <v>-0.35605389999999998</v>
      </c>
      <c r="S2286">
        <v>2.663513</v>
      </c>
      <c r="T2286">
        <v>-0.20040330000000001</v>
      </c>
      <c r="U2286">
        <v>-1.461136</v>
      </c>
      <c r="V2286">
        <v>0.161578799999999</v>
      </c>
      <c r="W2286">
        <v>3.9013329999999999E-2</v>
      </c>
      <c r="X2286">
        <v>0.98608839999999998</v>
      </c>
      <c r="Y2286">
        <v>0.29455310000000001</v>
      </c>
      <c r="Z2286">
        <v>3.5337939999999998E-3</v>
      </c>
      <c r="AA2286">
        <v>0.95562860000000005</v>
      </c>
      <c r="AB2286">
        <v>41</v>
      </c>
      <c r="AC2286">
        <v>14.120299999999901</v>
      </c>
      <c r="AD2286">
        <v>-1.097540290942</v>
      </c>
      <c r="AE2286">
        <v>-7.9056999999999897</v>
      </c>
      <c r="AF2286">
        <v>4.8810985860278002</v>
      </c>
      <c r="AG2286">
        <v>-1.097540290942</v>
      </c>
      <c r="AH2286">
        <v>15.351389934246299</v>
      </c>
      <c r="AI2286">
        <v>93.897731066666793</v>
      </c>
      <c r="AJ2286">
        <v>72.3615168832481</v>
      </c>
      <c r="AK2286">
        <v>16.146048773927301</v>
      </c>
      <c r="AL2286">
        <v>87.764133512523998</v>
      </c>
      <c r="AM2286">
        <v>80.694305675962696</v>
      </c>
      <c r="AN2286">
        <v>1.00000004057084</v>
      </c>
    </row>
    <row r="2287" spans="1:40" x14ac:dyDescent="0.3">
      <c r="A2287" t="str">
        <f>"20200111153920413"</f>
        <v>20200111153920413</v>
      </c>
      <c r="B2287" t="str">
        <f>"1578728360403494"</f>
        <v>1578728360403494</v>
      </c>
      <c r="C2287" t="s">
        <v>40</v>
      </c>
      <c r="D2287">
        <v>5.4855450000000001</v>
      </c>
      <c r="E2287">
        <v>0.556334</v>
      </c>
      <c r="F2287" t="s">
        <v>53</v>
      </c>
      <c r="G2287">
        <v>-194.8544</v>
      </c>
      <c r="H2287" s="1">
        <v>4.7647180000000004E-6</v>
      </c>
      <c r="I2287">
        <v>205.5393</v>
      </c>
      <c r="J2287">
        <v>-208.67939999999999</v>
      </c>
      <c r="K2287">
        <v>1.0969770000000001</v>
      </c>
      <c r="L2287">
        <v>213.44669999999999</v>
      </c>
      <c r="M2287">
        <v>0.97760749999999996</v>
      </c>
      <c r="N2287">
        <v>0</v>
      </c>
      <c r="O2287">
        <v>-0.2095533</v>
      </c>
      <c r="P2287">
        <v>0.93068410000000001</v>
      </c>
      <c r="Q2287">
        <v>2.445582E-2</v>
      </c>
      <c r="R2287">
        <v>-0.365006</v>
      </c>
      <c r="S2287">
        <v>2.6488649999999998</v>
      </c>
      <c r="T2287">
        <v>-0.2043595</v>
      </c>
      <c r="U2287">
        <v>-1.488998</v>
      </c>
      <c r="V2287">
        <v>0.1626486</v>
      </c>
      <c r="W2287">
        <v>4.0304529999999998E-2</v>
      </c>
      <c r="X2287">
        <v>0.98586050000000003</v>
      </c>
      <c r="Y2287">
        <v>0.2962303</v>
      </c>
      <c r="Z2287">
        <v>4.1274450000000004E-3</v>
      </c>
      <c r="AA2287">
        <v>0.95510759999999995</v>
      </c>
      <c r="AB2287">
        <v>41</v>
      </c>
      <c r="AC2287">
        <v>13.8249999999999</v>
      </c>
      <c r="AD2287">
        <v>-1.0969722352819999</v>
      </c>
      <c r="AE2287">
        <v>-7.9073999999999902</v>
      </c>
      <c r="AF2287">
        <v>4.8113310819483397</v>
      </c>
      <c r="AG2287">
        <v>-1.0969722352819999</v>
      </c>
      <c r="AH2287">
        <v>15.103609340832699</v>
      </c>
      <c r="AI2287">
        <v>93.958748254018204</v>
      </c>
      <c r="AJ2287">
        <v>72.330459023047894</v>
      </c>
      <c r="AK2287">
        <v>15.8893445423526</v>
      </c>
      <c r="AL2287">
        <v>87.690094797652506</v>
      </c>
      <c r="AM2287">
        <v>80.631654937330097</v>
      </c>
      <c r="AN2287">
        <v>0.99999997384036499</v>
      </c>
    </row>
    <row r="2288" spans="1:40" x14ac:dyDescent="0.3">
      <c r="A2288" t="str">
        <f>"20200111153920438"</f>
        <v>20200111153920438</v>
      </c>
      <c r="B2288" t="str">
        <f>"1578728360432774"</f>
        <v>1578728360432774</v>
      </c>
      <c r="C2288" t="s">
        <v>40</v>
      </c>
      <c r="D2288">
        <v>5.5243180000000001</v>
      </c>
      <c r="E2288">
        <v>0.55713570000000001</v>
      </c>
      <c r="F2288" t="s">
        <v>53</v>
      </c>
      <c r="G2288">
        <v>-194.53020000000001</v>
      </c>
      <c r="H2288" s="1">
        <v>4.922511E-6</v>
      </c>
      <c r="I2288">
        <v>205.2962</v>
      </c>
      <c r="J2288">
        <v>-208.24590000000001</v>
      </c>
      <c r="K2288">
        <v>1.09633799999999</v>
      </c>
      <c r="L2288">
        <v>213.34540000000001</v>
      </c>
      <c r="M2288">
        <v>0.97545680000000001</v>
      </c>
      <c r="N2288">
        <v>0</v>
      </c>
      <c r="O2288">
        <v>-0.2193457</v>
      </c>
      <c r="P2288">
        <v>0.92626989999999998</v>
      </c>
      <c r="Q2288">
        <v>2.555344E-2</v>
      </c>
      <c r="R2288">
        <v>-0.37599320000000003</v>
      </c>
      <c r="S2288">
        <v>2.6337739999999998</v>
      </c>
      <c r="T2288">
        <v>-0.2041934</v>
      </c>
      <c r="U2288">
        <v>-1.5171509999999999</v>
      </c>
      <c r="V2288">
        <v>0.16452</v>
      </c>
      <c r="W2288">
        <v>4.1115440000000003E-2</v>
      </c>
      <c r="X2288">
        <v>0.98551639999999996</v>
      </c>
      <c r="Y2288">
        <v>0.29670849999999999</v>
      </c>
      <c r="Z2288">
        <v>4.7852980000000003E-3</v>
      </c>
      <c r="AA2288">
        <v>0.95495609999999997</v>
      </c>
      <c r="AB2288">
        <v>41</v>
      </c>
      <c r="AC2288">
        <v>13.715699999999901</v>
      </c>
      <c r="AD2288">
        <v>-1.0963330774890001</v>
      </c>
      <c r="AE2288">
        <v>-8.0492000000000097</v>
      </c>
      <c r="AF2288">
        <v>4.8211545449533304</v>
      </c>
      <c r="AG2288">
        <v>-1.0963330774890001</v>
      </c>
      <c r="AH2288">
        <v>15.075796901862301</v>
      </c>
      <c r="AI2288">
        <v>93.962306657174807</v>
      </c>
      <c r="AJ2288">
        <v>72.266017833671697</v>
      </c>
      <c r="AK2288">
        <v>15.865847900106701</v>
      </c>
      <c r="AL2288">
        <v>87.643594451582601</v>
      </c>
      <c r="AM2288">
        <v>80.5225601087228</v>
      </c>
      <c r="AN2288">
        <v>0.99999994223767497</v>
      </c>
    </row>
    <row r="2289" spans="1:40" x14ac:dyDescent="0.3">
      <c r="A2289" t="str">
        <f>"20200111153920461"</f>
        <v>20200111153920461</v>
      </c>
      <c r="B2289" t="str">
        <f>"1578728360453268"</f>
        <v>1578728360453268</v>
      </c>
      <c r="C2289" t="s">
        <v>40</v>
      </c>
      <c r="D2289">
        <v>5.5037729999999998</v>
      </c>
      <c r="E2289">
        <v>0.5574595</v>
      </c>
      <c r="F2289" t="s">
        <v>53</v>
      </c>
      <c r="G2289">
        <v>-194.73169999999999</v>
      </c>
      <c r="H2289" s="1">
        <v>4.872877E-6</v>
      </c>
      <c r="I2289">
        <v>205.31020000000001</v>
      </c>
      <c r="J2289">
        <v>-207.8339</v>
      </c>
      <c r="K2289">
        <v>1.095726</v>
      </c>
      <c r="L2289">
        <v>213.2441</v>
      </c>
      <c r="M2289">
        <v>0.97316179999999997</v>
      </c>
      <c r="N2289">
        <v>0</v>
      </c>
      <c r="O2289">
        <v>-0.2293123</v>
      </c>
      <c r="P2289">
        <v>0.92168950000000005</v>
      </c>
      <c r="Q2289">
        <v>2.5066089999999999E-2</v>
      </c>
      <c r="R2289">
        <v>-0.38711800000000002</v>
      </c>
      <c r="S2289">
        <v>2.6138150000000002</v>
      </c>
      <c r="T2289">
        <v>-0.2120445</v>
      </c>
      <c r="U2289">
        <v>-1.554092</v>
      </c>
      <c r="V2289">
        <v>0.16635079999999999</v>
      </c>
      <c r="W2289">
        <v>4.0363139999999999E-2</v>
      </c>
      <c r="X2289">
        <v>0.98524020000000001</v>
      </c>
      <c r="Y2289">
        <v>0.30012050000000001</v>
      </c>
      <c r="Z2289">
        <v>5.5609930000000002E-3</v>
      </c>
      <c r="AA2289">
        <v>0.95388510000000004</v>
      </c>
      <c r="AB2289">
        <v>41</v>
      </c>
      <c r="AC2289">
        <v>13.1022</v>
      </c>
      <c r="AD2289">
        <v>-1.0957211271230001</v>
      </c>
      <c r="AE2289">
        <v>-7.9338999999999897</v>
      </c>
      <c r="AF2289">
        <v>4.6933328087653097</v>
      </c>
      <c r="AG2289">
        <v>-1.0957211271230001</v>
      </c>
      <c r="AH2289">
        <v>14.498418479689899</v>
      </c>
      <c r="AI2289">
        <v>94.1125893924103</v>
      </c>
      <c r="AJ2289">
        <v>72.062536194407002</v>
      </c>
      <c r="AK2289">
        <v>15.2784853979205</v>
      </c>
      <c r="AL2289">
        <v>87.686734044734294</v>
      </c>
      <c r="AM2289">
        <v>80.416402469562499</v>
      </c>
      <c r="AN2289">
        <v>1.00000001171366</v>
      </c>
    </row>
    <row r="2290" spans="1:40" x14ac:dyDescent="0.3">
      <c r="A2290" t="str">
        <f>"20200111153920481"</f>
        <v>20200111153920481</v>
      </c>
      <c r="B2290" t="str">
        <f>"1578728360472788"</f>
        <v>1578728360472788</v>
      </c>
      <c r="C2290" t="s">
        <v>40</v>
      </c>
      <c r="D2290">
        <v>5.5432790000000001</v>
      </c>
      <c r="E2290">
        <v>0.5578225</v>
      </c>
      <c r="F2290" t="s">
        <v>53</v>
      </c>
      <c r="G2290">
        <v>-194.69110000000001</v>
      </c>
      <c r="H2290" s="1">
        <v>4.9223850000000003E-6</v>
      </c>
      <c r="I2290">
        <v>205.19560000000001</v>
      </c>
      <c r="J2290">
        <v>-207.45679999999999</v>
      </c>
      <c r="K2290">
        <v>1.0951799999999901</v>
      </c>
      <c r="L2290">
        <v>213.1473</v>
      </c>
      <c r="M2290">
        <v>0.97084839999999994</v>
      </c>
      <c r="N2290">
        <v>0</v>
      </c>
      <c r="O2290">
        <v>-0.23891509999999999</v>
      </c>
      <c r="P2290">
        <v>0.91731799999999997</v>
      </c>
      <c r="Q2290">
        <v>2.4182450000000001E-2</v>
      </c>
      <c r="R2290">
        <v>-0.39742119999999997</v>
      </c>
      <c r="S2290">
        <v>2.5936430000000001</v>
      </c>
      <c r="T2290">
        <v>-0.21623339999999999</v>
      </c>
      <c r="U2290">
        <v>-1.5883179999999999</v>
      </c>
      <c r="V2290">
        <v>0.16768229999999901</v>
      </c>
      <c r="W2290">
        <v>3.9258710000000002E-2</v>
      </c>
      <c r="X2290">
        <v>0.98505909999999997</v>
      </c>
      <c r="Y2290">
        <v>0.30316399999999999</v>
      </c>
      <c r="Z2290">
        <v>6.2643229999999996E-3</v>
      </c>
      <c r="AA2290">
        <v>0.95291780000000004</v>
      </c>
      <c r="AB2290">
        <v>41</v>
      </c>
      <c r="AC2290">
        <v>12.765699999999899</v>
      </c>
      <c r="AD2290">
        <v>-1.09517507761499</v>
      </c>
      <c r="AE2290">
        <v>-7.9516999999999802</v>
      </c>
      <c r="AF2290">
        <v>4.6462108437110796</v>
      </c>
      <c r="AG2290">
        <v>-1.09517507761499</v>
      </c>
      <c r="AH2290">
        <v>14.220600662622299</v>
      </c>
      <c r="AI2290">
        <v>94.186872813596807</v>
      </c>
      <c r="AJ2290">
        <v>71.906544966842304</v>
      </c>
      <c r="AK2290">
        <v>15.000405556538199</v>
      </c>
      <c r="AL2290">
        <v>87.750063438579502</v>
      </c>
      <c r="AM2290">
        <v>80.339390953369801</v>
      </c>
      <c r="AN2290">
        <v>1.00000001526848</v>
      </c>
    </row>
    <row r="2291" spans="1:40" x14ac:dyDescent="0.3">
      <c r="A2291" t="str">
        <f>"20200111153920515"</f>
        <v>20200111153920515</v>
      </c>
      <c r="B2291" t="str">
        <f>"1578728360512806"</f>
        <v>1578728360512806</v>
      </c>
      <c r="C2291" t="s">
        <v>40</v>
      </c>
      <c r="D2291">
        <v>5.5404239999999998</v>
      </c>
      <c r="E2291">
        <v>0.55824240000000003</v>
      </c>
      <c r="F2291" t="s">
        <v>53</v>
      </c>
      <c r="G2291">
        <v>-194.71250000000001</v>
      </c>
      <c r="H2291" s="1">
        <v>4.9432889999999997E-6</v>
      </c>
      <c r="I2291">
        <v>205.12309999999999</v>
      </c>
      <c r="J2291">
        <v>-206.84870000000001</v>
      </c>
      <c r="K2291">
        <v>1.094322</v>
      </c>
      <c r="L2291">
        <v>212.98240000000001</v>
      </c>
      <c r="M2291">
        <v>0.96665380000000001</v>
      </c>
      <c r="N2291">
        <v>0</v>
      </c>
      <c r="O2291">
        <v>-0.25535409999999997</v>
      </c>
      <c r="P2291">
        <v>0.90921660000000004</v>
      </c>
      <c r="Q2291">
        <v>2.2294830000000002E-2</v>
      </c>
      <c r="R2291">
        <v>-0.4157264</v>
      </c>
      <c r="S2291">
        <v>2.5740660000000002</v>
      </c>
      <c r="T2291">
        <v>-0.2211998</v>
      </c>
      <c r="U2291">
        <v>-1.6206969999999901</v>
      </c>
      <c r="V2291">
        <v>0.1707283</v>
      </c>
      <c r="W2291">
        <v>3.7000619999999998E-2</v>
      </c>
      <c r="X2291">
        <v>0.98462320000000003</v>
      </c>
      <c r="Y2291">
        <v>0.29888799999999999</v>
      </c>
      <c r="Z2291">
        <v>7.8092530000000004E-3</v>
      </c>
      <c r="AA2291">
        <v>0.9542562</v>
      </c>
      <c r="AB2291">
        <v>41</v>
      </c>
      <c r="AC2291">
        <v>12.136200000000001</v>
      </c>
      <c r="AD2291">
        <v>-1.0943170567110001</v>
      </c>
      <c r="AE2291">
        <v>-7.8593000000000099</v>
      </c>
      <c r="AF2291">
        <v>4.4734118577450097</v>
      </c>
      <c r="AG2291">
        <v>-1.0943170567110001</v>
      </c>
      <c r="AH2291">
        <v>13.6627192358199</v>
      </c>
      <c r="AI2291">
        <v>94.352898252612107</v>
      </c>
      <c r="AJ2291">
        <v>71.870653443987706</v>
      </c>
      <c r="AK2291">
        <v>14.418004036151</v>
      </c>
      <c r="AL2291">
        <v>87.879536658512706</v>
      </c>
      <c r="AM2291">
        <v>80.163030732748993</v>
      </c>
      <c r="AN2291">
        <v>1.00000002213975</v>
      </c>
    </row>
    <row r="2292" spans="1:40" x14ac:dyDescent="0.3">
      <c r="A2292" t="str">
        <f>"20200111153920543"</f>
        <v>20200111153920543</v>
      </c>
      <c r="B2292" t="str">
        <f>"1578728360533301"</f>
        <v>1578728360533301</v>
      </c>
      <c r="C2292" t="s">
        <v>40</v>
      </c>
      <c r="D2292">
        <v>5.7371829999999999</v>
      </c>
      <c r="E2292">
        <v>0.55865419999999999</v>
      </c>
      <c r="F2292" t="s">
        <v>53</v>
      </c>
      <c r="G2292">
        <v>-194.97579999999999</v>
      </c>
      <c r="H2292" s="1">
        <v>4.8751710000000002E-6</v>
      </c>
      <c r="I2292">
        <v>205.1506</v>
      </c>
      <c r="J2292">
        <v>-206.36680000000001</v>
      </c>
      <c r="K2292">
        <v>1.0936950000000001</v>
      </c>
      <c r="L2292">
        <v>212.8426</v>
      </c>
      <c r="M2292">
        <v>0.96285829999999994</v>
      </c>
      <c r="N2292">
        <v>0</v>
      </c>
      <c r="O2292">
        <v>-0.26930850000000001</v>
      </c>
      <c r="P2292">
        <v>0.90234859999999995</v>
      </c>
      <c r="Q2292">
        <v>2.2138399999999999E-2</v>
      </c>
      <c r="R2292">
        <v>-0.43043819999999999</v>
      </c>
      <c r="S2292">
        <v>2.5393829999999999</v>
      </c>
      <c r="T2292">
        <v>-0.23405319999999999</v>
      </c>
      <c r="U2292">
        <v>-1.6750640000000001</v>
      </c>
      <c r="V2292">
        <v>0.17252970000000001</v>
      </c>
      <c r="W2292">
        <v>3.6588910000000002E-2</v>
      </c>
      <c r="X2292">
        <v>0.98432450000000005</v>
      </c>
      <c r="Y2292">
        <v>0.30531360000000002</v>
      </c>
      <c r="Z2292">
        <v>9.1222520000000008E-3</v>
      </c>
      <c r="AA2292">
        <v>0.95220819999999995</v>
      </c>
      <c r="AB2292">
        <v>40</v>
      </c>
      <c r="AC2292">
        <v>11.391</v>
      </c>
      <c r="AD2292">
        <v>-1.0936901248289901</v>
      </c>
      <c r="AE2292">
        <v>-7.6920000000000002</v>
      </c>
      <c r="AF2292">
        <v>4.3121283600684803</v>
      </c>
      <c r="AG2292">
        <v>-1.0936901248289901</v>
      </c>
      <c r="AH2292">
        <v>12.9598421269204</v>
      </c>
      <c r="AI2292">
        <v>94.578164182516403</v>
      </c>
      <c r="AJ2292">
        <v>71.596168059552994</v>
      </c>
      <c r="AK2292">
        <v>13.702120895597</v>
      </c>
      <c r="AL2292">
        <v>87.903141806938294</v>
      </c>
      <c r="AM2292">
        <v>80.058341512584903</v>
      </c>
      <c r="AN2292">
        <v>0.99999998350866404</v>
      </c>
    </row>
    <row r="2293" spans="1:40" x14ac:dyDescent="0.3">
      <c r="A2293" t="str">
        <f>"20200111153920564"</f>
        <v>20200111153920564</v>
      </c>
      <c r="B2293" t="str">
        <f>"1578728360552820"</f>
        <v>1578728360552820</v>
      </c>
      <c r="C2293" t="s">
        <v>40</v>
      </c>
      <c r="D2293">
        <v>5.6099839999999999</v>
      </c>
      <c r="E2293">
        <v>0.59890200000000005</v>
      </c>
      <c r="F2293" t="s">
        <v>53</v>
      </c>
      <c r="G2293">
        <v>-194.82259999999999</v>
      </c>
      <c r="H2293" s="1">
        <v>4.9844640000000002E-6</v>
      </c>
      <c r="I2293">
        <v>204.9375</v>
      </c>
      <c r="J2293">
        <v>-205.99940000000001</v>
      </c>
      <c r="K2293">
        <v>1.093245</v>
      </c>
      <c r="L2293">
        <v>212.73089999999999</v>
      </c>
      <c r="M2293">
        <v>0.95968819999999999</v>
      </c>
      <c r="N2293">
        <v>0</v>
      </c>
      <c r="O2293">
        <v>-0.28039219999999998</v>
      </c>
      <c r="P2293">
        <v>0.89658090000000001</v>
      </c>
      <c r="Q2293">
        <v>2.311991E-2</v>
      </c>
      <c r="R2293">
        <v>-0.44227660000000002</v>
      </c>
      <c r="S2293">
        <v>2.5104679999999999</v>
      </c>
      <c r="T2293">
        <v>-0.2378401</v>
      </c>
      <c r="U2293">
        <v>-1.7190700000000001</v>
      </c>
      <c r="V2293">
        <v>0.17421029999999901</v>
      </c>
      <c r="W2293">
        <v>3.737849E-2</v>
      </c>
      <c r="X2293">
        <v>0.98399879999999995</v>
      </c>
      <c r="Y2293">
        <v>0.31081969999999998</v>
      </c>
      <c r="Z2293">
        <v>9.9493150000000002E-3</v>
      </c>
      <c r="AA2293">
        <v>0.95041679999999995</v>
      </c>
      <c r="AB2293">
        <v>40</v>
      </c>
      <c r="AC2293">
        <v>11.1768</v>
      </c>
      <c r="AD2293">
        <v>-1.093240015536</v>
      </c>
      <c r="AE2293">
        <v>-7.7933999999999903</v>
      </c>
      <c r="AF2293">
        <v>4.3183701358925202</v>
      </c>
      <c r="AG2293">
        <v>-1.093240015536</v>
      </c>
      <c r="AH2293">
        <v>12.831296075461699</v>
      </c>
      <c r="AI2293">
        <v>94.6166493919483</v>
      </c>
      <c r="AJ2293">
        <v>71.399350530280202</v>
      </c>
      <c r="AK2293">
        <v>13.582549589024</v>
      </c>
      <c r="AL2293">
        <v>87.8578712876282</v>
      </c>
      <c r="AM2293">
        <v>79.960205728756705</v>
      </c>
      <c r="AN2293">
        <v>1.0000000092711001</v>
      </c>
    </row>
    <row r="2294" spans="1:40" x14ac:dyDescent="0.3">
      <c r="A2294" t="str">
        <f>"20200111153920586"</f>
        <v>20200111153920586</v>
      </c>
      <c r="B2294" t="str">
        <f>"1578728360583079"</f>
        <v>1578728360583079</v>
      </c>
      <c r="C2294" t="s">
        <v>40</v>
      </c>
      <c r="D2294">
        <v>5.8967919999999996</v>
      </c>
      <c r="E2294">
        <v>0.6237355</v>
      </c>
      <c r="F2294" t="s">
        <v>53</v>
      </c>
      <c r="G2294">
        <v>-197.91079999999999</v>
      </c>
      <c r="H2294" s="1">
        <v>4.0363029999999997E-6</v>
      </c>
      <c r="I2294">
        <v>205.69710000000001</v>
      </c>
      <c r="J2294">
        <v>-205.6156</v>
      </c>
      <c r="K2294">
        <v>1.092786</v>
      </c>
      <c r="L2294">
        <v>212.60900000000001</v>
      </c>
      <c r="M2294">
        <v>0.95608970000000004</v>
      </c>
      <c r="N2294">
        <v>0</v>
      </c>
      <c r="O2294">
        <v>-0.29242439999999997</v>
      </c>
      <c r="P2294">
        <v>0.89000509999999999</v>
      </c>
      <c r="Q2294">
        <v>2.4759429999999999E-2</v>
      </c>
      <c r="R2294">
        <v>-0.45527780000000001</v>
      </c>
      <c r="S2294">
        <v>2.347321</v>
      </c>
      <c r="T2294">
        <v>-0.31725940000000002</v>
      </c>
      <c r="U2294">
        <v>-2.0411990000000002</v>
      </c>
      <c r="V2294">
        <v>0.17627409999999999</v>
      </c>
      <c r="W2294">
        <v>3.8804150000000003E-2</v>
      </c>
      <c r="X2294">
        <v>0.98357589999999995</v>
      </c>
      <c r="Y2294">
        <v>0.40619830000000001</v>
      </c>
      <c r="Z2294">
        <v>9.1052560000000008E-3</v>
      </c>
      <c r="AA2294">
        <v>0.91373959999999999</v>
      </c>
      <c r="AB2294">
        <v>40</v>
      </c>
      <c r="AC2294">
        <v>7.7047999999999996</v>
      </c>
      <c r="AD2294">
        <v>-1.092781963697</v>
      </c>
      <c r="AE2294">
        <v>-6.9119000000000002</v>
      </c>
      <c r="AF2294">
        <v>4.3081347938348804</v>
      </c>
      <c r="AG2294">
        <v>-1.092781963697</v>
      </c>
      <c r="AH2294">
        <v>9.2859722252473098</v>
      </c>
      <c r="AI2294">
        <v>96.093348658613493</v>
      </c>
      <c r="AJ2294">
        <v>65.111524408828998</v>
      </c>
      <c r="AK2294">
        <v>10.2948277299863</v>
      </c>
      <c r="AL2294">
        <v>87.776127492333998</v>
      </c>
      <c r="AM2294">
        <v>79.839454249069107</v>
      </c>
      <c r="AN2294">
        <v>0.99999993572441903</v>
      </c>
    </row>
    <row r="2295" spans="1:40" x14ac:dyDescent="0.3">
      <c r="A2295" t="str">
        <f>"20200111153920609"</f>
        <v>20200111153920609</v>
      </c>
      <c r="B2295" t="str">
        <f>"1578728360602596"</f>
        <v>1578728360602596</v>
      </c>
      <c r="C2295" t="s">
        <v>40</v>
      </c>
      <c r="D2295">
        <v>5.9755979999999997</v>
      </c>
      <c r="E2295">
        <v>0.62942959999999903</v>
      </c>
      <c r="F2295" t="s">
        <v>53</v>
      </c>
      <c r="G2295">
        <v>-197.54349999999999</v>
      </c>
      <c r="H2295" s="1">
        <v>4.5391089999999999E-6</v>
      </c>
      <c r="I2295">
        <v>204.4487</v>
      </c>
      <c r="J2295">
        <v>-205.23089999999999</v>
      </c>
      <c r="K2295">
        <v>1.092333</v>
      </c>
      <c r="L2295">
        <v>212.4813</v>
      </c>
      <c r="M2295">
        <v>0.95217229999999997</v>
      </c>
      <c r="N2295">
        <v>0</v>
      </c>
      <c r="O2295">
        <v>-0.30493589999999998</v>
      </c>
      <c r="P2295">
        <v>0.88278880000000004</v>
      </c>
      <c r="Q2295">
        <v>2.7183530000000001E-2</v>
      </c>
      <c r="R2295">
        <v>-0.46898380000000001</v>
      </c>
      <c r="S2295">
        <v>2.227325</v>
      </c>
      <c r="T2295">
        <v>-0.30153079999999999</v>
      </c>
      <c r="U2295">
        <v>-2.2516630000000002</v>
      </c>
      <c r="V2295">
        <v>0.1787224</v>
      </c>
      <c r="W2295">
        <v>4.0998710000000001E-2</v>
      </c>
      <c r="X2295">
        <v>0.98304499999999995</v>
      </c>
      <c r="Y2295">
        <v>0.46188059999999997</v>
      </c>
      <c r="Z2295">
        <v>6.8278409999999899E-3</v>
      </c>
      <c r="AA2295">
        <v>0.88691589999999998</v>
      </c>
      <c r="AB2295">
        <v>40</v>
      </c>
      <c r="AC2295">
        <v>7.6873999999999896</v>
      </c>
      <c r="AD2295">
        <v>-1.092328460891</v>
      </c>
      <c r="AE2295">
        <v>-8.0326000000000004</v>
      </c>
      <c r="AF2295">
        <v>5.2545509260348702</v>
      </c>
      <c r="AG2295">
        <v>-1.092328460891</v>
      </c>
      <c r="AH2295">
        <v>9.6776145796625705</v>
      </c>
      <c r="AI2295">
        <v>95.664832271744999</v>
      </c>
      <c r="AJ2295">
        <v>61.499840278653302</v>
      </c>
      <c r="AK2295">
        <v>11.066151582789001</v>
      </c>
      <c r="AL2295">
        <v>87.650288441773796</v>
      </c>
      <c r="AM2295">
        <v>79.695890056010299</v>
      </c>
      <c r="AN2295">
        <v>1.0000000312542101</v>
      </c>
    </row>
    <row r="2296" spans="1:40" x14ac:dyDescent="0.3">
      <c r="A2296" t="str">
        <f>"20200111153920631"</f>
        <v>20200111153920631</v>
      </c>
      <c r="B2296" t="str">
        <f>"1578728360623092"</f>
        <v>1578728360623092</v>
      </c>
      <c r="C2296" t="s">
        <v>40</v>
      </c>
      <c r="D2296">
        <v>5.9954159999999996</v>
      </c>
      <c r="E2296">
        <v>0.63037069999999995</v>
      </c>
      <c r="F2296" t="s">
        <v>53</v>
      </c>
      <c r="G2296">
        <v>-197.5496</v>
      </c>
      <c r="H2296" s="1">
        <v>4.5892680000000002E-6</v>
      </c>
      <c r="I2296">
        <v>204.25409999999999</v>
      </c>
      <c r="J2296">
        <v>-204.8366</v>
      </c>
      <c r="K2296">
        <v>1.09188</v>
      </c>
      <c r="L2296">
        <v>212.34450000000001</v>
      </c>
      <c r="M2296">
        <v>0.94781400000000005</v>
      </c>
      <c r="N2296">
        <v>0</v>
      </c>
      <c r="O2296">
        <v>-0.3182217</v>
      </c>
      <c r="P2296">
        <v>0.87460349999999998</v>
      </c>
      <c r="Q2296">
        <v>2.8258809999999999E-2</v>
      </c>
      <c r="R2296">
        <v>-0.48401480000000002</v>
      </c>
      <c r="S2296">
        <v>2.1719819999999999</v>
      </c>
      <c r="T2296">
        <v>-0.30886920000000001</v>
      </c>
      <c r="U2296">
        <v>-2.3263400000000001</v>
      </c>
      <c r="V2296">
        <v>0.1818796</v>
      </c>
      <c r="W2296">
        <v>4.1812929999999998E-2</v>
      </c>
      <c r="X2296">
        <v>0.98243139999999995</v>
      </c>
      <c r="Y2296">
        <v>0.47499599999999997</v>
      </c>
      <c r="Z2296">
        <v>7.6257209999999898E-3</v>
      </c>
      <c r="AA2296">
        <v>0.87995489999999998</v>
      </c>
      <c r="AB2296">
        <v>40</v>
      </c>
      <c r="AC2296">
        <v>7.2869999999999999</v>
      </c>
      <c r="AD2296">
        <v>-1.0918754107319999</v>
      </c>
      <c r="AE2296">
        <v>-8.0904000000000096</v>
      </c>
      <c r="AF2296">
        <v>5.2970715690177697</v>
      </c>
      <c r="AG2296">
        <v>-1.0918754107319999</v>
      </c>
      <c r="AH2296">
        <v>9.3886676387233496</v>
      </c>
      <c r="AI2296">
        <v>95.783659678394699</v>
      </c>
      <c r="AJ2296">
        <v>60.568376850655604</v>
      </c>
      <c r="AK2296">
        <v>10.8350467996344</v>
      </c>
      <c r="AL2296">
        <v>87.603596914272202</v>
      </c>
      <c r="AM2296">
        <v>79.511463059243795</v>
      </c>
      <c r="AN2296">
        <v>0.99999998285865199</v>
      </c>
    </row>
    <row r="2297" spans="1:40" x14ac:dyDescent="0.3">
      <c r="A2297" t="str">
        <f>"20200111153920653"</f>
        <v>20200111153920653</v>
      </c>
      <c r="B2297" t="str">
        <f>"1578728360642612"</f>
        <v>1578728360642612</v>
      </c>
      <c r="C2297" t="s">
        <v>40</v>
      </c>
      <c r="D2297">
        <v>5.8926290000000003</v>
      </c>
      <c r="E2297">
        <v>0.63058249999999905</v>
      </c>
      <c r="F2297" t="s">
        <v>53</v>
      </c>
      <c r="G2297">
        <v>-197.97389999999999</v>
      </c>
      <c r="H2297" s="1">
        <v>4.3666120000000002E-6</v>
      </c>
      <c r="I2297">
        <v>204.7088</v>
      </c>
      <c r="J2297">
        <v>-204.4726</v>
      </c>
      <c r="K2297">
        <v>1.0914779999999999</v>
      </c>
      <c r="L2297">
        <v>212.2124</v>
      </c>
      <c r="M2297">
        <v>0.94346280000000005</v>
      </c>
      <c r="N2297">
        <v>0</v>
      </c>
      <c r="O2297">
        <v>-0.33089669999999999</v>
      </c>
      <c r="P2297">
        <v>0.86616780000000004</v>
      </c>
      <c r="Q2297">
        <v>2.8976450000000001E-2</v>
      </c>
      <c r="R2297">
        <v>-0.49891249999999998</v>
      </c>
      <c r="S2297">
        <v>2.1297299999999999</v>
      </c>
      <c r="T2297">
        <v>-0.33884449999999999</v>
      </c>
      <c r="U2297">
        <v>-2.3696139999999999</v>
      </c>
      <c r="V2297">
        <v>0.1855976</v>
      </c>
      <c r="W2297">
        <v>4.2258370000000003E-2</v>
      </c>
      <c r="X2297">
        <v>0.98171679999999995</v>
      </c>
      <c r="Y2297">
        <v>0.47977330000000001</v>
      </c>
      <c r="Z2297">
        <v>9.5242109999999994E-3</v>
      </c>
      <c r="AA2297">
        <v>0.87734080000000003</v>
      </c>
      <c r="AB2297">
        <v>40</v>
      </c>
      <c r="AC2297">
        <v>6.4987000000000101</v>
      </c>
      <c r="AD2297">
        <v>-1.091473633388</v>
      </c>
      <c r="AE2297">
        <v>-7.5035999999999996</v>
      </c>
      <c r="AF2297">
        <v>4.8710281898149796</v>
      </c>
      <c r="AG2297">
        <v>-1.091473633388</v>
      </c>
      <c r="AH2297">
        <v>8.51293677319007</v>
      </c>
      <c r="AI2297">
        <v>96.349972774395695</v>
      </c>
      <c r="AJ2297">
        <v>60.222186458065998</v>
      </c>
      <c r="AK2297">
        <v>9.8685522151268597</v>
      </c>
      <c r="AL2297">
        <v>87.578052683295695</v>
      </c>
      <c r="AM2297">
        <v>79.294348954901693</v>
      </c>
      <c r="AN2297">
        <v>1.00000005718152</v>
      </c>
    </row>
    <row r="2298" spans="1:40" x14ac:dyDescent="0.3">
      <c r="A2298" t="str">
        <f>"20200111153920675"</f>
        <v>20200111153920675</v>
      </c>
      <c r="B2298" t="str">
        <f>"1578728360672868"</f>
        <v>1578728360672868</v>
      </c>
      <c r="C2298" t="s">
        <v>40</v>
      </c>
      <c r="D2298">
        <v>6.0577920000000001</v>
      </c>
      <c r="E2298">
        <v>0.63077190000000005</v>
      </c>
      <c r="F2298" t="s">
        <v>53</v>
      </c>
      <c r="G2298">
        <v>-198.09819999999999</v>
      </c>
      <c r="H2298" s="1">
        <v>4.2816790000000001E-6</v>
      </c>
      <c r="I2298">
        <v>204.87100000000001</v>
      </c>
      <c r="J2298">
        <v>-204.10830000000001</v>
      </c>
      <c r="K2298">
        <v>1.091086</v>
      </c>
      <c r="L2298">
        <v>212.0744</v>
      </c>
      <c r="M2298">
        <v>0.93877710000000003</v>
      </c>
      <c r="N2298">
        <v>0</v>
      </c>
      <c r="O2298">
        <v>-0.34396349999999998</v>
      </c>
      <c r="P2298">
        <v>0.85748009999999997</v>
      </c>
      <c r="Q2298">
        <v>2.9270230000000001E-2</v>
      </c>
      <c r="R2298">
        <v>-0.51368400000000003</v>
      </c>
      <c r="S2298">
        <v>2.0894170000000001</v>
      </c>
      <c r="T2298">
        <v>-0.35776720000000001</v>
      </c>
      <c r="U2298">
        <v>-2.4063870000000001</v>
      </c>
      <c r="V2298">
        <v>0.18884509999999999</v>
      </c>
      <c r="W2298">
        <v>4.2298870000000002E-2</v>
      </c>
      <c r="X2298">
        <v>0.98109550000000001</v>
      </c>
      <c r="Y2298">
        <v>0.4825719</v>
      </c>
      <c r="Z2298">
        <v>1.1467440000000001E-2</v>
      </c>
      <c r="AA2298">
        <v>0.87578129999999998</v>
      </c>
      <c r="AB2298">
        <v>40</v>
      </c>
      <c r="AC2298">
        <v>6.01010000000002</v>
      </c>
      <c r="AD2298">
        <v>-1.091081718321</v>
      </c>
      <c r="AE2298">
        <v>-7.20340000000001</v>
      </c>
      <c r="AF2298">
        <v>4.63336729145853</v>
      </c>
      <c r="AG2298">
        <v>-1.091081718321</v>
      </c>
      <c r="AH2298">
        <v>8.0130339765078897</v>
      </c>
      <c r="AI2298">
        <v>96.7227786629294</v>
      </c>
      <c r="AJ2298">
        <v>59.962260829284602</v>
      </c>
      <c r="AK2298">
        <v>9.3202610093431399</v>
      </c>
      <c r="AL2298">
        <v>87.575730045137306</v>
      </c>
      <c r="AM2298">
        <v>79.104736692586201</v>
      </c>
      <c r="AN2298">
        <v>1.00000002315876</v>
      </c>
    </row>
    <row r="2299" spans="1:40" x14ac:dyDescent="0.3">
      <c r="A2299" t="str">
        <f>"20200111153920700"</f>
        <v>20200111153920700</v>
      </c>
      <c r="B2299" t="str">
        <f>"1578728360693365"</f>
        <v>1578728360693365</v>
      </c>
      <c r="C2299" t="s">
        <v>40</v>
      </c>
      <c r="D2299">
        <v>6.0496910000000002</v>
      </c>
      <c r="E2299">
        <v>0.63078429999999996</v>
      </c>
      <c r="F2299" t="s">
        <v>53</v>
      </c>
      <c r="G2299">
        <v>-197.69810000000001</v>
      </c>
      <c r="H2299" s="1">
        <v>4.5099910000000004E-6</v>
      </c>
      <c r="I2299">
        <v>204.42920000000001</v>
      </c>
      <c r="J2299">
        <v>-203.69919999999999</v>
      </c>
      <c r="K2299">
        <v>1.0906720000000001</v>
      </c>
      <c r="L2299">
        <v>211.9119</v>
      </c>
      <c r="M2299">
        <v>0.93309450000000005</v>
      </c>
      <c r="N2299">
        <v>0</v>
      </c>
      <c r="O2299">
        <v>-0.359091099999999</v>
      </c>
      <c r="P2299">
        <v>0.84758539999999905</v>
      </c>
      <c r="Q2299">
        <v>2.9769819999999999E-2</v>
      </c>
      <c r="R2299">
        <v>-0.52982399999999996</v>
      </c>
      <c r="S2299">
        <v>2.0475620000000001</v>
      </c>
      <c r="T2299">
        <v>-0.348518099999999</v>
      </c>
      <c r="U2299">
        <v>-2.442078</v>
      </c>
      <c r="V2299">
        <v>0.19162560000000001</v>
      </c>
      <c r="W2299">
        <v>4.2556129999999998E-2</v>
      </c>
      <c r="X2299">
        <v>0.980545</v>
      </c>
      <c r="Y2299">
        <v>0.48364780000000002</v>
      </c>
      <c r="Z2299">
        <v>1.291463E-2</v>
      </c>
      <c r="AA2299">
        <v>0.87516740000000004</v>
      </c>
      <c r="AB2299">
        <v>39</v>
      </c>
      <c r="AC2299">
        <v>6.0010999999999797</v>
      </c>
      <c r="AD2299">
        <v>-1.0906674900090001</v>
      </c>
      <c r="AE2299">
        <v>-7.4826999999999897</v>
      </c>
      <c r="AF2299">
        <v>4.76643482636341</v>
      </c>
      <c r="AG2299">
        <v>-1.0906674900090001</v>
      </c>
      <c r="AH2299">
        <v>8.1823802351353194</v>
      </c>
      <c r="AI2299">
        <v>96.570241506387603</v>
      </c>
      <c r="AJ2299">
        <v>59.778163103070597</v>
      </c>
      <c r="AK2299">
        <v>9.5320408538814902</v>
      </c>
      <c r="AL2299">
        <v>87.560976660110001</v>
      </c>
      <c r="AM2299">
        <v>78.942188218146001</v>
      </c>
      <c r="AN2299">
        <v>0.99999994590046704</v>
      </c>
    </row>
    <row r="2300" spans="1:40" x14ac:dyDescent="0.3">
      <c r="A2300" t="str">
        <f>"20200111153920727"</f>
        <v>20200111153920727</v>
      </c>
      <c r="B2300" t="str">
        <f>"1578728360722644"</f>
        <v>1578728360722644</v>
      </c>
      <c r="C2300" t="s">
        <v>40</v>
      </c>
      <c r="D2300">
        <v>5.7519749999999998</v>
      </c>
      <c r="E2300">
        <v>0.62938959999999999</v>
      </c>
      <c r="F2300" t="s">
        <v>53</v>
      </c>
      <c r="G2300">
        <v>-197.2439</v>
      </c>
      <c r="H2300" s="1">
        <v>4.7481560000000002E-6</v>
      </c>
      <c r="I2300">
        <v>203.9101</v>
      </c>
      <c r="J2300">
        <v>-203.26060000000001</v>
      </c>
      <c r="K2300">
        <v>1.090266</v>
      </c>
      <c r="L2300">
        <v>211.72929999999999</v>
      </c>
      <c r="M2300">
        <v>0.92651260000000002</v>
      </c>
      <c r="N2300">
        <v>0</v>
      </c>
      <c r="O2300">
        <v>-0.37574449999999998</v>
      </c>
      <c r="P2300">
        <v>0.83616019999999902</v>
      </c>
      <c r="Q2300">
        <v>2.9353489999999999E-2</v>
      </c>
      <c r="R2300">
        <v>-0.54769950000000001</v>
      </c>
      <c r="S2300">
        <v>2.000931</v>
      </c>
      <c r="T2300">
        <v>-0.33806750000000002</v>
      </c>
      <c r="U2300">
        <v>-2.48027</v>
      </c>
      <c r="V2300">
        <v>0.19490350000000001</v>
      </c>
      <c r="W2300">
        <v>4.1881540000000002E-2</v>
      </c>
      <c r="X2300">
        <v>0.97992780000000002</v>
      </c>
      <c r="Y2300">
        <v>0.48464289999999999</v>
      </c>
      <c r="Z2300">
        <v>1.4411409999999999E-2</v>
      </c>
      <c r="AA2300">
        <v>0.87459339999999997</v>
      </c>
      <c r="AB2300">
        <v>39</v>
      </c>
      <c r="AC2300">
        <v>6.0167000000000099</v>
      </c>
      <c r="AD2300">
        <v>-1.090261251844</v>
      </c>
      <c r="AE2300">
        <v>-7.8191999999999897</v>
      </c>
      <c r="AF2300">
        <v>4.9246811972777698</v>
      </c>
      <c r="AG2300">
        <v>-1.090261251844</v>
      </c>
      <c r="AH2300">
        <v>8.4115153946265995</v>
      </c>
      <c r="AI2300">
        <v>96.382282705070295</v>
      </c>
      <c r="AJ2300">
        <v>59.652351262004302</v>
      </c>
      <c r="AK2300">
        <v>9.8078920123609592</v>
      </c>
      <c r="AL2300">
        <v>87.599662362432895</v>
      </c>
      <c r="AM2300">
        <v>78.750914449793797</v>
      </c>
      <c r="AN2300">
        <v>0.99999996545893</v>
      </c>
    </row>
    <row r="2301" spans="1:40" x14ac:dyDescent="0.3">
      <c r="A2301" t="str">
        <f>"20200111153920749"</f>
        <v>20200111153920749</v>
      </c>
      <c r="B2301" t="str">
        <f>"1578728360743141"</f>
        <v>1578728360743141</v>
      </c>
      <c r="C2301" t="s">
        <v>40</v>
      </c>
      <c r="D2301">
        <v>5.7486480000000002</v>
      </c>
      <c r="E2301">
        <v>0.62881260000000005</v>
      </c>
      <c r="F2301" t="s">
        <v>53</v>
      </c>
      <c r="G2301">
        <v>-197.15539999999999</v>
      </c>
      <c r="H2301" s="1">
        <v>4.7754010000000003E-6</v>
      </c>
      <c r="I2301">
        <v>203.88130000000001</v>
      </c>
      <c r="J2301">
        <v>-202.89060000000001</v>
      </c>
      <c r="K2301">
        <v>1.089939</v>
      </c>
      <c r="L2301">
        <v>211.56819999999999</v>
      </c>
      <c r="M2301">
        <v>0.92054780000000003</v>
      </c>
      <c r="N2301">
        <v>0</v>
      </c>
      <c r="O2301">
        <v>-0.39012780000000002</v>
      </c>
      <c r="P2301">
        <v>0.82576890000000003</v>
      </c>
      <c r="Q2301">
        <v>2.8793719999999998E-2</v>
      </c>
      <c r="R2301">
        <v>-0.56327329999999998</v>
      </c>
      <c r="S2301">
        <v>1.954453</v>
      </c>
      <c r="T2301">
        <v>-0.34902359999999999</v>
      </c>
      <c r="U2301">
        <v>-2.512375</v>
      </c>
      <c r="V2301">
        <v>0.19801070000000001</v>
      </c>
      <c r="W2301">
        <v>4.109496E-2</v>
      </c>
      <c r="X2301">
        <v>0.97933800000000004</v>
      </c>
      <c r="Y2301">
        <v>0.48651620000000001</v>
      </c>
      <c r="Z2301">
        <v>1.651791E-2</v>
      </c>
      <c r="AA2301">
        <v>0.87351540000000005</v>
      </c>
      <c r="AB2301">
        <v>39</v>
      </c>
      <c r="AC2301">
        <v>5.7352000000000096</v>
      </c>
      <c r="AD2301">
        <v>-1.089934224599</v>
      </c>
      <c r="AE2301">
        <v>-7.6868999999999801</v>
      </c>
      <c r="AF2301">
        <v>4.77793845319251</v>
      </c>
      <c r="AG2301">
        <v>-1.089934224599</v>
      </c>
      <c r="AH2301">
        <v>8.1744473693792603</v>
      </c>
      <c r="AI2301">
        <v>96.566587414371995</v>
      </c>
      <c r="AJ2301">
        <v>59.693850125149297</v>
      </c>
      <c r="AK2301">
        <v>9.5309098343861898</v>
      </c>
      <c r="AL2301">
        <v>87.644768940531506</v>
      </c>
      <c r="AM2301">
        <v>78.569559559720503</v>
      </c>
      <c r="AN2301">
        <v>0.99999997564794496</v>
      </c>
    </row>
    <row r="2302" spans="1:40" x14ac:dyDescent="0.3">
      <c r="A2302" t="str">
        <f>"20200111153920772"</f>
        <v>20200111153920772</v>
      </c>
      <c r="B2302" t="str">
        <f>"1578728360762660"</f>
        <v>1578728360762660</v>
      </c>
      <c r="C2302" t="s">
        <v>40</v>
      </c>
      <c r="D2302">
        <v>5.8014029999999996</v>
      </c>
      <c r="E2302">
        <v>0.62835479999999999</v>
      </c>
      <c r="F2302" t="s">
        <v>53</v>
      </c>
      <c r="G2302">
        <v>-197.02119999999999</v>
      </c>
      <c r="H2302" s="1">
        <v>4.8408250000000004E-6</v>
      </c>
      <c r="I2302">
        <v>203.7466</v>
      </c>
      <c r="J2302">
        <v>-202.52670000000001</v>
      </c>
      <c r="K2302">
        <v>1.0896300000000001</v>
      </c>
      <c r="L2302">
        <v>211.40299999999999</v>
      </c>
      <c r="M2302">
        <v>0.91429329999999998</v>
      </c>
      <c r="N2302">
        <v>0</v>
      </c>
      <c r="O2302">
        <v>-0.4045665</v>
      </c>
      <c r="P2302">
        <v>0.81475819999999999</v>
      </c>
      <c r="Q2302">
        <v>2.745566E-2</v>
      </c>
      <c r="R2302">
        <v>-0.57915050000000001</v>
      </c>
      <c r="S2302">
        <v>1.9095610000000001</v>
      </c>
      <c r="T2302">
        <v>-0.35459970000000002</v>
      </c>
      <c r="U2302">
        <v>-2.5446620000000002</v>
      </c>
      <c r="V2302">
        <v>0.2015141</v>
      </c>
      <c r="W2302">
        <v>3.952029E-2</v>
      </c>
      <c r="X2302">
        <v>0.978688</v>
      </c>
      <c r="Y2302">
        <v>0.48798269999999999</v>
      </c>
      <c r="Z2302">
        <v>1.848116E-2</v>
      </c>
      <c r="AA2302">
        <v>0.87265769999999998</v>
      </c>
      <c r="AB2302">
        <v>39</v>
      </c>
      <c r="AC2302">
        <v>5.5055000000000103</v>
      </c>
      <c r="AD2302">
        <v>-1.0896251591749999</v>
      </c>
      <c r="AE2302">
        <v>-7.6563999999999899</v>
      </c>
      <c r="AF2302">
        <v>4.7109007913422998</v>
      </c>
      <c r="AG2302">
        <v>-1.0896251591749999</v>
      </c>
      <c r="AH2302">
        <v>8.0256189324981992</v>
      </c>
      <c r="AI2302">
        <v>96.678208365019401</v>
      </c>
      <c r="AJ2302">
        <v>59.587796160655699</v>
      </c>
      <c r="AK2302">
        <v>9.3696546629558508</v>
      </c>
      <c r="AL2302">
        <v>87.735064319326398</v>
      </c>
      <c r="AM2302">
        <v>78.365270169014394</v>
      </c>
      <c r="AN2302">
        <v>0.999999993582247</v>
      </c>
    </row>
    <row r="2303" spans="1:40" x14ac:dyDescent="0.3">
      <c r="A2303" t="str">
        <f>"20200111153920794"</f>
        <v>20200111153920794</v>
      </c>
      <c r="B2303" t="str">
        <f>"1578728360783157"</f>
        <v>1578728360783157</v>
      </c>
      <c r="C2303" t="s">
        <v>40</v>
      </c>
      <c r="D2303">
        <v>5.6762050000000004</v>
      </c>
      <c r="E2303">
        <v>0.62790159999999995</v>
      </c>
      <c r="F2303" t="s">
        <v>53</v>
      </c>
      <c r="G2303">
        <v>-196.92250000000001</v>
      </c>
      <c r="H2303" s="1">
        <v>4.8901799999999997E-6</v>
      </c>
      <c r="I2303">
        <v>203.6429</v>
      </c>
      <c r="J2303">
        <v>-202.16990000000001</v>
      </c>
      <c r="K2303">
        <v>1.089345</v>
      </c>
      <c r="L2303">
        <v>211.23419999999999</v>
      </c>
      <c r="M2303">
        <v>0.90777129999999995</v>
      </c>
      <c r="N2303">
        <v>0</v>
      </c>
      <c r="O2303">
        <v>-0.41899429999999999</v>
      </c>
      <c r="P2303">
        <v>0.8033865</v>
      </c>
      <c r="Q2303">
        <v>2.6724669999999999E-2</v>
      </c>
      <c r="R2303">
        <v>-0.59485849999999996</v>
      </c>
      <c r="S2303">
        <v>1.861801</v>
      </c>
      <c r="T2303">
        <v>-0.36198839999999999</v>
      </c>
      <c r="U2303">
        <v>-2.5779879999999999</v>
      </c>
      <c r="V2303">
        <v>0.20500260000000001</v>
      </c>
      <c r="W2303">
        <v>3.8559240000000002E-2</v>
      </c>
      <c r="X2303">
        <v>0.97800160000000003</v>
      </c>
      <c r="Y2303">
        <v>0.49016860000000001</v>
      </c>
      <c r="Z2303">
        <v>2.056303E-2</v>
      </c>
      <c r="AA2303">
        <v>0.87138499999999997</v>
      </c>
      <c r="AB2303">
        <v>39</v>
      </c>
      <c r="AC2303">
        <v>5.2473999999999901</v>
      </c>
      <c r="AD2303">
        <v>-1.08934010982</v>
      </c>
      <c r="AE2303">
        <v>-7.5912999999999897</v>
      </c>
      <c r="AF2303">
        <v>4.6289607900410399</v>
      </c>
      <c r="AG2303">
        <v>-1.08934010982</v>
      </c>
      <c r="AH2303">
        <v>7.8365259995635297</v>
      </c>
      <c r="AI2303">
        <v>96.825103345087598</v>
      </c>
      <c r="AJ2303">
        <v>59.4300606218656</v>
      </c>
      <c r="AK2303">
        <v>9.1665194928301599</v>
      </c>
      <c r="AL2303">
        <v>87.790170466341095</v>
      </c>
      <c r="AM2303">
        <v>78.161417325940207</v>
      </c>
      <c r="AN2303">
        <v>1.0000000052993401</v>
      </c>
    </row>
    <row r="2304" spans="1:40" x14ac:dyDescent="0.3">
      <c r="A2304" t="str">
        <f>"20200111153920817"</f>
        <v>20200111153920817</v>
      </c>
      <c r="B2304" t="str">
        <f>"1578728360813413"</f>
        <v>1578728360813413</v>
      </c>
      <c r="C2304" t="s">
        <v>40</v>
      </c>
      <c r="D2304">
        <v>5.7146600000000003</v>
      </c>
      <c r="E2304">
        <v>0.62642880000000001</v>
      </c>
      <c r="F2304" t="s">
        <v>53</v>
      </c>
      <c r="G2304">
        <v>-196.78319999999999</v>
      </c>
      <c r="H2304" s="1">
        <v>4.9645909999999901E-6</v>
      </c>
      <c r="I2304">
        <v>203.4785</v>
      </c>
      <c r="J2304">
        <v>-201.828</v>
      </c>
      <c r="K2304">
        <v>1.089086</v>
      </c>
      <c r="L2304">
        <v>211.06559999999999</v>
      </c>
      <c r="M2304">
        <v>0.90113480000000001</v>
      </c>
      <c r="N2304">
        <v>0</v>
      </c>
      <c r="O2304">
        <v>-0.43308059999999998</v>
      </c>
      <c r="P2304">
        <v>0.79186389999999995</v>
      </c>
      <c r="Q2304">
        <v>2.6513640000000002E-2</v>
      </c>
      <c r="R2304">
        <v>-0.61012169999999999</v>
      </c>
      <c r="S2304">
        <v>1.813293</v>
      </c>
      <c r="T2304">
        <v>-0.36670049999999998</v>
      </c>
      <c r="U2304">
        <v>-2.610779</v>
      </c>
      <c r="V2304">
        <v>0.20849619999999999</v>
      </c>
      <c r="W2304">
        <v>3.8128490000000001E-2</v>
      </c>
      <c r="X2304">
        <v>0.97727969999999997</v>
      </c>
      <c r="Y2304">
        <v>0.49268020000000001</v>
      </c>
      <c r="Z2304">
        <v>2.2495359999999999E-2</v>
      </c>
      <c r="AA2304">
        <v>0.86991969999999996</v>
      </c>
      <c r="AB2304">
        <v>39</v>
      </c>
      <c r="AC2304">
        <v>5.0448000000000004</v>
      </c>
      <c r="AD2304">
        <v>-1.0890810354089999</v>
      </c>
      <c r="AE2304">
        <v>-7.5870999999999897</v>
      </c>
      <c r="AF2304">
        <v>4.5875723857658803</v>
      </c>
      <c r="AG2304">
        <v>-1.0890810354089999</v>
      </c>
      <c r="AH2304">
        <v>7.7230801539647</v>
      </c>
      <c r="AI2304">
        <v>96.912795015073897</v>
      </c>
      <c r="AJ2304">
        <v>59.289343955453099</v>
      </c>
      <c r="AK2304">
        <v>9.0486399508927704</v>
      </c>
      <c r="AL2304">
        <v>87.8148688396046</v>
      </c>
      <c r="AM2304">
        <v>77.9568717270419</v>
      </c>
      <c r="AN2304">
        <v>1.0000000295981</v>
      </c>
    </row>
    <row r="2305" spans="1:40" x14ac:dyDescent="0.3">
      <c r="A2305" t="str">
        <f>"20200111153920835"</f>
        <v>20200111153920835</v>
      </c>
      <c r="B2305" t="str">
        <f>"1578728360832933"</f>
        <v>1578728360832933</v>
      </c>
      <c r="C2305" t="s">
        <v>40</v>
      </c>
      <c r="D2305">
        <v>5.7527089999999896</v>
      </c>
      <c r="E2305">
        <v>0.62708009999999903</v>
      </c>
      <c r="F2305" t="s">
        <v>53</v>
      </c>
      <c r="G2305">
        <v>-196.6371</v>
      </c>
      <c r="H2305" s="1">
        <v>5.0341400000000001E-6</v>
      </c>
      <c r="I2305">
        <v>203.3382</v>
      </c>
      <c r="J2305">
        <v>-201.51589999999999</v>
      </c>
      <c r="K2305">
        <v>1.0888639999999901</v>
      </c>
      <c r="L2305">
        <v>210.90600000000001</v>
      </c>
      <c r="M2305">
        <v>0.894742499999999</v>
      </c>
      <c r="N2305">
        <v>0</v>
      </c>
      <c r="O2305">
        <v>-0.44613560000000002</v>
      </c>
      <c r="P2305">
        <v>0.7815896</v>
      </c>
      <c r="Q2305">
        <v>2.5959969999999999E-2</v>
      </c>
      <c r="R2305">
        <v>-0.62325299999999995</v>
      </c>
      <c r="S2305">
        <v>1.77037</v>
      </c>
      <c r="T2305">
        <v>-0.3714365</v>
      </c>
      <c r="U2305">
        <v>-2.6354829999999998</v>
      </c>
      <c r="V2305">
        <v>0.2105889</v>
      </c>
      <c r="W2305">
        <v>3.7424230000000003E-2</v>
      </c>
      <c r="X2305">
        <v>0.97685809999999995</v>
      </c>
      <c r="Y2305">
        <v>0.49359910000000001</v>
      </c>
      <c r="Z2305">
        <v>2.446864E-2</v>
      </c>
      <c r="AA2305">
        <v>0.86934529999999999</v>
      </c>
      <c r="AB2305">
        <v>39</v>
      </c>
      <c r="AC2305">
        <v>4.8787999999999796</v>
      </c>
      <c r="AD2305">
        <v>-1.0888589658600001</v>
      </c>
      <c r="AE2305">
        <v>-7.5677999999999699</v>
      </c>
      <c r="AF2305">
        <v>4.5293069028629098</v>
      </c>
      <c r="AG2305">
        <v>-1.0888589658600001</v>
      </c>
      <c r="AH2305">
        <v>7.6314779768041401</v>
      </c>
      <c r="AI2305">
        <v>96.995076152158205</v>
      </c>
      <c r="AJ2305">
        <v>59.310731754129499</v>
      </c>
      <c r="AK2305">
        <v>8.9408998975663501</v>
      </c>
      <c r="AL2305">
        <v>87.855248729592105</v>
      </c>
      <c r="AM2305">
        <v>77.834481904093707</v>
      </c>
      <c r="AN2305">
        <v>1.00000000266495</v>
      </c>
    </row>
    <row r="2306" spans="1:40" x14ac:dyDescent="0.3">
      <c r="A2306" t="str">
        <f>"20200111153920857"</f>
        <v>20200111153920857</v>
      </c>
      <c r="B2306" t="str">
        <f>"1578728360853429"</f>
        <v>1578728360853429</v>
      </c>
      <c r="C2306" t="s">
        <v>40</v>
      </c>
      <c r="D2306">
        <v>5.5832600000000001</v>
      </c>
      <c r="E2306">
        <v>0.70087769999999905</v>
      </c>
      <c r="F2306" t="s">
        <v>53</v>
      </c>
      <c r="G2306">
        <v>-196.3689</v>
      </c>
      <c r="H2306" s="1">
        <v>5.2015790000000004E-6</v>
      </c>
      <c r="I2306">
        <v>202.93049999999999</v>
      </c>
      <c r="J2306">
        <v>-201.18629999999999</v>
      </c>
      <c r="K2306">
        <v>1.0886400000000001</v>
      </c>
      <c r="L2306">
        <v>210.73089999999999</v>
      </c>
      <c r="M2306">
        <v>0.88763159999999897</v>
      </c>
      <c r="N2306">
        <v>0</v>
      </c>
      <c r="O2306">
        <v>-0.46011920000000001</v>
      </c>
      <c r="P2306">
        <v>0.7700013</v>
      </c>
      <c r="Q2306">
        <v>2.5738210000000001E-2</v>
      </c>
      <c r="R2306">
        <v>-0.63752359999999997</v>
      </c>
      <c r="S2306">
        <v>1.722305</v>
      </c>
      <c r="T2306">
        <v>-0.3643576</v>
      </c>
      <c r="U2306">
        <v>-2.668777</v>
      </c>
      <c r="V2306">
        <v>0.21323619999999999</v>
      </c>
      <c r="W2306">
        <v>3.703207E-2</v>
      </c>
      <c r="X2306">
        <v>0.97629860000000002</v>
      </c>
      <c r="Y2306">
        <v>0.49602750000000001</v>
      </c>
      <c r="Z2306">
        <v>2.565537E-2</v>
      </c>
      <c r="AA2306">
        <v>0.86792769999999997</v>
      </c>
      <c r="AB2306">
        <v>39</v>
      </c>
      <c r="AC2306">
        <v>4.8173999999999904</v>
      </c>
      <c r="AD2306">
        <v>-1.0886347984209901</v>
      </c>
      <c r="AE2306">
        <v>-7.80039999999999</v>
      </c>
      <c r="AF2306">
        <v>4.6427845196370097</v>
      </c>
      <c r="AG2306">
        <v>-1.0886347984209901</v>
      </c>
      <c r="AH2306">
        <v>7.7573891777145603</v>
      </c>
      <c r="AI2306">
        <v>96.866277268968602</v>
      </c>
      <c r="AJ2306">
        <v>59.099549332222203</v>
      </c>
      <c r="AK2306">
        <v>9.1059135002830605</v>
      </c>
      <c r="AL2306">
        <v>87.877733431509299</v>
      </c>
      <c r="AM2306">
        <v>77.679346882622298</v>
      </c>
      <c r="AN2306">
        <v>1.00000000378044</v>
      </c>
    </row>
    <row r="2307" spans="1:40" x14ac:dyDescent="0.3">
      <c r="A2307" t="str">
        <f>"20200111153920880"</f>
        <v>20200111153920880</v>
      </c>
      <c r="B2307" t="str">
        <f>"1578728360872949"</f>
        <v>1578728360872949</v>
      </c>
      <c r="C2307" t="s">
        <v>40</v>
      </c>
      <c r="D2307">
        <v>5.3613989999999996</v>
      </c>
      <c r="E2307">
        <v>0.70721889999999998</v>
      </c>
      <c r="F2307" t="s">
        <v>42</v>
      </c>
      <c r="G2307">
        <v>-183.58699999999999</v>
      </c>
      <c r="H2307" s="1">
        <v>-5.0093170000000003E-6</v>
      </c>
      <c r="I2307">
        <v>167.8219</v>
      </c>
      <c r="J2307">
        <v>-200.82769999999999</v>
      </c>
      <c r="K2307">
        <v>1.0884180000000001</v>
      </c>
      <c r="L2307">
        <v>210.53270000000001</v>
      </c>
      <c r="M2307">
        <v>0.87945859999999998</v>
      </c>
      <c r="N2307">
        <v>0</v>
      </c>
      <c r="O2307">
        <v>-0.47555209999999998</v>
      </c>
      <c r="P2307">
        <v>0.75638509999999903</v>
      </c>
      <c r="Q2307">
        <v>2.6129200000000002E-2</v>
      </c>
      <c r="R2307">
        <v>-0.65360439999999997</v>
      </c>
      <c r="S2307">
        <v>1.2915650000000001</v>
      </c>
      <c r="T2307">
        <v>-7.9892870000000005E-2</v>
      </c>
      <c r="U2307">
        <v>-3.148987</v>
      </c>
      <c r="V2307">
        <v>0.21679309999999999</v>
      </c>
      <c r="W2307">
        <v>3.7211710000000002E-2</v>
      </c>
      <c r="X2307">
        <v>0.97550809999999999</v>
      </c>
      <c r="Y2307">
        <v>0.63330039999999999</v>
      </c>
      <c r="Z2307">
        <v>3.7929489999999999E-3</v>
      </c>
      <c r="AA2307">
        <v>0.77389669999999999</v>
      </c>
      <c r="AB2307">
        <v>38</v>
      </c>
      <c r="AC2307">
        <v>17.240699999999901</v>
      </c>
      <c r="AD2307">
        <v>-1.088423009317</v>
      </c>
      <c r="AE2307">
        <v>-42.710799999999999</v>
      </c>
      <c r="AF2307">
        <v>29.3530530969357</v>
      </c>
      <c r="AG2307">
        <v>-1.088423009317</v>
      </c>
      <c r="AH2307">
        <v>35.461036376174903</v>
      </c>
      <c r="AI2307">
        <v>91.354456495636697</v>
      </c>
      <c r="AJ2307">
        <v>50.383569536482803</v>
      </c>
      <c r="AK2307">
        <v>46.046405849220598</v>
      </c>
      <c r="AL2307">
        <v>87.867433724093999</v>
      </c>
      <c r="AM2307">
        <v>77.470435449868006</v>
      </c>
      <c r="AN2307">
        <v>1.0000000063671699</v>
      </c>
    </row>
    <row r="2308" spans="1:40" x14ac:dyDescent="0.3">
      <c r="A2308" t="str">
        <f>"20200111153920903"</f>
        <v>20200111153920903</v>
      </c>
      <c r="B2308" t="str">
        <f>"1578728360893444"</f>
        <v>1578728360893444</v>
      </c>
      <c r="C2308" t="s">
        <v>40</v>
      </c>
      <c r="D2308">
        <v>5.4238720000000002</v>
      </c>
      <c r="E2308">
        <v>0.70600339999999995</v>
      </c>
      <c r="F2308" t="s">
        <v>61</v>
      </c>
      <c r="G2308">
        <v>-163.84530000000001</v>
      </c>
      <c r="H2308">
        <v>0.42674909999999999</v>
      </c>
      <c r="I2308">
        <v>110.7719</v>
      </c>
      <c r="J2308">
        <v>-200.494</v>
      </c>
      <c r="K2308">
        <v>1.0882350000000001</v>
      </c>
      <c r="L2308">
        <v>210.34100000000001</v>
      </c>
      <c r="M2308">
        <v>0.87143519999999897</v>
      </c>
      <c r="N2308">
        <v>0</v>
      </c>
      <c r="O2308">
        <v>-0.49009839999999999</v>
      </c>
      <c r="P2308">
        <v>0.74348959999999997</v>
      </c>
      <c r="Q2308">
        <v>2.593987E-2</v>
      </c>
      <c r="R2308">
        <v>-0.66824450000000002</v>
      </c>
      <c r="S2308">
        <v>1.190933</v>
      </c>
      <c r="T2308">
        <v>-2.130723E-2</v>
      </c>
      <c r="U2308">
        <v>-3.2125699999999999</v>
      </c>
      <c r="V2308">
        <v>0.2196321</v>
      </c>
      <c r="W2308">
        <v>3.6849079999999999E-2</v>
      </c>
      <c r="X2308">
        <v>0.97488660000000005</v>
      </c>
      <c r="Y2308">
        <v>0.64686880000000002</v>
      </c>
      <c r="Z2308">
        <v>1.059183E-3</v>
      </c>
      <c r="AA2308">
        <v>0.76260059999999996</v>
      </c>
      <c r="AB2308">
        <v>38</v>
      </c>
      <c r="AC2308">
        <v>36.648699999999998</v>
      </c>
      <c r="AD2308">
        <v>-0.66148589999999996</v>
      </c>
      <c r="AE2308">
        <v>-99.569099999999906</v>
      </c>
      <c r="AF2308">
        <v>68.817786159618805</v>
      </c>
      <c r="AG2308">
        <v>-0.66148589999999996</v>
      </c>
      <c r="AH2308">
        <v>80.748808773991698</v>
      </c>
      <c r="AI2308">
        <v>90.357223960121104</v>
      </c>
      <c r="AJ2308">
        <v>49.560863084946902</v>
      </c>
      <c r="AK2308">
        <v>106.097574778717</v>
      </c>
      <c r="AL2308">
        <v>87.888225135896107</v>
      </c>
      <c r="AM2308">
        <v>77.303808067402599</v>
      </c>
      <c r="AN2308">
        <v>0.99999999845340803</v>
      </c>
    </row>
    <row r="2309" spans="1:40" x14ac:dyDescent="0.3">
      <c r="A2309" t="str">
        <f>"20200111153920925"</f>
        <v>20200111153920925</v>
      </c>
      <c r="B2309" t="str">
        <f>"1578728360912964"</f>
        <v>1578728360912964</v>
      </c>
      <c r="C2309" t="s">
        <v>40</v>
      </c>
      <c r="D2309">
        <v>5.5507619999999998</v>
      </c>
      <c r="E2309">
        <v>0.70311400000000002</v>
      </c>
      <c r="F2309" t="s">
        <v>61</v>
      </c>
      <c r="G2309">
        <v>-165.07589999999999</v>
      </c>
      <c r="H2309">
        <v>0.95670319999999998</v>
      </c>
      <c r="I2309">
        <v>109.5395</v>
      </c>
      <c r="J2309">
        <v>-200.16560000000001</v>
      </c>
      <c r="K2309">
        <v>1.0880749999999999</v>
      </c>
      <c r="L2309">
        <v>210.14510000000001</v>
      </c>
      <c r="M2309">
        <v>0.86312649999999902</v>
      </c>
      <c r="N2309">
        <v>0</v>
      </c>
      <c r="O2309">
        <v>-0.50458539999999996</v>
      </c>
      <c r="P2309">
        <v>0.73112819999999901</v>
      </c>
      <c r="Q2309">
        <v>2.5844550000000001E-2</v>
      </c>
      <c r="R2309">
        <v>-0.681751</v>
      </c>
      <c r="S2309">
        <v>1.134109</v>
      </c>
      <c r="T2309">
        <v>-4.2114259999999999E-3</v>
      </c>
      <c r="U2309">
        <v>-3.227722</v>
      </c>
      <c r="V2309">
        <v>0.22121489999999999</v>
      </c>
      <c r="W2309">
        <v>3.6640369999999998E-2</v>
      </c>
      <c r="X2309">
        <v>0.97453650000000003</v>
      </c>
      <c r="Y2309">
        <v>0.64718419999999999</v>
      </c>
      <c r="Z2309">
        <v>2.3100320000000001E-4</v>
      </c>
      <c r="AA2309">
        <v>0.76233359999999994</v>
      </c>
      <c r="AB2309">
        <v>38</v>
      </c>
      <c r="AC2309">
        <v>35.089700000000001</v>
      </c>
      <c r="AD2309">
        <v>-0.13137179999999901</v>
      </c>
      <c r="AE2309">
        <v>-100.6056</v>
      </c>
      <c r="AF2309">
        <v>69.143549148771498</v>
      </c>
      <c r="AG2309">
        <v>-0.13137179999999901</v>
      </c>
      <c r="AH2309">
        <v>81.067310869057707</v>
      </c>
      <c r="AI2309">
        <v>90.070643829011601</v>
      </c>
      <c r="AJ2309">
        <v>49.538631010481701</v>
      </c>
      <c r="AK2309">
        <v>106.549315056357</v>
      </c>
      <c r="AL2309">
        <v>87.900191357774801</v>
      </c>
      <c r="AM2309">
        <v>77.210866597894494</v>
      </c>
      <c r="AN2309">
        <v>0.99999996926399803</v>
      </c>
    </row>
    <row r="2310" spans="1:40" x14ac:dyDescent="0.3">
      <c r="A2310" t="str">
        <f>"20200111153920945"</f>
        <v>20200111153920945</v>
      </c>
      <c r="B2310" t="str">
        <f>"1578728360933461"</f>
        <v>1578728360933461</v>
      </c>
      <c r="C2310" t="s">
        <v>40</v>
      </c>
      <c r="D2310">
        <v>5.4969859999999997</v>
      </c>
      <c r="E2310">
        <v>0.70143069999999996</v>
      </c>
      <c r="F2310" t="s">
        <v>61</v>
      </c>
      <c r="G2310">
        <v>-165.9119</v>
      </c>
      <c r="H2310">
        <v>0.41336010000000001</v>
      </c>
      <c r="I2310">
        <v>108.7017</v>
      </c>
      <c r="J2310">
        <v>-199.8665</v>
      </c>
      <c r="K2310">
        <v>1.087925</v>
      </c>
      <c r="L2310">
        <v>209.96010000000001</v>
      </c>
      <c r="M2310">
        <v>0.85518459999999996</v>
      </c>
      <c r="N2310">
        <v>0</v>
      </c>
      <c r="O2310">
        <v>-0.51793029999999995</v>
      </c>
      <c r="P2310">
        <v>0.71937850000000003</v>
      </c>
      <c r="Q2310">
        <v>2.594364E-2</v>
      </c>
      <c r="R2310">
        <v>-0.69413359999999902</v>
      </c>
      <c r="S2310">
        <v>1.0910489999999999</v>
      </c>
      <c r="T2310">
        <v>-2.149069E-2</v>
      </c>
      <c r="U2310">
        <v>-3.2311709999999998</v>
      </c>
      <c r="V2310">
        <v>0.2227353</v>
      </c>
      <c r="W2310">
        <v>3.6631799999999999E-2</v>
      </c>
      <c r="X2310">
        <v>0.97419049999999996</v>
      </c>
      <c r="Y2310">
        <v>0.64467390000000002</v>
      </c>
      <c r="Z2310">
        <v>1.2950489999999999E-3</v>
      </c>
      <c r="AA2310">
        <v>0.76445659999999904</v>
      </c>
      <c r="AB2310">
        <v>38</v>
      </c>
      <c r="AC2310">
        <v>33.954599999999999</v>
      </c>
      <c r="AD2310">
        <v>-0.67456490000000002</v>
      </c>
      <c r="AE2310">
        <v>-101.25839999999999</v>
      </c>
      <c r="AF2310">
        <v>69.019819590729497</v>
      </c>
      <c r="AG2310">
        <v>-0.67456490000000002</v>
      </c>
      <c r="AH2310">
        <v>81.495600582064696</v>
      </c>
      <c r="AI2310">
        <v>90.361899381743498</v>
      </c>
      <c r="AJ2310">
        <v>49.7382476421311</v>
      </c>
      <c r="AK2310">
        <v>106.797581659757</v>
      </c>
      <c r="AL2310">
        <v>87.900682811611503</v>
      </c>
      <c r="AM2310">
        <v>77.121466814483298</v>
      </c>
      <c r="AN2310">
        <v>1.0000000164637799</v>
      </c>
    </row>
    <row r="2311" spans="1:40" x14ac:dyDescent="0.3">
      <c r="A2311" t="str">
        <f>"20200111153920969"</f>
        <v>20200111153920969</v>
      </c>
      <c r="B2311" t="str">
        <f>"1578728360962740"</f>
        <v>1578728360962740</v>
      </c>
      <c r="C2311" t="s">
        <v>40</v>
      </c>
      <c r="D2311">
        <v>5.4762740000000001</v>
      </c>
      <c r="E2311">
        <v>0.69695989999999997</v>
      </c>
      <c r="F2311" t="s">
        <v>61</v>
      </c>
      <c r="G2311">
        <v>-166.8922</v>
      </c>
      <c r="H2311">
        <v>0.6290905</v>
      </c>
      <c r="I2311">
        <v>107.71980000000001</v>
      </c>
      <c r="J2311">
        <v>-199.52529999999999</v>
      </c>
      <c r="K2311">
        <v>1.0877650000000001</v>
      </c>
      <c r="L2311">
        <v>209.7413</v>
      </c>
      <c r="M2311">
        <v>0.84567199999999998</v>
      </c>
      <c r="N2311">
        <v>0</v>
      </c>
      <c r="O2311">
        <v>-0.53332000000000002</v>
      </c>
      <c r="P2311">
        <v>0.7058719</v>
      </c>
      <c r="Q2311">
        <v>2.6204120000000001E-2</v>
      </c>
      <c r="R2311">
        <v>-0.70785489999999995</v>
      </c>
      <c r="S2311">
        <v>1.0448459999999999</v>
      </c>
      <c r="T2311">
        <v>-1.453865E-2</v>
      </c>
      <c r="U2311">
        <v>-3.239655</v>
      </c>
      <c r="V2311">
        <v>0.2238926</v>
      </c>
      <c r="W2311">
        <v>3.6789530000000001E-2</v>
      </c>
      <c r="X2311">
        <v>0.97391919999999998</v>
      </c>
      <c r="Y2311">
        <v>0.64127639999999997</v>
      </c>
      <c r="Z2311">
        <v>9.674382E-4</v>
      </c>
      <c r="AA2311">
        <v>0.76730940000000003</v>
      </c>
      <c r="AB2311">
        <v>38</v>
      </c>
      <c r="AC2311">
        <v>32.633099999999899</v>
      </c>
      <c r="AD2311">
        <v>-0.45867449999999899</v>
      </c>
      <c r="AE2311">
        <v>-102.0215</v>
      </c>
      <c r="AF2311">
        <v>68.885654542490201</v>
      </c>
      <c r="AG2311">
        <v>-0.45867449999999899</v>
      </c>
      <c r="AH2311">
        <v>82.022262362675903</v>
      </c>
      <c r="AI2311">
        <v>90.245351238883003</v>
      </c>
      <c r="AJ2311">
        <v>49.975084154614002</v>
      </c>
      <c r="AK2311">
        <v>107.112535714247</v>
      </c>
      <c r="AL2311">
        <v>87.891639390480606</v>
      </c>
      <c r="AM2311">
        <v>77.053315659600599</v>
      </c>
      <c r="AN2311">
        <v>0.99999998699050996</v>
      </c>
    </row>
    <row r="2312" spans="1:40" x14ac:dyDescent="0.3">
      <c r="A2312" t="str">
        <f>"20200111153920992"</f>
        <v>20200111153920992</v>
      </c>
      <c r="B2312" t="str">
        <f>"1578728360983236"</f>
        <v>1578728360983236</v>
      </c>
      <c r="C2312" t="s">
        <v>40</v>
      </c>
      <c r="D2312">
        <v>5.4735149999999999</v>
      </c>
      <c r="E2312">
        <v>0.69450599999999996</v>
      </c>
      <c r="F2312" t="s">
        <v>61</v>
      </c>
      <c r="G2312">
        <v>-167.53219999999999</v>
      </c>
      <c r="H2312">
        <v>0.33007340000000002</v>
      </c>
      <c r="I2312">
        <v>107.07850000000001</v>
      </c>
      <c r="J2312">
        <v>-199.1977</v>
      </c>
      <c r="K2312">
        <v>1.0876189999999999</v>
      </c>
      <c r="L2312">
        <v>209.52289999999999</v>
      </c>
      <c r="M2312">
        <v>0.83606369999999897</v>
      </c>
      <c r="N2312">
        <v>0</v>
      </c>
      <c r="O2312">
        <v>-0.54825900000000005</v>
      </c>
      <c r="P2312">
        <v>0.69316499999999903</v>
      </c>
      <c r="Q2312">
        <v>2.6244199999999999E-2</v>
      </c>
      <c r="R2312">
        <v>-0.72030130000000003</v>
      </c>
      <c r="S2312">
        <v>1.0078279999999999</v>
      </c>
      <c r="T2312">
        <v>-2.386808E-2</v>
      </c>
      <c r="U2312">
        <v>-3.2340239999999998</v>
      </c>
      <c r="V2312">
        <v>0.22393360000000001</v>
      </c>
      <c r="W2312">
        <v>3.6779039999999999E-2</v>
      </c>
      <c r="X2312">
        <v>0.97391019999999995</v>
      </c>
      <c r="Y2312">
        <v>0.63521190000000005</v>
      </c>
      <c r="Z2312">
        <v>1.752069E-3</v>
      </c>
      <c r="AA2312">
        <v>0.77233600000000002</v>
      </c>
      <c r="AB2312">
        <v>38</v>
      </c>
      <c r="AC2312">
        <v>31.665500000000002</v>
      </c>
      <c r="AD2312">
        <v>-0.75754560000000004</v>
      </c>
      <c r="AE2312">
        <v>-102.4444</v>
      </c>
      <c r="AF2312">
        <v>68.299728209578106</v>
      </c>
      <c r="AG2312">
        <v>-0.75754560000000004</v>
      </c>
      <c r="AH2312">
        <v>82.653242182996294</v>
      </c>
      <c r="AI2312">
        <v>90.404802363486297</v>
      </c>
      <c r="AJ2312">
        <v>50.431695759997801</v>
      </c>
      <c r="AK2312">
        <v>107.22399541240399</v>
      </c>
      <c r="AL2312">
        <v>87.892240892117101</v>
      </c>
      <c r="AM2312">
        <v>77.0509090905596</v>
      </c>
      <c r="AN2312">
        <v>1.0000000163281599</v>
      </c>
    </row>
    <row r="2313" spans="1:40" x14ac:dyDescent="0.3">
      <c r="A2313" t="str">
        <f>"20200111153921014"</f>
        <v>20200111153921014</v>
      </c>
      <c r="B2313" t="str">
        <f>"1578728361003732"</f>
        <v>1578728361003732</v>
      </c>
      <c r="C2313" t="s">
        <v>40</v>
      </c>
      <c r="D2313">
        <v>5.5013290000000001</v>
      </c>
      <c r="E2313">
        <v>0.69205819999999996</v>
      </c>
      <c r="F2313" t="s">
        <v>61</v>
      </c>
      <c r="G2313">
        <v>-168.4487</v>
      </c>
      <c r="H2313">
        <v>2.4747370000000001E-2</v>
      </c>
      <c r="I2313">
        <v>106.30119999999999</v>
      </c>
      <c r="J2313">
        <v>-198.88579999999999</v>
      </c>
      <c r="K2313">
        <v>1.087485</v>
      </c>
      <c r="L2313">
        <v>209.30709999999999</v>
      </c>
      <c r="M2313">
        <v>0.82646439999999999</v>
      </c>
      <c r="N2313">
        <v>0</v>
      </c>
      <c r="O2313">
        <v>-0.56262449999999997</v>
      </c>
      <c r="P2313">
        <v>0.68091679999999999</v>
      </c>
      <c r="Q2313">
        <v>2.6653019999999999E-2</v>
      </c>
      <c r="R2313">
        <v>-0.73187609999999903</v>
      </c>
      <c r="S2313">
        <v>0.96456909999999896</v>
      </c>
      <c r="T2313">
        <v>-3.3341049999999997E-2</v>
      </c>
      <c r="U2313">
        <v>-3.2379760000000002</v>
      </c>
      <c r="V2313">
        <v>0.22354779999999999</v>
      </c>
      <c r="W2313">
        <v>3.7161670000000001E-2</v>
      </c>
      <c r="X2313">
        <v>0.97398430000000003</v>
      </c>
      <c r="Y2313">
        <v>0.6315655</v>
      </c>
      <c r="Z2313">
        <v>2.6512179999999999E-3</v>
      </c>
      <c r="AA2313">
        <v>0.77531799999999995</v>
      </c>
      <c r="AB2313">
        <v>38</v>
      </c>
      <c r="AC2313">
        <v>30.437099999999901</v>
      </c>
      <c r="AD2313">
        <v>-1.06273763</v>
      </c>
      <c r="AE2313">
        <v>-103.0059</v>
      </c>
      <c r="AF2313">
        <v>68.013347443376304</v>
      </c>
      <c r="AG2313">
        <v>-1.06273763</v>
      </c>
      <c r="AH2313">
        <v>83.117739200988595</v>
      </c>
      <c r="AI2313">
        <v>90.566940525658893</v>
      </c>
      <c r="AJ2313">
        <v>50.707321144716403</v>
      </c>
      <c r="AK2313">
        <v>107.403460892129</v>
      </c>
      <c r="AL2313">
        <v>87.870302802644304</v>
      </c>
      <c r="AM2313">
        <v>77.073418598053607</v>
      </c>
      <c r="AN2313">
        <v>1.0000000126242501</v>
      </c>
    </row>
    <row r="2314" spans="1:40" x14ac:dyDescent="0.3">
      <c r="A2314" t="str">
        <f>"20200111153921033"</f>
        <v>20200111153921033</v>
      </c>
      <c r="B2314" t="str">
        <f>"1578728361023252"</f>
        <v>1578728361023252</v>
      </c>
      <c r="C2314" t="s">
        <v>40</v>
      </c>
      <c r="D2314">
        <v>5.5019339999999897</v>
      </c>
      <c r="E2314">
        <v>0.68962599999999996</v>
      </c>
      <c r="F2314" t="s">
        <v>62</v>
      </c>
      <c r="G2314">
        <v>-178.44309999999999</v>
      </c>
      <c r="H2314" s="1">
        <v>-7.3050459999999902E-6</v>
      </c>
      <c r="I2314">
        <v>137.6694</v>
      </c>
      <c r="J2314">
        <v>-198.60509999999999</v>
      </c>
      <c r="K2314">
        <v>1.0873759999999999</v>
      </c>
      <c r="L2314">
        <v>209.10570000000001</v>
      </c>
      <c r="M2314">
        <v>0.81742179999999998</v>
      </c>
      <c r="N2314">
        <v>0</v>
      </c>
      <c r="O2314">
        <v>-0.57568249999999999</v>
      </c>
      <c r="P2314">
        <v>0.66928089999999996</v>
      </c>
      <c r="Q2314">
        <v>2.691431E-2</v>
      </c>
      <c r="R2314">
        <v>-0.74252189999999996</v>
      </c>
      <c r="S2314">
        <v>0.92472840000000001</v>
      </c>
      <c r="T2314">
        <v>-4.919279E-2</v>
      </c>
      <c r="U2314">
        <v>-3.2405400000000002</v>
      </c>
      <c r="V2314">
        <v>0.22345999999999999</v>
      </c>
      <c r="W2314">
        <v>3.7392300000000003E-2</v>
      </c>
      <c r="X2314">
        <v>0.97399559999999996</v>
      </c>
      <c r="Y2314">
        <v>0.62819029999999998</v>
      </c>
      <c r="Z2314">
        <v>4.1884640000000002E-3</v>
      </c>
      <c r="AA2314">
        <v>0.77804849999999903</v>
      </c>
      <c r="AB2314">
        <v>38</v>
      </c>
      <c r="AC2314">
        <v>20.161999999999999</v>
      </c>
      <c r="AD2314">
        <v>-1.087383305046</v>
      </c>
      <c r="AE2314">
        <v>-71.436300000000003</v>
      </c>
      <c r="AF2314">
        <v>46.786261483798</v>
      </c>
      <c r="AG2314">
        <v>-1.087383305046</v>
      </c>
      <c r="AH2314">
        <v>57.604972825170002</v>
      </c>
      <c r="AI2314">
        <v>90.839470336557696</v>
      </c>
      <c r="AJ2314">
        <v>50.916794436267303</v>
      </c>
      <c r="AK2314">
        <v>74.219064668526997</v>
      </c>
      <c r="AL2314">
        <v>87.857079442912607</v>
      </c>
      <c r="AM2314">
        <v>77.078470047423096</v>
      </c>
      <c r="AN2314">
        <v>0.99999999225932501</v>
      </c>
    </row>
    <row r="2315" spans="1:40" x14ac:dyDescent="0.3">
      <c r="A2315" t="str">
        <f>"20200111153921056"</f>
        <v>20200111153921056</v>
      </c>
      <c r="B2315" t="str">
        <f>"1578728361053508"</f>
        <v>1578728361053508</v>
      </c>
      <c r="C2315" t="s">
        <v>40</v>
      </c>
      <c r="D2315">
        <v>5.5302239999999996</v>
      </c>
      <c r="E2315">
        <v>0.66360529999999995</v>
      </c>
      <c r="F2315" t="s">
        <v>62</v>
      </c>
      <c r="G2315">
        <v>-184.08090000000001</v>
      </c>
      <c r="H2315" s="1">
        <v>-1.34506299999999E-5</v>
      </c>
      <c r="I2315">
        <v>156.1086</v>
      </c>
      <c r="J2315">
        <v>-198.31569999999999</v>
      </c>
      <c r="K2315">
        <v>1.087272</v>
      </c>
      <c r="L2315">
        <v>208.89060000000001</v>
      </c>
      <c r="M2315">
        <v>0.80768070000000003</v>
      </c>
      <c r="N2315">
        <v>0</v>
      </c>
      <c r="O2315">
        <v>-0.58927069999999904</v>
      </c>
      <c r="P2315">
        <v>0.65734609999999905</v>
      </c>
      <c r="Q2315">
        <v>2.7034740000000002E-2</v>
      </c>
      <c r="R2315">
        <v>-0.75310390000000005</v>
      </c>
      <c r="S2315">
        <v>0.88845830000000003</v>
      </c>
      <c r="T2315">
        <v>-6.6516640000000002E-2</v>
      </c>
      <c r="U2315">
        <v>-3.2418819999999999</v>
      </c>
      <c r="V2315">
        <v>0.2227276</v>
      </c>
      <c r="W2315">
        <v>3.751525E-2</v>
      </c>
      <c r="X2315">
        <v>0.97415859999999999</v>
      </c>
      <c r="Y2315">
        <v>0.62331859999999994</v>
      </c>
      <c r="Z2315">
        <v>6.0705239999999999E-3</v>
      </c>
      <c r="AA2315">
        <v>0.78194449999999904</v>
      </c>
      <c r="AB2315">
        <v>38</v>
      </c>
      <c r="AC2315">
        <v>14.2347999999999</v>
      </c>
      <c r="AD2315">
        <v>-1.08728545063</v>
      </c>
      <c r="AE2315">
        <v>-52.781999999999996</v>
      </c>
      <c r="AF2315">
        <v>34.236364243593897</v>
      </c>
      <c r="AG2315">
        <v>-1.08728545063</v>
      </c>
      <c r="AH2315">
        <v>42.591987994175803</v>
      </c>
      <c r="AI2315">
        <v>91.139853458582905</v>
      </c>
      <c r="AJ2315">
        <v>51.2069237571516</v>
      </c>
      <c r="AK2315">
        <v>54.657005658627199</v>
      </c>
      <c r="AL2315">
        <v>87.850029949633296</v>
      </c>
      <c r="AM2315">
        <v>77.121489535462899</v>
      </c>
      <c r="AN2315">
        <v>0.99999997786914097</v>
      </c>
    </row>
    <row r="2316" spans="1:40" x14ac:dyDescent="0.3">
      <c r="A2316" t="str">
        <f>"20200111153921078"</f>
        <v>20200111153921078</v>
      </c>
      <c r="B2316" t="str">
        <f>"1578728361073028"</f>
        <v>1578728361073028</v>
      </c>
      <c r="C2316" t="s">
        <v>40</v>
      </c>
      <c r="D2316">
        <v>5.5258699999999896</v>
      </c>
      <c r="E2316">
        <v>0.66212760000000004</v>
      </c>
      <c r="F2316" t="s">
        <v>42</v>
      </c>
      <c r="G2316">
        <v>-189.38550000000001</v>
      </c>
      <c r="H2316" s="1">
        <v>-6.3937920000000001E-7</v>
      </c>
      <c r="I2316">
        <v>180.8691</v>
      </c>
      <c r="J2316">
        <v>-198.00399999999999</v>
      </c>
      <c r="K2316">
        <v>1.0871729999999999</v>
      </c>
      <c r="L2316">
        <v>208.65010000000001</v>
      </c>
      <c r="M2316">
        <v>0.79669019999999902</v>
      </c>
      <c r="N2316">
        <v>0</v>
      </c>
      <c r="O2316">
        <v>-0.60404619999999998</v>
      </c>
      <c r="P2316">
        <v>0.64406319999999995</v>
      </c>
      <c r="Q2316">
        <v>2.739055E-2</v>
      </c>
      <c r="R2316">
        <v>-0.76448179999999999</v>
      </c>
      <c r="S2316">
        <v>0.99429319999999999</v>
      </c>
      <c r="T2316">
        <v>-0.1210582</v>
      </c>
      <c r="U2316">
        <v>-3.1199490000000001</v>
      </c>
      <c r="V2316">
        <v>0.22185189999999999</v>
      </c>
      <c r="W2316">
        <v>3.7881199999999997E-2</v>
      </c>
      <c r="X2316">
        <v>0.97434430000000005</v>
      </c>
      <c r="Y2316">
        <v>0.57574890000000001</v>
      </c>
      <c r="Z2316">
        <v>1.299837E-2</v>
      </c>
      <c r="AA2316">
        <v>0.81752329999999995</v>
      </c>
      <c r="AB2316">
        <v>37</v>
      </c>
      <c r="AC2316">
        <v>8.6185000000000098</v>
      </c>
      <c r="AD2316">
        <v>-1.0871736393792</v>
      </c>
      <c r="AE2316">
        <v>-27.780999999999999</v>
      </c>
      <c r="AF2316">
        <v>16.9067553409445</v>
      </c>
      <c r="AG2316">
        <v>-1.0871736393792</v>
      </c>
      <c r="AH2316">
        <v>23.6191697221266</v>
      </c>
      <c r="AI2316">
        <v>92.1435021731006</v>
      </c>
      <c r="AJ2316">
        <v>54.404666254327402</v>
      </c>
      <c r="AK2316">
        <v>29.066914198850501</v>
      </c>
      <c r="AL2316">
        <v>87.829047763185599</v>
      </c>
      <c r="AM2316">
        <v>77.172809610228498</v>
      </c>
      <c r="AN2316">
        <v>1.00000003289476</v>
      </c>
    </row>
    <row r="2317" spans="1:40" x14ac:dyDescent="0.3">
      <c r="A2317" t="str">
        <f>"20200111153921101"</f>
        <v>20200111153921101</v>
      </c>
      <c r="B2317" t="str">
        <f>"1578728361093525"</f>
        <v>1578728361093525</v>
      </c>
      <c r="C2317" t="s">
        <v>40</v>
      </c>
      <c r="D2317">
        <v>5.4924999999999997</v>
      </c>
      <c r="E2317">
        <v>0.66068990000000005</v>
      </c>
      <c r="F2317" t="s">
        <v>42</v>
      </c>
      <c r="G2317">
        <v>-189.86660000000001</v>
      </c>
      <c r="H2317" s="1">
        <v>-9.5520659999999999E-7</v>
      </c>
      <c r="I2317">
        <v>181.80420000000001</v>
      </c>
      <c r="J2317">
        <v>-197.70269999999999</v>
      </c>
      <c r="K2317">
        <v>1.0870759999999999</v>
      </c>
      <c r="L2317">
        <v>208.40870000000001</v>
      </c>
      <c r="M2317">
        <v>0.78555489999999994</v>
      </c>
      <c r="N2317">
        <v>0</v>
      </c>
      <c r="O2317">
        <v>-0.61845749999999999</v>
      </c>
      <c r="P2317">
        <v>0.63052169999999996</v>
      </c>
      <c r="Q2317">
        <v>2.7390540000000001E-2</v>
      </c>
      <c r="R2317">
        <v>-0.7756883</v>
      </c>
      <c r="S2317">
        <v>0.94862369999999996</v>
      </c>
      <c r="T2317">
        <v>-0.1267375</v>
      </c>
      <c r="U2317">
        <v>-3.129562</v>
      </c>
      <c r="V2317">
        <v>0.22124450000000001</v>
      </c>
      <c r="W2317">
        <v>3.7876899999999998E-2</v>
      </c>
      <c r="X2317">
        <v>0.97448250000000003</v>
      </c>
      <c r="Y2317">
        <v>0.57246260000000004</v>
      </c>
      <c r="Z2317">
        <v>1.4387799999999999E-2</v>
      </c>
      <c r="AA2317">
        <v>0.81980459999999999</v>
      </c>
      <c r="AB2317">
        <v>37</v>
      </c>
      <c r="AC2317">
        <v>7.8360999999999796</v>
      </c>
      <c r="AD2317">
        <v>-1.0870769552066</v>
      </c>
      <c r="AE2317">
        <v>-26.604500000000002</v>
      </c>
      <c r="AF2317">
        <v>16.031693411858001</v>
      </c>
      <c r="AG2317">
        <v>-1.0870769552066</v>
      </c>
      <c r="AH2317">
        <v>22.5794298555743</v>
      </c>
      <c r="AI2317">
        <v>92.248049905562098</v>
      </c>
      <c r="AJ2317">
        <v>54.624745050869599</v>
      </c>
      <c r="AK2317">
        <v>27.713310566605902</v>
      </c>
      <c r="AL2317">
        <v>87.829294165757602</v>
      </c>
      <c r="AM2317">
        <v>77.208526144964793</v>
      </c>
      <c r="AN2317">
        <v>0.99999996557005399</v>
      </c>
    </row>
    <row r="2318" spans="1:40" x14ac:dyDescent="0.3">
      <c r="A2318" t="str">
        <f>"20200111153921143"</f>
        <v>20200111153921143</v>
      </c>
      <c r="B2318" t="str">
        <f>"1578728361133539"</f>
        <v>1578728361133539</v>
      </c>
      <c r="C2318" t="s">
        <v>40</v>
      </c>
      <c r="D2318">
        <v>5.5632270000000004</v>
      </c>
      <c r="E2318">
        <v>0.65849749999999996</v>
      </c>
      <c r="F2318" t="s">
        <v>42</v>
      </c>
      <c r="G2318">
        <v>-190.55</v>
      </c>
      <c r="H2318" s="1">
        <v>-1.8398609999999999E-6</v>
      </c>
      <c r="I2318">
        <v>183.5367</v>
      </c>
      <c r="J2318">
        <v>-197.17500000000001</v>
      </c>
      <c r="K2318">
        <v>1.086913</v>
      </c>
      <c r="L2318">
        <v>207.96369999999999</v>
      </c>
      <c r="M2318">
        <v>0.76477510000000004</v>
      </c>
      <c r="N2318">
        <v>0</v>
      </c>
      <c r="O2318">
        <v>-0.64397609999999905</v>
      </c>
      <c r="P2318">
        <v>0.60530879999999998</v>
      </c>
      <c r="Q2318">
        <v>2.59782E-2</v>
      </c>
      <c r="R2318">
        <v>-0.79556689999999997</v>
      </c>
      <c r="S2318">
        <v>0.90261840000000004</v>
      </c>
      <c r="T2318">
        <v>-0.13718179999999999</v>
      </c>
      <c r="U2318">
        <v>-3.1386720000000001</v>
      </c>
      <c r="V2318">
        <v>0.22042780000000001</v>
      </c>
      <c r="W2318">
        <v>3.64388E-2</v>
      </c>
      <c r="X2318">
        <v>0.97472239999999999</v>
      </c>
      <c r="Y2318">
        <v>0.55710419999999905</v>
      </c>
      <c r="Z2318">
        <v>1.7265510000000001E-2</v>
      </c>
      <c r="AA2318">
        <v>0.83026309999999903</v>
      </c>
      <c r="AB2318">
        <v>37</v>
      </c>
      <c r="AC2318">
        <v>6.625</v>
      </c>
      <c r="AD2318">
        <v>-1.086914839861</v>
      </c>
      <c r="AE2318">
        <v>-24.4269999999999</v>
      </c>
      <c r="AF2318">
        <v>14.3912618546702</v>
      </c>
      <c r="AG2318">
        <v>-1.086914839861</v>
      </c>
      <c r="AH2318">
        <v>20.763051048392398</v>
      </c>
      <c r="AI2318">
        <v>92.463585677579204</v>
      </c>
      <c r="AJ2318">
        <v>55.273441069870401</v>
      </c>
      <c r="AK2318">
        <v>25.286243107210399</v>
      </c>
      <c r="AL2318">
        <v>87.911748206572398</v>
      </c>
      <c r="AM2318">
        <v>77.257233903413606</v>
      </c>
      <c r="AN2318">
        <v>0.99999997911001903</v>
      </c>
    </row>
    <row r="2319" spans="1:40" x14ac:dyDescent="0.3">
      <c r="A2319" t="str">
        <f>"20200111153921168"</f>
        <v>20200111153921168</v>
      </c>
      <c r="B2319" t="str">
        <f>"1578728361162820"</f>
        <v>1578728361162820</v>
      </c>
      <c r="C2319" t="s">
        <v>40</v>
      </c>
      <c r="D2319">
        <v>5.5313540000000003</v>
      </c>
      <c r="E2319">
        <v>0.6566864</v>
      </c>
      <c r="F2319" t="s">
        <v>42</v>
      </c>
      <c r="G2319">
        <v>-191.76419999999999</v>
      </c>
      <c r="H2319" s="1">
        <v>-3.6577320000000002E-6</v>
      </c>
      <c r="I2319">
        <v>187.02119999999999</v>
      </c>
      <c r="J2319">
        <v>-196.8519</v>
      </c>
      <c r="K2319">
        <v>1.0868249999999999</v>
      </c>
      <c r="L2319">
        <v>207.67590000000001</v>
      </c>
      <c r="M2319">
        <v>0.75118050000000003</v>
      </c>
      <c r="N2319">
        <v>0</v>
      </c>
      <c r="O2319">
        <v>-0.65978380000000003</v>
      </c>
      <c r="P2319">
        <v>0.58758080000000001</v>
      </c>
      <c r="Q2319">
        <v>2.5520879999999999E-2</v>
      </c>
      <c r="R2319">
        <v>-0.80876340000000002</v>
      </c>
      <c r="S2319">
        <v>0.81536869999999995</v>
      </c>
      <c r="T2319">
        <v>-0.16378879999999901</v>
      </c>
      <c r="U2319">
        <v>-3.155853</v>
      </c>
      <c r="V2319">
        <v>0.22163849999999999</v>
      </c>
      <c r="W2319">
        <v>3.5877939999999997E-2</v>
      </c>
      <c r="X2319">
        <v>0.97446860000000002</v>
      </c>
      <c r="Y2319">
        <v>0.56234249999999997</v>
      </c>
      <c r="Z2319">
        <v>2.151989E-2</v>
      </c>
      <c r="AA2319">
        <v>0.82662429999999998</v>
      </c>
      <c r="AB2319">
        <v>37</v>
      </c>
      <c r="AC2319">
        <v>5.0877000000000097</v>
      </c>
      <c r="AD2319">
        <v>-1.0868286577320001</v>
      </c>
      <c r="AE2319">
        <v>-20.654699999999998</v>
      </c>
      <c r="AF2319">
        <v>12.1294761084344</v>
      </c>
      <c r="AG2319">
        <v>-1.0868286577320001</v>
      </c>
      <c r="AH2319">
        <v>17.407583337364802</v>
      </c>
      <c r="AI2319">
        <v>92.932422517440997</v>
      </c>
      <c r="AJ2319">
        <v>55.131499737241299</v>
      </c>
      <c r="AK2319">
        <v>21.244513287991499</v>
      </c>
      <c r="AL2319">
        <v>87.943904090096495</v>
      </c>
      <c r="AM2319">
        <v>77.186321229885195</v>
      </c>
      <c r="AN2319">
        <v>0.99999995182342505</v>
      </c>
    </row>
    <row r="2320" spans="1:40" x14ac:dyDescent="0.3">
      <c r="A2320" t="str">
        <f>"20200111153921189"</f>
        <v>20200111153921189</v>
      </c>
      <c r="B2320" t="str">
        <f>"1578728361183316"</f>
        <v>1578728361183316</v>
      </c>
      <c r="C2320" t="s">
        <v>40</v>
      </c>
      <c r="D2320">
        <v>5.5024509999999998</v>
      </c>
      <c r="E2320">
        <v>0.65601809999999905</v>
      </c>
      <c r="F2320" t="s">
        <v>42</v>
      </c>
      <c r="G2320">
        <v>-192.1216</v>
      </c>
      <c r="H2320" s="1">
        <v>-4.0899389999999996E-6</v>
      </c>
      <c r="I2320">
        <v>187.89940000000001</v>
      </c>
      <c r="J2320">
        <v>-196.60499999999999</v>
      </c>
      <c r="K2320">
        <v>1.086767</v>
      </c>
      <c r="L2320">
        <v>207.44749999999999</v>
      </c>
      <c r="M2320">
        <v>0.74031309999999995</v>
      </c>
      <c r="N2320">
        <v>0</v>
      </c>
      <c r="O2320">
        <v>-0.67195519999999997</v>
      </c>
      <c r="P2320">
        <v>0.57388899999999998</v>
      </c>
      <c r="Q2320">
        <v>2.503944E-2</v>
      </c>
      <c r="R2320">
        <v>-0.81855019999999901</v>
      </c>
      <c r="S2320">
        <v>0.757019</v>
      </c>
      <c r="T2320">
        <v>-0.17393110000000001</v>
      </c>
      <c r="U2320">
        <v>-3.1649319999999999</v>
      </c>
      <c r="V2320">
        <v>0.2221255</v>
      </c>
      <c r="W2320">
        <v>3.5323729999999998E-2</v>
      </c>
      <c r="X2320">
        <v>0.97437799999999997</v>
      </c>
      <c r="Y2320">
        <v>0.56377749999999904</v>
      </c>
      <c r="Z2320">
        <v>2.3677440000000001E-2</v>
      </c>
      <c r="AA2320">
        <v>0.82558729999999902</v>
      </c>
      <c r="AB2320">
        <v>37</v>
      </c>
      <c r="AC2320">
        <v>4.4833999999999801</v>
      </c>
      <c r="AD2320">
        <v>-1.086771089939</v>
      </c>
      <c r="AE2320">
        <v>-19.548099999999899</v>
      </c>
      <c r="AF2320">
        <v>11.4278801519974</v>
      </c>
      <c r="AG2320">
        <v>-1.086771089939</v>
      </c>
      <c r="AH2320">
        <v>16.409779553912699</v>
      </c>
      <c r="AI2320">
        <v>93.110787173394897</v>
      </c>
      <c r="AJ2320">
        <v>55.146388947282098</v>
      </c>
      <c r="AK2320">
        <v>20.026442049908798</v>
      </c>
      <c r="AL2320">
        <v>87.975678215883306</v>
      </c>
      <c r="AM2320">
        <v>77.157944093549702</v>
      </c>
      <c r="AN2320">
        <v>0.99999999526768102</v>
      </c>
    </row>
    <row r="2321" spans="1:40" x14ac:dyDescent="0.3">
      <c r="A2321" t="str">
        <f>"20200111153921210"</f>
        <v>20200111153921210</v>
      </c>
      <c r="B2321" t="str">
        <f>"1578728361202836"</f>
        <v>1578728361202836</v>
      </c>
      <c r="C2321" t="s">
        <v>40</v>
      </c>
      <c r="D2321">
        <v>5.5330510000000004</v>
      </c>
      <c r="E2321">
        <v>0.64451099999999995</v>
      </c>
      <c r="F2321" t="s">
        <v>42</v>
      </c>
      <c r="G2321">
        <v>-192.2312</v>
      </c>
      <c r="H2321" s="1">
        <v>-4.0876889999999998E-6</v>
      </c>
      <c r="I2321">
        <v>187.8356</v>
      </c>
      <c r="J2321">
        <v>-196.3434</v>
      </c>
      <c r="K2321">
        <v>1.0867070000000001</v>
      </c>
      <c r="L2321">
        <v>207.19720000000001</v>
      </c>
      <c r="M2321">
        <v>0.72832390000000002</v>
      </c>
      <c r="N2321">
        <v>0</v>
      </c>
      <c r="O2321">
        <v>-0.68493319999999902</v>
      </c>
      <c r="P2321">
        <v>0.55955239999999995</v>
      </c>
      <c r="Q2321">
        <v>2.4788029999999999E-2</v>
      </c>
      <c r="R2321">
        <v>-0.82842459999999996</v>
      </c>
      <c r="S2321">
        <v>0.70787049999999996</v>
      </c>
      <c r="T2321">
        <v>-0.17588809999999999</v>
      </c>
      <c r="U2321">
        <v>-3.1740719999999998</v>
      </c>
      <c r="V2321">
        <v>0.22186639999999999</v>
      </c>
      <c r="W2321">
        <v>3.5019210000000002E-2</v>
      </c>
      <c r="X2321">
        <v>0.97444799999999998</v>
      </c>
      <c r="Y2321">
        <v>0.56186440000000004</v>
      </c>
      <c r="Z2321">
        <v>2.4909890000000001E-2</v>
      </c>
      <c r="AA2321">
        <v>0.82685419999999998</v>
      </c>
      <c r="AB2321">
        <v>37</v>
      </c>
      <c r="AC2321">
        <v>4.1121999999999996</v>
      </c>
      <c r="AD2321">
        <v>-1.0867110876889901</v>
      </c>
      <c r="AE2321">
        <v>-19.361599999999999</v>
      </c>
      <c r="AF2321">
        <v>11.253331678801199</v>
      </c>
      <c r="AG2321">
        <v>-1.0867110876889901</v>
      </c>
      <c r="AH2321">
        <v>16.210892136543201</v>
      </c>
      <c r="AI2321">
        <v>93.151979104874002</v>
      </c>
      <c r="AJ2321">
        <v>55.232261706796997</v>
      </c>
      <c r="AK2321">
        <v>19.763892296910001</v>
      </c>
      <c r="AL2321">
        <v>87.993136687052498</v>
      </c>
      <c r="AM2321">
        <v>77.173318962782105</v>
      </c>
      <c r="AN2321">
        <v>0.99999997461099099</v>
      </c>
    </row>
    <row r="2322" spans="1:40" x14ac:dyDescent="0.3">
      <c r="A2322" t="str">
        <f>"20200111153921233"</f>
        <v>20200111153921233</v>
      </c>
      <c r="B2322" t="str">
        <f>"1578728361223332"</f>
        <v>1578728361223332</v>
      </c>
      <c r="C2322" t="s">
        <v>40</v>
      </c>
      <c r="D2322">
        <v>5.5466360000000003</v>
      </c>
      <c r="E2322">
        <v>0.64318799999999998</v>
      </c>
      <c r="F2322" t="s">
        <v>42</v>
      </c>
      <c r="G2322">
        <v>-192.2276</v>
      </c>
      <c r="H2322" s="1">
        <v>-4.6460159999999997E-6</v>
      </c>
      <c r="I2322">
        <v>189.47810000000001</v>
      </c>
      <c r="J2322">
        <v>-196.0778</v>
      </c>
      <c r="K2322">
        <v>1.0866499999999999</v>
      </c>
      <c r="L2322">
        <v>206.93379999999999</v>
      </c>
      <c r="M2322">
        <v>0.71563669999999902</v>
      </c>
      <c r="N2322">
        <v>0</v>
      </c>
      <c r="O2322">
        <v>-0.69818009999999997</v>
      </c>
      <c r="P2322">
        <v>0.54453019999999996</v>
      </c>
      <c r="Q2322">
        <v>2.5137799999999998E-2</v>
      </c>
      <c r="R2322">
        <v>-0.83836449999999996</v>
      </c>
      <c r="S2322">
        <v>0.72824100000000003</v>
      </c>
      <c r="T2322">
        <v>-0.19228419999999999</v>
      </c>
      <c r="U2322">
        <v>-3.1352229999999999</v>
      </c>
      <c r="V2322">
        <v>0.2215617</v>
      </c>
      <c r="W2322">
        <v>3.5307999999999999E-2</v>
      </c>
      <c r="X2322">
        <v>0.97450689999999995</v>
      </c>
      <c r="Y2322">
        <v>0.53922950000000003</v>
      </c>
      <c r="Z2322">
        <v>2.916125E-2</v>
      </c>
      <c r="AA2322">
        <v>0.84165380000000001</v>
      </c>
      <c r="AB2322">
        <v>36</v>
      </c>
      <c r="AC2322">
        <v>3.8502000000000001</v>
      </c>
      <c r="AD2322">
        <v>-1.08665464601599</v>
      </c>
      <c r="AE2322">
        <v>-17.455699999999901</v>
      </c>
      <c r="AF2322">
        <v>9.76970604662006</v>
      </c>
      <c r="AG2322">
        <v>-1.08665464601599</v>
      </c>
      <c r="AH2322">
        <v>14.890592221855</v>
      </c>
      <c r="AI2322">
        <v>93.4916067599531</v>
      </c>
      <c r="AJ2322">
        <v>56.731150646552301</v>
      </c>
      <c r="AK2322">
        <v>17.842581407258301</v>
      </c>
      <c r="AL2322">
        <v>87.976579989826703</v>
      </c>
      <c r="AM2322">
        <v>77.191101626195504</v>
      </c>
      <c r="AN2322">
        <v>0.999999969959249</v>
      </c>
    </row>
    <row r="2323" spans="1:40" x14ac:dyDescent="0.3">
      <c r="A2323" t="str">
        <f>"20200111153921256"</f>
        <v>20200111153921256</v>
      </c>
      <c r="B2323" t="str">
        <f>"1578728361253589"</f>
        <v>1578728361253589</v>
      </c>
      <c r="C2323" t="s">
        <v>40</v>
      </c>
      <c r="D2323">
        <v>5.5778650000000001</v>
      </c>
      <c r="E2323">
        <v>0.64118799999999998</v>
      </c>
      <c r="F2323" t="s">
        <v>42</v>
      </c>
      <c r="G2323">
        <v>-192.29589999999999</v>
      </c>
      <c r="H2323" s="1">
        <v>-4.6538030000000001E-6</v>
      </c>
      <c r="I2323">
        <v>189.46549999999999</v>
      </c>
      <c r="J2323">
        <v>-195.81639999999999</v>
      </c>
      <c r="K2323">
        <v>1.0866100000000001</v>
      </c>
      <c r="L2323">
        <v>206.6644</v>
      </c>
      <c r="M2323">
        <v>0.70259150000000004</v>
      </c>
      <c r="N2323">
        <v>0</v>
      </c>
      <c r="O2323">
        <v>-0.7113081</v>
      </c>
      <c r="P2323">
        <v>0.52945759999999997</v>
      </c>
      <c r="Q2323">
        <v>2.654016E-2</v>
      </c>
      <c r="R2323">
        <v>-0.84792129999999999</v>
      </c>
      <c r="S2323">
        <v>0.68032840000000006</v>
      </c>
      <c r="T2323">
        <v>-0.1954775</v>
      </c>
      <c r="U2323">
        <v>-3.1423649999999999</v>
      </c>
      <c r="V2323">
        <v>0.22097349999999999</v>
      </c>
      <c r="W2323">
        <v>3.6653239999999997E-2</v>
      </c>
      <c r="X2323">
        <v>0.97459079999999998</v>
      </c>
      <c r="Y2323">
        <v>0.53628949999999997</v>
      </c>
      <c r="Z2323">
        <v>3.078564E-2</v>
      </c>
      <c r="AA2323">
        <v>0.84347249999999996</v>
      </c>
      <c r="AB2323">
        <v>36</v>
      </c>
      <c r="AC2323">
        <v>3.52049999999999</v>
      </c>
      <c r="AD2323">
        <v>-1.0866146538029999</v>
      </c>
      <c r="AE2323">
        <v>-17.198899999999998</v>
      </c>
      <c r="AF2323">
        <v>9.5450179422105705</v>
      </c>
      <c r="AG2323">
        <v>-1.0866146538029999</v>
      </c>
      <c r="AH2323">
        <v>14.6540353711137</v>
      </c>
      <c r="AI2323">
        <v>93.555390830436593</v>
      </c>
      <c r="AJ2323">
        <v>56.921482902218102</v>
      </c>
      <c r="AK2323">
        <v>17.522238771938699</v>
      </c>
      <c r="AL2323">
        <v>87.899453503892602</v>
      </c>
      <c r="AM2323">
        <v>77.225052896199699</v>
      </c>
      <c r="AN2323">
        <v>0.99999998757469299</v>
      </c>
    </row>
    <row r="2324" spans="1:40" x14ac:dyDescent="0.3">
      <c r="A2324" t="str">
        <f>"20200111153921277"</f>
        <v>20200111153921277</v>
      </c>
      <c r="B2324" t="str">
        <f>"1578728361273108"</f>
        <v>1578728361273108</v>
      </c>
      <c r="C2324" t="s">
        <v>40</v>
      </c>
      <c r="D2324">
        <v>5.6290480000000001</v>
      </c>
      <c r="E2324">
        <v>0.64046000000000003</v>
      </c>
      <c r="F2324" t="s">
        <v>42</v>
      </c>
      <c r="G2324">
        <v>-192.4049</v>
      </c>
      <c r="H2324" s="1">
        <v>-7.5336319999999998E-7</v>
      </c>
      <c r="I2324">
        <v>189.8537</v>
      </c>
      <c r="J2324">
        <v>-195.5762</v>
      </c>
      <c r="K2324">
        <v>1.086579</v>
      </c>
      <c r="L2324">
        <v>206.4074</v>
      </c>
      <c r="M2324">
        <v>0.69009290000000001</v>
      </c>
      <c r="N2324">
        <v>0</v>
      </c>
      <c r="O2324">
        <v>-0.72344229999999998</v>
      </c>
      <c r="P2324">
        <v>0.5158625</v>
      </c>
      <c r="Q2324">
        <v>2.758787E-2</v>
      </c>
      <c r="R2324">
        <v>-0.85622710000000002</v>
      </c>
      <c r="S2324">
        <v>0.6383972</v>
      </c>
      <c r="T2324">
        <v>-0.2033384</v>
      </c>
      <c r="U2324">
        <v>-3.145813</v>
      </c>
      <c r="V2324">
        <v>0.2195637</v>
      </c>
      <c r="W2324">
        <v>3.7684879999999997E-2</v>
      </c>
      <c r="X2324">
        <v>0.97487009999999996</v>
      </c>
      <c r="Y2324">
        <v>0.53255209999999997</v>
      </c>
      <c r="Z2324">
        <v>3.3173309999999998E-2</v>
      </c>
      <c r="AA2324">
        <v>0.84574689999999997</v>
      </c>
      <c r="AB2324">
        <v>36</v>
      </c>
      <c r="AC2324">
        <v>3.1713</v>
      </c>
      <c r="AD2324">
        <v>-1.0865797533632</v>
      </c>
      <c r="AE2324">
        <v>-16.5536999999999</v>
      </c>
      <c r="AF2324">
        <v>9.0933860779234799</v>
      </c>
      <c r="AG2324">
        <v>-1.0865797533632</v>
      </c>
      <c r="AH2324">
        <v>14.108358702829699</v>
      </c>
      <c r="AI2324">
        <v>93.703888700001201</v>
      </c>
      <c r="AJ2324">
        <v>57.196644832197897</v>
      </c>
      <c r="AK2324">
        <v>16.8201103209908</v>
      </c>
      <c r="AL2324">
        <v>87.840304123477495</v>
      </c>
      <c r="AM2324">
        <v>77.307426067921796</v>
      </c>
      <c r="AN2324">
        <v>1.00000004020615</v>
      </c>
    </row>
    <row r="2325" spans="1:40" x14ac:dyDescent="0.3">
      <c r="A2325" t="str">
        <f>"20200111153921299"</f>
        <v>20200111153921299</v>
      </c>
      <c r="B2325" t="str">
        <f>"1578728361293604"</f>
        <v>1578728361293604</v>
      </c>
      <c r="C2325" t="s">
        <v>40</v>
      </c>
      <c r="D2325">
        <v>5.5846850000000003</v>
      </c>
      <c r="E2325">
        <v>0.63170000000000004</v>
      </c>
      <c r="F2325" t="s">
        <v>42</v>
      </c>
      <c r="G2325">
        <v>-192.3434</v>
      </c>
      <c r="H2325" s="1">
        <v>-4.5749409999999997E-6</v>
      </c>
      <c r="I2325">
        <v>189.209</v>
      </c>
      <c r="J2325">
        <v>-195.3314</v>
      </c>
      <c r="K2325">
        <v>1.086552</v>
      </c>
      <c r="L2325">
        <v>206.13570000000001</v>
      </c>
      <c r="M2325">
        <v>0.67682869999999995</v>
      </c>
      <c r="N2325">
        <v>0</v>
      </c>
      <c r="O2325">
        <v>-0.73586879999999999</v>
      </c>
      <c r="P2325">
        <v>0.50279470000000004</v>
      </c>
      <c r="Q2325">
        <v>2.8901929999999999E-2</v>
      </c>
      <c r="R2325">
        <v>-0.86392250000000004</v>
      </c>
      <c r="S2325">
        <v>0.59268189999999998</v>
      </c>
      <c r="T2325">
        <v>-0.19920840000000001</v>
      </c>
      <c r="U2325">
        <v>-3.1530610000000001</v>
      </c>
      <c r="V2325">
        <v>0.2166787</v>
      </c>
      <c r="W2325">
        <v>3.9053350000000001E-2</v>
      </c>
      <c r="X2325">
        <v>0.97546149999999998</v>
      </c>
      <c r="Y2325">
        <v>0.52936309999999998</v>
      </c>
      <c r="Z2325">
        <v>3.361082E-2</v>
      </c>
      <c r="AA2325">
        <v>0.84772930000000002</v>
      </c>
      <c r="AB2325">
        <v>36</v>
      </c>
      <c r="AC2325">
        <v>2.9879999999999902</v>
      </c>
      <c r="AD2325">
        <v>-1.086556574941</v>
      </c>
      <c r="AE2325">
        <v>-16.9267</v>
      </c>
      <c r="AF2325">
        <v>9.2226979922324102</v>
      </c>
      <c r="AG2325">
        <v>-1.086556574941</v>
      </c>
      <c r="AH2325">
        <v>14.423454044452299</v>
      </c>
      <c r="AI2325">
        <v>93.631526916513295</v>
      </c>
      <c r="AJ2325">
        <v>57.404188843808797</v>
      </c>
      <c r="AK2325">
        <v>17.154439367665201</v>
      </c>
      <c r="AL2325">
        <v>87.761838652395497</v>
      </c>
      <c r="AM2325">
        <v>77.476259190844999</v>
      </c>
      <c r="AN2325">
        <v>0.99999998058108097</v>
      </c>
    </row>
    <row r="2326" spans="1:40" x14ac:dyDescent="0.3">
      <c r="A2326" t="str">
        <f>"20200111153921322"</f>
        <v>20200111153921322</v>
      </c>
      <c r="B2326" t="str">
        <f>"1578728361313124"</f>
        <v>1578728361313124</v>
      </c>
      <c r="C2326" t="s">
        <v>40</v>
      </c>
      <c r="D2326">
        <v>5.5993250000000003</v>
      </c>
      <c r="E2326">
        <v>0.63140769999999902</v>
      </c>
      <c r="F2326" t="s">
        <v>42</v>
      </c>
      <c r="G2326">
        <v>-192.23939999999999</v>
      </c>
      <c r="H2326" s="1">
        <v>-8.3635079999999999E-7</v>
      </c>
      <c r="I2326">
        <v>190.1497</v>
      </c>
      <c r="J2326">
        <v>-195.07689999999999</v>
      </c>
      <c r="K2326">
        <v>1.0865359999999999</v>
      </c>
      <c r="L2326">
        <v>205.84209999999999</v>
      </c>
      <c r="M2326">
        <v>0.66244009999999998</v>
      </c>
      <c r="N2326">
        <v>0</v>
      </c>
      <c r="O2326">
        <v>-0.74884989999999996</v>
      </c>
      <c r="P2326">
        <v>0.48710930000000002</v>
      </c>
      <c r="Q2326">
        <v>2.978834E-2</v>
      </c>
      <c r="R2326">
        <v>-0.87283299999999997</v>
      </c>
      <c r="S2326">
        <v>0.60493469999999905</v>
      </c>
      <c r="T2326">
        <v>-0.2125804</v>
      </c>
      <c r="U2326">
        <v>-3.1275940000000002</v>
      </c>
      <c r="V2326">
        <v>0.21540680000000001</v>
      </c>
      <c r="W2326">
        <v>3.99148E-2</v>
      </c>
      <c r="X2326">
        <v>0.97570829999999997</v>
      </c>
      <c r="Y2326">
        <v>0.50833660000000003</v>
      </c>
      <c r="Z2326">
        <v>3.7837919999999997E-2</v>
      </c>
      <c r="AA2326">
        <v>0.86032679999999995</v>
      </c>
      <c r="AB2326">
        <v>36</v>
      </c>
      <c r="AC2326">
        <v>2.8374999999999999</v>
      </c>
      <c r="AD2326">
        <v>-1.0865368363507999</v>
      </c>
      <c r="AE2326">
        <v>-15.6923999999999</v>
      </c>
      <c r="AF2326">
        <v>8.2338310446516392</v>
      </c>
      <c r="AG2326">
        <v>-1.0865368363507999</v>
      </c>
      <c r="AH2326">
        <v>13.570632494661799</v>
      </c>
      <c r="AI2326">
        <v>93.915849993039004</v>
      </c>
      <c r="AJ2326">
        <v>58.753181256847697</v>
      </c>
      <c r="AK2326">
        <v>15.910330049178301</v>
      </c>
      <c r="AL2326">
        <v>87.712442688831302</v>
      </c>
      <c r="AM2326">
        <v>77.550525245751004</v>
      </c>
      <c r="AN2326">
        <v>0.99999998371708398</v>
      </c>
    </row>
    <row r="2327" spans="1:40" x14ac:dyDescent="0.3">
      <c r="A2327" t="str">
        <f>"20200111153921344"</f>
        <v>20200111153921344</v>
      </c>
      <c r="B2327" t="str">
        <f>"1578728361332645"</f>
        <v>1578728361332645</v>
      </c>
      <c r="C2327" t="s">
        <v>40</v>
      </c>
      <c r="D2327">
        <v>5.5420660000000002</v>
      </c>
      <c r="E2327">
        <v>0.62979189999999996</v>
      </c>
      <c r="F2327" t="s">
        <v>42</v>
      </c>
      <c r="G2327">
        <v>-192.12649999999999</v>
      </c>
      <c r="H2327" s="1">
        <v>-4.478778E-6</v>
      </c>
      <c r="I2327">
        <v>189.0395</v>
      </c>
      <c r="J2327">
        <v>-194.85149999999999</v>
      </c>
      <c r="K2327">
        <v>1.086522</v>
      </c>
      <c r="L2327">
        <v>205.57230000000001</v>
      </c>
      <c r="M2327">
        <v>0.6491519</v>
      </c>
      <c r="N2327">
        <v>0</v>
      </c>
      <c r="O2327">
        <v>-0.76039990000000002</v>
      </c>
      <c r="P2327">
        <v>0.47284880000000001</v>
      </c>
      <c r="Q2327">
        <v>3.0280029999999999E-2</v>
      </c>
      <c r="R2327">
        <v>-0.8806235</v>
      </c>
      <c r="S2327">
        <v>0.55076599999999998</v>
      </c>
      <c r="T2327">
        <v>-0.20282800000000001</v>
      </c>
      <c r="U2327">
        <v>-3.136612</v>
      </c>
      <c r="V2327">
        <v>0.2141026</v>
      </c>
      <c r="W2327">
        <v>4.038982E-2</v>
      </c>
      <c r="X2327">
        <v>0.97597579999999995</v>
      </c>
      <c r="Y2327">
        <v>0.50800710000000004</v>
      </c>
      <c r="Z2327">
        <v>3.7091760000000001E-2</v>
      </c>
      <c r="AA2327">
        <v>0.86055389999999998</v>
      </c>
      <c r="AB2327">
        <v>36</v>
      </c>
      <c r="AC2327">
        <v>2.7249999999999899</v>
      </c>
      <c r="AD2327">
        <v>-1.086526478778</v>
      </c>
      <c r="AE2327">
        <v>-16.532800000000002</v>
      </c>
      <c r="AF2327">
        <v>8.6256452821151495</v>
      </c>
      <c r="AG2327">
        <v>-1.086526478778</v>
      </c>
      <c r="AH2327">
        <v>14.283244502780599</v>
      </c>
      <c r="AI2327">
        <v>93.725680515639993</v>
      </c>
      <c r="AJ2327">
        <v>58.872239907837603</v>
      </c>
      <c r="AK2327">
        <v>16.721045716347199</v>
      </c>
      <c r="AL2327">
        <v>87.685204145368004</v>
      </c>
      <c r="AM2327">
        <v>77.626859753048706</v>
      </c>
      <c r="AN2327">
        <v>1.0000000115360099</v>
      </c>
    </row>
    <row r="2328" spans="1:40" x14ac:dyDescent="0.3">
      <c r="A2328" t="str">
        <f>"20200111153921369"</f>
        <v>20200111153921369</v>
      </c>
      <c r="B2328" t="str">
        <f>"1578728361362900"</f>
        <v>1578728361362900</v>
      </c>
      <c r="C2328" t="s">
        <v>40</v>
      </c>
      <c r="D2328">
        <v>5.5702160000000003</v>
      </c>
      <c r="E2328">
        <v>0.62814939999999997</v>
      </c>
      <c r="F2328" t="s">
        <v>42</v>
      </c>
      <c r="G2328">
        <v>-192.4436</v>
      </c>
      <c r="H2328" s="1">
        <v>-1.1684399999999999E-6</v>
      </c>
      <c r="I2328">
        <v>190.7972</v>
      </c>
      <c r="J2328">
        <v>-194.5985</v>
      </c>
      <c r="K2328">
        <v>1.0865119999999999</v>
      </c>
      <c r="L2328">
        <v>205.25749999999999</v>
      </c>
      <c r="M2328">
        <v>0.63358899999999996</v>
      </c>
      <c r="N2328">
        <v>0</v>
      </c>
      <c r="O2328">
        <v>-0.77341800000000005</v>
      </c>
      <c r="P2328">
        <v>0.45653519999999997</v>
      </c>
      <c r="Q2328">
        <v>3.0405430000000001E-2</v>
      </c>
      <c r="R2328">
        <v>-0.88918600000000003</v>
      </c>
      <c r="S2328">
        <v>0.51171880000000003</v>
      </c>
      <c r="T2328">
        <v>-0.23089960000000001</v>
      </c>
      <c r="U2328">
        <v>-3.1398929999999998</v>
      </c>
      <c r="V2328">
        <v>0.21228720000000001</v>
      </c>
      <c r="W2328">
        <v>4.0513220000000003E-2</v>
      </c>
      <c r="X2328">
        <v>0.97636719999999999</v>
      </c>
      <c r="Y2328">
        <v>0.50109570000000003</v>
      </c>
      <c r="Z2328">
        <v>4.3694339999999998E-2</v>
      </c>
      <c r="AA2328">
        <v>0.86428819999999995</v>
      </c>
      <c r="AB2328">
        <v>36</v>
      </c>
      <c r="AC2328">
        <v>2.1548999999999898</v>
      </c>
      <c r="AD2328">
        <v>-1.08651316844</v>
      </c>
      <c r="AE2328">
        <v>-14.460299999999901</v>
      </c>
      <c r="AF2328">
        <v>7.4555319569727097</v>
      </c>
      <c r="AG2328">
        <v>-1.08651316844</v>
      </c>
      <c r="AH2328">
        <v>12.482680341106001</v>
      </c>
      <c r="AI2328">
        <v>94.273624528078201</v>
      </c>
      <c r="AJ2328">
        <v>59.151389882271701</v>
      </c>
      <c r="AK2328">
        <v>14.5802186583353</v>
      </c>
      <c r="AL2328">
        <v>87.6781281270205</v>
      </c>
      <c r="AM2328">
        <v>77.733351322966797</v>
      </c>
      <c r="AN2328">
        <v>1.00000004275722</v>
      </c>
    </row>
    <row r="2329" spans="1:40" x14ac:dyDescent="0.3">
      <c r="A2329" t="str">
        <f>"20200111153921390"</f>
        <v>20200111153921390</v>
      </c>
      <c r="B2329" t="str">
        <f>"1578728361383396"</f>
        <v>1578728361383396</v>
      </c>
      <c r="C2329" t="s">
        <v>40</v>
      </c>
      <c r="D2329">
        <v>5.5685320000000003</v>
      </c>
      <c r="E2329">
        <v>0.61823640000000002</v>
      </c>
      <c r="F2329" t="s">
        <v>42</v>
      </c>
      <c r="G2329">
        <v>-192.58369999999999</v>
      </c>
      <c r="H2329" s="1">
        <v>-1.5674950000000001E-6</v>
      </c>
      <c r="I2329">
        <v>191.6405</v>
      </c>
      <c r="J2329">
        <v>-194.39089999999999</v>
      </c>
      <c r="K2329">
        <v>1.086511</v>
      </c>
      <c r="L2329">
        <v>204.98869999999999</v>
      </c>
      <c r="M2329">
        <v>0.62025559999999902</v>
      </c>
      <c r="N2329">
        <v>0</v>
      </c>
      <c r="O2329">
        <v>-0.78415330000000005</v>
      </c>
      <c r="P2329">
        <v>0.44302740000000002</v>
      </c>
      <c r="Q2329">
        <v>3.0847469999999998E-2</v>
      </c>
      <c r="R2329">
        <v>-0.89597780000000005</v>
      </c>
      <c r="S2329">
        <v>0.46514889999999998</v>
      </c>
      <c r="T2329">
        <v>-0.25083490000000003</v>
      </c>
      <c r="U2329">
        <v>-3.1436609999999998</v>
      </c>
      <c r="V2329">
        <v>0.21035219999999999</v>
      </c>
      <c r="W2329">
        <v>4.0978229999999997E-2</v>
      </c>
      <c r="X2329">
        <v>0.97676649999999998</v>
      </c>
      <c r="Y2329">
        <v>0.49896430000000003</v>
      </c>
      <c r="Z2329">
        <v>4.8689349999999999E-2</v>
      </c>
      <c r="AA2329">
        <v>0.86525370000000001</v>
      </c>
      <c r="AB2329">
        <v>36</v>
      </c>
      <c r="AC2329">
        <v>1.8071999999999899</v>
      </c>
      <c r="AD2329">
        <v>-1.086512567495</v>
      </c>
      <c r="AE2329">
        <v>-13.348199999999901</v>
      </c>
      <c r="AF2329">
        <v>6.8191333049490002</v>
      </c>
      <c r="AG2329">
        <v>-1.086512567495</v>
      </c>
      <c r="AH2329">
        <v>11.515279456940601</v>
      </c>
      <c r="AI2329">
        <v>94.641468521456304</v>
      </c>
      <c r="AJ2329">
        <v>59.366775386559603</v>
      </c>
      <c r="AK2329">
        <v>13.4269411841054</v>
      </c>
      <c r="AL2329">
        <v>87.651462842009707</v>
      </c>
      <c r="AM2329">
        <v>77.846643461711693</v>
      </c>
      <c r="AN2329">
        <v>1.00000002945051</v>
      </c>
    </row>
    <row r="2330" spans="1:40" x14ac:dyDescent="0.3">
      <c r="A2330" t="str">
        <f>"20200111153921411"</f>
        <v>20200111153921411</v>
      </c>
      <c r="B2330" t="str">
        <f>"1578728361402916"</f>
        <v>1578728361402916</v>
      </c>
      <c r="C2330" t="s">
        <v>40</v>
      </c>
      <c r="D2330">
        <v>5.6858630000000003</v>
      </c>
      <c r="E2330">
        <v>0.61793849999999995</v>
      </c>
      <c r="F2330" t="s">
        <v>42</v>
      </c>
      <c r="G2330">
        <v>-192.85849999999999</v>
      </c>
      <c r="H2330" s="1">
        <v>-3.174292E-6</v>
      </c>
      <c r="I2330">
        <v>195.21549999999999</v>
      </c>
      <c r="J2330">
        <v>-194.1823</v>
      </c>
      <c r="K2330">
        <v>1.086514</v>
      </c>
      <c r="L2330">
        <v>204.70859999999999</v>
      </c>
      <c r="M2330">
        <v>0.60631619999999997</v>
      </c>
      <c r="N2330">
        <v>0</v>
      </c>
      <c r="O2330">
        <v>-0.79498199999999997</v>
      </c>
      <c r="P2330">
        <v>0.42750070000000001</v>
      </c>
      <c r="Q2330">
        <v>3.2167469999999997E-2</v>
      </c>
      <c r="R2330">
        <v>-0.90344279999999999</v>
      </c>
      <c r="S2330">
        <v>0.48896790000000001</v>
      </c>
      <c r="T2330">
        <v>-0.34668959999999999</v>
      </c>
      <c r="U2330">
        <v>-3.1184690000000002</v>
      </c>
      <c r="V2330">
        <v>0.20998849999999999</v>
      </c>
      <c r="W2330">
        <v>4.2252190000000002E-2</v>
      </c>
      <c r="X2330">
        <v>0.97679039999999995</v>
      </c>
      <c r="Y2330">
        <v>0.47616419999999998</v>
      </c>
      <c r="Z2330">
        <v>7.0096270000000002E-2</v>
      </c>
      <c r="AA2330">
        <v>0.87655810000000001</v>
      </c>
      <c r="AB2330">
        <v>36</v>
      </c>
      <c r="AC2330">
        <v>1.3238000000000001</v>
      </c>
      <c r="AD2330">
        <v>-1.0865171742919999</v>
      </c>
      <c r="AE2330">
        <v>-9.4930999999999894</v>
      </c>
      <c r="AF2330">
        <v>4.6446448565905696</v>
      </c>
      <c r="AG2330">
        <v>-1.0865171742919999</v>
      </c>
      <c r="AH2330">
        <v>8.2451421862033598</v>
      </c>
      <c r="AI2330">
        <v>96.5496273910003</v>
      </c>
      <c r="AJ2330">
        <v>60.606614538059702</v>
      </c>
      <c r="AK2330">
        <v>9.5255243994540795</v>
      </c>
      <c r="AL2330">
        <v>87.578406831931702</v>
      </c>
      <c r="AM2330">
        <v>77.867321656108203</v>
      </c>
      <c r="AN2330">
        <v>0.99999995161210098</v>
      </c>
    </row>
    <row r="2331" spans="1:40" x14ac:dyDescent="0.3">
      <c r="A2331" t="str">
        <f>"20200111153921433"</f>
        <v>20200111153921433</v>
      </c>
      <c r="B2331" t="str">
        <f>"1578728361423412"</f>
        <v>1578728361423412</v>
      </c>
      <c r="C2331" t="s">
        <v>40</v>
      </c>
      <c r="D2331">
        <v>5.672377</v>
      </c>
      <c r="E2331">
        <v>0.61709740000000002</v>
      </c>
      <c r="F2331" t="s">
        <v>42</v>
      </c>
      <c r="G2331">
        <v>-192.80719999999999</v>
      </c>
      <c r="H2331" s="1">
        <v>-3.0151589999999999E-6</v>
      </c>
      <c r="I2331">
        <v>194.87639999999999</v>
      </c>
      <c r="J2331">
        <v>-193.97739999999999</v>
      </c>
      <c r="K2331">
        <v>1.086538</v>
      </c>
      <c r="L2331">
        <v>204.4229</v>
      </c>
      <c r="M2331">
        <v>0.59204820000000002</v>
      </c>
      <c r="N2331">
        <v>0</v>
      </c>
      <c r="O2331">
        <v>-0.80566559999999998</v>
      </c>
      <c r="P2331">
        <v>0.41198580000000001</v>
      </c>
      <c r="Q2331">
        <v>3.3492460000000002E-2</v>
      </c>
      <c r="R2331">
        <v>-0.91057449999999995</v>
      </c>
      <c r="S2331">
        <v>0.43722529999999998</v>
      </c>
      <c r="T2331">
        <v>-0.34545039999999999</v>
      </c>
      <c r="U2331">
        <v>-3.1260680000000001</v>
      </c>
      <c r="V2331">
        <v>0.20930699999999999</v>
      </c>
      <c r="W2331">
        <v>4.3553229999999998E-2</v>
      </c>
      <c r="X2331">
        <v>0.97687959999999996</v>
      </c>
      <c r="Y2331">
        <v>0.47502800000000001</v>
      </c>
      <c r="Z2331">
        <v>7.144731E-2</v>
      </c>
      <c r="AA2331">
        <v>0.8770654</v>
      </c>
      <c r="AB2331">
        <v>36</v>
      </c>
      <c r="AC2331">
        <v>1.1701999999999899</v>
      </c>
      <c r="AD2331">
        <v>-1.086541015159</v>
      </c>
      <c r="AE2331">
        <v>-9.5465</v>
      </c>
      <c r="AF2331">
        <v>4.6507437572094901</v>
      </c>
      <c r="AG2331">
        <v>-1.086541015159</v>
      </c>
      <c r="AH2331">
        <v>8.2800309895674697</v>
      </c>
      <c r="AI2331">
        <v>96.526934661266793</v>
      </c>
      <c r="AJ2331">
        <v>60.677865056496799</v>
      </c>
      <c r="AK2331">
        <v>9.5587081795106297</v>
      </c>
      <c r="AL2331">
        <v>87.503794214697095</v>
      </c>
      <c r="AM2331">
        <v>77.906608001309607</v>
      </c>
      <c r="AN2331">
        <v>1.00000002849429</v>
      </c>
    </row>
    <row r="2332" spans="1:40" x14ac:dyDescent="0.3">
      <c r="A2332" t="str">
        <f>"20200111153921457"</f>
        <v>20200111153921457</v>
      </c>
      <c r="B2332" t="str">
        <f>"1578728361442932"</f>
        <v>1578728361442932</v>
      </c>
      <c r="C2332" t="s">
        <v>40</v>
      </c>
      <c r="D2332">
        <v>5.6028609999999999</v>
      </c>
      <c r="E2332">
        <v>0.61072419999999905</v>
      </c>
      <c r="F2332" t="s">
        <v>42</v>
      </c>
      <c r="G2332">
        <v>-192.74969999999999</v>
      </c>
      <c r="H2332" s="1">
        <v>-2.8636640000000001E-6</v>
      </c>
      <c r="I2332">
        <v>194.55889999999999</v>
      </c>
      <c r="J2332">
        <v>-193.76580000000001</v>
      </c>
      <c r="K2332">
        <v>1.0865629999999999</v>
      </c>
      <c r="L2332">
        <v>204.11519999999999</v>
      </c>
      <c r="M2332">
        <v>0.57664409999999999</v>
      </c>
      <c r="N2332">
        <v>0</v>
      </c>
      <c r="O2332">
        <v>-0.81676319999999902</v>
      </c>
      <c r="P2332">
        <v>0.39501570000000003</v>
      </c>
      <c r="Q2332">
        <v>3.4026090000000002E-2</v>
      </c>
      <c r="R2332">
        <v>-0.91804419999999998</v>
      </c>
      <c r="S2332">
        <v>0.38969419999999999</v>
      </c>
      <c r="T2332">
        <v>-0.34488930000000001</v>
      </c>
      <c r="U2332">
        <v>-3.1309969999999998</v>
      </c>
      <c r="V2332">
        <v>0.20889479999999999</v>
      </c>
      <c r="W2332">
        <v>4.4055320000000002E-2</v>
      </c>
      <c r="X2332">
        <v>0.97694530000000002</v>
      </c>
      <c r="Y2332">
        <v>0.47161249999999999</v>
      </c>
      <c r="Z2332">
        <v>7.3117920000000003E-2</v>
      </c>
      <c r="AA2332">
        <v>0.87876929999999998</v>
      </c>
      <c r="AB2332">
        <v>35</v>
      </c>
      <c r="AC2332">
        <v>1.01610000000002</v>
      </c>
      <c r="AD2332">
        <v>-1.0865658636640001</v>
      </c>
      <c r="AE2332">
        <v>-9.5562999999999896</v>
      </c>
      <c r="AF2332">
        <v>4.6224678654757501</v>
      </c>
      <c r="AG2332">
        <v>-1.0865658636640001</v>
      </c>
      <c r="AH2332">
        <v>8.28682007747976</v>
      </c>
      <c r="AI2332">
        <v>96.532460795046404</v>
      </c>
      <c r="AJ2332">
        <v>60.8468019789129</v>
      </c>
      <c r="AK2332">
        <v>9.5508754331714201</v>
      </c>
      <c r="AL2332">
        <v>87.474998900841101</v>
      </c>
      <c r="AM2332">
        <v>77.930513051467003</v>
      </c>
      <c r="AN2332">
        <v>1.0000000139397101</v>
      </c>
    </row>
    <row r="2333" spans="1:40" x14ac:dyDescent="0.3">
      <c r="A2333" t="str">
        <f>"20200111153921479"</f>
        <v>20200111153921479</v>
      </c>
      <c r="B2333" t="str">
        <f>"1578728361473188"</f>
        <v>1578728361473188</v>
      </c>
      <c r="C2333" t="s">
        <v>40</v>
      </c>
      <c r="D2333">
        <v>5.6343969999999999</v>
      </c>
      <c r="E2333">
        <v>0.60677060000000005</v>
      </c>
      <c r="F2333" t="s">
        <v>42</v>
      </c>
      <c r="G2333">
        <v>-192.5882</v>
      </c>
      <c r="H2333" s="1">
        <v>-2.7511400000000001E-6</v>
      </c>
      <c r="I2333">
        <v>194.39680000000001</v>
      </c>
      <c r="J2333">
        <v>-193.56659999999999</v>
      </c>
      <c r="K2333">
        <v>1.086595</v>
      </c>
      <c r="L2333">
        <v>203.81309999999999</v>
      </c>
      <c r="M2333">
        <v>0.56146839999999998</v>
      </c>
      <c r="N2333">
        <v>0</v>
      </c>
      <c r="O2333">
        <v>-0.82727019999999996</v>
      </c>
      <c r="P2333">
        <v>0.37856919999999999</v>
      </c>
      <c r="Q2333">
        <v>3.4503079999999998E-2</v>
      </c>
      <c r="R2333">
        <v>-0.92492989999999997</v>
      </c>
      <c r="S2333">
        <v>0.37782290000000002</v>
      </c>
      <c r="T2333">
        <v>-0.34862389999999999</v>
      </c>
      <c r="U2333">
        <v>-3.1181489999999998</v>
      </c>
      <c r="V2333">
        <v>0.2083006</v>
      </c>
      <c r="W2333">
        <v>4.451836E-2</v>
      </c>
      <c r="X2333">
        <v>0.97705109999999995</v>
      </c>
      <c r="Y2333">
        <v>0.45817330000000001</v>
      </c>
      <c r="Z2333">
        <v>7.630721E-2</v>
      </c>
      <c r="AA2333">
        <v>0.88558139999999996</v>
      </c>
      <c r="AB2333">
        <v>35</v>
      </c>
      <c r="AC2333">
        <v>0.97839999999999305</v>
      </c>
      <c r="AD2333">
        <v>-1.08659775114</v>
      </c>
      <c r="AE2333">
        <v>-9.4162999999999695</v>
      </c>
      <c r="AF2333">
        <v>4.4201678313312103</v>
      </c>
      <c r="AG2333">
        <v>-1.08659775114</v>
      </c>
      <c r="AH2333">
        <v>8.2322874008952898</v>
      </c>
      <c r="AI2333">
        <v>96.633107060466799</v>
      </c>
      <c r="AJ2333">
        <v>61.767283528715701</v>
      </c>
      <c r="AK2333">
        <v>9.4068663316142196</v>
      </c>
      <c r="AL2333">
        <v>87.448442414247097</v>
      </c>
      <c r="AM2333">
        <v>77.965107457369498</v>
      </c>
      <c r="AN2333">
        <v>0.99999993817432697</v>
      </c>
    </row>
    <row r="2334" spans="1:40" x14ac:dyDescent="0.3">
      <c r="A2334" t="str">
        <f>"20200111153921501"</f>
        <v>20200111153921501</v>
      </c>
      <c r="B2334" t="str">
        <f>"1578728361492708"</f>
        <v>1578728361492708</v>
      </c>
      <c r="C2334" t="s">
        <v>40</v>
      </c>
      <c r="D2334">
        <v>5.6537769999999998</v>
      </c>
      <c r="E2334">
        <v>0.60492500000000005</v>
      </c>
      <c r="F2334" t="s">
        <v>42</v>
      </c>
      <c r="G2334">
        <v>-192.51230000000001</v>
      </c>
      <c r="H2334" s="1">
        <v>-2.7614590000000001E-6</v>
      </c>
      <c r="I2334">
        <v>194.46799999999999</v>
      </c>
      <c r="J2334">
        <v>-193.3777</v>
      </c>
      <c r="K2334">
        <v>1.086627</v>
      </c>
      <c r="L2334">
        <v>203.5147</v>
      </c>
      <c r="M2334">
        <v>0.54642579999999996</v>
      </c>
      <c r="N2334">
        <v>0</v>
      </c>
      <c r="O2334">
        <v>-0.83728329999999995</v>
      </c>
      <c r="P2334">
        <v>0.36214380000000002</v>
      </c>
      <c r="Q2334">
        <v>3.5622479999999998E-2</v>
      </c>
      <c r="R2334">
        <v>-0.93144119999999997</v>
      </c>
      <c r="S2334">
        <v>0.3512421</v>
      </c>
      <c r="T2334">
        <v>-0.36198780000000003</v>
      </c>
      <c r="U2334">
        <v>-3.113235</v>
      </c>
      <c r="V2334">
        <v>0.2079512</v>
      </c>
      <c r="W2334">
        <v>4.5620170000000002E-2</v>
      </c>
      <c r="X2334">
        <v>0.97707469999999996</v>
      </c>
      <c r="Y2334">
        <v>0.4494224</v>
      </c>
      <c r="Z2334">
        <v>8.1289399999999901E-2</v>
      </c>
      <c r="AA2334">
        <v>0.88961319999999999</v>
      </c>
      <c r="AB2334">
        <v>35</v>
      </c>
      <c r="AC2334">
        <v>0.86539999999999395</v>
      </c>
      <c r="AD2334">
        <v>-1.0866297614589999</v>
      </c>
      <c r="AE2334">
        <v>-9.0467000000000102</v>
      </c>
      <c r="AF2334">
        <v>4.1600834257996402</v>
      </c>
      <c r="AG2334">
        <v>-1.0866297614589999</v>
      </c>
      <c r="AH2334">
        <v>7.93558877065791</v>
      </c>
      <c r="AI2334">
        <v>96.914887996248595</v>
      </c>
      <c r="AJ2334">
        <v>62.335068278533498</v>
      </c>
      <c r="AK2334">
        <v>9.0255541372867096</v>
      </c>
      <c r="AL2334">
        <v>87.385249124183304</v>
      </c>
      <c r="AM2334">
        <v>77.984989238967103</v>
      </c>
      <c r="AN2334">
        <v>0.99999993543617705</v>
      </c>
    </row>
    <row r="2335" spans="1:40" x14ac:dyDescent="0.3">
      <c r="A2335" t="str">
        <f>"20200111153921523"</f>
        <v>20200111153921523</v>
      </c>
      <c r="B2335" t="str">
        <f>"1578728361513207"</f>
        <v>1578728361513207</v>
      </c>
      <c r="C2335" t="s">
        <v>40</v>
      </c>
      <c r="D2335">
        <v>5.6653989999999999</v>
      </c>
      <c r="E2335">
        <v>0.60256149999999997</v>
      </c>
      <c r="F2335" t="s">
        <v>42</v>
      </c>
      <c r="G2335">
        <v>-192.4479</v>
      </c>
      <c r="H2335" s="1">
        <v>-2.6159720000000001E-6</v>
      </c>
      <c r="I2335">
        <v>194.1687</v>
      </c>
      <c r="J2335">
        <v>-193.1901</v>
      </c>
      <c r="K2335">
        <v>1.086665</v>
      </c>
      <c r="L2335">
        <v>203.20599999999999</v>
      </c>
      <c r="M2335">
        <v>0.5308098</v>
      </c>
      <c r="N2335">
        <v>0</v>
      </c>
      <c r="O2335">
        <v>-0.84727059999999998</v>
      </c>
      <c r="P2335">
        <v>0.34559440000000002</v>
      </c>
      <c r="Q2335">
        <v>3.686801E-2</v>
      </c>
      <c r="R2335">
        <v>-0.93765960000000004</v>
      </c>
      <c r="S2335">
        <v>0.3097992</v>
      </c>
      <c r="T2335">
        <v>-0.36208390000000001</v>
      </c>
      <c r="U2335">
        <v>-3.1142430000000001</v>
      </c>
      <c r="V2335">
        <v>0.20716080000000001</v>
      </c>
      <c r="W2335">
        <v>4.687434E-2</v>
      </c>
      <c r="X2335">
        <v>0.97718329999999998</v>
      </c>
      <c r="Y2335">
        <v>0.44461440000000002</v>
      </c>
      <c r="Z2335">
        <v>8.3141140000000002E-2</v>
      </c>
      <c r="AA2335">
        <v>0.89185519999999996</v>
      </c>
      <c r="AB2335">
        <v>35</v>
      </c>
      <c r="AC2335">
        <v>0.74219999999999597</v>
      </c>
      <c r="AD2335">
        <v>-1.0866676159719999</v>
      </c>
      <c r="AE2335">
        <v>-9.0372999999999806</v>
      </c>
      <c r="AF2335">
        <v>4.1099964847947303</v>
      </c>
      <c r="AG2335">
        <v>-1.0866676159719999</v>
      </c>
      <c r="AH2335">
        <v>7.9385015475941003</v>
      </c>
      <c r="AI2335">
        <v>96.930875448578206</v>
      </c>
      <c r="AJ2335">
        <v>62.628064119834001</v>
      </c>
      <c r="AK2335">
        <v>9.0051498840264301</v>
      </c>
      <c r="AL2335">
        <v>87.313313674639105</v>
      </c>
      <c r="AM2335">
        <v>78.030629194679193</v>
      </c>
      <c r="AN2335">
        <v>1.0000000013029799</v>
      </c>
    </row>
    <row r="2336" spans="1:40" x14ac:dyDescent="0.3">
      <c r="A2336" t="str">
        <f>"20200111153921546"</f>
        <v>20200111153921546</v>
      </c>
      <c r="B2336" t="str">
        <f>"1578728361543460"</f>
        <v>1578728361543460</v>
      </c>
      <c r="C2336" t="s">
        <v>40</v>
      </c>
      <c r="D2336">
        <v>5.8370179999999996</v>
      </c>
      <c r="E2336">
        <v>0.59905649999999999</v>
      </c>
      <c r="F2336" t="s">
        <v>42</v>
      </c>
      <c r="G2336">
        <v>-192.38</v>
      </c>
      <c r="H2336" s="1">
        <v>-2.501726E-6</v>
      </c>
      <c r="I2336">
        <v>193.94460000000001</v>
      </c>
      <c r="J2336">
        <v>-193.01050000000001</v>
      </c>
      <c r="K2336">
        <v>1.086703</v>
      </c>
      <c r="L2336">
        <v>202.8974</v>
      </c>
      <c r="M2336">
        <v>0.51514689999999996</v>
      </c>
      <c r="N2336">
        <v>0</v>
      </c>
      <c r="O2336">
        <v>-0.8568848</v>
      </c>
      <c r="P2336">
        <v>0.3288469</v>
      </c>
      <c r="Q2336">
        <v>3.723804E-2</v>
      </c>
      <c r="R2336">
        <v>-0.94364890000000001</v>
      </c>
      <c r="S2336">
        <v>0.27235409999999999</v>
      </c>
      <c r="T2336">
        <v>-0.36531049999999998</v>
      </c>
      <c r="U2336">
        <v>-3.113464</v>
      </c>
      <c r="V2336">
        <v>0.20659920000000001</v>
      </c>
      <c r="W2336">
        <v>4.7248239999999997E-2</v>
      </c>
      <c r="X2336">
        <v>0.97728419999999905</v>
      </c>
      <c r="Y2336">
        <v>0.4387759</v>
      </c>
      <c r="Z2336">
        <v>8.5730719999999996E-2</v>
      </c>
      <c r="AA2336">
        <v>0.8944976</v>
      </c>
      <c r="AB2336">
        <v>35</v>
      </c>
      <c r="AC2336">
        <v>0.63050000000001205</v>
      </c>
      <c r="AD2336">
        <v>-1.0867055017259999</v>
      </c>
      <c r="AE2336">
        <v>-8.9527999999999892</v>
      </c>
      <c r="AF2336">
        <v>4.0136557227071004</v>
      </c>
      <c r="AG2336">
        <v>-1.0867055017259999</v>
      </c>
      <c r="AH2336">
        <v>7.8822465804405901</v>
      </c>
      <c r="AI2336">
        <v>97.004083003450404</v>
      </c>
      <c r="AJ2336">
        <v>63.014714577161101</v>
      </c>
      <c r="AK2336">
        <v>8.9117996085397007</v>
      </c>
      <c r="AL2336">
        <v>87.291867061214504</v>
      </c>
      <c r="AM2336">
        <v>78.063342405288097</v>
      </c>
      <c r="AN2336">
        <v>1.00000001659668</v>
      </c>
    </row>
    <row r="2337" spans="1:40" x14ac:dyDescent="0.3">
      <c r="A2337" t="str">
        <f>"20200111153921567"</f>
        <v>20200111153921567</v>
      </c>
      <c r="B2337" t="str">
        <f>"1578728361562980"</f>
        <v>1578728361562980</v>
      </c>
      <c r="C2337" t="s">
        <v>40</v>
      </c>
      <c r="D2337">
        <v>5.5068279999999996</v>
      </c>
      <c r="E2337">
        <v>0.59950930000000002</v>
      </c>
      <c r="F2337" t="s">
        <v>42</v>
      </c>
      <c r="G2337">
        <v>-192.3211</v>
      </c>
      <c r="H2337" s="1">
        <v>-2.5516120000000002E-6</v>
      </c>
      <c r="I2337">
        <v>194.09739999999999</v>
      </c>
      <c r="J2337">
        <v>-192.84710000000001</v>
      </c>
      <c r="K2337">
        <v>1.0867370000000001</v>
      </c>
      <c r="L2337">
        <v>202.6046</v>
      </c>
      <c r="M2337">
        <v>0.50024239999999998</v>
      </c>
      <c r="N2337">
        <v>0</v>
      </c>
      <c r="O2337">
        <v>-0.86567129999999903</v>
      </c>
      <c r="P2337">
        <v>0.31386579999999997</v>
      </c>
      <c r="Q2337">
        <v>3.7652129999999999E-2</v>
      </c>
      <c r="R2337">
        <v>-0.94872080000000003</v>
      </c>
      <c r="S2337">
        <v>0.24357599999999999</v>
      </c>
      <c r="T2337">
        <v>-0.38397340000000002</v>
      </c>
      <c r="U2337">
        <v>-3.1093899999999999</v>
      </c>
      <c r="V2337">
        <v>0.20516480000000001</v>
      </c>
      <c r="W2337">
        <v>4.7714529999999998E-2</v>
      </c>
      <c r="X2337">
        <v>0.97756370000000004</v>
      </c>
      <c r="Y2337">
        <v>0.43136989999999997</v>
      </c>
      <c r="Z2337">
        <v>9.1992009999999999E-2</v>
      </c>
      <c r="AA2337">
        <v>0.89747289999999902</v>
      </c>
      <c r="AB2337">
        <v>35</v>
      </c>
      <c r="AC2337">
        <v>0.52600000000001002</v>
      </c>
      <c r="AD2337">
        <v>-1.086739551612</v>
      </c>
      <c r="AE2337">
        <v>-8.5072000000000099</v>
      </c>
      <c r="AF2337">
        <v>3.7402217024259001</v>
      </c>
      <c r="AG2337">
        <v>-1.086739551612</v>
      </c>
      <c r="AH2337">
        <v>7.5069458698929799</v>
      </c>
      <c r="AI2337">
        <v>97.382835115890998</v>
      </c>
      <c r="AJ2337">
        <v>63.515916573673202</v>
      </c>
      <c r="AK2337">
        <v>8.4572157078934005</v>
      </c>
      <c r="AL2337">
        <v>87.265120480931202</v>
      </c>
      <c r="AM2337">
        <v>78.147158078138901</v>
      </c>
      <c r="AN2337">
        <v>1.0000000295449201</v>
      </c>
    </row>
    <row r="2338" spans="1:40" x14ac:dyDescent="0.3">
      <c r="A2338" t="str">
        <f>"20200111153921590"</f>
        <v>20200111153921590</v>
      </c>
      <c r="B2338" t="str">
        <f>"1578728361583476"</f>
        <v>1578728361583476</v>
      </c>
      <c r="C2338" t="s">
        <v>40</v>
      </c>
      <c r="D2338">
        <v>5.469754</v>
      </c>
      <c r="E2338">
        <v>0.60134239999999906</v>
      </c>
      <c r="F2338" t="s">
        <v>42</v>
      </c>
      <c r="G2338">
        <v>-192.26580000000001</v>
      </c>
      <c r="H2338" s="1">
        <v>-2.1130809999999998E-6</v>
      </c>
      <c r="I2338">
        <v>193.10939999999999</v>
      </c>
      <c r="J2338">
        <v>-192.67330000000001</v>
      </c>
      <c r="K2338">
        <v>1.0867830000000001</v>
      </c>
      <c r="L2338">
        <v>202.27930000000001</v>
      </c>
      <c r="M2338">
        <v>0.48363230000000001</v>
      </c>
      <c r="N2338">
        <v>0</v>
      </c>
      <c r="O2338">
        <v>-0.87505999999999995</v>
      </c>
      <c r="P2338">
        <v>0.29828729999999998</v>
      </c>
      <c r="Q2338">
        <v>3.788238E-2</v>
      </c>
      <c r="R2338">
        <v>-0.95372389999999996</v>
      </c>
      <c r="S2338">
        <v>0.1905975</v>
      </c>
      <c r="T2338">
        <v>-0.35631239999999997</v>
      </c>
      <c r="U2338">
        <v>-3.1132200000000001</v>
      </c>
      <c r="V2338">
        <v>0.20251759999999999</v>
      </c>
      <c r="W2338">
        <v>4.8056040000000001E-2</v>
      </c>
      <c r="X2338">
        <v>0.97809880000000005</v>
      </c>
      <c r="Y2338">
        <v>0.42943520000000002</v>
      </c>
      <c r="Z2338">
        <v>8.6993760000000003E-2</v>
      </c>
      <c r="AA2338">
        <v>0.89889789999999903</v>
      </c>
      <c r="AB2338">
        <v>35</v>
      </c>
      <c r="AC2338">
        <v>0.40749999999999797</v>
      </c>
      <c r="AD2338">
        <v>-1.086785113081</v>
      </c>
      <c r="AE2338">
        <v>-9.1699000000000108</v>
      </c>
      <c r="AF2338">
        <v>4.0226358527771202</v>
      </c>
      <c r="AG2338">
        <v>-1.086785113081</v>
      </c>
      <c r="AH2338">
        <v>8.1091355068459805</v>
      </c>
      <c r="AI2338">
        <v>96.846134472534402</v>
      </c>
      <c r="AJ2338">
        <v>63.615726994545298</v>
      </c>
      <c r="AK2338">
        <v>9.1170598196157808</v>
      </c>
      <c r="AL2338">
        <v>87.245530878866802</v>
      </c>
      <c r="AM2338">
        <v>78.302074026604203</v>
      </c>
      <c r="AN2338">
        <v>1.0000000119258401</v>
      </c>
    </row>
    <row r="2339" spans="1:40" x14ac:dyDescent="0.3">
      <c r="A2339" t="str">
        <f>"20200111153921612"</f>
        <v>20200111153921612</v>
      </c>
      <c r="B2339" t="str">
        <f>"1578728361602996"</f>
        <v>1578728361602996</v>
      </c>
      <c r="C2339" t="s">
        <v>40</v>
      </c>
      <c r="D2339">
        <v>5.5387130000000004</v>
      </c>
      <c r="E2339">
        <v>0.60180129999999998</v>
      </c>
      <c r="F2339" t="s">
        <v>42</v>
      </c>
      <c r="G2339">
        <v>-192.25219999999999</v>
      </c>
      <c r="H2339" s="1">
        <v>-1.5402159999999999E-6</v>
      </c>
      <c r="I2339">
        <v>191.7825</v>
      </c>
      <c r="J2339">
        <v>-192.51349999999999</v>
      </c>
      <c r="K2339">
        <v>1.0868359999999999</v>
      </c>
      <c r="L2339">
        <v>201.9659</v>
      </c>
      <c r="M2339">
        <v>0.46758919999999998</v>
      </c>
      <c r="N2339">
        <v>0</v>
      </c>
      <c r="O2339">
        <v>-0.88373760000000001</v>
      </c>
      <c r="P2339">
        <v>0.2831649</v>
      </c>
      <c r="Q2339">
        <v>3.9222460000000001E-2</v>
      </c>
      <c r="R2339">
        <v>-0.95826960000000005</v>
      </c>
      <c r="S2339">
        <v>0.12513730000000001</v>
      </c>
      <c r="T2339">
        <v>-0.3229513</v>
      </c>
      <c r="U2339">
        <v>-3.1192630000000001</v>
      </c>
      <c r="V2339">
        <v>0.20017109999999999</v>
      </c>
      <c r="W2339">
        <v>4.9497230000000003E-2</v>
      </c>
      <c r="X2339">
        <v>0.97850990000000004</v>
      </c>
      <c r="Y2339">
        <v>0.43188270000000001</v>
      </c>
      <c r="Z2339">
        <v>8.0058219999999999E-2</v>
      </c>
      <c r="AA2339">
        <v>0.89836970000000005</v>
      </c>
      <c r="AB2339">
        <v>35</v>
      </c>
      <c r="AC2339">
        <v>0.26130000000000497</v>
      </c>
      <c r="AD2339">
        <v>-1.086837540216</v>
      </c>
      <c r="AE2339">
        <v>-10.183400000000001</v>
      </c>
      <c r="AF2339">
        <v>4.48055921748269</v>
      </c>
      <c r="AG2339">
        <v>-1.086837540216</v>
      </c>
      <c r="AH2339">
        <v>9.0206321556554201</v>
      </c>
      <c r="AI2339">
        <v>96.158714211777394</v>
      </c>
      <c r="AJ2339">
        <v>63.586352064206203</v>
      </c>
      <c r="AK2339">
        <v>10.130569146293601</v>
      </c>
      <c r="AL2339">
        <v>87.162858428761695</v>
      </c>
      <c r="AM2339">
        <v>78.438669411884305</v>
      </c>
      <c r="AN2339">
        <v>1.0000000347254401</v>
      </c>
    </row>
    <row r="2340" spans="1:40" x14ac:dyDescent="0.3">
      <c r="A2340" t="str">
        <f>"20200111153921634"</f>
        <v>20200111153921634</v>
      </c>
      <c r="B2340" t="str">
        <f>"1578728361623491"</f>
        <v>1578728361623491</v>
      </c>
      <c r="C2340" t="s">
        <v>40</v>
      </c>
      <c r="D2340">
        <v>5.558357</v>
      </c>
      <c r="E2340">
        <v>0.60179740000000004</v>
      </c>
      <c r="F2340" t="s">
        <v>42</v>
      </c>
      <c r="G2340">
        <v>-192.25299999999999</v>
      </c>
      <c r="H2340" s="1">
        <v>-1.0794180000000001E-6</v>
      </c>
      <c r="I2340">
        <v>190.7079</v>
      </c>
      <c r="J2340">
        <v>-192.36340000000001</v>
      </c>
      <c r="K2340">
        <v>1.0868910000000001</v>
      </c>
      <c r="L2340">
        <v>201.65770000000001</v>
      </c>
      <c r="M2340">
        <v>0.45178020000000002</v>
      </c>
      <c r="N2340">
        <v>0</v>
      </c>
      <c r="O2340">
        <v>-0.89192340000000003</v>
      </c>
      <c r="P2340">
        <v>0.26754139999999998</v>
      </c>
      <c r="Q2340">
        <v>4.0060079999999998E-2</v>
      </c>
      <c r="R2340">
        <v>-0.96271370000000001</v>
      </c>
      <c r="S2340">
        <v>7.2235110000000005E-2</v>
      </c>
      <c r="T2340">
        <v>-0.30136160000000001</v>
      </c>
      <c r="U2340">
        <v>-3.121658</v>
      </c>
      <c r="V2340">
        <v>0.1986764</v>
      </c>
      <c r="W2340">
        <v>5.039971E-2</v>
      </c>
      <c r="X2340">
        <v>0.97876839999999998</v>
      </c>
      <c r="Y2340">
        <v>0.43107099999999998</v>
      </c>
      <c r="Z2340">
        <v>7.5886399999999896E-2</v>
      </c>
      <c r="AA2340">
        <v>0.89912130000000001</v>
      </c>
      <c r="AB2340">
        <v>35</v>
      </c>
      <c r="AC2340">
        <v>0.11040000000002601</v>
      </c>
      <c r="AD2340">
        <v>-1.0868920794179999</v>
      </c>
      <c r="AE2340">
        <v>-10.9498</v>
      </c>
      <c r="AF2340">
        <v>4.8020165619718798</v>
      </c>
      <c r="AG2340">
        <v>-1.0868920794179999</v>
      </c>
      <c r="AH2340">
        <v>9.7222805026819099</v>
      </c>
      <c r="AI2340">
        <v>95.723877162600502</v>
      </c>
      <c r="AJ2340">
        <v>63.7143706097565</v>
      </c>
      <c r="AK2340">
        <v>10.897863810242001</v>
      </c>
      <c r="AL2340">
        <v>87.1110854441431</v>
      </c>
      <c r="AM2340">
        <v>78.525650779798099</v>
      </c>
      <c r="AN2340">
        <v>1.0000000117618</v>
      </c>
    </row>
    <row r="2341" spans="1:40" x14ac:dyDescent="0.3">
      <c r="A2341" t="str">
        <f>"20200111153921658"</f>
        <v>20200111153921658</v>
      </c>
      <c r="B2341" t="str">
        <f>"1578728361652774"</f>
        <v>1578728361652774</v>
      </c>
      <c r="C2341" t="s">
        <v>40</v>
      </c>
      <c r="D2341">
        <v>5.6006539999999996</v>
      </c>
      <c r="E2341">
        <v>0.6007538</v>
      </c>
      <c r="F2341" t="s">
        <v>42</v>
      </c>
      <c r="G2341">
        <v>-192.2792</v>
      </c>
      <c r="H2341" s="1">
        <v>-7.2264030000000005E-7</v>
      </c>
      <c r="I2341">
        <v>189.86</v>
      </c>
      <c r="J2341">
        <v>-192.21019999999999</v>
      </c>
      <c r="K2341">
        <v>1.086959</v>
      </c>
      <c r="L2341">
        <v>201.3262</v>
      </c>
      <c r="M2341">
        <v>0.43476569999999998</v>
      </c>
      <c r="N2341">
        <v>0</v>
      </c>
      <c r="O2341">
        <v>-0.90034029999999998</v>
      </c>
      <c r="P2341">
        <v>0.25126880000000001</v>
      </c>
      <c r="Q2341">
        <v>4.0227279999999997E-2</v>
      </c>
      <c r="R2341">
        <v>-0.96708099999999997</v>
      </c>
      <c r="S2341">
        <v>2.2277829999999998E-2</v>
      </c>
      <c r="T2341">
        <v>-0.2876225</v>
      </c>
      <c r="U2341">
        <v>-3.1220089999999998</v>
      </c>
      <c r="V2341">
        <v>0.19659399999999999</v>
      </c>
      <c r="W2341">
        <v>5.0662100000000002E-2</v>
      </c>
      <c r="X2341">
        <v>0.97917520000000002</v>
      </c>
      <c r="Y2341">
        <v>0.42833680000000002</v>
      </c>
      <c r="Z2341">
        <v>7.3651519999999998E-2</v>
      </c>
      <c r="AA2341">
        <v>0.90061259999999999</v>
      </c>
      <c r="AB2341">
        <v>35</v>
      </c>
      <c r="AC2341">
        <v>-6.9000000000016798E-2</v>
      </c>
      <c r="AD2341">
        <v>-1.0869597226403001</v>
      </c>
      <c r="AE2341">
        <v>-11.466199999999899</v>
      </c>
      <c r="AF2341">
        <v>5.0031988378316203</v>
      </c>
      <c r="AG2341">
        <v>-1.0869597226403001</v>
      </c>
      <c r="AH2341">
        <v>10.2036765614159</v>
      </c>
      <c r="AI2341">
        <v>95.463547983985194</v>
      </c>
      <c r="AJ2341">
        <v>63.879764837446103</v>
      </c>
      <c r="AK2341">
        <v>11.416150639314001</v>
      </c>
      <c r="AL2341">
        <v>87.096032226107994</v>
      </c>
      <c r="AM2341">
        <v>78.647371941351594</v>
      </c>
      <c r="AN2341">
        <v>0.99999996075372399</v>
      </c>
    </row>
    <row r="2342" spans="1:40" x14ac:dyDescent="0.3">
      <c r="A2342" t="str">
        <f>"20200111153921681"</f>
        <v>20200111153921681</v>
      </c>
      <c r="B2342" t="str">
        <f>"1578728361673268"</f>
        <v>1578728361673268</v>
      </c>
      <c r="C2342" t="s">
        <v>40</v>
      </c>
      <c r="D2342">
        <v>5.5580740000000004</v>
      </c>
      <c r="E2342">
        <v>0.59990259999999995</v>
      </c>
      <c r="F2342" t="s">
        <v>42</v>
      </c>
      <c r="G2342">
        <v>-192.29929999999999</v>
      </c>
      <c r="H2342" s="1">
        <v>-4.5136840000000001E-6</v>
      </c>
      <c r="I2342">
        <v>189.05199999999999</v>
      </c>
      <c r="J2342">
        <v>-192.06569999999999</v>
      </c>
      <c r="K2342">
        <v>1.0870359999999999</v>
      </c>
      <c r="L2342">
        <v>200.9974</v>
      </c>
      <c r="M2342">
        <v>0.41787940000000001</v>
      </c>
      <c r="N2342">
        <v>0</v>
      </c>
      <c r="O2342">
        <v>-0.90830180000000005</v>
      </c>
      <c r="P2342">
        <v>0.23644109999999999</v>
      </c>
      <c r="Q2342">
        <v>4.0290720000000002E-2</v>
      </c>
      <c r="R2342">
        <v>-0.97081039999999996</v>
      </c>
      <c r="S2342">
        <v>-2.2644040000000001E-2</v>
      </c>
      <c r="T2342">
        <v>-0.27625110000000003</v>
      </c>
      <c r="U2342">
        <v>-3.1194920000000002</v>
      </c>
      <c r="V2342">
        <v>0.19328480000000001</v>
      </c>
      <c r="W2342">
        <v>5.0878310000000003E-2</v>
      </c>
      <c r="X2342">
        <v>0.97982259999999999</v>
      </c>
      <c r="Y2342">
        <v>0.42443740000000002</v>
      </c>
      <c r="Z2342">
        <v>7.193745E-2</v>
      </c>
      <c r="AA2342">
        <v>0.90259500000000004</v>
      </c>
      <c r="AB2342">
        <v>34</v>
      </c>
      <c r="AC2342">
        <v>-0.23359999999999501</v>
      </c>
      <c r="AD2342">
        <v>-1.087040513684</v>
      </c>
      <c r="AE2342">
        <v>-11.9453999999999</v>
      </c>
      <c r="AF2342">
        <v>5.1621329434161201</v>
      </c>
      <c r="AG2342">
        <v>-1.087040513684</v>
      </c>
      <c r="AH2342">
        <v>10.666079131598201</v>
      </c>
      <c r="AI2342">
        <v>95.241445299717299</v>
      </c>
      <c r="AJ2342">
        <v>64.174103144063807</v>
      </c>
      <c r="AK2342">
        <v>11.899349463118</v>
      </c>
      <c r="AL2342">
        <v>87.083628341088499</v>
      </c>
      <c r="AM2342">
        <v>78.8408180152515</v>
      </c>
      <c r="AN2342">
        <v>0.99999997190512702</v>
      </c>
    </row>
    <row r="2343" spans="1:40" x14ac:dyDescent="0.3">
      <c r="A2343" t="str">
        <f>"20200111153921705"</f>
        <v>20200111153921705</v>
      </c>
      <c r="B2343" t="str">
        <f>"1578728361693296"</f>
        <v>1578728361693296</v>
      </c>
      <c r="C2343" t="s">
        <v>40</v>
      </c>
      <c r="D2343">
        <v>5.5936399999999997</v>
      </c>
      <c r="E2343">
        <v>0.59894209999999903</v>
      </c>
      <c r="F2343" t="s">
        <v>42</v>
      </c>
      <c r="G2343">
        <v>-192.32910000000001</v>
      </c>
      <c r="H2343" s="1">
        <v>-4.2838929999999998E-6</v>
      </c>
      <c r="I2343">
        <v>188.3612</v>
      </c>
      <c r="J2343">
        <v>-191.92359999999999</v>
      </c>
      <c r="K2343">
        <v>1.087129</v>
      </c>
      <c r="L2343">
        <v>200.65620000000001</v>
      </c>
      <c r="M2343">
        <v>0.40034930000000002</v>
      </c>
      <c r="N2343">
        <v>0</v>
      </c>
      <c r="O2343">
        <v>-0.91616430000000004</v>
      </c>
      <c r="P2343">
        <v>0.2204593</v>
      </c>
      <c r="Q2343">
        <v>4.1653170000000003E-2</v>
      </c>
      <c r="R2343">
        <v>-0.9745066</v>
      </c>
      <c r="S2343">
        <v>-6.4956669999999994E-2</v>
      </c>
      <c r="T2343">
        <v>-0.26815529999999999</v>
      </c>
      <c r="U2343">
        <v>-3.1171570000000002</v>
      </c>
      <c r="V2343">
        <v>0.19057730000000001</v>
      </c>
      <c r="W2343">
        <v>5.236644E-2</v>
      </c>
      <c r="X2343">
        <v>0.98027450000000005</v>
      </c>
      <c r="Y2343">
        <v>0.4192979</v>
      </c>
      <c r="Z2343">
        <v>7.0991940000000003E-2</v>
      </c>
      <c r="AA2343">
        <v>0.90506869999999995</v>
      </c>
      <c r="AB2343">
        <v>34</v>
      </c>
      <c r="AC2343">
        <v>-0.40550000000001701</v>
      </c>
      <c r="AD2343">
        <v>-1.0871332838929999</v>
      </c>
      <c r="AE2343">
        <v>-12.295</v>
      </c>
      <c r="AF2343">
        <v>5.2537311923793304</v>
      </c>
      <c r="AG2343">
        <v>-1.0871332838929999</v>
      </c>
      <c r="AH2343">
        <v>11.017869609135399</v>
      </c>
      <c r="AI2343">
        <v>95.089498552930706</v>
      </c>
      <c r="AJ2343">
        <v>64.506452593739894</v>
      </c>
      <c r="AK2343">
        <v>12.254672616705699</v>
      </c>
      <c r="AL2343">
        <v>86.998251081151693</v>
      </c>
      <c r="AM2343">
        <v>78.998240571391094</v>
      </c>
      <c r="AN2343">
        <v>1.0000000233319</v>
      </c>
    </row>
    <row r="2344" spans="1:40" x14ac:dyDescent="0.3">
      <c r="A2344" t="str">
        <f>"20200111153921730"</f>
        <v>20200111153921730</v>
      </c>
      <c r="B2344" t="str">
        <f>"1578728361723552"</f>
        <v>1578728361723552</v>
      </c>
      <c r="C2344" t="s">
        <v>40</v>
      </c>
      <c r="D2344">
        <v>5.6107680000000002</v>
      </c>
      <c r="E2344">
        <v>0.59727350000000001</v>
      </c>
      <c r="F2344" t="s">
        <v>42</v>
      </c>
      <c r="G2344">
        <v>-192.38050000000001</v>
      </c>
      <c r="H2344" s="1">
        <v>-4.0285690000000001E-6</v>
      </c>
      <c r="I2344">
        <v>187.58410000000001</v>
      </c>
      <c r="J2344">
        <v>-191.78020000000001</v>
      </c>
      <c r="K2344">
        <v>1.087243</v>
      </c>
      <c r="L2344">
        <v>200.29239999999999</v>
      </c>
      <c r="M2344">
        <v>0.38166729999999999</v>
      </c>
      <c r="N2344">
        <v>0</v>
      </c>
      <c r="O2344">
        <v>-0.92410409999999998</v>
      </c>
      <c r="P2344">
        <v>0.20283909999999999</v>
      </c>
      <c r="Q2344">
        <v>4.3392449999999999E-2</v>
      </c>
      <c r="R2344">
        <v>-0.97825039999999996</v>
      </c>
      <c r="S2344">
        <v>-0.1088562</v>
      </c>
      <c r="T2344">
        <v>-0.2589883</v>
      </c>
      <c r="U2344">
        <v>-3.114182</v>
      </c>
      <c r="V2344">
        <v>0.18839330000000001</v>
      </c>
      <c r="W2344">
        <v>5.4210130000000002E-2</v>
      </c>
      <c r="X2344">
        <v>0.98059640000000003</v>
      </c>
      <c r="Y2344">
        <v>0.41363879999999997</v>
      </c>
      <c r="Z2344">
        <v>6.9719080000000003E-2</v>
      </c>
      <c r="AA2344">
        <v>0.90776769999999996</v>
      </c>
      <c r="AB2344">
        <v>34</v>
      </c>
      <c r="AC2344">
        <v>-0.60030000000000405</v>
      </c>
      <c r="AD2344">
        <v>-1.0872470285689999</v>
      </c>
      <c r="AE2344">
        <v>-12.7082999999999</v>
      </c>
      <c r="AF2344">
        <v>5.3668646522143399</v>
      </c>
      <c r="AG2344">
        <v>-1.0872470285689999</v>
      </c>
      <c r="AH2344">
        <v>11.433260696760099</v>
      </c>
      <c r="AI2344">
        <v>94.920059074598697</v>
      </c>
      <c r="AJ2344">
        <v>64.854261327654896</v>
      </c>
      <c r="AK2344">
        <v>12.676939396258</v>
      </c>
      <c r="AL2344">
        <v>86.8924651504134</v>
      </c>
      <c r="AM2344">
        <v>79.124780669706993</v>
      </c>
      <c r="AN2344">
        <v>1.0000000366862301</v>
      </c>
    </row>
    <row r="2345" spans="1:40" x14ac:dyDescent="0.3">
      <c r="A2345" t="str">
        <f>"20200111153921750"</f>
        <v>20200111153921750</v>
      </c>
      <c r="B2345" t="str">
        <f>"1578728361743073"</f>
        <v>1578728361743073</v>
      </c>
      <c r="C2345" t="s">
        <v>40</v>
      </c>
      <c r="D2345">
        <v>5.6030550000000003</v>
      </c>
      <c r="E2345">
        <v>0.59623519999999997</v>
      </c>
      <c r="F2345" t="s">
        <v>42</v>
      </c>
      <c r="G2345">
        <v>-192.4375</v>
      </c>
      <c r="H2345" s="1">
        <v>-3.7588560000000002E-6</v>
      </c>
      <c r="I2345">
        <v>186.83930000000001</v>
      </c>
      <c r="J2345">
        <v>-191.66460000000001</v>
      </c>
      <c r="K2345">
        <v>1.0873489999999999</v>
      </c>
      <c r="L2345">
        <v>199.98140000000001</v>
      </c>
      <c r="M2345">
        <v>0.36573040000000001</v>
      </c>
      <c r="N2345">
        <v>0</v>
      </c>
      <c r="O2345">
        <v>-0.93052710000000005</v>
      </c>
      <c r="P2345">
        <v>0.18902070000000001</v>
      </c>
      <c r="Q2345">
        <v>4.3852540000000002E-2</v>
      </c>
      <c r="R2345">
        <v>-0.98099369999999997</v>
      </c>
      <c r="S2345">
        <v>-0.15190119999999999</v>
      </c>
      <c r="T2345">
        <v>-0.2512896</v>
      </c>
      <c r="U2345">
        <v>-3.1093440000000001</v>
      </c>
      <c r="V2345">
        <v>0.18536939999999999</v>
      </c>
      <c r="W2345">
        <v>5.4814340000000003E-2</v>
      </c>
      <c r="X2345">
        <v>0.98113890000000004</v>
      </c>
      <c r="Y2345">
        <v>0.41059659999999898</v>
      </c>
      <c r="Z2345">
        <v>6.8570060000000002E-2</v>
      </c>
      <c r="AA2345">
        <v>0.90923509999999996</v>
      </c>
      <c r="AB2345">
        <v>34</v>
      </c>
      <c r="AC2345">
        <v>-0.77289999999999204</v>
      </c>
      <c r="AD2345">
        <v>-1.0873527588559999</v>
      </c>
      <c r="AE2345">
        <v>-13.142099999999999</v>
      </c>
      <c r="AF2345">
        <v>5.4892189425421201</v>
      </c>
      <c r="AG2345">
        <v>-1.0873527588559999</v>
      </c>
      <c r="AH2345">
        <v>11.8676008372975</v>
      </c>
      <c r="AI2345">
        <v>94.753715051972506</v>
      </c>
      <c r="AJ2345">
        <v>65.1776548226171</v>
      </c>
      <c r="AK2345">
        <v>13.120739699223501</v>
      </c>
      <c r="AL2345">
        <v>86.857794750507495</v>
      </c>
      <c r="AM2345">
        <v>79.3010555002747</v>
      </c>
      <c r="AN2345">
        <v>0.99999998370960197</v>
      </c>
    </row>
    <row r="2346" spans="1:40" x14ac:dyDescent="0.3">
      <c r="A2346" t="str">
        <f>"20200111153921771"</f>
        <v>20200111153921771</v>
      </c>
      <c r="B2346" t="str">
        <f>"1578728361763569"</f>
        <v>1578728361763569</v>
      </c>
      <c r="C2346" t="s">
        <v>40</v>
      </c>
      <c r="D2346">
        <v>5.6549680000000002</v>
      </c>
      <c r="E2346">
        <v>0.5951419</v>
      </c>
      <c r="F2346" t="s">
        <v>42</v>
      </c>
      <c r="G2346">
        <v>-192.48689999999999</v>
      </c>
      <c r="H2346" s="1">
        <v>-3.5746699999999999E-6</v>
      </c>
      <c r="I2346">
        <v>186.3793</v>
      </c>
      <c r="J2346">
        <v>-191.5574</v>
      </c>
      <c r="K2346">
        <v>1.0874549999999901</v>
      </c>
      <c r="L2346">
        <v>199.6773</v>
      </c>
      <c r="M2346">
        <v>0.3501937</v>
      </c>
      <c r="N2346">
        <v>0</v>
      </c>
      <c r="O2346">
        <v>-0.93648560000000003</v>
      </c>
      <c r="P2346">
        <v>0.17499819999999999</v>
      </c>
      <c r="Q2346">
        <v>4.4663790000000002E-2</v>
      </c>
      <c r="R2346">
        <v>-0.98355530000000002</v>
      </c>
      <c r="S2346">
        <v>-0.1877441</v>
      </c>
      <c r="T2346">
        <v>-0.2482442</v>
      </c>
      <c r="U2346">
        <v>-3.1053920000000002</v>
      </c>
      <c r="V2346">
        <v>0.18305009999999999</v>
      </c>
      <c r="W2346">
        <v>5.5738929999999999E-2</v>
      </c>
      <c r="X2346">
        <v>0.98152220000000001</v>
      </c>
      <c r="Y2346">
        <v>0.40594209999999997</v>
      </c>
      <c r="Z2346">
        <v>6.8600060000000004E-2</v>
      </c>
      <c r="AA2346">
        <v>0.91132049999999998</v>
      </c>
      <c r="AB2346">
        <v>34</v>
      </c>
      <c r="AC2346">
        <v>-0.92949999999999</v>
      </c>
      <c r="AD2346">
        <v>-1.0874585746699901</v>
      </c>
      <c r="AE2346">
        <v>-13.298</v>
      </c>
      <c r="AF2346">
        <v>5.4917850458233399</v>
      </c>
      <c r="AG2346">
        <v>-1.0874585746699901</v>
      </c>
      <c r="AH2346">
        <v>12.049868899000501</v>
      </c>
      <c r="AI2346">
        <v>94.694592096154594</v>
      </c>
      <c r="AJ2346">
        <v>65.498647933771906</v>
      </c>
      <c r="AK2346">
        <v>13.286896162168601</v>
      </c>
      <c r="AL2346">
        <v>86.804738570661698</v>
      </c>
      <c r="AM2346">
        <v>79.435918438743499</v>
      </c>
      <c r="AN2346">
        <v>0.99999999826019703</v>
      </c>
    </row>
    <row r="2347" spans="1:40" x14ac:dyDescent="0.3">
      <c r="A2347" t="str">
        <f>"20200111153921793"</f>
        <v>20200111153921793</v>
      </c>
      <c r="B2347" t="str">
        <f>"1578728361783089"</f>
        <v>1578728361783089</v>
      </c>
      <c r="C2347" t="s">
        <v>40</v>
      </c>
      <c r="D2347">
        <v>5.6582499999999998</v>
      </c>
      <c r="E2347">
        <v>0.59398919999999999</v>
      </c>
      <c r="F2347" t="s">
        <v>42</v>
      </c>
      <c r="G2347">
        <v>-192.55179999999999</v>
      </c>
      <c r="H2347" s="1">
        <v>-3.358551E-6</v>
      </c>
      <c r="I2347">
        <v>185.83529999999999</v>
      </c>
      <c r="J2347">
        <v>-191.44970000000001</v>
      </c>
      <c r="K2347">
        <v>1.087585</v>
      </c>
      <c r="L2347">
        <v>199.35409999999999</v>
      </c>
      <c r="M2347">
        <v>0.333762</v>
      </c>
      <c r="N2347">
        <v>0</v>
      </c>
      <c r="O2347">
        <v>-0.94246799999999997</v>
      </c>
      <c r="P2347">
        <v>0.1600983</v>
      </c>
      <c r="Q2347">
        <v>4.4045939999999999E-2</v>
      </c>
      <c r="R2347">
        <v>-0.9861183</v>
      </c>
      <c r="S2347">
        <v>-0.22276309999999999</v>
      </c>
      <c r="T2347">
        <v>-0.24361050000000001</v>
      </c>
      <c r="U2347">
        <v>-3.1008610000000001</v>
      </c>
      <c r="V2347">
        <v>0.1806961</v>
      </c>
      <c r="W2347">
        <v>5.5237130000000002E-2</v>
      </c>
      <c r="X2347">
        <v>0.98198660000000004</v>
      </c>
      <c r="Y2347">
        <v>0.40028720000000001</v>
      </c>
      <c r="Z2347">
        <v>6.8197809999999998E-2</v>
      </c>
      <c r="AA2347">
        <v>0.91384860000000001</v>
      </c>
      <c r="AB2347">
        <v>34</v>
      </c>
      <c r="AC2347">
        <v>-1.1020999999999701</v>
      </c>
      <c r="AD2347">
        <v>-1.087588358551</v>
      </c>
      <c r="AE2347">
        <v>-13.518800000000001</v>
      </c>
      <c r="AF2347">
        <v>5.5162799490420404</v>
      </c>
      <c r="AG2347">
        <v>-1.087588358551</v>
      </c>
      <c r="AH2347">
        <v>12.296347334888599</v>
      </c>
      <c r="AI2347">
        <v>94.613747960842701</v>
      </c>
      <c r="AJ2347">
        <v>65.838458354283205</v>
      </c>
      <c r="AK2347">
        <v>13.520811761653899</v>
      </c>
      <c r="AL2347">
        <v>86.833533809556499</v>
      </c>
      <c r="AM2347">
        <v>79.5735951939659</v>
      </c>
      <c r="AN2347">
        <v>0.99999995183270196</v>
      </c>
    </row>
    <row r="2348" spans="1:40" x14ac:dyDescent="0.3">
      <c r="A2348" t="str">
        <f>"20200111153921815"</f>
        <v>20200111153921815</v>
      </c>
      <c r="B2348" t="str">
        <f>"1578728361803115"</f>
        <v>1578728361803115</v>
      </c>
      <c r="C2348" t="s">
        <v>40</v>
      </c>
      <c r="D2348">
        <v>5.6596900000000003</v>
      </c>
      <c r="E2348">
        <v>0.59278679999999995</v>
      </c>
      <c r="F2348" t="s">
        <v>42</v>
      </c>
      <c r="G2348">
        <v>-192.59190000000001</v>
      </c>
      <c r="H2348" s="1">
        <v>-3.307841E-6</v>
      </c>
      <c r="I2348">
        <v>185.69220000000001</v>
      </c>
      <c r="J2348">
        <v>-191.3511</v>
      </c>
      <c r="K2348">
        <v>1.0877330000000001</v>
      </c>
      <c r="L2348">
        <v>199.04</v>
      </c>
      <c r="M2348">
        <v>0.3179032</v>
      </c>
      <c r="N2348">
        <v>0</v>
      </c>
      <c r="O2348">
        <v>-0.94793590000000005</v>
      </c>
      <c r="P2348">
        <v>0.14781059999999999</v>
      </c>
      <c r="Q2348">
        <v>4.1764790000000003E-2</v>
      </c>
      <c r="R2348">
        <v>-0.9881335</v>
      </c>
      <c r="S2348">
        <v>-0.2587738</v>
      </c>
      <c r="T2348">
        <v>-0.2464055</v>
      </c>
      <c r="U2348">
        <v>-3.0952449999999998</v>
      </c>
      <c r="V2348">
        <v>0.17635890000000001</v>
      </c>
      <c r="W2348">
        <v>5.3161170000000001E-2</v>
      </c>
      <c r="X2348">
        <v>0.98288940000000002</v>
      </c>
      <c r="Y2348">
        <v>0.3955882</v>
      </c>
      <c r="Z2348">
        <v>6.9798299999999994E-2</v>
      </c>
      <c r="AA2348">
        <v>0.91577189999999997</v>
      </c>
      <c r="AB2348">
        <v>34</v>
      </c>
      <c r="AC2348">
        <v>-1.2407999999999999</v>
      </c>
      <c r="AD2348">
        <v>-1.0877363078410001</v>
      </c>
      <c r="AE2348">
        <v>-13.3477999999999</v>
      </c>
      <c r="AF2348">
        <v>5.38501460790821</v>
      </c>
      <c r="AG2348">
        <v>-1.0877363078410001</v>
      </c>
      <c r="AH2348">
        <v>12.1803855918225</v>
      </c>
      <c r="AI2348">
        <v>94.669337398146894</v>
      </c>
      <c r="AJ2348">
        <v>66.149518102335605</v>
      </c>
      <c r="AK2348">
        <v>13.362011292027001</v>
      </c>
      <c r="AL2348">
        <v>86.952653037604605</v>
      </c>
      <c r="AM2348">
        <v>79.827716453991101</v>
      </c>
      <c r="AN2348">
        <v>1.0000000721186599</v>
      </c>
    </row>
    <row r="2349" spans="1:40" x14ac:dyDescent="0.3">
      <c r="A2349" t="str">
        <f>"20200111153921838"</f>
        <v>20200111153921838</v>
      </c>
      <c r="B2349" t="str">
        <f>"1578728361833371"</f>
        <v>1578728361833371</v>
      </c>
      <c r="C2349" t="s">
        <v>40</v>
      </c>
      <c r="D2349">
        <v>5.6872179999999997</v>
      </c>
      <c r="E2349">
        <v>0.56371249999999995</v>
      </c>
      <c r="F2349" t="s">
        <v>42</v>
      </c>
      <c r="G2349">
        <v>-192.59790000000001</v>
      </c>
      <c r="H2349" s="1">
        <v>-3.2994499999999998E-6</v>
      </c>
      <c r="I2349">
        <v>185.66890000000001</v>
      </c>
      <c r="J2349">
        <v>-191.25309999999999</v>
      </c>
      <c r="K2349">
        <v>1.087906</v>
      </c>
      <c r="L2349">
        <v>198.70660000000001</v>
      </c>
      <c r="M2349">
        <v>0.30122490000000002</v>
      </c>
      <c r="N2349">
        <v>0</v>
      </c>
      <c r="O2349">
        <v>-0.95336810000000005</v>
      </c>
      <c r="P2349">
        <v>0.13765849999999999</v>
      </c>
      <c r="Q2349">
        <v>3.9820939999999999E-2</v>
      </c>
      <c r="R2349">
        <v>-0.98967919999999998</v>
      </c>
      <c r="S2349">
        <v>-0.2881165</v>
      </c>
      <c r="T2349">
        <v>-0.25135039999999997</v>
      </c>
      <c r="U2349">
        <v>-3.0897519999999998</v>
      </c>
      <c r="V2349">
        <v>0.16912060000000001</v>
      </c>
      <c r="W2349">
        <v>5.1547870000000003E-2</v>
      </c>
      <c r="X2349">
        <v>0.98424639999999997</v>
      </c>
      <c r="Y2349">
        <v>0.38821679999999997</v>
      </c>
      <c r="Z2349">
        <v>7.2072979999999995E-2</v>
      </c>
      <c r="AA2349">
        <v>0.91874549999999999</v>
      </c>
      <c r="AB2349">
        <v>34</v>
      </c>
      <c r="AC2349">
        <v>-1.34480000000002</v>
      </c>
      <c r="AD2349">
        <v>-1.0879092994499999</v>
      </c>
      <c r="AE2349">
        <v>-13.037699999999999</v>
      </c>
      <c r="AF2349">
        <v>5.1746379135676301</v>
      </c>
      <c r="AG2349">
        <v>-1.0879092994499999</v>
      </c>
      <c r="AH2349">
        <v>11.9444705543283</v>
      </c>
      <c r="AI2349">
        <v>94.777381844971103</v>
      </c>
      <c r="AJ2349">
        <v>66.576554735515401</v>
      </c>
      <c r="AK2349">
        <v>13.062572526251399</v>
      </c>
      <c r="AL2349">
        <v>87.045214957841694</v>
      </c>
      <c r="AM2349">
        <v>80.250218442018095</v>
      </c>
      <c r="AN2349">
        <v>0.99999996807942704</v>
      </c>
    </row>
    <row r="2350" spans="1:40" x14ac:dyDescent="0.3">
      <c r="A2350" t="str">
        <f>"20200111153921858"</f>
        <v>20200111153921858</v>
      </c>
      <c r="B2350" t="str">
        <f>"1578728361852892"</f>
        <v>1578728361852892</v>
      </c>
      <c r="C2350" t="s">
        <v>40</v>
      </c>
      <c r="D2350">
        <v>5.692234</v>
      </c>
      <c r="E2350">
        <v>0.56082600000000005</v>
      </c>
      <c r="F2350" t="s">
        <v>42</v>
      </c>
      <c r="G2350">
        <v>-191.66900000000001</v>
      </c>
      <c r="H2350" s="1">
        <v>-2.6729420000000002E-6</v>
      </c>
      <c r="I2350">
        <v>184.78469999999999</v>
      </c>
      <c r="J2350">
        <v>-191.16730000000001</v>
      </c>
      <c r="K2350">
        <v>1.08809</v>
      </c>
      <c r="L2350">
        <v>198.3954</v>
      </c>
      <c r="M2350">
        <v>0.28579329999999997</v>
      </c>
      <c r="N2350">
        <v>0</v>
      </c>
      <c r="O2350">
        <v>-0.95810850000000003</v>
      </c>
      <c r="P2350">
        <v>0.12802160000000001</v>
      </c>
      <c r="Q2350">
        <v>3.9442159999999997E-2</v>
      </c>
      <c r="R2350">
        <v>-0.99098679999999995</v>
      </c>
      <c r="S2350">
        <v>-9.1217039999999999E-2</v>
      </c>
      <c r="T2350">
        <v>-0.23861599999999999</v>
      </c>
      <c r="U2350">
        <v>-3.0535580000000002</v>
      </c>
      <c r="V2350">
        <v>0.16276689999999999</v>
      </c>
      <c r="W2350">
        <v>5.1452629999999999E-2</v>
      </c>
      <c r="X2350">
        <v>0.98532209999999998</v>
      </c>
      <c r="Y2350">
        <v>0.31422800000000001</v>
      </c>
      <c r="Z2350">
        <v>7.1038779999999996E-2</v>
      </c>
      <c r="AA2350">
        <v>0.94668589999999997</v>
      </c>
      <c r="AB2350">
        <v>34</v>
      </c>
      <c r="AC2350">
        <v>-0.50169999999999904</v>
      </c>
      <c r="AD2350">
        <v>-1.088092672942</v>
      </c>
      <c r="AE2350">
        <v>-13.6107</v>
      </c>
      <c r="AF2350">
        <v>4.3435733440153301</v>
      </c>
      <c r="AG2350">
        <v>-1.088092672942</v>
      </c>
      <c r="AH2350">
        <v>12.817597839243099</v>
      </c>
      <c r="AI2350">
        <v>94.596667284384495</v>
      </c>
      <c r="AJ2350">
        <v>71.2797255262644</v>
      </c>
      <c r="AK2350">
        <v>13.577237916024</v>
      </c>
      <c r="AL2350">
        <v>87.050679267810395</v>
      </c>
      <c r="AM2350">
        <v>80.619930249261103</v>
      </c>
      <c r="AN2350">
        <v>1.00000003880896</v>
      </c>
    </row>
    <row r="2351" spans="1:40" x14ac:dyDescent="0.3">
      <c r="A2351" t="str">
        <f>"20200111153921882"</f>
        <v>20200111153921882</v>
      </c>
      <c r="B2351" t="str">
        <f>"1578728361873388"</f>
        <v>1578728361873388</v>
      </c>
      <c r="C2351" t="s">
        <v>40</v>
      </c>
      <c r="D2351">
        <v>5.5838590000000003</v>
      </c>
      <c r="E2351">
        <v>0.56017819999999996</v>
      </c>
      <c r="F2351" t="s">
        <v>42</v>
      </c>
      <c r="G2351">
        <v>-191.59950000000001</v>
      </c>
      <c r="H2351" s="1">
        <v>-2.751428E-6</v>
      </c>
      <c r="I2351">
        <v>185.01070000000001</v>
      </c>
      <c r="J2351">
        <v>-191.07839999999999</v>
      </c>
      <c r="K2351">
        <v>1.08832</v>
      </c>
      <c r="L2351">
        <v>198.05009999999999</v>
      </c>
      <c r="M2351">
        <v>0.26885559999999997</v>
      </c>
      <c r="N2351">
        <v>0</v>
      </c>
      <c r="O2351">
        <v>-0.96299990000000002</v>
      </c>
      <c r="P2351">
        <v>0.11723169999999999</v>
      </c>
      <c r="Q2351">
        <v>3.9614139999999999E-2</v>
      </c>
      <c r="R2351">
        <v>-0.99231429999999998</v>
      </c>
      <c r="S2351">
        <v>-9.8495479999999996E-2</v>
      </c>
      <c r="T2351">
        <v>-0.24793709999999999</v>
      </c>
      <c r="U2351">
        <v>-3.0498959999999999</v>
      </c>
      <c r="V2351">
        <v>0.1560848</v>
      </c>
      <c r="W2351">
        <v>5.1920729999999998E-2</v>
      </c>
      <c r="X2351">
        <v>0.98637810000000004</v>
      </c>
      <c r="Y2351">
        <v>0.29973709999999998</v>
      </c>
      <c r="Z2351">
        <v>7.4665350000000005E-2</v>
      </c>
      <c r="AA2351">
        <v>0.95109560000000004</v>
      </c>
      <c r="AB2351">
        <v>34</v>
      </c>
      <c r="AC2351">
        <v>-0.52110000000001799</v>
      </c>
      <c r="AD2351">
        <v>-1.0883227514280001</v>
      </c>
      <c r="AE2351">
        <v>-13.039399999999899</v>
      </c>
      <c r="AF2351">
        <v>3.98054682722002</v>
      </c>
      <c r="AG2351">
        <v>-1.0883227514280001</v>
      </c>
      <c r="AH2351">
        <v>12.333220931178801</v>
      </c>
      <c r="AI2351">
        <v>94.8003016451067</v>
      </c>
      <c r="AJ2351">
        <v>72.112516026742995</v>
      </c>
      <c r="AK2351">
        <v>13.005288846935899</v>
      </c>
      <c r="AL2351">
        <v>87.023823076385995</v>
      </c>
      <c r="AM2351">
        <v>81.008054807721507</v>
      </c>
      <c r="AN2351">
        <v>0.99999999157719099</v>
      </c>
    </row>
    <row r="2352" spans="1:40" x14ac:dyDescent="0.3">
      <c r="A2352" t="str">
        <f>"20200111153921905"</f>
        <v>20200111153921905</v>
      </c>
      <c r="B2352" t="str">
        <f>"1578728361893414"</f>
        <v>1578728361893414</v>
      </c>
      <c r="C2352" t="s">
        <v>40</v>
      </c>
      <c r="D2352">
        <v>5.5955700000000004</v>
      </c>
      <c r="E2352">
        <v>0.55908259999999999</v>
      </c>
      <c r="F2352" t="s">
        <v>42</v>
      </c>
      <c r="G2352">
        <v>-191.678</v>
      </c>
      <c r="H2352" s="1">
        <v>-2.228587E-6</v>
      </c>
      <c r="I2352">
        <v>183.7432</v>
      </c>
      <c r="J2352">
        <v>-190.9965</v>
      </c>
      <c r="K2352">
        <v>1.088571</v>
      </c>
      <c r="L2352">
        <v>197.70750000000001</v>
      </c>
      <c r="M2352">
        <v>0.2522681</v>
      </c>
      <c r="N2352">
        <v>0</v>
      </c>
      <c r="O2352">
        <v>-0.96747919999999998</v>
      </c>
      <c r="P2352">
        <v>0.1069504</v>
      </c>
      <c r="Q2352">
        <v>4.0280379999999998E-2</v>
      </c>
      <c r="R2352">
        <v>-0.99344860000000001</v>
      </c>
      <c r="S2352">
        <v>-0.12773129999999999</v>
      </c>
      <c r="T2352">
        <v>-0.2318286</v>
      </c>
      <c r="U2352">
        <v>-3.047577</v>
      </c>
      <c r="V2352">
        <v>0.14933060000000001</v>
      </c>
      <c r="W2352">
        <v>5.2882150000000003E-2</v>
      </c>
      <c r="X2352">
        <v>0.98737220000000003</v>
      </c>
      <c r="Y2352">
        <v>0.29248750000000001</v>
      </c>
      <c r="Z2352">
        <v>7.0476659999999997E-2</v>
      </c>
      <c r="AA2352">
        <v>0.95366879999999998</v>
      </c>
      <c r="AB2352">
        <v>34</v>
      </c>
      <c r="AC2352">
        <v>-0.681499999999999</v>
      </c>
      <c r="AD2352">
        <v>-1.088573228587</v>
      </c>
      <c r="AE2352">
        <v>-13.9643</v>
      </c>
      <c r="AF2352">
        <v>4.1576006948558097</v>
      </c>
      <c r="AG2352">
        <v>-1.088573228587</v>
      </c>
      <c r="AH2352">
        <v>13.2601609568274</v>
      </c>
      <c r="AI2352">
        <v>94.479025263794895</v>
      </c>
      <c r="AJ2352">
        <v>72.591666560215998</v>
      </c>
      <c r="AK2352">
        <v>13.9392433012998</v>
      </c>
      <c r="AL2352">
        <v>86.968662022221196</v>
      </c>
      <c r="AM2352">
        <v>81.399739363396804</v>
      </c>
      <c r="AN2352">
        <v>1.00000000560891</v>
      </c>
    </row>
    <row r="2353" spans="1:40" x14ac:dyDescent="0.3">
      <c r="A2353" t="str">
        <f>"20200111153921927"</f>
        <v>20200111153921927</v>
      </c>
      <c r="B2353" t="str">
        <f>"1578728361922694"</f>
        <v>1578728361922694</v>
      </c>
      <c r="C2353" t="s">
        <v>40</v>
      </c>
      <c r="D2353">
        <v>5.6083780000000001</v>
      </c>
      <c r="E2353">
        <v>0.55681879999999995</v>
      </c>
      <c r="F2353" t="s">
        <v>42</v>
      </c>
      <c r="G2353">
        <v>-191.74789999999999</v>
      </c>
      <c r="H2353" s="1">
        <v>-1.768328E-6</v>
      </c>
      <c r="I2353">
        <v>182.62700000000001</v>
      </c>
      <c r="J2353">
        <v>-190.92420000000001</v>
      </c>
      <c r="K2353">
        <v>1.08883</v>
      </c>
      <c r="L2353">
        <v>197.38149999999999</v>
      </c>
      <c r="M2353">
        <v>0.2367253</v>
      </c>
      <c r="N2353">
        <v>0</v>
      </c>
      <c r="O2353">
        <v>-0.97140059999999995</v>
      </c>
      <c r="P2353">
        <v>9.6498479999999998E-2</v>
      </c>
      <c r="Q2353">
        <v>4.214818E-2</v>
      </c>
      <c r="R2353">
        <v>-0.99444030000000005</v>
      </c>
      <c r="S2353">
        <v>-0.15173339999999999</v>
      </c>
      <c r="T2353">
        <v>-0.2198029</v>
      </c>
      <c r="U2353">
        <v>-3.045029</v>
      </c>
      <c r="V2353">
        <v>0.1438981</v>
      </c>
      <c r="W2353">
        <v>5.4985270000000003E-2</v>
      </c>
      <c r="X2353">
        <v>0.98806380000000005</v>
      </c>
      <c r="Y2353">
        <v>0.28469620000000001</v>
      </c>
      <c r="Z2353">
        <v>6.7390870000000005E-2</v>
      </c>
      <c r="AA2353">
        <v>0.95624609999999999</v>
      </c>
      <c r="AB2353">
        <v>33</v>
      </c>
      <c r="AC2353">
        <v>-0.82369999999997301</v>
      </c>
      <c r="AD2353">
        <v>-1.088831768328</v>
      </c>
      <c r="AE2353">
        <v>-14.754499999999901</v>
      </c>
      <c r="AF2353">
        <v>4.2704560280430801</v>
      </c>
      <c r="AG2353">
        <v>-1.088831768328</v>
      </c>
      <c r="AH2353">
        <v>14.0636061651257</v>
      </c>
      <c r="AI2353">
        <v>94.236839460518297</v>
      </c>
      <c r="AJ2353">
        <v>73.108930291224496</v>
      </c>
      <c r="AK2353">
        <v>14.7379566994524</v>
      </c>
      <c r="AL2353">
        <v>86.847986624801294</v>
      </c>
      <c r="AM2353">
        <v>81.7139012511457</v>
      </c>
      <c r="AN2353">
        <v>1.0000000579855</v>
      </c>
    </row>
    <row r="2354" spans="1:40" x14ac:dyDescent="0.3">
      <c r="A2354" t="str">
        <f>"20200111153921948"</f>
        <v>20200111153921948</v>
      </c>
      <c r="B2354" t="str">
        <f>"1578728361943190"</f>
        <v>1578728361943190</v>
      </c>
      <c r="C2354" t="s">
        <v>40</v>
      </c>
      <c r="D2354">
        <v>5.5510840000000004</v>
      </c>
      <c r="E2354">
        <v>0.55526609999999998</v>
      </c>
      <c r="F2354" t="s">
        <v>42</v>
      </c>
      <c r="G2354">
        <v>-191.77590000000001</v>
      </c>
      <c r="H2354" s="1">
        <v>-1.3772079999999999E-6</v>
      </c>
      <c r="I2354">
        <v>181.6979</v>
      </c>
      <c r="J2354">
        <v>-190.8605</v>
      </c>
      <c r="K2354">
        <v>1.0891</v>
      </c>
      <c r="L2354">
        <v>197.07159999999999</v>
      </c>
      <c r="M2354">
        <v>0.22221070000000001</v>
      </c>
      <c r="N2354">
        <v>0</v>
      </c>
      <c r="O2354">
        <v>-0.97482449999999998</v>
      </c>
      <c r="P2354">
        <v>8.6034379999999994E-2</v>
      </c>
      <c r="Q2354">
        <v>4.2182329999999997E-2</v>
      </c>
      <c r="R2354">
        <v>-0.99539889999999998</v>
      </c>
      <c r="S2354">
        <v>-0.1651917</v>
      </c>
      <c r="T2354">
        <v>-0.211176</v>
      </c>
      <c r="U2354">
        <v>-3.041779</v>
      </c>
      <c r="V2354">
        <v>0.13951350000000001</v>
      </c>
      <c r="W2354">
        <v>5.5208559999999997E-2</v>
      </c>
      <c r="X2354">
        <v>0.98867989999999994</v>
      </c>
      <c r="Y2354">
        <v>0.27466390000000002</v>
      </c>
      <c r="Z2354">
        <v>6.5276840000000003E-2</v>
      </c>
      <c r="AA2354">
        <v>0.95932200000000001</v>
      </c>
      <c r="AB2354">
        <v>33</v>
      </c>
      <c r="AC2354">
        <v>-0.91540000000000499</v>
      </c>
      <c r="AD2354">
        <v>-1.089101377208</v>
      </c>
      <c r="AE2354">
        <v>-15.3736999999999</v>
      </c>
      <c r="AF2354">
        <v>4.2878439497821201</v>
      </c>
      <c r="AG2354">
        <v>-1.089101377208</v>
      </c>
      <c r="AH2354">
        <v>14.7121853130361</v>
      </c>
      <c r="AI2354">
        <v>94.065189927542505</v>
      </c>
      <c r="AJ2354">
        <v>73.751317399115706</v>
      </c>
      <c r="AK2354">
        <v>15.362947120674299</v>
      </c>
      <c r="AL2354">
        <v>86.835173319517494</v>
      </c>
      <c r="AM2354">
        <v>81.967973422381306</v>
      </c>
      <c r="AN2354">
        <v>0.99999997322176604</v>
      </c>
    </row>
    <row r="2355" spans="1:40" x14ac:dyDescent="0.3">
      <c r="A2355" t="str">
        <f>"20200111153921971"</f>
        <v>20200111153921971</v>
      </c>
      <c r="B2355" t="str">
        <f>"1578728361962710"</f>
        <v>1578728361962710</v>
      </c>
      <c r="C2355" t="s">
        <v>40</v>
      </c>
      <c r="D2355">
        <v>5.5025409999999999</v>
      </c>
      <c r="E2355">
        <v>0.543543</v>
      </c>
      <c r="F2355" t="s">
        <v>42</v>
      </c>
      <c r="G2355">
        <v>-191.80340000000001</v>
      </c>
      <c r="H2355" s="1">
        <v>-1.299908E-6</v>
      </c>
      <c r="I2355">
        <v>181.50069999999999</v>
      </c>
      <c r="J2355">
        <v>-190.79419999999999</v>
      </c>
      <c r="K2355">
        <v>1.089437</v>
      </c>
      <c r="L2355">
        <v>196.72190000000001</v>
      </c>
      <c r="M2355">
        <v>0.20616019999999999</v>
      </c>
      <c r="N2355">
        <v>0</v>
      </c>
      <c r="O2355">
        <v>-0.97834670000000001</v>
      </c>
      <c r="P2355">
        <v>7.6770069999999996E-2</v>
      </c>
      <c r="Q2355">
        <v>4.0746600000000001E-2</v>
      </c>
      <c r="R2355">
        <v>-0.99621590000000004</v>
      </c>
      <c r="S2355">
        <v>-0.18400569999999999</v>
      </c>
      <c r="T2355">
        <v>-0.21254590000000001</v>
      </c>
      <c r="U2355">
        <v>-3.0387729999999999</v>
      </c>
      <c r="V2355">
        <v>0.13236979999999901</v>
      </c>
      <c r="W2355">
        <v>5.4071099999999997E-2</v>
      </c>
      <c r="X2355">
        <v>0.98972450000000001</v>
      </c>
      <c r="Y2355">
        <v>0.26481640000000001</v>
      </c>
      <c r="Z2355">
        <v>6.6215830000000003E-2</v>
      </c>
      <c r="AA2355">
        <v>0.96202270000000001</v>
      </c>
      <c r="AB2355">
        <v>33</v>
      </c>
      <c r="AC2355">
        <v>-1.0092000000000201</v>
      </c>
      <c r="AD2355">
        <v>-1.0894382999079999</v>
      </c>
      <c r="AE2355">
        <v>-15.2212</v>
      </c>
      <c r="AF2355">
        <v>4.1051081433303196</v>
      </c>
      <c r="AG2355">
        <v>-1.0894382999079999</v>
      </c>
      <c r="AH2355">
        <v>14.6114950442125</v>
      </c>
      <c r="AI2355">
        <v>94.105717697891393</v>
      </c>
      <c r="AJ2355">
        <v>74.307260866726494</v>
      </c>
      <c r="AK2355">
        <v>15.2162602535836</v>
      </c>
      <c r="AL2355">
        <v>86.900442621297103</v>
      </c>
      <c r="AM2355">
        <v>82.382234486666604</v>
      </c>
      <c r="AN2355">
        <v>1.00000001685375</v>
      </c>
    </row>
    <row r="2356" spans="1:40" x14ac:dyDescent="0.3">
      <c r="A2356" t="str">
        <f>"20200111153921992"</f>
        <v>20200111153921992</v>
      </c>
      <c r="B2356" t="str">
        <f>"1578728361983206"</f>
        <v>1578728361983206</v>
      </c>
      <c r="C2356" t="s">
        <v>40</v>
      </c>
      <c r="D2356">
        <v>5.455171</v>
      </c>
      <c r="E2356">
        <v>0.54369160000000005</v>
      </c>
      <c r="F2356" t="s">
        <v>42</v>
      </c>
      <c r="G2356">
        <v>-191.41489999999999</v>
      </c>
      <c r="H2356" s="1">
        <v>-9.858073999999999E-7</v>
      </c>
      <c r="I2356">
        <v>181.0095</v>
      </c>
      <c r="J2356">
        <v>-190.73750000000001</v>
      </c>
      <c r="K2356">
        <v>1.089788</v>
      </c>
      <c r="L2356">
        <v>196.3948</v>
      </c>
      <c r="M2356">
        <v>0.19151460000000001</v>
      </c>
      <c r="N2356">
        <v>0</v>
      </c>
      <c r="O2356">
        <v>-0.98132039999999998</v>
      </c>
      <c r="P2356">
        <v>7.025141E-2</v>
      </c>
      <c r="Q2356">
        <v>4.0341969999999998E-2</v>
      </c>
      <c r="R2356">
        <v>-0.99671330000000002</v>
      </c>
      <c r="S2356">
        <v>-0.11967469999999999</v>
      </c>
      <c r="T2356">
        <v>-0.21003289999999999</v>
      </c>
      <c r="U2356">
        <v>-3.0292050000000001</v>
      </c>
      <c r="V2356">
        <v>0.1239851</v>
      </c>
      <c r="W2356">
        <v>5.400348E-2</v>
      </c>
      <c r="X2356">
        <v>0.99081350000000001</v>
      </c>
      <c r="Y2356">
        <v>0.23004769999999999</v>
      </c>
      <c r="Z2356">
        <v>6.6294190000000003E-2</v>
      </c>
      <c r="AA2356">
        <v>0.97091870000000002</v>
      </c>
      <c r="AB2356">
        <v>33</v>
      </c>
      <c r="AC2356">
        <v>-0.67739999999997702</v>
      </c>
      <c r="AD2356">
        <v>-1.0897889858073999</v>
      </c>
      <c r="AE2356">
        <v>-15.385300000000001</v>
      </c>
      <c r="AF2356">
        <v>3.5938597080999899</v>
      </c>
      <c r="AG2356">
        <v>-1.0897889858073999</v>
      </c>
      <c r="AH2356">
        <v>14.896071380195901</v>
      </c>
      <c r="AI2356">
        <v>94.067965706835096</v>
      </c>
      <c r="AJ2356">
        <v>76.435903543353803</v>
      </c>
      <c r="AK2356">
        <v>15.362174657221599</v>
      </c>
      <c r="AL2356">
        <v>86.904322691199496</v>
      </c>
      <c r="AM2356">
        <v>82.867387621344903</v>
      </c>
      <c r="AN2356">
        <v>1.00000003632818</v>
      </c>
    </row>
    <row r="2357" spans="1:40" x14ac:dyDescent="0.3">
      <c r="A2357" t="str">
        <f>"20200111153922014"</f>
        <v>20200111153922014</v>
      </c>
      <c r="B2357" t="str">
        <f>"1578728362002726"</f>
        <v>1578728362002726</v>
      </c>
      <c r="C2357" t="s">
        <v>40</v>
      </c>
      <c r="D2357">
        <v>5.5022539999999998</v>
      </c>
      <c r="E2357">
        <v>0.53861190000000003</v>
      </c>
      <c r="F2357" t="s">
        <v>42</v>
      </c>
      <c r="G2357">
        <v>-191.4752</v>
      </c>
      <c r="H2357" s="1">
        <v>-8.6369999999999998E-7</v>
      </c>
      <c r="I2357">
        <v>180.6874</v>
      </c>
      <c r="J2357">
        <v>-190.6874</v>
      </c>
      <c r="K2357">
        <v>1.090176</v>
      </c>
      <c r="L2357">
        <v>196.07929999999999</v>
      </c>
      <c r="M2357">
        <v>0.17777519999999999</v>
      </c>
      <c r="N2357">
        <v>0</v>
      </c>
      <c r="O2357">
        <v>-0.98390390000000005</v>
      </c>
      <c r="P2357">
        <v>6.2909010000000001E-2</v>
      </c>
      <c r="Q2357">
        <v>4.2369200000000003E-2</v>
      </c>
      <c r="R2357">
        <v>-0.99711950000000005</v>
      </c>
      <c r="S2357">
        <v>-0.14224239999999999</v>
      </c>
      <c r="T2357">
        <v>-0.21011640000000001</v>
      </c>
      <c r="U2357">
        <v>-3.0284420000000001</v>
      </c>
      <c r="V2357">
        <v>0.1174287</v>
      </c>
      <c r="W2357">
        <v>5.6288810000000002E-2</v>
      </c>
      <c r="X2357">
        <v>0.99148480000000005</v>
      </c>
      <c r="Y2357">
        <v>0.2236668</v>
      </c>
      <c r="Z2357">
        <v>6.6645650000000001E-2</v>
      </c>
      <c r="AA2357">
        <v>0.97238449999999998</v>
      </c>
      <c r="AB2357">
        <v>33</v>
      </c>
      <c r="AC2357">
        <v>-0.78780000000000405</v>
      </c>
      <c r="AD2357">
        <v>-1.0901768637</v>
      </c>
      <c r="AE2357">
        <v>-15.3918999999999</v>
      </c>
      <c r="AF2357">
        <v>3.4945107712687302</v>
      </c>
      <c r="AG2357">
        <v>-1.0901768637</v>
      </c>
      <c r="AH2357">
        <v>14.931857191652499</v>
      </c>
      <c r="AI2357">
        <v>94.066275695353497</v>
      </c>
      <c r="AJ2357">
        <v>76.828098522343296</v>
      </c>
      <c r="AK2357">
        <v>15.3740186781649</v>
      </c>
      <c r="AL2357">
        <v>86.7731832923333</v>
      </c>
      <c r="AM2357">
        <v>83.245512647748598</v>
      </c>
      <c r="AN2357">
        <v>1.0000000191729701</v>
      </c>
    </row>
    <row r="2358" spans="1:40" x14ac:dyDescent="0.3">
      <c r="A2358" t="str">
        <f>"20200111153922037"</f>
        <v>20200111153922037</v>
      </c>
      <c r="B2358" t="str">
        <f>"1578728362032983"</f>
        <v>1578728362032983</v>
      </c>
      <c r="C2358" t="s">
        <v>40</v>
      </c>
      <c r="D2358">
        <v>5.501938</v>
      </c>
      <c r="E2358">
        <v>0.53602899999999998</v>
      </c>
      <c r="F2358" t="s">
        <v>42</v>
      </c>
      <c r="G2358">
        <v>-191.2894</v>
      </c>
      <c r="H2358" s="1">
        <v>-1.1684769999999999E-6</v>
      </c>
      <c r="I2358">
        <v>181.51310000000001</v>
      </c>
      <c r="J2358">
        <v>-190.63810000000001</v>
      </c>
      <c r="K2358">
        <v>1.090635</v>
      </c>
      <c r="L2358">
        <v>195.73589999999999</v>
      </c>
      <c r="M2358">
        <v>0.1633211</v>
      </c>
      <c r="N2358">
        <v>0</v>
      </c>
      <c r="O2358">
        <v>-0.98640839999999996</v>
      </c>
      <c r="P2358">
        <v>5.333102E-2</v>
      </c>
      <c r="Q2358">
        <v>4.3323460000000001E-2</v>
      </c>
      <c r="R2358">
        <v>-0.99763710000000005</v>
      </c>
      <c r="S2358">
        <v>-0.1250763</v>
      </c>
      <c r="T2358">
        <v>-0.22648889999999999</v>
      </c>
      <c r="U2358">
        <v>-3.0261840000000002</v>
      </c>
      <c r="V2358">
        <v>0.1123619</v>
      </c>
      <c r="W2358">
        <v>5.7439949999999997E-2</v>
      </c>
      <c r="X2358">
        <v>0.99200580000000005</v>
      </c>
      <c r="Y2358">
        <v>0.2038353</v>
      </c>
      <c r="Z2358">
        <v>7.2315829999999998E-2</v>
      </c>
      <c r="AA2358">
        <v>0.9763307</v>
      </c>
      <c r="AB2358">
        <v>33</v>
      </c>
      <c r="AC2358">
        <v>-0.651299999999992</v>
      </c>
      <c r="AD2358">
        <v>-1.0906361684770001</v>
      </c>
      <c r="AE2358">
        <v>-14.2227999999999</v>
      </c>
      <c r="AF2358">
        <v>2.9485111964080599</v>
      </c>
      <c r="AG2358">
        <v>-1.0906361684770001</v>
      </c>
      <c r="AH2358">
        <v>13.844143720638399</v>
      </c>
      <c r="AI2358">
        <v>94.406017605146303</v>
      </c>
      <c r="AJ2358">
        <v>77.9768470552184</v>
      </c>
      <c r="AK2358">
        <v>14.1966024416064</v>
      </c>
      <c r="AL2358">
        <v>86.7071209535207</v>
      </c>
      <c r="AM2358">
        <v>83.537798735424403</v>
      </c>
      <c r="AN2358">
        <v>1.0000000258306201</v>
      </c>
    </row>
    <row r="2359" spans="1:40" x14ac:dyDescent="0.3">
      <c r="A2359" t="str">
        <f>"20200111153922060"</f>
        <v>20200111153922060</v>
      </c>
      <c r="B2359" t="str">
        <f>"1578728362053478"</f>
        <v>1578728362053478</v>
      </c>
      <c r="C2359" t="s">
        <v>40</v>
      </c>
      <c r="D2359">
        <v>5.4480890000000004</v>
      </c>
      <c r="E2359">
        <v>0.5353658</v>
      </c>
      <c r="F2359" t="s">
        <v>42</v>
      </c>
      <c r="G2359">
        <v>-191.25360000000001</v>
      </c>
      <c r="H2359" s="1">
        <v>-1.2363159999999999E-6</v>
      </c>
      <c r="I2359">
        <v>181.6935</v>
      </c>
      <c r="J2359">
        <v>-190.59440000000001</v>
      </c>
      <c r="K2359">
        <v>1.0911109999999999</v>
      </c>
      <c r="L2359">
        <v>195.39760000000001</v>
      </c>
      <c r="M2359">
        <v>0.1495919</v>
      </c>
      <c r="N2359">
        <v>0</v>
      </c>
      <c r="O2359">
        <v>-0.98858550000000001</v>
      </c>
      <c r="P2359">
        <v>4.5865940000000001E-2</v>
      </c>
      <c r="Q2359">
        <v>4.2168730000000001E-2</v>
      </c>
      <c r="R2359">
        <v>-0.99805750000000004</v>
      </c>
      <c r="S2359">
        <v>-0.13255310000000001</v>
      </c>
      <c r="T2359">
        <v>-0.23489889999999999</v>
      </c>
      <c r="U2359">
        <v>-3.0244140000000002</v>
      </c>
      <c r="V2359">
        <v>0.105888</v>
      </c>
      <c r="W2359">
        <v>5.6524959999999999E-2</v>
      </c>
      <c r="X2359">
        <v>0.99277020000000005</v>
      </c>
      <c r="Y2359">
        <v>0.1926351</v>
      </c>
      <c r="Z2359">
        <v>7.5365399999999999E-2</v>
      </c>
      <c r="AA2359">
        <v>0.97837200000000002</v>
      </c>
      <c r="AB2359">
        <v>33</v>
      </c>
      <c r="AC2359">
        <v>-0.65919999999999801</v>
      </c>
      <c r="AD2359">
        <v>-1.091112236316</v>
      </c>
      <c r="AE2359">
        <v>-13.7041</v>
      </c>
      <c r="AF2359">
        <v>2.6851490745031601</v>
      </c>
      <c r="AG2359">
        <v>-1.091112236316</v>
      </c>
      <c r="AH2359">
        <v>13.3666833557869</v>
      </c>
      <c r="AI2359">
        <v>94.575653562784694</v>
      </c>
      <c r="AJ2359">
        <v>78.641389832008798</v>
      </c>
      <c r="AK2359">
        <v>13.677308777621899</v>
      </c>
      <c r="AL2359">
        <v>86.759631271111701</v>
      </c>
      <c r="AM2359">
        <v>83.911899139686298</v>
      </c>
      <c r="AN2359">
        <v>1.0000000048275199</v>
      </c>
    </row>
    <row r="2360" spans="1:40" x14ac:dyDescent="0.3">
      <c r="A2360" t="str">
        <f>"20200111153922082"</f>
        <v>20200111153922082</v>
      </c>
      <c r="B2360" t="str">
        <f>"1578728362073001"</f>
        <v>1578728362073001</v>
      </c>
      <c r="C2360" t="s">
        <v>40</v>
      </c>
      <c r="D2360">
        <v>5.5179179999999999</v>
      </c>
      <c r="E2360">
        <v>0.53456329999999996</v>
      </c>
      <c r="F2360" t="s">
        <v>42</v>
      </c>
      <c r="G2360">
        <v>-191.2841</v>
      </c>
      <c r="H2360" s="1">
        <v>-1.1705170000000001E-6</v>
      </c>
      <c r="I2360">
        <v>181.52109999999999</v>
      </c>
      <c r="J2360">
        <v>-190.55510000000001</v>
      </c>
      <c r="K2360">
        <v>1.0915840000000001</v>
      </c>
      <c r="L2360">
        <v>195.0592</v>
      </c>
      <c r="M2360">
        <v>0.1363241</v>
      </c>
      <c r="N2360">
        <v>0</v>
      </c>
      <c r="O2360">
        <v>-0.99050439999999995</v>
      </c>
      <c r="P2360">
        <v>4.0758540000000003E-2</v>
      </c>
      <c r="Q2360">
        <v>4.1053779999999998E-2</v>
      </c>
      <c r="R2360">
        <v>-0.99832529999999997</v>
      </c>
      <c r="S2360">
        <v>-0.15025329999999901</v>
      </c>
      <c r="T2360">
        <v>-0.23768239999999999</v>
      </c>
      <c r="U2360">
        <v>-3.0227810000000002</v>
      </c>
      <c r="V2360">
        <v>9.755374E-2</v>
      </c>
      <c r="W2360">
        <v>5.569752E-2</v>
      </c>
      <c r="X2360">
        <v>0.99367050000000001</v>
      </c>
      <c r="Y2360">
        <v>0.18520890000000001</v>
      </c>
      <c r="Z2360">
        <v>7.6564770000000004E-2</v>
      </c>
      <c r="AA2360">
        <v>0.97971189999999997</v>
      </c>
      <c r="AB2360">
        <v>33</v>
      </c>
      <c r="AC2360">
        <v>-0.72899999999998499</v>
      </c>
      <c r="AD2360">
        <v>-1.0915851705169901</v>
      </c>
      <c r="AE2360">
        <v>-13.5381</v>
      </c>
      <c r="AF2360">
        <v>2.5515136030311001</v>
      </c>
      <c r="AG2360">
        <v>-1.0915851705169901</v>
      </c>
      <c r="AH2360">
        <v>13.2265350229547</v>
      </c>
      <c r="AI2360">
        <v>94.632891057581602</v>
      </c>
      <c r="AJ2360">
        <v>79.081269827922497</v>
      </c>
      <c r="AK2360">
        <v>13.514548034040599</v>
      </c>
      <c r="AL2360">
        <v>86.807114899546605</v>
      </c>
      <c r="AM2360">
        <v>84.392947043738602</v>
      </c>
      <c r="AN2360">
        <v>1.0000000042461901</v>
      </c>
    </row>
    <row r="2361" spans="1:40" x14ac:dyDescent="0.3">
      <c r="A2361" t="str">
        <f>"20200111153922105"</f>
        <v>20200111153922105</v>
      </c>
      <c r="B2361" t="str">
        <f>"1578728362093494"</f>
        <v>1578728362093494</v>
      </c>
      <c r="C2361" t="s">
        <v>40</v>
      </c>
      <c r="D2361">
        <v>5.5089540000000001</v>
      </c>
      <c r="E2361">
        <v>0.53384089999999995</v>
      </c>
      <c r="F2361" t="s">
        <v>41</v>
      </c>
      <c r="G2361">
        <v>-190.6036</v>
      </c>
      <c r="H2361">
        <v>1.0179100000000001</v>
      </c>
      <c r="I2361">
        <v>194.14949999999999</v>
      </c>
      <c r="J2361">
        <v>-190.52189999999999</v>
      </c>
      <c r="K2361">
        <v>1.092052</v>
      </c>
      <c r="L2361">
        <v>194.73859999999999</v>
      </c>
      <c r="M2361">
        <v>0.12422759999999999</v>
      </c>
      <c r="N2361">
        <v>0</v>
      </c>
      <c r="O2361">
        <v>-0.99209579999999997</v>
      </c>
      <c r="P2361">
        <v>3.438327E-2</v>
      </c>
      <c r="Q2361">
        <v>4.2420859999999998E-2</v>
      </c>
      <c r="R2361">
        <v>-0.99850830000000002</v>
      </c>
      <c r="S2361">
        <v>-0.1606293</v>
      </c>
      <c r="T2361">
        <v>-0.24457999999999999</v>
      </c>
      <c r="U2361">
        <v>-3.0216669999999999</v>
      </c>
      <c r="V2361">
        <v>9.1739639999999997E-2</v>
      </c>
      <c r="W2361">
        <v>5.7256189999999998E-2</v>
      </c>
      <c r="X2361">
        <v>0.99413560000000001</v>
      </c>
      <c r="Y2361">
        <v>0.17657419999999999</v>
      </c>
      <c r="Z2361">
        <v>7.9050759999999998E-2</v>
      </c>
      <c r="AA2361">
        <v>0.98110779999999997</v>
      </c>
      <c r="AB2361">
        <v>33</v>
      </c>
      <c r="AC2361">
        <v>-8.1700000000012096E-2</v>
      </c>
      <c r="AD2361">
        <v>-7.4141999999999902E-2</v>
      </c>
      <c r="AE2361">
        <v>-0.58910000000000196</v>
      </c>
      <c r="AF2361">
        <v>0.15190021367496201</v>
      </c>
      <c r="AG2361">
        <v>-7.4141999999999902E-2</v>
      </c>
      <c r="AH2361">
        <v>0.56559440453568499</v>
      </c>
      <c r="AI2361">
        <v>97.215295553278395</v>
      </c>
      <c r="AJ2361">
        <v>74.966957634868393</v>
      </c>
      <c r="AK2361">
        <v>0.59031156309238497</v>
      </c>
      <c r="AL2361">
        <v>86.7176669364828</v>
      </c>
      <c r="AM2361">
        <v>84.727631185682398</v>
      </c>
      <c r="AN2361">
        <v>1.000000012014</v>
      </c>
    </row>
    <row r="2362" spans="1:40" x14ac:dyDescent="0.3">
      <c r="A2362" t="str">
        <f>"20200111153922127"</f>
        <v>20200111153922127</v>
      </c>
      <c r="B2362" t="str">
        <f>"1578728362122774"</f>
        <v>1578728362122774</v>
      </c>
      <c r="C2362" t="s">
        <v>40</v>
      </c>
      <c r="D2362">
        <v>5.497369</v>
      </c>
      <c r="E2362">
        <v>0.53273789999999999</v>
      </c>
      <c r="F2362" t="s">
        <v>41</v>
      </c>
      <c r="G2362">
        <v>-190.5727</v>
      </c>
      <c r="H2362">
        <v>1.021298</v>
      </c>
      <c r="I2362">
        <v>193.85480000000001</v>
      </c>
      <c r="J2362">
        <v>-190.49119999999999</v>
      </c>
      <c r="K2362">
        <v>1.092568</v>
      </c>
      <c r="L2362">
        <v>194.40530000000001</v>
      </c>
      <c r="M2362">
        <v>0.1121872</v>
      </c>
      <c r="N2362">
        <v>0</v>
      </c>
      <c r="O2362">
        <v>-0.99353130000000001</v>
      </c>
      <c r="P2362">
        <v>2.6394319999999999E-2</v>
      </c>
      <c r="Q2362">
        <v>4.2435090000000002E-2</v>
      </c>
      <c r="R2362">
        <v>-0.99875080000000005</v>
      </c>
      <c r="S2362">
        <v>-0.17367550000000001</v>
      </c>
      <c r="T2362">
        <v>-0.24177599999999999</v>
      </c>
      <c r="U2362">
        <v>-3.0207519999999999</v>
      </c>
      <c r="V2362">
        <v>8.7561360000000005E-2</v>
      </c>
      <c r="W2362">
        <v>5.7400899999999998E-2</v>
      </c>
      <c r="X2362">
        <v>0.99450400000000005</v>
      </c>
      <c r="Y2362">
        <v>0.1688761</v>
      </c>
      <c r="Z2362">
        <v>7.8389819999999999E-2</v>
      </c>
      <c r="AA2362">
        <v>0.98251509999999997</v>
      </c>
      <c r="AB2362">
        <v>33</v>
      </c>
      <c r="AC2362">
        <v>-8.1500000000005401E-2</v>
      </c>
      <c r="AD2362">
        <v>-7.1269999999999903E-2</v>
      </c>
      <c r="AE2362">
        <v>-0.55049999999999899</v>
      </c>
      <c r="AF2362">
        <v>0.14045036104268399</v>
      </c>
      <c r="AG2362">
        <v>-7.1269999999999903E-2</v>
      </c>
      <c r="AH2362">
        <v>0.52919934250193001</v>
      </c>
      <c r="AI2362">
        <v>97.416419324557793</v>
      </c>
      <c r="AJ2362">
        <v>75.136274050534695</v>
      </c>
      <c r="AK2362">
        <v>0.55213916807404195</v>
      </c>
      <c r="AL2362">
        <v>86.709362066820702</v>
      </c>
      <c r="AM2362">
        <v>84.968353334741707</v>
      </c>
      <c r="AN2362">
        <v>1.00000003055092</v>
      </c>
    </row>
    <row r="2363" spans="1:40" x14ac:dyDescent="0.3">
      <c r="A2363" t="str">
        <f>"20200111153922149"</f>
        <v>20200111153922149</v>
      </c>
      <c r="B2363" t="str">
        <f>"1578728362143271"</f>
        <v>1578728362143271</v>
      </c>
      <c r="C2363" t="s">
        <v>40</v>
      </c>
      <c r="D2363">
        <v>5.4992789999999996</v>
      </c>
      <c r="E2363">
        <v>0.53216430000000003</v>
      </c>
      <c r="F2363" t="s">
        <v>41</v>
      </c>
      <c r="G2363">
        <v>-190.5438</v>
      </c>
      <c r="H2363">
        <v>1.023396</v>
      </c>
      <c r="I2363">
        <v>193.56129999999999</v>
      </c>
      <c r="J2363">
        <v>-190.46520000000001</v>
      </c>
      <c r="K2363">
        <v>1.0931010000000001</v>
      </c>
      <c r="L2363">
        <v>194.0839</v>
      </c>
      <c r="M2363">
        <v>0.10114040000000001</v>
      </c>
      <c r="N2363">
        <v>0</v>
      </c>
      <c r="O2363">
        <v>-0.9947184</v>
      </c>
      <c r="P2363">
        <v>1.9849559999999999E-2</v>
      </c>
      <c r="Q2363">
        <v>4.0647790000000003E-2</v>
      </c>
      <c r="R2363">
        <v>-0.99897650000000004</v>
      </c>
      <c r="S2363">
        <v>-0.1875</v>
      </c>
      <c r="T2363">
        <v>-0.2471961</v>
      </c>
      <c r="U2363">
        <v>-3.019196</v>
      </c>
      <c r="V2363">
        <v>8.2905140000000002E-2</v>
      </c>
      <c r="W2363">
        <v>5.5753699999999899E-2</v>
      </c>
      <c r="X2363">
        <v>0.99499660000000001</v>
      </c>
      <c r="Y2363">
        <v>0.16242290000000001</v>
      </c>
      <c r="Z2363">
        <v>8.0354850000000005E-2</v>
      </c>
      <c r="AA2363">
        <v>0.98344390000000004</v>
      </c>
      <c r="AB2363">
        <v>33</v>
      </c>
      <c r="AC2363">
        <v>-7.8599999999994397E-2</v>
      </c>
      <c r="AD2363">
        <v>-6.97050000000001E-2</v>
      </c>
      <c r="AE2363">
        <v>-0.52260000000001094</v>
      </c>
      <c r="AF2363">
        <v>0.12881980940080601</v>
      </c>
      <c r="AG2363">
        <v>-6.97050000000001E-2</v>
      </c>
      <c r="AH2363">
        <v>0.50321410036738501</v>
      </c>
      <c r="AI2363">
        <v>97.642995020645202</v>
      </c>
      <c r="AJ2363">
        <v>75.640984057609302</v>
      </c>
      <c r="AK2363">
        <v>0.52409709131764604</v>
      </c>
      <c r="AL2363">
        <v>86.803890953661906</v>
      </c>
      <c r="AM2363">
        <v>85.237001279730194</v>
      </c>
      <c r="AN2363">
        <v>0.99999998565683401</v>
      </c>
    </row>
    <row r="2364" spans="1:40" x14ac:dyDescent="0.3">
      <c r="A2364" t="str">
        <f>"20200111153922172"</f>
        <v>20200111153922172</v>
      </c>
      <c r="B2364" t="str">
        <f>"1578728362162793"</f>
        <v>1578728362162793</v>
      </c>
      <c r="C2364" t="s">
        <v>40</v>
      </c>
      <c r="D2364">
        <v>5.488899</v>
      </c>
      <c r="E2364">
        <v>0.53150609999999998</v>
      </c>
      <c r="F2364" t="s">
        <v>41</v>
      </c>
      <c r="G2364">
        <v>-190.52</v>
      </c>
      <c r="H2364">
        <v>1.0239720000000001</v>
      </c>
      <c r="I2364">
        <v>193.2687</v>
      </c>
      <c r="J2364">
        <v>-190.4408</v>
      </c>
      <c r="K2364">
        <v>1.0937319999999999</v>
      </c>
      <c r="L2364">
        <v>193.7381</v>
      </c>
      <c r="M2364">
        <v>8.9893539999999994E-2</v>
      </c>
      <c r="N2364">
        <v>0</v>
      </c>
      <c r="O2364">
        <v>-0.99579980000000001</v>
      </c>
      <c r="P2364">
        <v>1.2669140000000001E-2</v>
      </c>
      <c r="Q2364">
        <v>3.8657829999999997E-2</v>
      </c>
      <c r="R2364">
        <v>-0.99917219999999995</v>
      </c>
      <c r="S2364">
        <v>-0.2028809</v>
      </c>
      <c r="T2364">
        <v>-0.25597920000000002</v>
      </c>
      <c r="U2364">
        <v>-3.0175169999999998</v>
      </c>
      <c r="V2364">
        <v>7.8677810000000001E-2</v>
      </c>
      <c r="W2364">
        <v>5.388635E-2</v>
      </c>
      <c r="X2364">
        <v>0.99544259999999996</v>
      </c>
      <c r="Y2364">
        <v>0.15627920000000001</v>
      </c>
      <c r="Z2364">
        <v>8.3400859999999993E-2</v>
      </c>
      <c r="AA2364">
        <v>0.98418550000000005</v>
      </c>
      <c r="AB2364">
        <v>33</v>
      </c>
      <c r="AC2364">
        <v>-7.9200000000014301E-2</v>
      </c>
      <c r="AD2364">
        <v>-6.9760000000000003E-2</v>
      </c>
      <c r="AE2364">
        <v>-0.46940000000000698</v>
      </c>
      <c r="AF2364">
        <v>0.11853607356418901</v>
      </c>
      <c r="AG2364">
        <v>-6.9760000000000003E-2</v>
      </c>
      <c r="AH2364">
        <v>0.45069952866212698</v>
      </c>
      <c r="AI2364">
        <v>98.513450053905999</v>
      </c>
      <c r="AJ2364">
        <v>75.264648868235298</v>
      </c>
      <c r="AK2364">
        <v>0.47121897613771702</v>
      </c>
      <c r="AL2364">
        <v>86.911043274709598</v>
      </c>
      <c r="AM2364">
        <v>85.480849919314295</v>
      </c>
      <c r="AN2364">
        <v>0.99999995319873802</v>
      </c>
    </row>
    <row r="2365" spans="1:40" x14ac:dyDescent="0.3">
      <c r="A2365" t="str">
        <f>"20200111153922194"</f>
        <v>20200111153922194</v>
      </c>
      <c r="B2365" t="str">
        <f>"1578728362183288"</f>
        <v>1578728362183288</v>
      </c>
      <c r="C2365" t="s">
        <v>40</v>
      </c>
      <c r="D2365">
        <v>5.4499069999999996</v>
      </c>
      <c r="E2365">
        <v>0.53125809999999996</v>
      </c>
      <c r="F2365" t="s">
        <v>41</v>
      </c>
      <c r="G2365">
        <v>-190.4966</v>
      </c>
      <c r="H2365">
        <v>1.0268870000000001</v>
      </c>
      <c r="I2365">
        <v>192.97470000000001</v>
      </c>
      <c r="J2365">
        <v>-190.42089999999999</v>
      </c>
      <c r="K2365">
        <v>1.094368</v>
      </c>
      <c r="L2365">
        <v>193.41130000000001</v>
      </c>
      <c r="M2365">
        <v>7.9919290000000004E-2</v>
      </c>
      <c r="N2365">
        <v>0</v>
      </c>
      <c r="O2365">
        <v>-0.99665199999999998</v>
      </c>
      <c r="P2365">
        <v>5.261132E-3</v>
      </c>
      <c r="Q2365">
        <v>3.8199179999999999E-2</v>
      </c>
      <c r="R2365">
        <v>-0.99925660000000005</v>
      </c>
      <c r="S2365">
        <v>-0.219223</v>
      </c>
      <c r="T2365">
        <v>-0.26370719999999997</v>
      </c>
      <c r="U2365">
        <v>-3.0154570000000001</v>
      </c>
      <c r="V2365">
        <v>7.5995129999999994E-2</v>
      </c>
      <c r="W2365">
        <v>5.3503540000000002E-2</v>
      </c>
      <c r="X2365">
        <v>0.99567169999999905</v>
      </c>
      <c r="Y2365">
        <v>0.15172539999999901</v>
      </c>
      <c r="Z2365">
        <v>8.6083800000000002E-2</v>
      </c>
      <c r="AA2365">
        <v>0.98466690000000001</v>
      </c>
      <c r="AB2365">
        <v>33</v>
      </c>
      <c r="AC2365">
        <v>-7.57000000000118E-2</v>
      </c>
      <c r="AD2365">
        <v>-6.7480999999999902E-2</v>
      </c>
      <c r="AE2365">
        <v>-0.43659999999999799</v>
      </c>
      <c r="AF2365">
        <v>0.107854421928301</v>
      </c>
      <c r="AG2365">
        <v>-6.7480999999999902E-2</v>
      </c>
      <c r="AH2365">
        <v>0.41942508876760298</v>
      </c>
      <c r="AI2365">
        <v>98.856603474522402</v>
      </c>
      <c r="AJ2365">
        <v>75.578937773301206</v>
      </c>
      <c r="AK2365">
        <v>0.438296323026101</v>
      </c>
      <c r="AL2365">
        <v>86.933008538980502</v>
      </c>
      <c r="AM2365">
        <v>85.635334019833195</v>
      </c>
      <c r="AN2365">
        <v>1.0000000113785601</v>
      </c>
    </row>
    <row r="2366" spans="1:40" x14ac:dyDescent="0.3">
      <c r="A2366" t="str">
        <f>"20200111153922216"</f>
        <v>20200111153922216</v>
      </c>
      <c r="B2366" t="str">
        <f>"1578728362202806"</f>
        <v>1578728362202806</v>
      </c>
      <c r="C2366" t="s">
        <v>40</v>
      </c>
      <c r="D2366">
        <v>5.5253519999999998</v>
      </c>
      <c r="E2366">
        <v>0.52157619999999905</v>
      </c>
      <c r="F2366" t="s">
        <v>41</v>
      </c>
      <c r="G2366">
        <v>-190.4787</v>
      </c>
      <c r="H2366">
        <v>1.029785</v>
      </c>
      <c r="I2366">
        <v>192.68029999999999</v>
      </c>
      <c r="J2366">
        <v>-190.40459999999999</v>
      </c>
      <c r="K2366">
        <v>1.095018</v>
      </c>
      <c r="L2366">
        <v>193.09710000000001</v>
      </c>
      <c r="M2366">
        <v>7.0999909999999999E-2</v>
      </c>
      <c r="N2366">
        <v>0</v>
      </c>
      <c r="O2366">
        <v>-0.99732889999999996</v>
      </c>
      <c r="P2366">
        <v>-2.4070680000000001E-3</v>
      </c>
      <c r="Q2366">
        <v>3.6255290000000003E-2</v>
      </c>
      <c r="R2366">
        <v>-0.99933989999999995</v>
      </c>
      <c r="S2366">
        <v>-0.23855589999999999</v>
      </c>
      <c r="T2366">
        <v>-0.26627400000000001</v>
      </c>
      <c r="U2366">
        <v>-3.0136720000000001</v>
      </c>
      <c r="V2366">
        <v>7.4602089999999996E-2</v>
      </c>
      <c r="W2366">
        <v>5.1601199999999903E-2</v>
      </c>
      <c r="X2366">
        <v>0.99587740000000002</v>
      </c>
      <c r="Y2366">
        <v>0.1491989</v>
      </c>
      <c r="Z2366">
        <v>8.7051199999999995E-2</v>
      </c>
      <c r="AA2366">
        <v>0.98496790000000001</v>
      </c>
      <c r="AB2366">
        <v>33</v>
      </c>
      <c r="AC2366">
        <v>-7.4100000000015598E-2</v>
      </c>
      <c r="AD2366">
        <v>-6.5233000000000096E-2</v>
      </c>
      <c r="AE2366">
        <v>-0.41680000000002299</v>
      </c>
      <c r="AF2366">
        <v>0.101109255107662</v>
      </c>
      <c r="AG2366">
        <v>-6.5233000000000096E-2</v>
      </c>
      <c r="AH2366">
        <v>0.400965191288365</v>
      </c>
      <c r="AI2366">
        <v>98.964632756469001</v>
      </c>
      <c r="AJ2366">
        <v>75.847085341532207</v>
      </c>
      <c r="AK2366">
        <v>0.41863051773890197</v>
      </c>
      <c r="AL2366">
        <v>87.042155324588407</v>
      </c>
      <c r="AM2366">
        <v>85.715922192254297</v>
      </c>
      <c r="AN2366">
        <v>0.99999997575228305</v>
      </c>
    </row>
    <row r="2367" spans="1:40" x14ac:dyDescent="0.3">
      <c r="A2367" t="str">
        <f>"20200111153922238"</f>
        <v>20200111153922238</v>
      </c>
      <c r="B2367" t="str">
        <f>"1578728362233063"</f>
        <v>1578728362233063</v>
      </c>
      <c r="C2367" t="s">
        <v>40</v>
      </c>
      <c r="D2367">
        <v>5.4038820000000003</v>
      </c>
      <c r="E2367">
        <v>0.50335299999999905</v>
      </c>
      <c r="F2367" t="s">
        <v>41</v>
      </c>
      <c r="G2367">
        <v>-190.4649</v>
      </c>
      <c r="H2367">
        <v>0.99707599999999996</v>
      </c>
      <c r="I2367">
        <v>192.11199999999999</v>
      </c>
      <c r="J2367">
        <v>-190.39</v>
      </c>
      <c r="K2367">
        <v>1.095704</v>
      </c>
      <c r="L2367">
        <v>192.7664</v>
      </c>
      <c r="M2367">
        <v>6.2271460000000001E-2</v>
      </c>
      <c r="N2367">
        <v>0</v>
      </c>
      <c r="O2367">
        <v>-0.99791390000000002</v>
      </c>
      <c r="P2367">
        <v>-7.9758139999999995E-3</v>
      </c>
      <c r="Q2367">
        <v>3.4728210000000002E-2</v>
      </c>
      <c r="R2367">
        <v>-0.99936510000000001</v>
      </c>
      <c r="S2367">
        <v>-0.18426509999999999</v>
      </c>
      <c r="T2367">
        <v>-0.29948469999999999</v>
      </c>
      <c r="U2367">
        <v>-3.0124050000000002</v>
      </c>
      <c r="V2367">
        <v>7.1320129999999995E-2</v>
      </c>
      <c r="W2367">
        <v>5.0158250000000001E-2</v>
      </c>
      <c r="X2367">
        <v>0.99619159999999995</v>
      </c>
      <c r="Y2367">
        <v>0.1228038</v>
      </c>
      <c r="Z2367">
        <v>9.8175949999999998E-2</v>
      </c>
      <c r="AA2367">
        <v>0.98756299999999997</v>
      </c>
      <c r="AB2367">
        <v>32</v>
      </c>
      <c r="AC2367">
        <v>-7.4900000000013706E-2</v>
      </c>
      <c r="AD2367">
        <v>-9.8627999999999896E-2</v>
      </c>
      <c r="AE2367">
        <v>-0.65440000000000897</v>
      </c>
      <c r="AF2367">
        <v>0.112977837367675</v>
      </c>
      <c r="AG2367">
        <v>-9.8627999999999896E-2</v>
      </c>
      <c r="AH2367">
        <v>0.63424419282428801</v>
      </c>
      <c r="AI2367">
        <v>98.704107521625005</v>
      </c>
      <c r="AJ2367">
        <v>79.899847693704203</v>
      </c>
      <c r="AK2367">
        <v>0.65173397199440897</v>
      </c>
      <c r="AL2367">
        <v>87.124937734438305</v>
      </c>
      <c r="AM2367">
        <v>85.905022404266305</v>
      </c>
      <c r="AN2367">
        <v>1.00000005744841</v>
      </c>
    </row>
    <row r="2368" spans="1:40" x14ac:dyDescent="0.3">
      <c r="A2368" t="str">
        <f>"20200111153922261"</f>
        <v>20200111153922261</v>
      </c>
      <c r="B2368" t="str">
        <f>"1578728362253558"</f>
        <v>1578728362253558</v>
      </c>
      <c r="C2368" t="s">
        <v>40</v>
      </c>
      <c r="D2368">
        <v>5.4425129999999999</v>
      </c>
      <c r="E2368">
        <v>0.500807</v>
      </c>
      <c r="F2368" t="s">
        <v>41</v>
      </c>
      <c r="G2368">
        <v>-190.4076</v>
      </c>
      <c r="H2368">
        <v>1.031439</v>
      </c>
      <c r="I2368">
        <v>191.80670000000001</v>
      </c>
      <c r="J2368">
        <v>-190.3777</v>
      </c>
      <c r="K2368">
        <v>1.0963419999999999</v>
      </c>
      <c r="L2368">
        <v>192.43379999999999</v>
      </c>
      <c r="M2368">
        <v>5.4058380000000003E-2</v>
      </c>
      <c r="N2368">
        <v>0</v>
      </c>
      <c r="O2368">
        <v>-0.99839429999999996</v>
      </c>
      <c r="P2368">
        <v>-1.367749E-2</v>
      </c>
      <c r="Q2368">
        <v>3.419063E-2</v>
      </c>
      <c r="R2368">
        <v>-0.99932209999999999</v>
      </c>
      <c r="S2368">
        <v>-5.4748539999999998E-2</v>
      </c>
      <c r="T2368">
        <v>-0.20141690000000001</v>
      </c>
      <c r="U2368">
        <v>-3.0084840000000002</v>
      </c>
      <c r="V2368">
        <v>6.8718020000000005E-2</v>
      </c>
      <c r="W2368">
        <v>4.9677249999999999E-2</v>
      </c>
      <c r="X2368">
        <v>0.99639849999999996</v>
      </c>
      <c r="Y2368">
        <v>7.2185050000000001E-2</v>
      </c>
      <c r="Z2368">
        <v>6.6560960000000002E-2</v>
      </c>
      <c r="AA2368">
        <v>0.99516780000000005</v>
      </c>
      <c r="AB2368">
        <v>32</v>
      </c>
      <c r="AC2368">
        <v>-2.98999999999978E-2</v>
      </c>
      <c r="AD2368">
        <v>-6.4902999999999905E-2</v>
      </c>
      <c r="AE2368">
        <v>-0.627099999999984</v>
      </c>
      <c r="AF2368">
        <v>6.3086903147237194E-2</v>
      </c>
      <c r="AG2368">
        <v>-6.4902999999999905E-2</v>
      </c>
      <c r="AH2368">
        <v>0.61796182951891299</v>
      </c>
      <c r="AI2368">
        <v>95.964875244600506</v>
      </c>
      <c r="AJ2368">
        <v>84.170944253746896</v>
      </c>
      <c r="AK2368">
        <v>0.62455518531197196</v>
      </c>
      <c r="AL2368">
        <v>87.152531191389699</v>
      </c>
      <c r="AM2368">
        <v>86.054763289564804</v>
      </c>
      <c r="AN2368">
        <v>0.99999998312126603</v>
      </c>
    </row>
    <row r="2369" spans="1:40" x14ac:dyDescent="0.3">
      <c r="A2369" t="str">
        <f>"20200111153922283"</f>
        <v>20200111153922283</v>
      </c>
      <c r="B2369" t="str">
        <f>"1578728362273081"</f>
        <v>1578728362273081</v>
      </c>
      <c r="C2369" t="s">
        <v>40</v>
      </c>
      <c r="D2369">
        <v>5.440124</v>
      </c>
      <c r="E2369">
        <v>0.50052669999999999</v>
      </c>
      <c r="F2369" t="s">
        <v>41</v>
      </c>
      <c r="G2369">
        <v>-190.39349999999999</v>
      </c>
      <c r="H2369">
        <v>1.0304789999999999</v>
      </c>
      <c r="I2369">
        <v>191.51650000000001</v>
      </c>
      <c r="J2369">
        <v>-190.36789999999999</v>
      </c>
      <c r="K2369">
        <v>1.096916</v>
      </c>
      <c r="L2369">
        <v>192.10839999999999</v>
      </c>
      <c r="M2369">
        <v>4.6554529999999997E-2</v>
      </c>
      <c r="N2369">
        <v>0</v>
      </c>
      <c r="O2369">
        <v>-0.99877380000000004</v>
      </c>
      <c r="P2369">
        <v>-2.0131980000000001E-2</v>
      </c>
      <c r="Q2369">
        <v>3.4111849999999999E-2</v>
      </c>
      <c r="R2369">
        <v>-0.99921539999999998</v>
      </c>
      <c r="S2369">
        <v>-5.1971440000000001E-2</v>
      </c>
      <c r="T2369">
        <v>-0.2160569</v>
      </c>
      <c r="U2369">
        <v>-3.0087130000000002</v>
      </c>
      <c r="V2369">
        <v>6.7595799999999998E-2</v>
      </c>
      <c r="W2369">
        <v>4.9616300000000002E-2</v>
      </c>
      <c r="X2369">
        <v>0.99647830000000004</v>
      </c>
      <c r="Y2369">
        <v>6.3762250000000006E-2</v>
      </c>
      <c r="Z2369">
        <v>7.1431350000000005E-2</v>
      </c>
      <c r="AA2369">
        <v>0.9954054</v>
      </c>
      <c r="AB2369">
        <v>32</v>
      </c>
      <c r="AC2369">
        <v>-2.5599999999997101E-2</v>
      </c>
      <c r="AD2369">
        <v>-6.6436999999999802E-2</v>
      </c>
      <c r="AE2369">
        <v>-0.591899999999981</v>
      </c>
      <c r="AF2369">
        <v>5.2471929309144502E-2</v>
      </c>
      <c r="AG2369">
        <v>-6.6436999999999802E-2</v>
      </c>
      <c r="AH2369">
        <v>0.58273809113951702</v>
      </c>
      <c r="AI2369">
        <v>96.478128756217103</v>
      </c>
      <c r="AJ2369">
        <v>84.854748286607602</v>
      </c>
      <c r="AK2369">
        <v>0.58885555206633799</v>
      </c>
      <c r="AL2369">
        <v>87.156027688819293</v>
      </c>
      <c r="AM2369">
        <v>86.119303475535006</v>
      </c>
      <c r="AN2369">
        <v>0.99999998588711003</v>
      </c>
    </row>
    <row r="2370" spans="1:40" x14ac:dyDescent="0.3">
      <c r="A2370" t="str">
        <f>"20200111153922306"</f>
        <v>20200111153922306</v>
      </c>
      <c r="B2370" t="str">
        <f>"1578728362293574"</f>
        <v>1578728362293574</v>
      </c>
      <c r="C2370" t="s">
        <v>40</v>
      </c>
      <c r="D2370">
        <v>5.4077260000000003</v>
      </c>
      <c r="E2370">
        <v>0.50018830000000003</v>
      </c>
      <c r="F2370" t="s">
        <v>41</v>
      </c>
      <c r="G2370">
        <v>-190.38820000000001</v>
      </c>
      <c r="H2370">
        <v>1.0341739999999999</v>
      </c>
      <c r="I2370">
        <v>191.2243</v>
      </c>
      <c r="J2370">
        <v>-190.3604</v>
      </c>
      <c r="K2370">
        <v>1.097448</v>
      </c>
      <c r="L2370">
        <v>191.79230000000001</v>
      </c>
      <c r="M2370">
        <v>3.9761440000000002E-2</v>
      </c>
      <c r="N2370">
        <v>0</v>
      </c>
      <c r="O2370">
        <v>-0.99906890000000004</v>
      </c>
      <c r="P2370">
        <v>-2.6549799999999998E-2</v>
      </c>
      <c r="Q2370">
        <v>3.334351E-2</v>
      </c>
      <c r="R2370">
        <v>-0.99909130000000002</v>
      </c>
      <c r="S2370">
        <v>-6.9076540000000006E-2</v>
      </c>
      <c r="T2370">
        <v>-0.21342729999999999</v>
      </c>
      <c r="U2370">
        <v>-3.0082550000000001</v>
      </c>
      <c r="V2370">
        <v>6.7143720000000004E-2</v>
      </c>
      <c r="W2370">
        <v>4.8848559999999999E-2</v>
      </c>
      <c r="X2370">
        <v>0.99654679999999995</v>
      </c>
      <c r="Y2370">
        <v>6.2637219999999993E-2</v>
      </c>
      <c r="Z2370">
        <v>7.0606650000000007E-2</v>
      </c>
      <c r="AA2370">
        <v>0.99553570000000002</v>
      </c>
      <c r="AB2370">
        <v>32</v>
      </c>
      <c r="AC2370">
        <v>-2.78000000000133E-2</v>
      </c>
      <c r="AD2370">
        <v>-6.3273999999999997E-2</v>
      </c>
      <c r="AE2370">
        <v>-0.56800000000001205</v>
      </c>
      <c r="AF2370">
        <v>4.9749780117819498E-2</v>
      </c>
      <c r="AG2370">
        <v>-6.3273999999999997E-2</v>
      </c>
      <c r="AH2370">
        <v>0.55951843218209196</v>
      </c>
      <c r="AI2370">
        <v>96.426828796898306</v>
      </c>
      <c r="AJ2370">
        <v>84.9188876252325</v>
      </c>
      <c r="AK2370">
        <v>0.56527826391015401</v>
      </c>
      <c r="AL2370">
        <v>87.200069378773605</v>
      </c>
      <c r="AM2370">
        <v>86.145443192464199</v>
      </c>
      <c r="AN2370">
        <v>0.99999999276987495</v>
      </c>
    </row>
    <row r="2371" spans="1:40" x14ac:dyDescent="0.3">
      <c r="A2371" t="str">
        <f>"20200111153922328"</f>
        <v>20200111153922328</v>
      </c>
      <c r="B2371" t="str">
        <f>"1578728362313094"</f>
        <v>1578728362313094</v>
      </c>
      <c r="C2371" t="s">
        <v>40</v>
      </c>
      <c r="D2371">
        <v>5.391648</v>
      </c>
      <c r="E2371">
        <v>0.4994267</v>
      </c>
      <c r="F2371" t="s">
        <v>41</v>
      </c>
      <c r="G2371">
        <v>-190.38489999999999</v>
      </c>
      <c r="H2371">
        <v>1.035936</v>
      </c>
      <c r="I2371">
        <v>190.93379999999999</v>
      </c>
      <c r="J2371">
        <v>-190.3545</v>
      </c>
      <c r="K2371">
        <v>1.097988</v>
      </c>
      <c r="L2371">
        <v>191.46700000000001</v>
      </c>
      <c r="M2371">
        <v>3.3256790000000001E-2</v>
      </c>
      <c r="N2371">
        <v>0</v>
      </c>
      <c r="O2371">
        <v>-0.99930799999999997</v>
      </c>
      <c r="P2371">
        <v>-3.1295169999999997E-2</v>
      </c>
      <c r="Q2371">
        <v>3.288344E-2</v>
      </c>
      <c r="R2371">
        <v>-0.99896910000000005</v>
      </c>
      <c r="S2371">
        <v>-8.5708619999999999E-2</v>
      </c>
      <c r="T2371">
        <v>-0.21547959999999999</v>
      </c>
      <c r="U2371">
        <v>-3.0076450000000001</v>
      </c>
      <c r="V2371">
        <v>6.5318310000000004E-2</v>
      </c>
      <c r="W2371">
        <v>4.841372E-2</v>
      </c>
      <c r="X2371">
        <v>0.9966893</v>
      </c>
      <c r="Y2371">
        <v>6.1644839999999999E-2</v>
      </c>
      <c r="Z2371">
        <v>7.1319140000000003E-2</v>
      </c>
      <c r="AA2371">
        <v>0.99554679999999995</v>
      </c>
      <c r="AB2371">
        <v>32</v>
      </c>
      <c r="AC2371">
        <v>-3.03999999999859E-2</v>
      </c>
      <c r="AD2371">
        <v>-6.2052000000000003E-2</v>
      </c>
      <c r="AE2371">
        <v>-0.53320000000002199</v>
      </c>
      <c r="AF2371">
        <v>4.7477235569172403E-2</v>
      </c>
      <c r="AG2371">
        <v>-6.2052000000000003E-2</v>
      </c>
      <c r="AH2371">
        <v>0.52480909810301302</v>
      </c>
      <c r="AI2371">
        <v>96.716015955692697</v>
      </c>
      <c r="AJ2371">
        <v>84.830766869498504</v>
      </c>
      <c r="AK2371">
        <v>0.53059318507967002</v>
      </c>
      <c r="AL2371">
        <v>87.225013313283497</v>
      </c>
      <c r="AM2371">
        <v>86.250466969957003</v>
      </c>
      <c r="AN2371">
        <v>0.99999996531999102</v>
      </c>
    </row>
    <row r="2372" spans="1:40" x14ac:dyDescent="0.3">
      <c r="A2372" t="str">
        <f>"20200111153922350"</f>
        <v>20200111153922350</v>
      </c>
      <c r="B2372" t="str">
        <f>"1578728362343350"</f>
        <v>1578728362343350</v>
      </c>
      <c r="C2372" t="s">
        <v>40</v>
      </c>
      <c r="D2372">
        <v>5.353453</v>
      </c>
      <c r="E2372">
        <v>0.4984787</v>
      </c>
      <c r="F2372" t="s">
        <v>41</v>
      </c>
      <c r="G2372">
        <v>-190.38040000000001</v>
      </c>
      <c r="H2372">
        <v>1.0379670000000001</v>
      </c>
      <c r="I2372">
        <v>190.64320000000001</v>
      </c>
      <c r="J2372">
        <v>-190.3503</v>
      </c>
      <c r="K2372">
        <v>1.098514</v>
      </c>
      <c r="L2372">
        <v>191.14240000000001</v>
      </c>
      <c r="M2372">
        <v>2.7224060000000001E-2</v>
      </c>
      <c r="N2372">
        <v>0</v>
      </c>
      <c r="O2372">
        <v>-0.99949219999999905</v>
      </c>
      <c r="P2372">
        <v>-3.6246010000000002E-2</v>
      </c>
      <c r="Q2372">
        <v>3.3159859999999999E-2</v>
      </c>
      <c r="R2372">
        <v>-0.99879280000000004</v>
      </c>
      <c r="S2372">
        <v>-9.4390870000000002E-2</v>
      </c>
      <c r="T2372">
        <v>-0.21906590000000001</v>
      </c>
      <c r="U2372">
        <v>-3.0073240000000001</v>
      </c>
      <c r="V2372">
        <v>6.4182840000000005E-2</v>
      </c>
      <c r="W2372">
        <v>4.8702820000000001E-2</v>
      </c>
      <c r="X2372">
        <v>0.996749</v>
      </c>
      <c r="Y2372">
        <v>5.8491580000000001E-2</v>
      </c>
      <c r="Z2372">
        <v>7.253126E-2</v>
      </c>
      <c r="AA2372">
        <v>0.99564949999999997</v>
      </c>
      <c r="AB2372">
        <v>32</v>
      </c>
      <c r="AC2372">
        <v>-3.0100000000004401E-2</v>
      </c>
      <c r="AD2372">
        <v>-6.05469999999999E-2</v>
      </c>
      <c r="AE2372">
        <v>-0.49920000000000098</v>
      </c>
      <c r="AF2372">
        <v>4.3049950068998401E-2</v>
      </c>
      <c r="AG2372">
        <v>-6.05469999999999E-2</v>
      </c>
      <c r="AH2372">
        <v>0.490998554236457</v>
      </c>
      <c r="AI2372">
        <v>97.0032836719393</v>
      </c>
      <c r="AJ2372">
        <v>84.989213691379703</v>
      </c>
      <c r="AK2372">
        <v>0.49658717026543697</v>
      </c>
      <c r="AL2372">
        <v>87.208429595625503</v>
      </c>
      <c r="AM2372">
        <v>86.315686447476494</v>
      </c>
      <c r="AN2372">
        <v>0.99999998531370804</v>
      </c>
    </row>
    <row r="2373" spans="1:40" x14ac:dyDescent="0.3">
      <c r="A2373" t="str">
        <f>"20200111153922373"</f>
        <v>20200111153922373</v>
      </c>
      <c r="B2373" t="str">
        <f>"1578728362362870"</f>
        <v>1578728362362870</v>
      </c>
      <c r="C2373" t="s">
        <v>40</v>
      </c>
      <c r="D2373">
        <v>5.2727740000000001</v>
      </c>
      <c r="E2373">
        <v>0.4888478</v>
      </c>
      <c r="F2373" t="s">
        <v>41</v>
      </c>
      <c r="G2373">
        <v>-190.37710000000001</v>
      </c>
      <c r="H2373">
        <v>1.0403990000000001</v>
      </c>
      <c r="I2373">
        <v>190.3526</v>
      </c>
      <c r="J2373">
        <v>-190.3475</v>
      </c>
      <c r="K2373">
        <v>1.099048</v>
      </c>
      <c r="L2373">
        <v>190.8107</v>
      </c>
      <c r="M2373">
        <v>2.1503109999999999E-2</v>
      </c>
      <c r="N2373">
        <v>0</v>
      </c>
      <c r="O2373">
        <v>-0.99963290000000005</v>
      </c>
      <c r="P2373">
        <v>-4.0786009999999998E-2</v>
      </c>
      <c r="Q2373">
        <v>3.3451309999999998E-2</v>
      </c>
      <c r="R2373">
        <v>-0.9986081</v>
      </c>
      <c r="S2373">
        <v>-0.10189819999999999</v>
      </c>
      <c r="T2373">
        <v>-0.22126109999999999</v>
      </c>
      <c r="U2373">
        <v>-3.0073089999999998</v>
      </c>
      <c r="V2373">
        <v>6.2949039999999998E-2</v>
      </c>
      <c r="W2373">
        <v>4.9009049999999998E-2</v>
      </c>
      <c r="X2373">
        <v>0.9968127</v>
      </c>
      <c r="Y2373">
        <v>5.5258839999999997E-2</v>
      </c>
      <c r="Z2373">
        <v>7.3273669999999999E-2</v>
      </c>
      <c r="AA2373">
        <v>0.99577979999999999</v>
      </c>
      <c r="AB2373">
        <v>32</v>
      </c>
      <c r="AC2373">
        <v>-2.96000000000162E-2</v>
      </c>
      <c r="AD2373">
        <v>-5.8648999999999903E-2</v>
      </c>
      <c r="AE2373">
        <v>-0.45810000000000101</v>
      </c>
      <c r="AF2373">
        <v>3.8811558863751601E-2</v>
      </c>
      <c r="AG2373">
        <v>-5.8648999999999903E-2</v>
      </c>
      <c r="AH2373">
        <v>0.45001207274653898</v>
      </c>
      <c r="AI2373">
        <v>97.3982121667012</v>
      </c>
      <c r="AJ2373">
        <v>85.070689171743993</v>
      </c>
      <c r="AK2373">
        <v>0.45547437679859698</v>
      </c>
      <c r="AL2373">
        <v>87.1908630112015</v>
      </c>
      <c r="AM2373">
        <v>86.386551580735102</v>
      </c>
      <c r="AN2373">
        <v>1.00000001375005</v>
      </c>
    </row>
    <row r="2374" spans="1:40" x14ac:dyDescent="0.3">
      <c r="A2374" t="str">
        <f>"20200111153922395"</f>
        <v>20200111153922395</v>
      </c>
      <c r="B2374" t="str">
        <f>"1578728362383366"</f>
        <v>1578728362383366</v>
      </c>
      <c r="C2374" t="s">
        <v>40</v>
      </c>
      <c r="D2374">
        <v>5.2340039999999997</v>
      </c>
      <c r="E2374">
        <v>0.48957230000000002</v>
      </c>
      <c r="F2374" t="s">
        <v>42</v>
      </c>
      <c r="G2374">
        <v>-190.54499999999999</v>
      </c>
      <c r="H2374" s="1">
        <v>-2.614839E-6</v>
      </c>
      <c r="I2374">
        <v>175.34639999999999</v>
      </c>
      <c r="J2374">
        <v>-190.34630000000001</v>
      </c>
      <c r="K2374">
        <v>1.0995299999999999</v>
      </c>
      <c r="L2374">
        <v>190.5052</v>
      </c>
      <c r="M2374">
        <v>1.664703E-2</v>
      </c>
      <c r="N2374">
        <v>0</v>
      </c>
      <c r="O2374">
        <v>-0.99972700000000003</v>
      </c>
      <c r="P2374">
        <v>-4.460153E-2</v>
      </c>
      <c r="Q2374">
        <v>3.4578770000000002E-2</v>
      </c>
      <c r="R2374">
        <v>-0.99840640000000003</v>
      </c>
      <c r="S2374">
        <v>-3.8421629999999998E-2</v>
      </c>
      <c r="T2374">
        <v>-0.21390509999999999</v>
      </c>
      <c r="U2374">
        <v>-3.0097809999999998</v>
      </c>
      <c r="V2374">
        <v>6.187252E-2</v>
      </c>
      <c r="W2374">
        <v>5.0147780000000003E-2</v>
      </c>
      <c r="X2374">
        <v>0.99682340000000003</v>
      </c>
      <c r="Y2374">
        <v>2.9378600000000001E-2</v>
      </c>
      <c r="Z2374">
        <v>7.0858290000000004E-2</v>
      </c>
      <c r="AA2374">
        <v>0.99705370000000004</v>
      </c>
      <c r="AB2374">
        <v>32</v>
      </c>
      <c r="AC2374">
        <v>-0.19869999999997301</v>
      </c>
      <c r="AD2374">
        <v>-1.0995326148390001</v>
      </c>
      <c r="AE2374">
        <v>-15.158799999999999</v>
      </c>
      <c r="AF2374">
        <v>0.44869510082647701</v>
      </c>
      <c r="AG2374">
        <v>-1.0995326148390001</v>
      </c>
      <c r="AH2374">
        <v>15.0740961150251</v>
      </c>
      <c r="AI2374">
        <v>94.170031961302897</v>
      </c>
      <c r="AJ2374">
        <v>88.295038935446698</v>
      </c>
      <c r="AK2374">
        <v>15.1208026556005</v>
      </c>
      <c r="AL2374">
        <v>87.125538067056794</v>
      </c>
      <c r="AM2374">
        <v>86.448225261629901</v>
      </c>
      <c r="AN2374">
        <v>0.999999949678818</v>
      </c>
    </row>
    <row r="2375" spans="1:40" x14ac:dyDescent="0.3">
      <c r="A2375" t="str">
        <f>"20200111153922417"</f>
        <v>20200111153922417</v>
      </c>
      <c r="B2375" t="str">
        <f>"1578728362412891"</f>
        <v>1578728362412891</v>
      </c>
      <c r="C2375" t="s">
        <v>40</v>
      </c>
      <c r="D2375">
        <v>5.1923779999999997</v>
      </c>
      <c r="E2375">
        <v>0.4897842</v>
      </c>
      <c r="F2375" t="s">
        <v>41</v>
      </c>
      <c r="G2375">
        <v>-190.36490000000001</v>
      </c>
      <c r="H2375">
        <v>1.030805</v>
      </c>
      <c r="I2375">
        <v>189.4975</v>
      </c>
      <c r="J2375">
        <v>-190.34630000000001</v>
      </c>
      <c r="K2375">
        <v>1.1000219999999901</v>
      </c>
      <c r="L2375">
        <v>190.1865</v>
      </c>
      <c r="M2375">
        <v>1.203362E-2</v>
      </c>
      <c r="N2375">
        <v>0</v>
      </c>
      <c r="O2375">
        <v>-0.99979419999999997</v>
      </c>
      <c r="P2375">
        <v>-4.8657409999999998E-2</v>
      </c>
      <c r="Q2375">
        <v>3.4562919999999997E-2</v>
      </c>
      <c r="R2375">
        <v>-0.99821769999999999</v>
      </c>
      <c r="S2375">
        <v>-5.5175780000000001E-2</v>
      </c>
      <c r="T2375">
        <v>-0.205264</v>
      </c>
      <c r="U2375">
        <v>-3.0094150000000002</v>
      </c>
      <c r="V2375">
        <v>6.1263739999999997E-2</v>
      </c>
      <c r="W2375">
        <v>5.013683E-2</v>
      </c>
      <c r="X2375">
        <v>0.99686160000000001</v>
      </c>
      <c r="Y2375">
        <v>3.0320719999999999E-2</v>
      </c>
      <c r="Z2375">
        <v>6.8020460000000005E-2</v>
      </c>
      <c r="AA2375">
        <v>0.99722310000000003</v>
      </c>
      <c r="AB2375">
        <v>32</v>
      </c>
      <c r="AC2375">
        <v>-1.8599999999992099E-2</v>
      </c>
      <c r="AD2375">
        <v>-6.9216999999999806E-2</v>
      </c>
      <c r="AE2375">
        <v>-0.68899999999999195</v>
      </c>
      <c r="AF2375">
        <v>2.6622439019266399E-2</v>
      </c>
      <c r="AG2375">
        <v>-6.9216999999999806E-2</v>
      </c>
      <c r="AH2375">
        <v>0.68184986949934301</v>
      </c>
      <c r="AI2375">
        <v>95.7920583713924</v>
      </c>
      <c r="AJ2375">
        <v>87.764054734987297</v>
      </c>
      <c r="AK2375">
        <v>0.68587097320458601</v>
      </c>
      <c r="AL2375">
        <v>87.126166386659193</v>
      </c>
      <c r="AM2375">
        <v>86.483218390599305</v>
      </c>
      <c r="AN2375">
        <v>0.99999999855789801</v>
      </c>
    </row>
    <row r="2376" spans="1:40" x14ac:dyDescent="0.3">
      <c r="A2376" t="str">
        <f>"20200111153922440"</f>
        <v>20200111153922440</v>
      </c>
      <c r="B2376" t="str">
        <f>"1578728362433387"</f>
        <v>1578728362433387</v>
      </c>
      <c r="C2376" t="s">
        <v>40</v>
      </c>
      <c r="D2376">
        <v>5.1864299999999997</v>
      </c>
      <c r="E2376">
        <v>0.4899597</v>
      </c>
      <c r="F2376" t="s">
        <v>41</v>
      </c>
      <c r="G2376">
        <v>-190.36869999999999</v>
      </c>
      <c r="H2376">
        <v>1.0345169999999999</v>
      </c>
      <c r="I2376">
        <v>189.2098</v>
      </c>
      <c r="J2376">
        <v>-190.34739999999999</v>
      </c>
      <c r="K2376">
        <v>1.100481</v>
      </c>
      <c r="L2376">
        <v>189.85720000000001</v>
      </c>
      <c r="M2376">
        <v>7.6388459999999899E-3</v>
      </c>
      <c r="N2376">
        <v>0</v>
      </c>
      <c r="O2376">
        <v>-0.99983860000000002</v>
      </c>
      <c r="P2376">
        <v>-5.412467E-2</v>
      </c>
      <c r="Q2376">
        <v>3.4715000000000003E-2</v>
      </c>
      <c r="R2376">
        <v>-0.99793080000000001</v>
      </c>
      <c r="S2376">
        <v>-6.8572999999999995E-2</v>
      </c>
      <c r="T2376">
        <v>-0.2017835</v>
      </c>
      <c r="U2376">
        <v>-3.0090180000000002</v>
      </c>
      <c r="V2376">
        <v>6.2291029999999997E-2</v>
      </c>
      <c r="W2376">
        <v>5.0271589999999998E-2</v>
      </c>
      <c r="X2376">
        <v>0.99679110000000004</v>
      </c>
      <c r="Y2376">
        <v>3.0369429999999999E-2</v>
      </c>
      <c r="Z2376">
        <v>6.688231E-2</v>
      </c>
      <c r="AA2376">
        <v>0.99729860000000004</v>
      </c>
      <c r="AB2376">
        <v>32</v>
      </c>
      <c r="AC2376">
        <v>-2.1299999999996499E-2</v>
      </c>
      <c r="AD2376">
        <v>-6.5964000000000106E-2</v>
      </c>
      <c r="AE2376">
        <v>-0.64740000000000397</v>
      </c>
      <c r="AF2376">
        <v>2.5976037351882399E-2</v>
      </c>
      <c r="AG2376">
        <v>-6.5964000000000106E-2</v>
      </c>
      <c r="AH2376">
        <v>0.64057530595192103</v>
      </c>
      <c r="AI2376">
        <v>95.874583032340894</v>
      </c>
      <c r="AJ2376">
        <v>87.677865027904105</v>
      </c>
      <c r="AK2376">
        <v>0.64448640513815703</v>
      </c>
      <c r="AL2376">
        <v>87.118435321648803</v>
      </c>
      <c r="AM2376">
        <v>86.424147367716003</v>
      </c>
      <c r="AN2376">
        <v>0.99999995110939799</v>
      </c>
    </row>
    <row r="2377" spans="1:40" x14ac:dyDescent="0.3">
      <c r="A2377" t="str">
        <f>"20200111153922462"</f>
        <v>20200111153922462</v>
      </c>
      <c r="B2377" t="str">
        <f>"1578728362452910"</f>
        <v>1578728362452910</v>
      </c>
      <c r="C2377" t="s">
        <v>40</v>
      </c>
      <c r="D2377">
        <v>5.1732139999999998</v>
      </c>
      <c r="E2377">
        <v>0.4897685</v>
      </c>
      <c r="F2377" t="s">
        <v>41</v>
      </c>
      <c r="G2377">
        <v>-190.3741</v>
      </c>
      <c r="H2377">
        <v>1.0378889999999901</v>
      </c>
      <c r="I2377">
        <v>188.92179999999999</v>
      </c>
      <c r="J2377">
        <v>-190.3494</v>
      </c>
      <c r="K2377">
        <v>1.1009009999999999</v>
      </c>
      <c r="L2377">
        <v>189.53120000000001</v>
      </c>
      <c r="M2377">
        <v>3.6644669999999998E-3</v>
      </c>
      <c r="N2377">
        <v>0</v>
      </c>
      <c r="O2377">
        <v>-0.99986200000000003</v>
      </c>
      <c r="P2377">
        <v>-6.0387759999999999E-2</v>
      </c>
      <c r="Q2377">
        <v>3.5629470000000003E-2</v>
      </c>
      <c r="R2377">
        <v>-0.99753910000000001</v>
      </c>
      <c r="S2377">
        <v>-8.5647580000000001E-2</v>
      </c>
      <c r="T2377">
        <v>-0.20137569999999999</v>
      </c>
      <c r="U2377">
        <v>-3.008591</v>
      </c>
      <c r="V2377">
        <v>6.4547320000000005E-2</v>
      </c>
      <c r="W2377">
        <v>5.1156420000000001E-2</v>
      </c>
      <c r="X2377">
        <v>0.99660249999999995</v>
      </c>
      <c r="Y2377">
        <v>3.2055939999999998E-2</v>
      </c>
      <c r="Z2377">
        <v>6.6752839999999994E-2</v>
      </c>
      <c r="AA2377">
        <v>0.99725450000000004</v>
      </c>
      <c r="AB2377">
        <v>32</v>
      </c>
      <c r="AC2377">
        <v>-2.4699999999995701E-2</v>
      </c>
      <c r="AD2377">
        <v>-6.3012000000000207E-2</v>
      </c>
      <c r="AE2377">
        <v>-0.60940000000002204</v>
      </c>
      <c r="AF2377">
        <v>2.6648803180078499E-2</v>
      </c>
      <c r="AG2377">
        <v>-6.3012000000000207E-2</v>
      </c>
      <c r="AH2377">
        <v>0.60287032230012505</v>
      </c>
      <c r="AI2377">
        <v>95.961109992333206</v>
      </c>
      <c r="AJ2377">
        <v>87.468990261232193</v>
      </c>
      <c r="AK2377">
        <v>0.60673989185250299</v>
      </c>
      <c r="AL2377">
        <v>87.067672938457903</v>
      </c>
      <c r="AM2377">
        <v>86.294279030503006</v>
      </c>
      <c r="AN2377">
        <v>0.99999993941632204</v>
      </c>
    </row>
    <row r="2378" spans="1:40" x14ac:dyDescent="0.3">
      <c r="A2378" t="str">
        <f>"20200111153922484"</f>
        <v>20200111153922484</v>
      </c>
      <c r="B2378" t="str">
        <f>"1578728362473411"</f>
        <v>1578728362473411</v>
      </c>
      <c r="C2378" t="s">
        <v>40</v>
      </c>
      <c r="D2378">
        <v>5.1566289999999997</v>
      </c>
      <c r="E2378">
        <v>0.48878179999999999</v>
      </c>
      <c r="F2378" t="s">
        <v>41</v>
      </c>
      <c r="G2378">
        <v>-190.37979999999999</v>
      </c>
      <c r="H2378">
        <v>1.041193</v>
      </c>
      <c r="I2378">
        <v>188.6345</v>
      </c>
      <c r="J2378">
        <v>-190.35220000000001</v>
      </c>
      <c r="K2378">
        <v>1.1012900000000001</v>
      </c>
      <c r="L2378">
        <v>189.22550000000001</v>
      </c>
      <c r="M2378">
        <v>3.096714E-4</v>
      </c>
      <c r="N2378">
        <v>0</v>
      </c>
      <c r="O2378">
        <v>-0.99986969999999997</v>
      </c>
      <c r="P2378">
        <v>-6.6542970000000007E-2</v>
      </c>
      <c r="Q2378">
        <v>3.649351E-2</v>
      </c>
      <c r="R2378">
        <v>-0.99711609999999995</v>
      </c>
      <c r="S2378">
        <v>-0.1017609</v>
      </c>
      <c r="T2378">
        <v>-0.20034540000000001</v>
      </c>
      <c r="U2378">
        <v>-3.0083920000000002</v>
      </c>
      <c r="V2378">
        <v>6.7317489999999994E-2</v>
      </c>
      <c r="W2378">
        <v>5.1991679999999998E-2</v>
      </c>
      <c r="X2378">
        <v>0.99637600000000004</v>
      </c>
      <c r="Y2378">
        <v>3.404124E-2</v>
      </c>
      <c r="Z2378">
        <v>6.6410150000000001E-2</v>
      </c>
      <c r="AA2378">
        <v>0.99721159999999998</v>
      </c>
      <c r="AB2378">
        <v>32</v>
      </c>
      <c r="AC2378">
        <v>-2.7599999999978302E-2</v>
      </c>
      <c r="AD2378">
        <v>-6.0096999999999803E-2</v>
      </c>
      <c r="AE2378">
        <v>-0.59100000000000796</v>
      </c>
      <c r="AF2378">
        <v>2.7499307669323899E-2</v>
      </c>
      <c r="AG2378">
        <v>-6.0096999999999803E-2</v>
      </c>
      <c r="AH2378">
        <v>0.58495600098102596</v>
      </c>
      <c r="AI2378">
        <v>95.859426894965793</v>
      </c>
      <c r="AJ2378">
        <v>87.308455503836996</v>
      </c>
      <c r="AK2378">
        <v>0.588677657479037</v>
      </c>
      <c r="AL2378">
        <v>87.019752337659099</v>
      </c>
      <c r="AM2378">
        <v>86.134837220157607</v>
      </c>
      <c r="AN2378">
        <v>0.99999995631256</v>
      </c>
    </row>
    <row r="2379" spans="1:40" x14ac:dyDescent="0.3">
      <c r="A2379" t="str">
        <f>"20200111153922506"</f>
        <v>20200111153922506</v>
      </c>
      <c r="B2379" t="str">
        <f>"1578728362503190"</f>
        <v>1578728362503190</v>
      </c>
      <c r="C2379" t="s">
        <v>40</v>
      </c>
      <c r="D2379">
        <v>5.1325830000000003</v>
      </c>
      <c r="E2379">
        <v>0.48797180000000001</v>
      </c>
      <c r="F2379" t="s">
        <v>41</v>
      </c>
      <c r="G2379">
        <v>-190.38470000000001</v>
      </c>
      <c r="H2379">
        <v>1.0419830000000001</v>
      </c>
      <c r="I2379">
        <v>188.34970000000001</v>
      </c>
      <c r="J2379">
        <v>-190.35550000000001</v>
      </c>
      <c r="K2379">
        <v>1.101685</v>
      </c>
      <c r="L2379">
        <v>188.9255</v>
      </c>
      <c r="M2379">
        <v>-2.6038649999999999E-3</v>
      </c>
      <c r="N2379">
        <v>0</v>
      </c>
      <c r="O2379">
        <v>-0.99986730000000001</v>
      </c>
      <c r="P2379">
        <v>-7.2178900000000004E-2</v>
      </c>
      <c r="Q2379">
        <v>3.822246E-2</v>
      </c>
      <c r="R2379">
        <v>-0.99665959999999998</v>
      </c>
      <c r="S2379">
        <v>-0.1115265</v>
      </c>
      <c r="T2379">
        <v>-0.20377870000000001</v>
      </c>
      <c r="U2379">
        <v>-3.0086979999999999</v>
      </c>
      <c r="V2379">
        <v>7.0014510000000002E-2</v>
      </c>
      <c r="W2379">
        <v>5.370304E-2</v>
      </c>
      <c r="X2379">
        <v>0.99609939999999997</v>
      </c>
      <c r="Y2379">
        <v>3.4355490000000002E-2</v>
      </c>
      <c r="Z2379">
        <v>6.75317E-2</v>
      </c>
      <c r="AA2379">
        <v>0.99712540000000005</v>
      </c>
      <c r="AB2379">
        <v>32</v>
      </c>
      <c r="AC2379">
        <v>-2.9200000000002901E-2</v>
      </c>
      <c r="AD2379">
        <v>-5.9701999999999901E-2</v>
      </c>
      <c r="AE2379">
        <v>-0.57579999999998599</v>
      </c>
      <c r="AF2379">
        <v>2.74065196895967E-2</v>
      </c>
      <c r="AG2379">
        <v>-5.9701999999999901E-2</v>
      </c>
      <c r="AH2379">
        <v>0.56976446800609204</v>
      </c>
      <c r="AI2379">
        <v>95.974973595745695</v>
      </c>
      <c r="AJ2379">
        <v>87.246110283456503</v>
      </c>
      <c r="AK2379">
        <v>0.57353900924676504</v>
      </c>
      <c r="AL2379">
        <v>86.921561635581796</v>
      </c>
      <c r="AM2379">
        <v>85.979368009644901</v>
      </c>
      <c r="AN2379">
        <v>1.0000000313980699</v>
      </c>
    </row>
    <row r="2380" spans="1:40" x14ac:dyDescent="0.3">
      <c r="A2380" t="str">
        <f>"20200111153922529"</f>
        <v>20200111153922529</v>
      </c>
      <c r="B2380" t="str">
        <f>"1578728362522710"</f>
        <v>1578728362522710</v>
      </c>
      <c r="C2380" t="s">
        <v>40</v>
      </c>
      <c r="D2380">
        <v>5.098916</v>
      </c>
      <c r="E2380">
        <v>0.47863549999999999</v>
      </c>
      <c r="F2380" t="s">
        <v>41</v>
      </c>
      <c r="G2380">
        <v>-190.3905</v>
      </c>
      <c r="H2380">
        <v>1.043434</v>
      </c>
      <c r="I2380">
        <v>188.0651</v>
      </c>
      <c r="J2380">
        <v>-190.35980000000001</v>
      </c>
      <c r="K2380">
        <v>1.102144</v>
      </c>
      <c r="L2380">
        <v>188.59190000000001</v>
      </c>
      <c r="M2380">
        <v>-5.4015629999999999E-3</v>
      </c>
      <c r="N2380">
        <v>0</v>
      </c>
      <c r="O2380">
        <v>-0.99985670000000004</v>
      </c>
      <c r="P2380">
        <v>-7.7593549999999997E-2</v>
      </c>
      <c r="Q2380">
        <v>3.9423239999999998E-2</v>
      </c>
      <c r="R2380">
        <v>-0.99620549999999997</v>
      </c>
      <c r="S2380">
        <v>-0.12194820000000001</v>
      </c>
      <c r="T2380">
        <v>-0.20378689999999999</v>
      </c>
      <c r="U2380">
        <v>-3.0090479999999999</v>
      </c>
      <c r="V2380">
        <v>7.2592009999999998E-2</v>
      </c>
      <c r="W2380">
        <v>5.4901940000000003E-2</v>
      </c>
      <c r="X2380">
        <v>0.99584950000000005</v>
      </c>
      <c r="Y2380">
        <v>3.5003109999999997E-2</v>
      </c>
      <c r="Z2380">
        <v>6.7520159999999996E-2</v>
      </c>
      <c r="AA2380">
        <v>0.99710370000000004</v>
      </c>
      <c r="AB2380">
        <v>32</v>
      </c>
      <c r="AC2380">
        <v>-3.0699999999995901E-2</v>
      </c>
      <c r="AD2380">
        <v>-5.8709999999999998E-2</v>
      </c>
      <c r="AE2380">
        <v>-0.52680000000000804</v>
      </c>
      <c r="AF2380">
        <v>2.75130778285726E-2</v>
      </c>
      <c r="AG2380">
        <v>-5.8709999999999998E-2</v>
      </c>
      <c r="AH2380">
        <v>0.520515082141079</v>
      </c>
      <c r="AI2380">
        <v>96.426418361504503</v>
      </c>
      <c r="AJ2380">
        <v>86.974309366762995</v>
      </c>
      <c r="AK2380">
        <v>0.52453768624183195</v>
      </c>
      <c r="AL2380">
        <v>86.852768200177906</v>
      </c>
      <c r="AM2380">
        <v>85.830823461681206</v>
      </c>
      <c r="AN2380">
        <v>1.00000002479092</v>
      </c>
    </row>
    <row r="2381" spans="1:40" x14ac:dyDescent="0.3">
      <c r="A2381" t="str">
        <f>"20200111153922551"</f>
        <v>20200111153922551</v>
      </c>
      <c r="B2381" t="str">
        <f>"1578728362543216"</f>
        <v>1578728362543216</v>
      </c>
      <c r="C2381" t="s">
        <v>40</v>
      </c>
      <c r="D2381">
        <v>5.0961349999999896</v>
      </c>
      <c r="E2381">
        <v>0.47852600000000001</v>
      </c>
      <c r="F2381" t="s">
        <v>41</v>
      </c>
      <c r="G2381">
        <v>-190.37690000000001</v>
      </c>
      <c r="H2381">
        <v>1.038413</v>
      </c>
      <c r="I2381">
        <v>187.785</v>
      </c>
      <c r="J2381">
        <v>-190.36429999999999</v>
      </c>
      <c r="K2381">
        <v>1.102584</v>
      </c>
      <c r="L2381">
        <v>188.2647</v>
      </c>
      <c r="M2381">
        <v>-7.684181E-3</v>
      </c>
      <c r="N2381">
        <v>0</v>
      </c>
      <c r="O2381">
        <v>-0.99984260000000003</v>
      </c>
      <c r="P2381">
        <v>-8.1878839999999994E-2</v>
      </c>
      <c r="Q2381">
        <v>3.9049529999999999E-2</v>
      </c>
      <c r="R2381">
        <v>-0.99587729999999997</v>
      </c>
      <c r="S2381">
        <v>-6.3476560000000001E-2</v>
      </c>
      <c r="T2381">
        <v>-0.23827870000000001</v>
      </c>
      <c r="U2381">
        <v>-3.0159150000000001</v>
      </c>
      <c r="V2381">
        <v>7.4542810000000001E-2</v>
      </c>
      <c r="W2381">
        <v>5.454295E-2</v>
      </c>
      <c r="X2381">
        <v>0.99572510000000003</v>
      </c>
      <c r="Y2381">
        <v>1.329311E-2</v>
      </c>
      <c r="Z2381">
        <v>7.8746060000000007E-2</v>
      </c>
      <c r="AA2381">
        <v>0.99680610000000003</v>
      </c>
      <c r="AB2381">
        <v>32</v>
      </c>
      <c r="AC2381">
        <v>-1.26000000000203E-2</v>
      </c>
      <c r="AD2381">
        <v>-6.4170999999999895E-2</v>
      </c>
      <c r="AE2381">
        <v>-0.47970000000000801</v>
      </c>
      <c r="AF2381">
        <v>8.7564636516560598E-3</v>
      </c>
      <c r="AG2381">
        <v>-6.4170999999999895E-2</v>
      </c>
      <c r="AH2381">
        <v>0.47135348601237098</v>
      </c>
      <c r="AI2381">
        <v>97.751376714090298</v>
      </c>
      <c r="AJ2381">
        <v>88.935722930228707</v>
      </c>
      <c r="AK2381">
        <v>0.47578219982750197</v>
      </c>
      <c r="AL2381">
        <v>86.8733676607837</v>
      </c>
      <c r="AM2381">
        <v>85.718661416254406</v>
      </c>
      <c r="AN2381">
        <v>1.0000000193437</v>
      </c>
    </row>
    <row r="2382" spans="1:40" x14ac:dyDescent="0.3">
      <c r="A2382" t="str">
        <f>"20200111153922574"</f>
        <v>20200111153922574</v>
      </c>
      <c r="B2382" t="str">
        <f>"1578728362562729"</f>
        <v>1578728362562729</v>
      </c>
      <c r="C2382" t="s">
        <v>40</v>
      </c>
      <c r="D2382">
        <v>5.1128790000000004</v>
      </c>
      <c r="E2382">
        <v>0.47780080000000003</v>
      </c>
      <c r="F2382" t="s">
        <v>41</v>
      </c>
      <c r="G2382">
        <v>-190.3835</v>
      </c>
      <c r="H2382">
        <v>1.0415080000000001</v>
      </c>
      <c r="I2382">
        <v>187.50049999999999</v>
      </c>
      <c r="J2382">
        <v>-190.36879999999999</v>
      </c>
      <c r="K2382">
        <v>1.102984</v>
      </c>
      <c r="L2382">
        <v>187.9563</v>
      </c>
      <c r="M2382">
        <v>-9.4122159999999993E-3</v>
      </c>
      <c r="N2382">
        <v>0</v>
      </c>
      <c r="O2382">
        <v>-0.99982890000000002</v>
      </c>
      <c r="P2382">
        <v>-8.3408300000000005E-2</v>
      </c>
      <c r="Q2382">
        <v>3.7033200000000002E-2</v>
      </c>
      <c r="R2382">
        <v>-0.99582760000000003</v>
      </c>
      <c r="S2382">
        <v>-7.5576779999999996E-2</v>
      </c>
      <c r="T2382">
        <v>-0.24101320000000001</v>
      </c>
      <c r="U2382">
        <v>-3.0156710000000002</v>
      </c>
      <c r="V2382">
        <v>7.4287290000000006E-2</v>
      </c>
      <c r="W2382">
        <v>5.2559290000000002E-2</v>
      </c>
      <c r="X2382">
        <v>0.99585089999999998</v>
      </c>
      <c r="Y2382">
        <v>1.5562329999999999E-2</v>
      </c>
      <c r="Z2382">
        <v>7.9643740000000005E-2</v>
      </c>
      <c r="AA2382">
        <v>0.99670190000000003</v>
      </c>
      <c r="AB2382">
        <v>32</v>
      </c>
      <c r="AC2382">
        <v>-1.47000000000048E-2</v>
      </c>
      <c r="AD2382">
        <v>-6.1475999999999802E-2</v>
      </c>
      <c r="AE2382">
        <v>-0.45580000000000997</v>
      </c>
      <c r="AF2382">
        <v>1.02229417190917E-2</v>
      </c>
      <c r="AG2382">
        <v>-6.1475999999999802E-2</v>
      </c>
      <c r="AH2382">
        <v>0.44778095010294899</v>
      </c>
      <c r="AI2382">
        <v>97.815275287773503</v>
      </c>
      <c r="AJ2382">
        <v>88.692151415689395</v>
      </c>
      <c r="AK2382">
        <v>0.45209687721603597</v>
      </c>
      <c r="AL2382">
        <v>86.987186426369206</v>
      </c>
      <c r="AM2382">
        <v>85.733819822971398</v>
      </c>
      <c r="AN2382">
        <v>1.00000004772582</v>
      </c>
    </row>
    <row r="2383" spans="1:40" x14ac:dyDescent="0.3">
      <c r="A2383" t="str">
        <f>"20200111153922595"</f>
        <v>20200111153922595</v>
      </c>
      <c r="B2383" t="str">
        <f>"1578728362592982"</f>
        <v>1578728362592982</v>
      </c>
      <c r="C2383" t="s">
        <v>40</v>
      </c>
      <c r="D2383">
        <v>5.2857289999999999</v>
      </c>
      <c r="E2383">
        <v>0.47728949999999998</v>
      </c>
      <c r="F2383" t="s">
        <v>41</v>
      </c>
      <c r="G2383">
        <v>-190.38749999999999</v>
      </c>
      <c r="H2383">
        <v>1.042119</v>
      </c>
      <c r="I2383">
        <v>187.21039999999999</v>
      </c>
      <c r="J2383">
        <v>-190.3733</v>
      </c>
      <c r="K2383">
        <v>1.1033360000000001</v>
      </c>
      <c r="L2383">
        <v>187.65600000000001</v>
      </c>
      <c r="M2383">
        <v>-1.0710519999999999E-2</v>
      </c>
      <c r="N2383">
        <v>0</v>
      </c>
      <c r="O2383">
        <v>-0.99981620000000004</v>
      </c>
      <c r="P2383">
        <v>-8.4459709999999993E-2</v>
      </c>
      <c r="Q2383">
        <v>3.562187E-2</v>
      </c>
      <c r="R2383">
        <v>-0.99579030000000002</v>
      </c>
      <c r="S2383">
        <v>-7.473755E-2</v>
      </c>
      <c r="T2383">
        <v>-0.2461836</v>
      </c>
      <c r="U2383">
        <v>-3.0155029999999998</v>
      </c>
      <c r="V2383">
        <v>7.3993870000000003E-2</v>
      </c>
      <c r="W2383">
        <v>5.117642E-2</v>
      </c>
      <c r="X2383">
        <v>0.99594470000000002</v>
      </c>
      <c r="Y2383">
        <v>1.3984709999999999E-2</v>
      </c>
      <c r="Z2383">
        <v>8.1345260000000003E-2</v>
      </c>
      <c r="AA2383">
        <v>0.99658789999999997</v>
      </c>
      <c r="AB2383">
        <v>31</v>
      </c>
      <c r="AC2383">
        <v>-1.4199999999988199E-2</v>
      </c>
      <c r="AD2383">
        <v>-6.1217000000000001E-2</v>
      </c>
      <c r="AE2383">
        <v>-0.44559999999998401</v>
      </c>
      <c r="AF2383">
        <v>9.25154173945179E-3</v>
      </c>
      <c r="AG2383">
        <v>-6.1217000000000001E-2</v>
      </c>
      <c r="AH2383">
        <v>0.437478151089923</v>
      </c>
      <c r="AI2383">
        <v>97.964006641430302</v>
      </c>
      <c r="AJ2383">
        <v>88.788521674429603</v>
      </c>
      <c r="AK2383">
        <v>0.44183735106327798</v>
      </c>
      <c r="AL2383">
        <v>87.066525645191206</v>
      </c>
      <c r="AM2383">
        <v>85.751007289523699</v>
      </c>
      <c r="AN2383">
        <v>0.99999998210984098</v>
      </c>
    </row>
    <row r="2384" spans="1:40" x14ac:dyDescent="0.3">
      <c r="A2384" t="str">
        <f>"20200111153922619"</f>
        <v>20200111153922619</v>
      </c>
      <c r="B2384" t="str">
        <f>"1578728362613479"</f>
        <v>1578728362613479</v>
      </c>
      <c r="C2384" t="s">
        <v>40</v>
      </c>
      <c r="D2384">
        <v>5.2338180000000003</v>
      </c>
      <c r="E2384">
        <v>0.51342480000000001</v>
      </c>
      <c r="F2384" t="s">
        <v>41</v>
      </c>
      <c r="G2384">
        <v>-190.39779999999999</v>
      </c>
      <c r="H2384">
        <v>1.0215209999999999</v>
      </c>
      <c r="I2384">
        <v>186.67169999999999</v>
      </c>
      <c r="J2384">
        <v>-190.37819999999999</v>
      </c>
      <c r="K2384">
        <v>1.103675</v>
      </c>
      <c r="L2384">
        <v>187.32910000000001</v>
      </c>
      <c r="M2384">
        <v>-1.1765909999999999E-2</v>
      </c>
      <c r="N2384">
        <v>0</v>
      </c>
      <c r="O2384">
        <v>-0.9998051</v>
      </c>
      <c r="P2384">
        <v>-8.5890060000000004E-2</v>
      </c>
      <c r="Q2384">
        <v>3.4937530000000001E-2</v>
      </c>
      <c r="R2384">
        <v>-0.99569240000000003</v>
      </c>
      <c r="S2384">
        <v>-7.4584960000000006E-2</v>
      </c>
      <c r="T2384">
        <v>-0.25072539999999999</v>
      </c>
      <c r="U2384">
        <v>-3.01532</v>
      </c>
      <c r="V2384">
        <v>7.4330069999999998E-2</v>
      </c>
      <c r="W2384">
        <v>5.0512580000000001E-2</v>
      </c>
      <c r="X2384">
        <v>0.99595359999999999</v>
      </c>
      <c r="Y2384">
        <v>1.287728E-2</v>
      </c>
      <c r="Z2384">
        <v>8.2839979999999994E-2</v>
      </c>
      <c r="AA2384">
        <v>0.99647969999999997</v>
      </c>
      <c r="AB2384">
        <v>31</v>
      </c>
      <c r="AC2384">
        <v>-1.9599999999996901E-2</v>
      </c>
      <c r="AD2384">
        <v>-8.2154000000000005E-2</v>
      </c>
      <c r="AE2384">
        <v>-0.65740000000002397</v>
      </c>
      <c r="AF2384">
        <v>1.1680508848447201E-2</v>
      </c>
      <c r="AG2384">
        <v>-8.2154000000000005E-2</v>
      </c>
      <c r="AH2384">
        <v>0.64748236225094402</v>
      </c>
      <c r="AI2384">
        <v>97.230011898464099</v>
      </c>
      <c r="AJ2384">
        <v>88.966502697612199</v>
      </c>
      <c r="AK2384">
        <v>0.65277800470682301</v>
      </c>
      <c r="AL2384">
        <v>87.104610265231202</v>
      </c>
      <c r="AM2384">
        <v>85.731810668211594</v>
      </c>
      <c r="AN2384">
        <v>1.0000000266987099</v>
      </c>
    </row>
    <row r="2385" spans="1:40" x14ac:dyDescent="0.3">
      <c r="A2385" t="str">
        <f>"20200111153922640"</f>
        <v>20200111153922640</v>
      </c>
      <c r="B2385" t="str">
        <f>"1578728362632998"</f>
        <v>1578728362632998</v>
      </c>
      <c r="C2385" t="s">
        <v>40</v>
      </c>
      <c r="D2385">
        <v>5.2299899999999999</v>
      </c>
      <c r="E2385">
        <v>0.52657849999999995</v>
      </c>
      <c r="F2385" t="s">
        <v>41</v>
      </c>
      <c r="G2385">
        <v>-190.49440000000001</v>
      </c>
      <c r="H2385">
        <v>1.042502</v>
      </c>
      <c r="I2385">
        <v>186.3818</v>
      </c>
      <c r="J2385">
        <v>-190.38290000000001</v>
      </c>
      <c r="K2385">
        <v>1.10392</v>
      </c>
      <c r="L2385">
        <v>187.02719999999999</v>
      </c>
      <c r="M2385">
        <v>-1.2521849999999999E-2</v>
      </c>
      <c r="N2385">
        <v>0</v>
      </c>
      <c r="O2385">
        <v>-0.99979629999999997</v>
      </c>
      <c r="P2385">
        <v>-8.7200109999999997E-2</v>
      </c>
      <c r="Q2385">
        <v>3.556111E-2</v>
      </c>
      <c r="R2385">
        <v>-0.99555610000000005</v>
      </c>
      <c r="S2385">
        <v>-0.36643979999999998</v>
      </c>
      <c r="T2385">
        <v>-0.1929516</v>
      </c>
      <c r="U2385">
        <v>-2.9881289999999998</v>
      </c>
      <c r="V2385">
        <v>7.4860159999999995E-2</v>
      </c>
      <c r="W2385">
        <v>5.1145940000000001E-2</v>
      </c>
      <c r="X2385">
        <v>0.99588160000000003</v>
      </c>
      <c r="Y2385">
        <v>0.10903069999999999</v>
      </c>
      <c r="Z2385">
        <v>6.4000199999999993E-2</v>
      </c>
      <c r="AA2385">
        <v>0.99197599999999997</v>
      </c>
      <c r="AB2385">
        <v>31</v>
      </c>
      <c r="AC2385">
        <v>-0.111500000000006</v>
      </c>
      <c r="AD2385">
        <v>-6.1417999999999903E-2</v>
      </c>
      <c r="AE2385">
        <v>-0.64539999999999498</v>
      </c>
      <c r="AF2385">
        <v>0.102507245596442</v>
      </c>
      <c r="AG2385">
        <v>-6.1417999999999903E-2</v>
      </c>
      <c r="AH2385">
        <v>0.64110817392336505</v>
      </c>
      <c r="AI2385">
        <v>95.403994605683593</v>
      </c>
      <c r="AJ2385">
        <v>80.915828346340405</v>
      </c>
      <c r="AK2385">
        <v>0.65214998029220395</v>
      </c>
      <c r="AL2385">
        <v>87.068274527363002</v>
      </c>
      <c r="AM2385">
        <v>85.701175861318703</v>
      </c>
      <c r="AN2385">
        <v>1.00000005597613</v>
      </c>
    </row>
    <row r="2386" spans="1:40" x14ac:dyDescent="0.3">
      <c r="A2386" t="str">
        <f>"20200111153922663"</f>
        <v>20200111153922663</v>
      </c>
      <c r="B2386" t="str">
        <f>"1578728362653493"</f>
        <v>1578728362653493</v>
      </c>
      <c r="C2386" t="s">
        <v>40</v>
      </c>
      <c r="D2386">
        <v>5.2285690000000002</v>
      </c>
      <c r="E2386">
        <v>0.53060249999999998</v>
      </c>
      <c r="F2386" t="s">
        <v>42</v>
      </c>
      <c r="G2386">
        <v>-193.0367</v>
      </c>
      <c r="H2386" s="1">
        <v>-1.1579069999999999E-6</v>
      </c>
      <c r="I2386">
        <v>170.40479999999999</v>
      </c>
      <c r="J2386">
        <v>-190.3878</v>
      </c>
      <c r="K2386">
        <v>1.1041240000000001</v>
      </c>
      <c r="L2386">
        <v>186.708</v>
      </c>
      <c r="M2386">
        <v>-1.3159590000000001E-2</v>
      </c>
      <c r="N2386">
        <v>0</v>
      </c>
      <c r="O2386">
        <v>-0.99978849999999997</v>
      </c>
      <c r="P2386">
        <v>-8.7480719999999998E-2</v>
      </c>
      <c r="Q2386">
        <v>3.5873960000000003E-2</v>
      </c>
      <c r="R2386">
        <v>-0.99552019999999997</v>
      </c>
      <c r="S2386">
        <v>-0.47557070000000001</v>
      </c>
      <c r="T2386">
        <v>-0.19782820000000001</v>
      </c>
      <c r="U2386">
        <v>-2.9788209999999999</v>
      </c>
      <c r="V2386">
        <v>7.448225E-2</v>
      </c>
      <c r="W2386">
        <v>5.1464530000000001E-2</v>
      </c>
      <c r="X2386">
        <v>0.99589349999999999</v>
      </c>
      <c r="Y2386">
        <v>0.144305399999999</v>
      </c>
      <c r="Z2386">
        <v>6.5497349999999996E-2</v>
      </c>
      <c r="AA2386">
        <v>0.9873632</v>
      </c>
      <c r="AB2386">
        <v>31</v>
      </c>
      <c r="AC2386">
        <v>-2.64889999999999</v>
      </c>
      <c r="AD2386">
        <v>-1.1041251579069999</v>
      </c>
      <c r="AE2386">
        <v>-16.3032</v>
      </c>
      <c r="AF2386">
        <v>2.42327163164643</v>
      </c>
      <c r="AG2386">
        <v>-1.1041251579069999</v>
      </c>
      <c r="AH2386">
        <v>16.263972993019301</v>
      </c>
      <c r="AI2386">
        <v>93.841447957749693</v>
      </c>
      <c r="AJ2386">
        <v>81.525485553749206</v>
      </c>
      <c r="AK2386">
        <v>16.4805386830263</v>
      </c>
      <c r="AL2386">
        <v>87.049996527503197</v>
      </c>
      <c r="AM2386">
        <v>85.7228474198226</v>
      </c>
      <c r="AN2386">
        <v>1.0000000333777099</v>
      </c>
    </row>
    <row r="2387" spans="1:40" x14ac:dyDescent="0.3">
      <c r="A2387" t="str">
        <f>"20200111153922684"</f>
        <v>20200111153922684</v>
      </c>
      <c r="B2387" t="str">
        <f>"1578728362673017"</f>
        <v>1578728362673017</v>
      </c>
      <c r="C2387" t="s">
        <v>40</v>
      </c>
      <c r="D2387">
        <v>5.2379089999999904</v>
      </c>
      <c r="E2387">
        <v>0.53156559999999997</v>
      </c>
      <c r="F2387" t="s">
        <v>42</v>
      </c>
      <c r="G2387">
        <v>-193.29259999999999</v>
      </c>
      <c r="H2387" s="1">
        <v>-9.3076570000000003E-7</v>
      </c>
      <c r="I2387">
        <v>169.7166</v>
      </c>
      <c r="J2387">
        <v>-190.39240000000001</v>
      </c>
      <c r="K2387">
        <v>1.104257</v>
      </c>
      <c r="L2387">
        <v>186.41560000000001</v>
      </c>
      <c r="M2387">
        <v>-1.366087E-2</v>
      </c>
      <c r="N2387">
        <v>0</v>
      </c>
      <c r="O2387">
        <v>-0.99978210000000001</v>
      </c>
      <c r="P2387">
        <v>-8.7231119999999995E-2</v>
      </c>
      <c r="Q2387">
        <v>3.6157549999999997E-2</v>
      </c>
      <c r="R2387">
        <v>-0.99553190000000003</v>
      </c>
      <c r="S2387">
        <v>-0.50872799999999996</v>
      </c>
      <c r="T2387">
        <v>-0.1933705</v>
      </c>
      <c r="U2387">
        <v>-2.975784</v>
      </c>
      <c r="V2387">
        <v>7.3717149999999995E-2</v>
      </c>
      <c r="W2387">
        <v>5.1748339999999997E-2</v>
      </c>
      <c r="X2387">
        <v>0.99593569999999998</v>
      </c>
      <c r="Y2387">
        <v>0.15468319999999999</v>
      </c>
      <c r="Z2387">
        <v>6.3983170000000006E-2</v>
      </c>
      <c r="AA2387">
        <v>0.98589009999999999</v>
      </c>
      <c r="AB2387">
        <v>31</v>
      </c>
      <c r="AC2387">
        <v>-2.9001999999999799</v>
      </c>
      <c r="AD2387">
        <v>-1.1042579307656999</v>
      </c>
      <c r="AE2387">
        <v>-16.699000000000002</v>
      </c>
      <c r="AF2387">
        <v>2.6604848668762</v>
      </c>
      <c r="AG2387">
        <v>-1.1042579307656999</v>
      </c>
      <c r="AH2387">
        <v>16.666320852900899</v>
      </c>
      <c r="AI2387">
        <v>93.7434386388083</v>
      </c>
      <c r="AJ2387">
        <v>80.9302602233318</v>
      </c>
      <c r="AK2387">
        <v>16.913421181901001</v>
      </c>
      <c r="AL2387">
        <v>87.033713657589402</v>
      </c>
      <c r="AM2387">
        <v>85.766801556204001</v>
      </c>
      <c r="AN2387">
        <v>1.0000000137156799</v>
      </c>
    </row>
    <row r="2388" spans="1:40" x14ac:dyDescent="0.3">
      <c r="A2388" t="str">
        <f>"20200111153922708"</f>
        <v>20200111153922708</v>
      </c>
      <c r="B2388" t="str">
        <f>"1578728362703271"</f>
        <v>1578728362703271</v>
      </c>
      <c r="C2388" t="s">
        <v>40</v>
      </c>
      <c r="D2388">
        <v>5.2898889999999996</v>
      </c>
      <c r="E2388">
        <v>0.53176749999999995</v>
      </c>
      <c r="F2388" t="s">
        <v>42</v>
      </c>
      <c r="G2388">
        <v>-193.36369999999999</v>
      </c>
      <c r="H2388" s="1">
        <v>-5.202363E-6</v>
      </c>
      <c r="I2388">
        <v>169.27959999999999</v>
      </c>
      <c r="J2388">
        <v>-190.39760000000001</v>
      </c>
      <c r="K2388">
        <v>1.104363</v>
      </c>
      <c r="L2388">
        <v>186.09479999999999</v>
      </c>
      <c r="M2388">
        <v>-1.417947E-2</v>
      </c>
      <c r="N2388">
        <v>0</v>
      </c>
      <c r="O2388">
        <v>-0.99977539999999998</v>
      </c>
      <c r="P2388">
        <v>-8.7343470000000006E-2</v>
      </c>
      <c r="Q2388">
        <v>3.607602E-2</v>
      </c>
      <c r="R2388">
        <v>-0.9955252</v>
      </c>
      <c r="S2388">
        <v>-0.51588440000000002</v>
      </c>
      <c r="T2388">
        <v>-0.19172549999999999</v>
      </c>
      <c r="U2388">
        <v>-2.9752040000000002</v>
      </c>
      <c r="V2388">
        <v>7.3300149999999994E-2</v>
      </c>
      <c r="W2388">
        <v>5.1660249999999998E-2</v>
      </c>
      <c r="X2388">
        <v>0.99597100000000005</v>
      </c>
      <c r="Y2388">
        <v>0.1565115</v>
      </c>
      <c r="Z2388">
        <v>6.3430570000000006E-2</v>
      </c>
      <c r="AA2388">
        <v>0.98563719999999999</v>
      </c>
      <c r="AB2388">
        <v>31</v>
      </c>
      <c r="AC2388">
        <v>-2.96609999999998</v>
      </c>
      <c r="AD2388">
        <v>-1.1043682023629999</v>
      </c>
      <c r="AE2388">
        <v>-16.815200000000001</v>
      </c>
      <c r="AF2388">
        <v>2.7159798296509701</v>
      </c>
      <c r="AG2388">
        <v>-1.1043682023629999</v>
      </c>
      <c r="AH2388">
        <v>16.785354234408601</v>
      </c>
      <c r="AI2388">
        <v>93.716074402607305</v>
      </c>
      <c r="AJ2388">
        <v>80.808829012829804</v>
      </c>
      <c r="AK2388">
        <v>17.039492138442402</v>
      </c>
      <c r="AL2388">
        <v>87.038767452773996</v>
      </c>
      <c r="AM2388">
        <v>85.790810070667106</v>
      </c>
      <c r="AN2388">
        <v>0.99999996313054196</v>
      </c>
    </row>
    <row r="2389" spans="1:40" x14ac:dyDescent="0.3">
      <c r="A2389" t="str">
        <f>"20200111153922731"</f>
        <v>20200111153922731</v>
      </c>
      <c r="B2389" t="str">
        <f>"1578728362722790"</f>
        <v>1578728362722790</v>
      </c>
      <c r="C2389" t="s">
        <v>40</v>
      </c>
      <c r="D2389">
        <v>5.2757889999999996</v>
      </c>
      <c r="E2389">
        <v>0.5316109</v>
      </c>
      <c r="F2389" t="s">
        <v>42</v>
      </c>
      <c r="G2389">
        <v>-193.35069999999999</v>
      </c>
      <c r="H2389" s="1">
        <v>-5.1425149999999997E-6</v>
      </c>
      <c r="I2389">
        <v>169.12970000000001</v>
      </c>
      <c r="J2389">
        <v>-190.40289999999999</v>
      </c>
      <c r="K2389">
        <v>1.104427</v>
      </c>
      <c r="L2389">
        <v>185.77109999999999</v>
      </c>
      <c r="M2389">
        <v>-1.4724350000000001E-2</v>
      </c>
      <c r="N2389">
        <v>0</v>
      </c>
      <c r="O2389">
        <v>-0.99976770000000004</v>
      </c>
      <c r="P2389">
        <v>-8.8314119999999996E-2</v>
      </c>
      <c r="Q2389">
        <v>3.6424730000000002E-2</v>
      </c>
      <c r="R2389">
        <v>-0.99542660000000005</v>
      </c>
      <c r="S2389">
        <v>-0.51788329999999905</v>
      </c>
      <c r="T2389">
        <v>-0.19366739999999999</v>
      </c>
      <c r="U2389">
        <v>-2.9750670000000001</v>
      </c>
      <c r="V2389">
        <v>7.3722060000000006E-2</v>
      </c>
      <c r="W2389">
        <v>5.1995970000000002E-2</v>
      </c>
      <c r="X2389">
        <v>0.99592239999999999</v>
      </c>
      <c r="Y2389">
        <v>0.1566168</v>
      </c>
      <c r="Z2389">
        <v>6.4068340000000001E-2</v>
      </c>
      <c r="AA2389">
        <v>0.98557930000000005</v>
      </c>
      <c r="AB2389">
        <v>31</v>
      </c>
      <c r="AC2389">
        <v>-2.9478</v>
      </c>
      <c r="AD2389">
        <v>-1.1044321425149899</v>
      </c>
      <c r="AE2389">
        <v>-16.641399999999901</v>
      </c>
      <c r="AF2389">
        <v>2.6909245491704099</v>
      </c>
      <c r="AG2389">
        <v>-1.1044321425149899</v>
      </c>
      <c r="AH2389">
        <v>16.612063141229999</v>
      </c>
      <c r="AI2389">
        <v>93.754839493369403</v>
      </c>
      <c r="AJ2389">
        <v>80.7987987515302</v>
      </c>
      <c r="AK2389">
        <v>16.864800238809899</v>
      </c>
      <c r="AL2389">
        <v>87.019506261360206</v>
      </c>
      <c r="AM2389">
        <v>85.766464294854799</v>
      </c>
      <c r="AN2389">
        <v>0.99999997492432102</v>
      </c>
    </row>
    <row r="2390" spans="1:40" x14ac:dyDescent="0.3">
      <c r="A2390" t="str">
        <f>"20200111153922755"</f>
        <v>20200111153922755</v>
      </c>
      <c r="B2390" t="str">
        <f>"1578728362743286"</f>
        <v>1578728362743286</v>
      </c>
      <c r="C2390" t="s">
        <v>40</v>
      </c>
      <c r="D2390">
        <v>5.3203239999999896</v>
      </c>
      <c r="E2390">
        <v>0.53163149999999904</v>
      </c>
      <c r="F2390" t="s">
        <v>42</v>
      </c>
      <c r="G2390">
        <v>-193.20590000000001</v>
      </c>
      <c r="H2390" s="1">
        <v>-9.068858E-7</v>
      </c>
      <c r="I2390">
        <v>169.71469999999999</v>
      </c>
      <c r="J2390">
        <v>-190.40860000000001</v>
      </c>
      <c r="K2390">
        <v>1.104455</v>
      </c>
      <c r="L2390">
        <v>185.43979999999999</v>
      </c>
      <c r="M2390">
        <v>-1.5344150000000001E-2</v>
      </c>
      <c r="N2390">
        <v>0</v>
      </c>
      <c r="O2390">
        <v>-0.99975879999999995</v>
      </c>
      <c r="P2390">
        <v>-8.9911770000000002E-2</v>
      </c>
      <c r="Q2390">
        <v>3.6344729999999999E-2</v>
      </c>
      <c r="R2390">
        <v>-0.99528660000000002</v>
      </c>
      <c r="S2390">
        <v>-0.51937869999999997</v>
      </c>
      <c r="T2390">
        <v>-0.20464460000000001</v>
      </c>
      <c r="U2390">
        <v>-2.9751590000000001</v>
      </c>
      <c r="V2390">
        <v>7.4701080000000003E-2</v>
      </c>
      <c r="W2390">
        <v>5.1897400000000003E-2</v>
      </c>
      <c r="X2390">
        <v>0.99585460000000003</v>
      </c>
      <c r="Y2390">
        <v>0.1564392</v>
      </c>
      <c r="Z2390">
        <v>6.7678479999999999E-2</v>
      </c>
      <c r="AA2390">
        <v>0.98536610000000002</v>
      </c>
      <c r="AB2390">
        <v>31</v>
      </c>
      <c r="AC2390">
        <v>-2.7972999999999999</v>
      </c>
      <c r="AD2390">
        <v>-1.1044559068858</v>
      </c>
      <c r="AE2390">
        <v>-15.7250999999999</v>
      </c>
      <c r="AF2390">
        <v>2.5434903664336099</v>
      </c>
      <c r="AG2390">
        <v>-1.1044559068858</v>
      </c>
      <c r="AH2390">
        <v>15.691145778638401</v>
      </c>
      <c r="AI2390">
        <v>93.974541002875995</v>
      </c>
      <c r="AJ2390">
        <v>80.792601711318198</v>
      </c>
      <c r="AK2390">
        <v>15.934278205832801</v>
      </c>
      <c r="AL2390">
        <v>87.025161580580999</v>
      </c>
      <c r="AM2390">
        <v>85.710160980438999</v>
      </c>
      <c r="AN2390">
        <v>0.99999998791054301</v>
      </c>
    </row>
    <row r="2391" spans="1:40" x14ac:dyDescent="0.3">
      <c r="A2391" t="str">
        <f>"20200111153922776"</f>
        <v>20200111153922776</v>
      </c>
      <c r="B2391" t="str">
        <f>"1578728362762806"</f>
        <v>1578728362762806</v>
      </c>
      <c r="C2391" t="s">
        <v>40</v>
      </c>
      <c r="D2391">
        <v>5.3606420000000004</v>
      </c>
      <c r="E2391">
        <v>0.53173079999999995</v>
      </c>
      <c r="F2391" t="s">
        <v>42</v>
      </c>
      <c r="G2391">
        <v>-193.1413</v>
      </c>
      <c r="H2391" s="1">
        <v>-9.7971139999999997E-7</v>
      </c>
      <c r="I2391">
        <v>169.92449999999999</v>
      </c>
      <c r="J2391">
        <v>-190.41370000000001</v>
      </c>
      <c r="K2391">
        <v>1.1044430000000001</v>
      </c>
      <c r="L2391">
        <v>185.15170000000001</v>
      </c>
      <c r="M2391">
        <v>-1.5957579999999999E-2</v>
      </c>
      <c r="N2391">
        <v>0</v>
      </c>
      <c r="O2391">
        <v>-0.99974940000000001</v>
      </c>
      <c r="P2391">
        <v>-9.1377020000000003E-2</v>
      </c>
      <c r="Q2391">
        <v>3.5865899999999999E-2</v>
      </c>
      <c r="R2391">
        <v>-0.99517040000000001</v>
      </c>
      <c r="S2391">
        <v>-0.52391049999999995</v>
      </c>
      <c r="T2391">
        <v>-0.21174599999999999</v>
      </c>
      <c r="U2391">
        <v>-2.9745789999999999</v>
      </c>
      <c r="V2391">
        <v>7.5557550000000001E-2</v>
      </c>
      <c r="W2391">
        <v>5.1398810000000003E-2</v>
      </c>
      <c r="X2391">
        <v>0.99581589999999998</v>
      </c>
      <c r="Y2391">
        <v>0.1572942</v>
      </c>
      <c r="Z2391">
        <v>7.0014010000000002E-2</v>
      </c>
      <c r="AA2391">
        <v>0.98506680000000002</v>
      </c>
      <c r="AB2391">
        <v>31</v>
      </c>
      <c r="AC2391">
        <v>-2.72759999999999</v>
      </c>
      <c r="AD2391">
        <v>-1.1044439797114001</v>
      </c>
      <c r="AE2391">
        <v>-15.2272</v>
      </c>
      <c r="AF2391">
        <v>2.4716349884155302</v>
      </c>
      <c r="AG2391">
        <v>-1.1044439797114001</v>
      </c>
      <c r="AH2391">
        <v>15.1913585873915</v>
      </c>
      <c r="AI2391">
        <v>94.104426885376498</v>
      </c>
      <c r="AJ2391">
        <v>80.758946285721706</v>
      </c>
      <c r="AK2391">
        <v>15.4306886350219</v>
      </c>
      <c r="AL2391">
        <v>87.053767027079701</v>
      </c>
      <c r="AM2391">
        <v>85.660995491735804</v>
      </c>
      <c r="AN2391">
        <v>1.0000000438621099</v>
      </c>
    </row>
    <row r="2392" spans="1:40" x14ac:dyDescent="0.3">
      <c r="A2392" t="str">
        <f>"20200111153922796"</f>
        <v>20200111153922796</v>
      </c>
      <c r="B2392" t="str">
        <f>"1578728362793061"</f>
        <v>1578728362793061</v>
      </c>
      <c r="C2392" t="s">
        <v>40</v>
      </c>
      <c r="D2392">
        <v>5.3517000000000001</v>
      </c>
      <c r="E2392">
        <v>0.53170319999999904</v>
      </c>
      <c r="F2392" t="s">
        <v>42</v>
      </c>
      <c r="G2392">
        <v>-193.08369999999999</v>
      </c>
      <c r="H2392" s="1">
        <v>-1.059325E-6</v>
      </c>
      <c r="I2392">
        <v>170.14580000000001</v>
      </c>
      <c r="J2392">
        <v>-190.41900000000001</v>
      </c>
      <c r="K2392">
        <v>1.1044179999999999</v>
      </c>
      <c r="L2392">
        <v>184.86670000000001</v>
      </c>
      <c r="M2392">
        <v>-1.6621239999999999E-2</v>
      </c>
      <c r="N2392">
        <v>0</v>
      </c>
      <c r="O2392">
        <v>-0.99973889999999999</v>
      </c>
      <c r="P2392">
        <v>-9.2896740000000005E-2</v>
      </c>
      <c r="Q2392">
        <v>3.5033880000000003E-2</v>
      </c>
      <c r="R2392">
        <v>-0.99505949999999999</v>
      </c>
      <c r="S2392">
        <v>-0.52914430000000001</v>
      </c>
      <c r="T2392">
        <v>-0.21887760000000001</v>
      </c>
      <c r="U2392">
        <v>-2.973862</v>
      </c>
      <c r="V2392">
        <v>7.6419580000000001E-2</v>
      </c>
      <c r="W2392">
        <v>5.0546380000000002E-2</v>
      </c>
      <c r="X2392">
        <v>0.9957937</v>
      </c>
      <c r="Y2392">
        <v>0.15833079999999999</v>
      </c>
      <c r="Z2392">
        <v>7.2358720000000001E-2</v>
      </c>
      <c r="AA2392">
        <v>0.98473120000000003</v>
      </c>
      <c r="AB2392">
        <v>31</v>
      </c>
      <c r="AC2392">
        <v>-2.6646999999999799</v>
      </c>
      <c r="AD2392">
        <v>-1.1044190593250001</v>
      </c>
      <c r="AE2392">
        <v>-14.7209</v>
      </c>
      <c r="AF2392">
        <v>2.4065066291156301</v>
      </c>
      <c r="AG2392">
        <v>-1.1044190593250001</v>
      </c>
      <c r="AH2392">
        <v>14.6831387885873</v>
      </c>
      <c r="AI2392">
        <v>94.245080321302893</v>
      </c>
      <c r="AJ2392">
        <v>80.692208004959994</v>
      </c>
      <c r="AK2392">
        <v>14.919972530118599</v>
      </c>
      <c r="AL2392">
        <v>87.102671086946799</v>
      </c>
      <c r="AM2392">
        <v>85.611586972914694</v>
      </c>
      <c r="AN2392">
        <v>0.99999999084908497</v>
      </c>
    </row>
    <row r="2393" spans="1:40" x14ac:dyDescent="0.3">
      <c r="A2393" t="str">
        <f>"20200111153922820"</f>
        <v>20200111153922820</v>
      </c>
      <c r="B2393" t="str">
        <f>"1578728362813558"</f>
        <v>1578728362813558</v>
      </c>
      <c r="C2393" t="s">
        <v>40</v>
      </c>
      <c r="D2393">
        <v>5.3591160000000002</v>
      </c>
      <c r="E2393">
        <v>0.53149159999999995</v>
      </c>
      <c r="F2393" t="s">
        <v>41</v>
      </c>
      <c r="G2393">
        <v>-190.59440000000001</v>
      </c>
      <c r="H2393">
        <v>1.029949</v>
      </c>
      <c r="I2393">
        <v>183.8904</v>
      </c>
      <c r="J2393">
        <v>-190.42519999999999</v>
      </c>
      <c r="K2393">
        <v>1.104382</v>
      </c>
      <c r="L2393">
        <v>184.54560000000001</v>
      </c>
      <c r="M2393">
        <v>-1.7447279999999999E-2</v>
      </c>
      <c r="N2393">
        <v>0</v>
      </c>
      <c r="O2393">
        <v>-0.99972499999999997</v>
      </c>
      <c r="P2393">
        <v>-9.4340919999999995E-2</v>
      </c>
      <c r="Q2393">
        <v>3.439648E-2</v>
      </c>
      <c r="R2393">
        <v>-0.99494570000000004</v>
      </c>
      <c r="S2393">
        <v>-0.53356930000000002</v>
      </c>
      <c r="T2393">
        <v>-0.22680829999999999</v>
      </c>
      <c r="U2393">
        <v>-2.9730379999999998</v>
      </c>
      <c r="V2393">
        <v>7.7046149999999994E-2</v>
      </c>
      <c r="W2393">
        <v>4.9886319999999998E-2</v>
      </c>
      <c r="X2393">
        <v>0.99577870000000002</v>
      </c>
      <c r="Y2393">
        <v>0.15894829999999999</v>
      </c>
      <c r="Z2393">
        <v>7.4971209999999996E-2</v>
      </c>
      <c r="AA2393">
        <v>0.98443630000000004</v>
      </c>
      <c r="AB2393">
        <v>31</v>
      </c>
      <c r="AC2393">
        <v>-0.169200000000017</v>
      </c>
      <c r="AD2393">
        <v>-7.4432999999999902E-2</v>
      </c>
      <c r="AE2393">
        <v>-0.655200000000007</v>
      </c>
      <c r="AF2393">
        <v>0.15585569646790001</v>
      </c>
      <c r="AG2393">
        <v>-7.4432999999999902E-2</v>
      </c>
      <c r="AH2393">
        <v>0.65018615538748503</v>
      </c>
      <c r="AI2393">
        <v>96.352340619737205</v>
      </c>
      <c r="AJ2393">
        <v>76.520014155086301</v>
      </c>
      <c r="AK2393">
        <v>0.67273568826698404</v>
      </c>
      <c r="AL2393">
        <v>87.140537502196295</v>
      </c>
      <c r="AM2393">
        <v>85.575681935795203</v>
      </c>
      <c r="AN2393">
        <v>0.99999998676332702</v>
      </c>
    </row>
    <row r="2394" spans="1:40" x14ac:dyDescent="0.3">
      <c r="A2394" t="str">
        <f>"20200111153922842"</f>
        <v>20200111153922842</v>
      </c>
      <c r="B2394" t="str">
        <f>"1578728362833081"</f>
        <v>1578728362833081</v>
      </c>
      <c r="C2394" t="s">
        <v>40</v>
      </c>
      <c r="D2394">
        <v>5.3857390000000001</v>
      </c>
      <c r="E2394">
        <v>0.53145889999999996</v>
      </c>
      <c r="F2394" t="s">
        <v>41</v>
      </c>
      <c r="G2394">
        <v>-190.5926</v>
      </c>
      <c r="H2394">
        <v>1.0317540000000001</v>
      </c>
      <c r="I2394">
        <v>183.6191</v>
      </c>
      <c r="J2394">
        <v>-190.43170000000001</v>
      </c>
      <c r="K2394">
        <v>1.104333</v>
      </c>
      <c r="L2394">
        <v>184.2296</v>
      </c>
      <c r="M2394">
        <v>-1.8340680000000002E-2</v>
      </c>
      <c r="N2394">
        <v>0</v>
      </c>
      <c r="O2394">
        <v>-0.99970939999999997</v>
      </c>
      <c r="P2394">
        <v>-9.5927390000000001E-2</v>
      </c>
      <c r="Q2394">
        <v>3.3414079999999999E-2</v>
      </c>
      <c r="R2394">
        <v>-0.99482769999999998</v>
      </c>
      <c r="S2394">
        <v>-0.53669739999999999</v>
      </c>
      <c r="T2394">
        <v>-0.23304150000000001</v>
      </c>
      <c r="U2394">
        <v>-2.9724119999999998</v>
      </c>
      <c r="V2394">
        <v>7.7747910000000003E-2</v>
      </c>
      <c r="W2394">
        <v>4.887619E-2</v>
      </c>
      <c r="X2394">
        <v>0.9957743</v>
      </c>
      <c r="Y2394">
        <v>0.15907779999999999</v>
      </c>
      <c r="Z2394">
        <v>7.7025499999999997E-2</v>
      </c>
      <c r="AA2394">
        <v>0.98425669999999998</v>
      </c>
      <c r="AB2394">
        <v>31</v>
      </c>
      <c r="AC2394">
        <v>-0.16089999999999799</v>
      </c>
      <c r="AD2394">
        <v>-7.2578999999999894E-2</v>
      </c>
      <c r="AE2394">
        <v>-0.61050000000000104</v>
      </c>
      <c r="AF2394">
        <v>0.147722339763808</v>
      </c>
      <c r="AG2394">
        <v>-7.2578999999999894E-2</v>
      </c>
      <c r="AH2394">
        <v>0.60534863918919402</v>
      </c>
      <c r="AI2394">
        <v>96.643772181304698</v>
      </c>
      <c r="AJ2394">
        <v>76.286220247316905</v>
      </c>
      <c r="AK2394">
        <v>0.62732493643605702</v>
      </c>
      <c r="AL2394">
        <v>87.198484529965896</v>
      </c>
      <c r="AM2394">
        <v>85.535526423539494</v>
      </c>
      <c r="AN2394">
        <v>1.0000000379993801</v>
      </c>
    </row>
    <row r="2395" spans="1:40" x14ac:dyDescent="0.3">
      <c r="A2395" t="str">
        <f>"20200111153922864"</f>
        <v>20200111153922864</v>
      </c>
      <c r="B2395" t="str">
        <f>"1578728362853573"</f>
        <v>1578728362853573</v>
      </c>
      <c r="C2395" t="s">
        <v>40</v>
      </c>
      <c r="D2395">
        <v>5.3643460000000003</v>
      </c>
      <c r="E2395">
        <v>0.53141130000000003</v>
      </c>
      <c r="F2395" t="s">
        <v>41</v>
      </c>
      <c r="G2395">
        <v>-190.5932</v>
      </c>
      <c r="H2395">
        <v>1.0332669999999999</v>
      </c>
      <c r="I2395">
        <v>183.34469999999999</v>
      </c>
      <c r="J2395">
        <v>-190.43809999999999</v>
      </c>
      <c r="K2395">
        <v>1.1042879999999999</v>
      </c>
      <c r="L2395">
        <v>183.93379999999999</v>
      </c>
      <c r="M2395">
        <v>-1.924381E-2</v>
      </c>
      <c r="N2395">
        <v>0</v>
      </c>
      <c r="O2395">
        <v>-0.9996929</v>
      </c>
      <c r="P2395">
        <v>-9.7896700000000003E-2</v>
      </c>
      <c r="Q2395">
        <v>3.2398240000000002E-2</v>
      </c>
      <c r="R2395">
        <v>-0.99466929999999998</v>
      </c>
      <c r="S2395">
        <v>-0.54150390000000004</v>
      </c>
      <c r="T2395">
        <v>-0.23871800000000001</v>
      </c>
      <c r="U2395">
        <v>-2.97139</v>
      </c>
      <c r="V2395">
        <v>7.8823229999999994E-2</v>
      </c>
      <c r="W2395">
        <v>4.7822660000000003E-2</v>
      </c>
      <c r="X2395">
        <v>0.99574090000000004</v>
      </c>
      <c r="Y2395">
        <v>0.15976029999999999</v>
      </c>
      <c r="Z2395">
        <v>7.8898949999999995E-2</v>
      </c>
      <c r="AA2395">
        <v>0.98399780000000003</v>
      </c>
      <c r="AB2395">
        <v>31</v>
      </c>
      <c r="AC2395">
        <v>-0.15510000000000401</v>
      </c>
      <c r="AD2395">
        <v>-7.1021000000000001E-2</v>
      </c>
      <c r="AE2395">
        <v>-0.58910000000000196</v>
      </c>
      <c r="AF2395">
        <v>0.141805911643303</v>
      </c>
      <c r="AG2395">
        <v>-7.1021000000000001E-2</v>
      </c>
      <c r="AH2395">
        <v>0.58403762665936498</v>
      </c>
      <c r="AI2395">
        <v>96.739393622796996</v>
      </c>
      <c r="AJ2395">
        <v>76.3525266104769</v>
      </c>
      <c r="AK2395">
        <v>0.60518827514410101</v>
      </c>
      <c r="AL2395">
        <v>87.258917993151897</v>
      </c>
      <c r="AM2395">
        <v>85.473882564201205</v>
      </c>
      <c r="AN2395">
        <v>1.00000002416495</v>
      </c>
    </row>
    <row r="2396" spans="1:40" x14ac:dyDescent="0.3">
      <c r="A2396" t="str">
        <f>"20200111153922886"</f>
        <v>20200111153922886</v>
      </c>
      <c r="B2396" t="str">
        <f>"1578728362882856"</f>
        <v>1578728362882856</v>
      </c>
      <c r="C2396" t="s">
        <v>40</v>
      </c>
      <c r="D2396">
        <v>5.3742590000000003</v>
      </c>
      <c r="E2396">
        <v>0.53143469999999904</v>
      </c>
      <c r="F2396" t="s">
        <v>41</v>
      </c>
      <c r="G2396">
        <v>-190.59719999999999</v>
      </c>
      <c r="H2396">
        <v>1.033285</v>
      </c>
      <c r="I2396">
        <v>183.07159999999999</v>
      </c>
      <c r="J2396">
        <v>-190.44489999999999</v>
      </c>
      <c r="K2396">
        <v>1.1042459999999901</v>
      </c>
      <c r="L2396">
        <v>183.63470000000001</v>
      </c>
      <c r="M2396">
        <v>-2.0216129999999999E-2</v>
      </c>
      <c r="N2396">
        <v>0</v>
      </c>
      <c r="O2396">
        <v>-0.99967399999999995</v>
      </c>
      <c r="P2396">
        <v>-9.9593570000000006E-2</v>
      </c>
      <c r="Q2396">
        <v>3.1697599999999999E-2</v>
      </c>
      <c r="R2396">
        <v>-0.99452320000000005</v>
      </c>
      <c r="S2396">
        <v>-0.54730219999999996</v>
      </c>
      <c r="T2396">
        <v>-0.24467659999999999</v>
      </c>
      <c r="U2396">
        <v>-2.9701840000000002</v>
      </c>
      <c r="V2396">
        <v>7.9557429999999998E-2</v>
      </c>
      <c r="W2396">
        <v>4.7085340000000003E-2</v>
      </c>
      <c r="X2396">
        <v>0.99571759999999998</v>
      </c>
      <c r="Y2396">
        <v>0.1607006</v>
      </c>
      <c r="Z2396">
        <v>8.0864969999999994E-2</v>
      </c>
      <c r="AA2396">
        <v>0.98368500000000003</v>
      </c>
      <c r="AB2396">
        <v>31</v>
      </c>
      <c r="AC2396">
        <v>-0.15229999999999599</v>
      </c>
      <c r="AD2396">
        <v>-7.0960999999999802E-2</v>
      </c>
      <c r="AE2396">
        <v>-0.56310000000001903</v>
      </c>
      <c r="AF2396">
        <v>0.138829364351271</v>
      </c>
      <c r="AG2396">
        <v>-7.0960999999999802E-2</v>
      </c>
      <c r="AH2396">
        <v>0.55780964169164504</v>
      </c>
      <c r="AI2396">
        <v>97.037430175371199</v>
      </c>
      <c r="AJ2396">
        <v>76.024004420703804</v>
      </c>
      <c r="AK2396">
        <v>0.57918965140214596</v>
      </c>
      <c r="AL2396">
        <v>87.301210834554396</v>
      </c>
      <c r="AM2396">
        <v>85.431795154837502</v>
      </c>
      <c r="AN2396">
        <v>0.99999997643043903</v>
      </c>
    </row>
    <row r="2397" spans="1:40" x14ac:dyDescent="0.3">
      <c r="A2397" t="str">
        <f>"20200111153922909"</f>
        <v>20200111153922909</v>
      </c>
      <c r="B2397" t="str">
        <f>"1578728362903352"</f>
        <v>1578728362903352</v>
      </c>
      <c r="C2397" t="s">
        <v>40</v>
      </c>
      <c r="D2397">
        <v>5.397297</v>
      </c>
      <c r="E2397">
        <v>0.53143109999999905</v>
      </c>
      <c r="F2397" t="s">
        <v>41</v>
      </c>
      <c r="G2397">
        <v>-190.60079999999999</v>
      </c>
      <c r="H2397">
        <v>1.034127</v>
      </c>
      <c r="I2397">
        <v>182.79839999999999</v>
      </c>
      <c r="J2397">
        <v>-190.4522</v>
      </c>
      <c r="K2397">
        <v>1.1042179999999999</v>
      </c>
      <c r="L2397">
        <v>183.32929999999999</v>
      </c>
      <c r="M2397">
        <v>-2.1266210000000001E-2</v>
      </c>
      <c r="N2397">
        <v>0</v>
      </c>
      <c r="O2397">
        <v>-0.99965269999999995</v>
      </c>
      <c r="P2397">
        <v>-0.1019282</v>
      </c>
      <c r="Q2397">
        <v>3.2112300000000003E-2</v>
      </c>
      <c r="R2397">
        <v>-0.99427350000000003</v>
      </c>
      <c r="S2397">
        <v>-0.55291749999999995</v>
      </c>
      <c r="T2397">
        <v>-0.24898960000000001</v>
      </c>
      <c r="U2397">
        <v>-2.9691010000000002</v>
      </c>
      <c r="V2397">
        <v>8.0856079999999997E-2</v>
      </c>
      <c r="W2397">
        <v>4.745924E-2</v>
      </c>
      <c r="X2397">
        <v>0.99559529999999996</v>
      </c>
      <c r="Y2397">
        <v>0.16150519999999999</v>
      </c>
      <c r="Z2397">
        <v>8.2287949999999999E-2</v>
      </c>
      <c r="AA2397">
        <v>0.98343519999999895</v>
      </c>
      <c r="AB2397">
        <v>31</v>
      </c>
      <c r="AC2397">
        <v>-0.14859999999998699</v>
      </c>
      <c r="AD2397">
        <v>-7.0090999999999903E-2</v>
      </c>
      <c r="AE2397">
        <v>-0.53090000000000204</v>
      </c>
      <c r="AF2397">
        <v>0.13509121095916499</v>
      </c>
      <c r="AG2397">
        <v>-7.0090999999999903E-2</v>
      </c>
      <c r="AH2397">
        <v>0.52544726721282597</v>
      </c>
      <c r="AI2397">
        <v>97.361359987836096</v>
      </c>
      <c r="AJ2397">
        <v>75.581661201283495</v>
      </c>
      <c r="AK2397">
        <v>0.54704406968802799</v>
      </c>
      <c r="AL2397">
        <v>87.279764147152704</v>
      </c>
      <c r="AM2397">
        <v>85.356981946161696</v>
      </c>
      <c r="AN2397">
        <v>1.0000000432582099</v>
      </c>
    </row>
    <row r="2398" spans="1:40" x14ac:dyDescent="0.3">
      <c r="A2398" t="str">
        <f>"20200111153922932"</f>
        <v>20200111153922932</v>
      </c>
      <c r="B2398" t="str">
        <f>"1578728362923846"</f>
        <v>1578728362923846</v>
      </c>
      <c r="C2398" t="s">
        <v>40</v>
      </c>
      <c r="D2398">
        <v>5.579612</v>
      </c>
      <c r="E2398">
        <v>0.53151079999999995</v>
      </c>
      <c r="F2398" t="s">
        <v>41</v>
      </c>
      <c r="G2398">
        <v>-190.60419999999999</v>
      </c>
      <c r="H2398">
        <v>1.0366690000000001</v>
      </c>
      <c r="I2398">
        <v>182.52430000000001</v>
      </c>
      <c r="J2398">
        <v>-190.46029999999999</v>
      </c>
      <c r="K2398">
        <v>1.1041920000000001</v>
      </c>
      <c r="L2398">
        <v>183.00989999999999</v>
      </c>
      <c r="M2398">
        <v>-2.2421989999999999E-2</v>
      </c>
      <c r="N2398">
        <v>0</v>
      </c>
      <c r="O2398">
        <v>-0.99962790000000001</v>
      </c>
      <c r="P2398">
        <v>-0.1046054</v>
      </c>
      <c r="Q2398">
        <v>3.2984880000000001E-2</v>
      </c>
      <c r="R2398">
        <v>-0.99396700000000004</v>
      </c>
      <c r="S2398">
        <v>-0.55949399999999905</v>
      </c>
      <c r="T2398">
        <v>-0.24912690000000001</v>
      </c>
      <c r="U2398">
        <v>-2.9679570000000002</v>
      </c>
      <c r="V2398">
        <v>8.2394560000000006E-2</v>
      </c>
      <c r="W2398">
        <v>4.8289409999999998E-2</v>
      </c>
      <c r="X2398">
        <v>0.99542920000000001</v>
      </c>
      <c r="Y2398">
        <v>0.16253689999999901</v>
      </c>
      <c r="Z2398">
        <v>8.2337300000000002E-2</v>
      </c>
      <c r="AA2398">
        <v>0.98326100000000005</v>
      </c>
      <c r="AB2398">
        <v>31</v>
      </c>
      <c r="AC2398">
        <v>-0.143900000000002</v>
      </c>
      <c r="AD2398">
        <v>-6.7523E-2</v>
      </c>
      <c r="AE2398">
        <v>-0.485599999999976</v>
      </c>
      <c r="AF2398">
        <v>0.130652137368194</v>
      </c>
      <c r="AG2398">
        <v>-6.7523E-2</v>
      </c>
      <c r="AH2398">
        <v>0.48017013556500798</v>
      </c>
      <c r="AI2398">
        <v>97.727258897359206</v>
      </c>
      <c r="AJ2398">
        <v>74.778578127079101</v>
      </c>
      <c r="AK2398">
        <v>0.502187908672039</v>
      </c>
      <c r="AL2398">
        <v>87.232144219904399</v>
      </c>
      <c r="AM2398">
        <v>85.268248891408405</v>
      </c>
      <c r="AN2398">
        <v>1.00000001142419</v>
      </c>
    </row>
    <row r="2399" spans="1:40" x14ac:dyDescent="0.3">
      <c r="A2399" t="str">
        <f>"20200111153922955"</f>
        <v>20200111153922955</v>
      </c>
      <c r="B2399" t="str">
        <f>"1578728362943366"</f>
        <v>1578728362943366</v>
      </c>
      <c r="C2399" t="s">
        <v>40</v>
      </c>
      <c r="D2399">
        <v>5.3530759999999997</v>
      </c>
      <c r="E2399">
        <v>0.531502699999999</v>
      </c>
      <c r="F2399" t="s">
        <v>41</v>
      </c>
      <c r="G2399">
        <v>-190.60599999999999</v>
      </c>
      <c r="H2399">
        <v>1.041037</v>
      </c>
      <c r="I2399">
        <v>182.24930000000001</v>
      </c>
      <c r="J2399">
        <v>-190.4684</v>
      </c>
      <c r="K2399">
        <v>1.104185</v>
      </c>
      <c r="L2399">
        <v>182.7029</v>
      </c>
      <c r="M2399">
        <v>-2.3584339999999999E-2</v>
      </c>
      <c r="N2399">
        <v>0</v>
      </c>
      <c r="O2399">
        <v>-0.99960159999999998</v>
      </c>
      <c r="P2399">
        <v>-0.10823149999999999</v>
      </c>
      <c r="Q2399">
        <v>3.4233920000000001E-2</v>
      </c>
      <c r="R2399">
        <v>-0.99353659999999999</v>
      </c>
      <c r="S2399">
        <v>-0.56785580000000002</v>
      </c>
      <c r="T2399">
        <v>-0.2464278</v>
      </c>
      <c r="U2399">
        <v>-2.9666290000000002</v>
      </c>
      <c r="V2399">
        <v>8.4878889999999999E-2</v>
      </c>
      <c r="W2399">
        <v>4.94958E-2</v>
      </c>
      <c r="X2399">
        <v>0.99516119999999997</v>
      </c>
      <c r="Y2399">
        <v>0.1641582</v>
      </c>
      <c r="Z2399">
        <v>8.1451469999999998E-2</v>
      </c>
      <c r="AA2399">
        <v>0.98306550000000004</v>
      </c>
      <c r="AB2399">
        <v>30</v>
      </c>
      <c r="AC2399">
        <v>-0.13759999999999101</v>
      </c>
      <c r="AD2399">
        <v>-6.3147999999999899E-2</v>
      </c>
      <c r="AE2399">
        <v>-0.45359999999999401</v>
      </c>
      <c r="AF2399">
        <v>0.124650319578209</v>
      </c>
      <c r="AG2399">
        <v>-6.3147999999999899E-2</v>
      </c>
      <c r="AH2399">
        <v>0.44875503202901601</v>
      </c>
      <c r="AI2399">
        <v>97.721352374551699</v>
      </c>
      <c r="AJ2399">
        <v>74.476346059049504</v>
      </c>
      <c r="AK2399">
        <v>0.47000686255236002</v>
      </c>
      <c r="AL2399">
        <v>87.162940468972906</v>
      </c>
      <c r="AM2399">
        <v>85.124949943239102</v>
      </c>
      <c r="AN2399">
        <v>1.0000000370853499</v>
      </c>
    </row>
    <row r="2400" spans="1:40" x14ac:dyDescent="0.3">
      <c r="A2400" t="str">
        <f>"20200111153922987"</f>
        <v>20200111153922987</v>
      </c>
      <c r="B2400" t="str">
        <f>"1578728362983382"</f>
        <v>1578728362983382</v>
      </c>
      <c r="C2400" t="s">
        <v>40</v>
      </c>
      <c r="D2400">
        <v>5.373329</v>
      </c>
      <c r="E2400">
        <v>0.53162369999999903</v>
      </c>
      <c r="F2400" t="s">
        <v>42</v>
      </c>
      <c r="G2400">
        <v>-193.1508</v>
      </c>
      <c r="H2400" s="1">
        <v>-5.0402420000000004E-6</v>
      </c>
      <c r="I2400">
        <v>168.95580000000001</v>
      </c>
      <c r="J2400">
        <v>-190.48050000000001</v>
      </c>
      <c r="K2400">
        <v>1.1041620000000001</v>
      </c>
      <c r="L2400">
        <v>182.2741</v>
      </c>
      <c r="M2400">
        <v>-2.5289679999999998E-2</v>
      </c>
      <c r="N2400">
        <v>0</v>
      </c>
      <c r="O2400">
        <v>-0.99956109999999998</v>
      </c>
      <c r="P2400">
        <v>-0.11443150000000001</v>
      </c>
      <c r="Q2400">
        <v>3.5175989999999997E-2</v>
      </c>
      <c r="R2400">
        <v>-0.99280869999999999</v>
      </c>
      <c r="S2400">
        <v>-0.57849119999999998</v>
      </c>
      <c r="T2400">
        <v>-0.23812929999999999</v>
      </c>
      <c r="U2400">
        <v>-2.9646910000000002</v>
      </c>
      <c r="V2400">
        <v>8.9404570000000003E-2</v>
      </c>
      <c r="W2400">
        <v>5.0336369999999998E-2</v>
      </c>
      <c r="X2400">
        <v>0.99472260000000001</v>
      </c>
      <c r="Y2400">
        <v>0.16603519999999999</v>
      </c>
      <c r="Z2400">
        <v>7.8732570000000002E-2</v>
      </c>
      <c r="AA2400">
        <v>0.98297179999999995</v>
      </c>
      <c r="AB2400">
        <v>30</v>
      </c>
      <c r="AC2400">
        <v>-2.6702999999999899</v>
      </c>
      <c r="AD2400">
        <v>-1.1041670402420001</v>
      </c>
      <c r="AE2400">
        <v>-13.318299999999899</v>
      </c>
      <c r="AF2400">
        <v>2.3172780485604401</v>
      </c>
      <c r="AG2400">
        <v>-1.1041670402420001</v>
      </c>
      <c r="AH2400">
        <v>13.2937363758926</v>
      </c>
      <c r="AI2400">
        <v>94.677826244688603</v>
      </c>
      <c r="AJ2400">
        <v>80.111922301879702</v>
      </c>
      <c r="AK2400">
        <v>13.5392905736906</v>
      </c>
      <c r="AL2400">
        <v>87.114719105580605</v>
      </c>
      <c r="AM2400">
        <v>84.864118461706795</v>
      </c>
      <c r="AN2400">
        <v>0.99999998911621002</v>
      </c>
    </row>
    <row r="2401" spans="1:40" x14ac:dyDescent="0.3">
      <c r="A2401" t="str">
        <f>"20200111153923010"</f>
        <v>20200111153923010</v>
      </c>
      <c r="B2401" t="str">
        <f>"1578728363002902"</f>
        <v>1578728363002902</v>
      </c>
      <c r="C2401" t="s">
        <v>40</v>
      </c>
      <c r="D2401">
        <v>5.3543690000000002</v>
      </c>
      <c r="E2401">
        <v>0.53171550000000001</v>
      </c>
      <c r="F2401" t="s">
        <v>42</v>
      </c>
      <c r="G2401">
        <v>-193.35130000000001</v>
      </c>
      <c r="H2401" s="1">
        <v>-4.724124E-6</v>
      </c>
      <c r="I2401">
        <v>168.04</v>
      </c>
      <c r="J2401">
        <v>-190.49010000000001</v>
      </c>
      <c r="K2401">
        <v>1.104115</v>
      </c>
      <c r="L2401">
        <v>181.95320000000001</v>
      </c>
      <c r="M2401">
        <v>-2.6613499999999998E-2</v>
      </c>
      <c r="N2401">
        <v>0</v>
      </c>
      <c r="O2401">
        <v>-0.99952859999999999</v>
      </c>
      <c r="P2401">
        <v>-0.1190938</v>
      </c>
      <c r="Q2401">
        <v>3.5062709999999997E-2</v>
      </c>
      <c r="R2401">
        <v>-0.99226420000000004</v>
      </c>
      <c r="S2401">
        <v>-0.59719849999999997</v>
      </c>
      <c r="T2401">
        <v>-0.2296945</v>
      </c>
      <c r="U2401">
        <v>-2.9610599999999998</v>
      </c>
      <c r="V2401">
        <v>9.2765E-2</v>
      </c>
      <c r="W2401">
        <v>5.0080630000000001E-2</v>
      </c>
      <c r="X2401">
        <v>0.99442770000000003</v>
      </c>
      <c r="Y2401">
        <v>0.17097100000000001</v>
      </c>
      <c r="Z2401">
        <v>7.5969019999999998E-2</v>
      </c>
      <c r="AA2401">
        <v>0.98234299999999997</v>
      </c>
      <c r="AB2401">
        <v>30</v>
      </c>
      <c r="AC2401">
        <v>-2.86119999999999</v>
      </c>
      <c r="AD2401">
        <v>-1.1041197241239999</v>
      </c>
      <c r="AE2401">
        <v>-13.9132</v>
      </c>
      <c r="AF2401">
        <v>2.4749102752135501</v>
      </c>
      <c r="AG2401">
        <v>-1.1041197241239999</v>
      </c>
      <c r="AH2401">
        <v>13.9004380827148</v>
      </c>
      <c r="AI2401">
        <v>94.471472922684896</v>
      </c>
      <c r="AJ2401">
        <v>79.904533984995595</v>
      </c>
      <c r="AK2401">
        <v>14.1621481466247</v>
      </c>
      <c r="AL2401">
        <v>87.129390270233699</v>
      </c>
      <c r="AM2401">
        <v>84.670597249513605</v>
      </c>
      <c r="AN2401">
        <v>0.99999993262674103</v>
      </c>
    </row>
    <row r="2402" spans="1:40" x14ac:dyDescent="0.3">
      <c r="A2402" t="str">
        <f>"20200111153923032"</f>
        <v>20200111153923032</v>
      </c>
      <c r="B2402" t="str">
        <f>"1578728363023411"</f>
        <v>1578728363023411</v>
      </c>
      <c r="C2402" t="s">
        <v>40</v>
      </c>
      <c r="D2402">
        <v>5.4291850000000004</v>
      </c>
      <c r="E2402">
        <v>0.53179670000000001</v>
      </c>
      <c r="F2402" t="s">
        <v>42</v>
      </c>
      <c r="G2402">
        <v>-193.46100000000001</v>
      </c>
      <c r="H2402" s="1">
        <v>-4.5713749999999999E-6</v>
      </c>
      <c r="I2402">
        <v>167.5915</v>
      </c>
      <c r="J2402">
        <v>-190.49940000000001</v>
      </c>
      <c r="K2402">
        <v>1.1040700000000001</v>
      </c>
      <c r="L2402">
        <v>181.654</v>
      </c>
      <c r="M2402">
        <v>-2.7879580000000001E-2</v>
      </c>
      <c r="N2402">
        <v>0</v>
      </c>
      <c r="O2402">
        <v>-0.99949580000000005</v>
      </c>
      <c r="P2402">
        <v>-0.1241213</v>
      </c>
      <c r="Q2402">
        <v>3.4318179999999997E-2</v>
      </c>
      <c r="R2402">
        <v>-0.99167329999999998</v>
      </c>
      <c r="S2402">
        <v>-0.61190800000000001</v>
      </c>
      <c r="T2402">
        <v>-0.22741040000000001</v>
      </c>
      <c r="U2402">
        <v>-2.958008</v>
      </c>
      <c r="V2402">
        <v>9.6547590000000003E-2</v>
      </c>
      <c r="W2402">
        <v>4.917527E-2</v>
      </c>
      <c r="X2402">
        <v>0.99411280000000002</v>
      </c>
      <c r="Y2402">
        <v>0.17461879999999999</v>
      </c>
      <c r="Z2402">
        <v>7.522848E-2</v>
      </c>
      <c r="AA2402">
        <v>0.98175809999999997</v>
      </c>
      <c r="AB2402">
        <v>30</v>
      </c>
      <c r="AC2402">
        <v>-2.96159999999997</v>
      </c>
      <c r="AD2402">
        <v>-1.104074571375</v>
      </c>
      <c r="AE2402">
        <v>-14.0625</v>
      </c>
      <c r="AF2402">
        <v>2.5532763626531501</v>
      </c>
      <c r="AG2402">
        <v>-1.104074571375</v>
      </c>
      <c r="AH2402">
        <v>14.056643098602599</v>
      </c>
      <c r="AI2402">
        <v>94.419042973100602</v>
      </c>
      <c r="AJ2402">
        <v>79.704926876000002</v>
      </c>
      <c r="AK2402">
        <v>14.3292503657635</v>
      </c>
      <c r="AL2402">
        <v>87.181327634824498</v>
      </c>
      <c r="AM2402">
        <v>84.452867919004902</v>
      </c>
      <c r="AN2402">
        <v>0.99999995171910905</v>
      </c>
    </row>
    <row r="2403" spans="1:40" x14ac:dyDescent="0.3">
      <c r="A2403" t="str">
        <f>"20200111153923054"</f>
        <v>20200111153923054</v>
      </c>
      <c r="B2403" t="str">
        <f>"1578728363042921"</f>
        <v>1578728363042921</v>
      </c>
      <c r="C2403" t="s">
        <v>40</v>
      </c>
      <c r="D2403">
        <v>5.5944459999999996</v>
      </c>
      <c r="E2403">
        <v>0.56181709999999996</v>
      </c>
      <c r="F2403" t="s">
        <v>42</v>
      </c>
      <c r="G2403">
        <v>-193.5256</v>
      </c>
      <c r="H2403" s="1">
        <v>-4.5111419999999998E-6</v>
      </c>
      <c r="I2403">
        <v>167.4049</v>
      </c>
      <c r="J2403">
        <v>-190.50919999999999</v>
      </c>
      <c r="K2403">
        <v>1.1040179999999999</v>
      </c>
      <c r="L2403">
        <v>181.35380000000001</v>
      </c>
      <c r="M2403">
        <v>-2.9194290000000001E-2</v>
      </c>
      <c r="N2403">
        <v>0</v>
      </c>
      <c r="O2403">
        <v>-0.99946089999999999</v>
      </c>
      <c r="P2403">
        <v>-0.12891530000000001</v>
      </c>
      <c r="Q2403">
        <v>3.3638189999999998E-2</v>
      </c>
      <c r="R2403">
        <v>-0.99108510000000005</v>
      </c>
      <c r="S2403">
        <v>-0.62747189999999997</v>
      </c>
      <c r="T2403">
        <v>-0.2289293</v>
      </c>
      <c r="U2403">
        <v>-2.9545590000000002</v>
      </c>
      <c r="V2403">
        <v>0.10004929999999999</v>
      </c>
      <c r="W2403">
        <v>4.8308469999999999E-2</v>
      </c>
      <c r="X2403">
        <v>0.99380900000000005</v>
      </c>
      <c r="Y2403">
        <v>0.1784954</v>
      </c>
      <c r="Z2403">
        <v>7.5742950000000003E-2</v>
      </c>
      <c r="AA2403">
        <v>0.98102109999999998</v>
      </c>
      <c r="AB2403">
        <v>30</v>
      </c>
      <c r="AC2403">
        <v>-3.0164</v>
      </c>
      <c r="AD2403">
        <v>-1.1040225111419999</v>
      </c>
      <c r="AE2403">
        <v>-13.9489</v>
      </c>
      <c r="AF2403">
        <v>2.5923260399789898</v>
      </c>
      <c r="AG2403">
        <v>-1.1040225111419999</v>
      </c>
      <c r="AH2403">
        <v>13.9475554864838</v>
      </c>
      <c r="AI2403">
        <v>94.449931784004207</v>
      </c>
      <c r="AJ2403">
        <v>79.471012898756896</v>
      </c>
      <c r="AK2403">
        <v>14.2293121425881</v>
      </c>
      <c r="AL2403">
        <v>87.2310507150153</v>
      </c>
      <c r="AM2403">
        <v>84.251255874331903</v>
      </c>
      <c r="AN2403">
        <v>0.99999994959261396</v>
      </c>
    </row>
    <row r="2404" spans="1:40" x14ac:dyDescent="0.3">
      <c r="A2404" t="str">
        <f>"20200111153923076"</f>
        <v>20200111153923076</v>
      </c>
      <c r="B2404" t="str">
        <f>"1578728363063414"</f>
        <v>1578728363063414</v>
      </c>
      <c r="C2404" t="s">
        <v>40</v>
      </c>
      <c r="D2404">
        <v>5.473293</v>
      </c>
      <c r="E2404">
        <v>0.56782049999999995</v>
      </c>
      <c r="F2404" t="s">
        <v>42</v>
      </c>
      <c r="G2404">
        <v>-194.5746</v>
      </c>
      <c r="H2404" s="1">
        <v>-4.8666720000000004E-6</v>
      </c>
      <c r="I2404">
        <v>167.84610000000001</v>
      </c>
      <c r="J2404">
        <v>-190.5188</v>
      </c>
      <c r="K2404">
        <v>1.103952</v>
      </c>
      <c r="L2404">
        <v>181.0712</v>
      </c>
      <c r="M2404">
        <v>-3.0481620000000001E-2</v>
      </c>
      <c r="N2404">
        <v>0</v>
      </c>
      <c r="O2404">
        <v>-0.99942489999999995</v>
      </c>
      <c r="P2404">
        <v>-0.1338405</v>
      </c>
      <c r="Q2404">
        <v>3.2146769999999998E-2</v>
      </c>
      <c r="R2404">
        <v>-0.99048139999999996</v>
      </c>
      <c r="S2404">
        <v>-0.87904359999999904</v>
      </c>
      <c r="T2404">
        <v>-0.23872090000000001</v>
      </c>
      <c r="U2404">
        <v>-2.9207459999999998</v>
      </c>
      <c r="V2404">
        <v>0.10370890000000001</v>
      </c>
      <c r="W2404">
        <v>4.6633330000000001E-2</v>
      </c>
      <c r="X2404">
        <v>0.99351389999999995</v>
      </c>
      <c r="Y2404">
        <v>0.25798670000000001</v>
      </c>
      <c r="Z2404">
        <v>7.8302910000000003E-2</v>
      </c>
      <c r="AA2404">
        <v>0.96297010000000005</v>
      </c>
      <c r="AB2404">
        <v>30</v>
      </c>
      <c r="AC2404">
        <v>-4.0557999999999996</v>
      </c>
      <c r="AD2404">
        <v>-1.1039568666719899</v>
      </c>
      <c r="AE2404">
        <v>-13.2250999999999</v>
      </c>
      <c r="AF2404">
        <v>3.6276436269594701</v>
      </c>
      <c r="AG2404">
        <v>-1.1039568666719899</v>
      </c>
      <c r="AH2404">
        <v>13.258153478413799</v>
      </c>
      <c r="AI2404">
        <v>94.591804601022602</v>
      </c>
      <c r="AJ2404">
        <v>74.697494095125293</v>
      </c>
      <c r="AK2404">
        <v>13.789748101574199</v>
      </c>
      <c r="AL2404">
        <v>87.327137741808798</v>
      </c>
      <c r="AM2404">
        <v>84.040707642549194</v>
      </c>
      <c r="AN2404">
        <v>1.00000003644965</v>
      </c>
    </row>
    <row r="2405" spans="1:40" x14ac:dyDescent="0.3">
      <c r="A2405" t="str">
        <f>"20200111153923098"</f>
        <v>20200111153923098</v>
      </c>
      <c r="B2405" t="str">
        <f>"1578728363082934"</f>
        <v>1578728363082934</v>
      </c>
      <c r="C2405" t="s">
        <v>40</v>
      </c>
      <c r="D2405">
        <v>5.4801650000000004</v>
      </c>
      <c r="E2405">
        <v>0.56866870000000003</v>
      </c>
      <c r="F2405" t="s">
        <v>42</v>
      </c>
      <c r="G2405">
        <v>-194.92269999999999</v>
      </c>
      <c r="H2405" s="1">
        <v>-4.7779340000000001E-6</v>
      </c>
      <c r="I2405">
        <v>167.45429999999999</v>
      </c>
      <c r="J2405">
        <v>-190.52979999999999</v>
      </c>
      <c r="K2405">
        <v>1.1038829999999999</v>
      </c>
      <c r="L2405">
        <v>180.76320000000001</v>
      </c>
      <c r="M2405">
        <v>-3.1947679999999999E-2</v>
      </c>
      <c r="N2405">
        <v>0</v>
      </c>
      <c r="O2405">
        <v>-0.99938170000000004</v>
      </c>
      <c r="P2405">
        <v>-0.13846559999999999</v>
      </c>
      <c r="Q2405">
        <v>3.1410840000000002E-2</v>
      </c>
      <c r="R2405">
        <v>-0.9898692</v>
      </c>
      <c r="S2405">
        <v>-0.94090269999999998</v>
      </c>
      <c r="T2405">
        <v>-0.2358661</v>
      </c>
      <c r="U2405">
        <v>-2.909332</v>
      </c>
      <c r="V2405">
        <v>0.10689510000000001</v>
      </c>
      <c r="W2405">
        <v>4.5703050000000002E-2</v>
      </c>
      <c r="X2405">
        <v>0.99321930000000003</v>
      </c>
      <c r="Y2405">
        <v>0.27624080000000001</v>
      </c>
      <c r="Z2405">
        <v>7.7217540000000001E-2</v>
      </c>
      <c r="AA2405">
        <v>0.95798150000000004</v>
      </c>
      <c r="AB2405">
        <v>30</v>
      </c>
      <c r="AC2405">
        <v>-4.3928999999999903</v>
      </c>
      <c r="AD2405">
        <v>-1.1038877779339999</v>
      </c>
      <c r="AE2405">
        <v>-13.3089</v>
      </c>
      <c r="AF2405">
        <v>3.9409739889264701</v>
      </c>
      <c r="AG2405">
        <v>-1.1038877779339999</v>
      </c>
      <c r="AH2405">
        <v>13.359583456150199</v>
      </c>
      <c r="AI2405">
        <v>94.531364378664605</v>
      </c>
      <c r="AJ2405">
        <v>73.564347667031896</v>
      </c>
      <c r="AK2405">
        <v>13.9724126166353</v>
      </c>
      <c r="AL2405">
        <v>87.380495541533904</v>
      </c>
      <c r="AM2405">
        <v>83.857193853091701</v>
      </c>
      <c r="AN2405">
        <v>0.99999995453790003</v>
      </c>
    </row>
    <row r="2406" spans="1:40" x14ac:dyDescent="0.3">
      <c r="A2406" t="str">
        <f>"20200111153923122"</f>
        <v>20200111153923122</v>
      </c>
      <c r="B2406" t="str">
        <f>"1578728363113190"</f>
        <v>1578728363113190</v>
      </c>
      <c r="C2406" t="s">
        <v>40</v>
      </c>
      <c r="D2406">
        <v>5.5148020000000004</v>
      </c>
      <c r="E2406">
        <v>0.56858089999999994</v>
      </c>
      <c r="F2406" t="s">
        <v>42</v>
      </c>
      <c r="G2406">
        <v>-195.04490000000001</v>
      </c>
      <c r="H2406" s="1">
        <v>-4.6716840000000001E-6</v>
      </c>
      <c r="I2406">
        <v>167.12110000000001</v>
      </c>
      <c r="J2406">
        <v>-190.54230000000001</v>
      </c>
      <c r="K2406">
        <v>1.103807</v>
      </c>
      <c r="L2406">
        <v>180.4307</v>
      </c>
      <c r="M2406">
        <v>-3.3595279999999998E-2</v>
      </c>
      <c r="N2406">
        <v>0</v>
      </c>
      <c r="O2406">
        <v>-0.99933019999999995</v>
      </c>
      <c r="P2406">
        <v>-0.1427744</v>
      </c>
      <c r="Q2406">
        <v>3.0959489999999999E-2</v>
      </c>
      <c r="R2406">
        <v>-0.98927140000000002</v>
      </c>
      <c r="S2406">
        <v>-0.96102909999999997</v>
      </c>
      <c r="T2406">
        <v>-0.23496159999999999</v>
      </c>
      <c r="U2406">
        <v>-2.9037169999999999</v>
      </c>
      <c r="V2406">
        <v>0.1095868</v>
      </c>
      <c r="W2406">
        <v>4.5053309999999999E-2</v>
      </c>
      <c r="X2406">
        <v>0.9929557</v>
      </c>
      <c r="Y2406">
        <v>0.28119949999999999</v>
      </c>
      <c r="Z2406">
        <v>7.6920600000000006E-2</v>
      </c>
      <c r="AA2406">
        <v>0.95656160000000001</v>
      </c>
      <c r="AB2406">
        <v>30</v>
      </c>
      <c r="AC2406">
        <v>-4.5026000000000002</v>
      </c>
      <c r="AD2406">
        <v>-1.1038116716840001</v>
      </c>
      <c r="AE2406">
        <v>-13.3095999999999</v>
      </c>
      <c r="AF2406">
        <v>4.0280115446342997</v>
      </c>
      <c r="AG2406">
        <v>-1.1038116716840001</v>
      </c>
      <c r="AH2406">
        <v>13.370847239935999</v>
      </c>
      <c r="AI2406">
        <v>94.519530400759905</v>
      </c>
      <c r="AJ2406">
        <v>73.234900097186497</v>
      </c>
      <c r="AK2406">
        <v>14.007956065178</v>
      </c>
      <c r="AL2406">
        <v>87.417761525158696</v>
      </c>
      <c r="AM2406">
        <v>83.702082481282503</v>
      </c>
      <c r="AN2406">
        <v>1.00000004481934</v>
      </c>
    </row>
    <row r="2407" spans="1:40" x14ac:dyDescent="0.3">
      <c r="A2407" t="str">
        <f>"20200111153923144"</f>
        <v>20200111153923144</v>
      </c>
      <c r="B2407" t="str">
        <f>"1578728363132710"</f>
        <v>1578728363132710</v>
      </c>
      <c r="C2407" t="s">
        <v>40</v>
      </c>
      <c r="D2407">
        <v>5.4599520000000004</v>
      </c>
      <c r="E2407">
        <v>0.56855069999999996</v>
      </c>
      <c r="F2407" t="s">
        <v>42</v>
      </c>
      <c r="G2407">
        <v>-195.08199999999999</v>
      </c>
      <c r="H2407" s="1">
        <v>-4.5924699999999899E-6</v>
      </c>
      <c r="I2407">
        <v>166.89769999999999</v>
      </c>
      <c r="J2407">
        <v>-190.55340000000001</v>
      </c>
      <c r="K2407">
        <v>1.1037360000000001</v>
      </c>
      <c r="L2407">
        <v>180.14670000000001</v>
      </c>
      <c r="M2407">
        <v>-3.5065470000000001E-2</v>
      </c>
      <c r="N2407">
        <v>0</v>
      </c>
      <c r="O2407">
        <v>-0.999282</v>
      </c>
      <c r="P2407">
        <v>-0.14632619999999999</v>
      </c>
      <c r="Q2407">
        <v>2.99718E-2</v>
      </c>
      <c r="R2407">
        <v>-0.98878250000000001</v>
      </c>
      <c r="S2407">
        <v>-0.97267150000000002</v>
      </c>
      <c r="T2407">
        <v>-0.2365023</v>
      </c>
      <c r="U2407">
        <v>-2.8995669999999998</v>
      </c>
      <c r="V2407">
        <v>0.1116935</v>
      </c>
      <c r="W2407">
        <v>4.3907179999999997E-2</v>
      </c>
      <c r="X2407">
        <v>0.99277219999999999</v>
      </c>
      <c r="Y2407">
        <v>0.28363929999999998</v>
      </c>
      <c r="Z2407">
        <v>7.7444390000000002E-2</v>
      </c>
      <c r="AA2407">
        <v>0.9557987</v>
      </c>
      <c r="AB2407">
        <v>30</v>
      </c>
      <c r="AC2407">
        <v>-4.5285999999999804</v>
      </c>
      <c r="AD2407">
        <v>-1.1037405924699999</v>
      </c>
      <c r="AE2407">
        <v>-13.249000000000001</v>
      </c>
      <c r="AF2407">
        <v>4.0361033172989504</v>
      </c>
      <c r="AG2407">
        <v>-1.1037405924699999</v>
      </c>
      <c r="AH2407">
        <v>13.316911301387499</v>
      </c>
      <c r="AI2407">
        <v>94.535181879652697</v>
      </c>
      <c r="AJ2407">
        <v>73.138938785380404</v>
      </c>
      <c r="AK2407">
        <v>13.958814415716001</v>
      </c>
      <c r="AL2407">
        <v>87.483494782154295</v>
      </c>
      <c r="AM2407">
        <v>83.5808355581011</v>
      </c>
      <c r="AN2407">
        <v>0.99999995974531997</v>
      </c>
    </row>
    <row r="2408" spans="1:40" x14ac:dyDescent="0.3">
      <c r="A2408" t="str">
        <f>"20200111153923165"</f>
        <v>20200111153923165</v>
      </c>
      <c r="B2408" t="str">
        <f>"1578728363153206"</f>
        <v>1578728363153206</v>
      </c>
      <c r="C2408" t="s">
        <v>40</v>
      </c>
      <c r="D2408">
        <v>5.6151879999999998</v>
      </c>
      <c r="E2408">
        <v>0.56866000000000005</v>
      </c>
      <c r="F2408" t="s">
        <v>42</v>
      </c>
      <c r="G2408">
        <v>-195.11760000000001</v>
      </c>
      <c r="H2408" s="1">
        <v>-4.5198229999999999E-6</v>
      </c>
      <c r="I2408">
        <v>166.69210000000001</v>
      </c>
      <c r="J2408">
        <v>-190.565</v>
      </c>
      <c r="K2408">
        <v>1.103666</v>
      </c>
      <c r="L2408">
        <v>179.8622</v>
      </c>
      <c r="M2408">
        <v>-3.6615059999999998E-2</v>
      </c>
      <c r="N2408">
        <v>0</v>
      </c>
      <c r="O2408">
        <v>-0.99922800000000001</v>
      </c>
      <c r="P2408">
        <v>-0.14944379999999999</v>
      </c>
      <c r="Q2408">
        <v>2.8399790000000001E-2</v>
      </c>
      <c r="R2408">
        <v>-0.98836239999999997</v>
      </c>
      <c r="S2408">
        <v>-0.98236080000000003</v>
      </c>
      <c r="T2408">
        <v>-0.23756350000000001</v>
      </c>
      <c r="U2408">
        <v>-2.8958889999999999</v>
      </c>
      <c r="V2408">
        <v>0.1132845</v>
      </c>
      <c r="W2408">
        <v>4.2187870000000002E-2</v>
      </c>
      <c r="X2408">
        <v>0.99266650000000001</v>
      </c>
      <c r="Y2408">
        <v>0.28537990000000002</v>
      </c>
      <c r="Z2408">
        <v>7.7815369999999995E-2</v>
      </c>
      <c r="AA2408">
        <v>0.9552503</v>
      </c>
      <c r="AB2408">
        <v>30</v>
      </c>
      <c r="AC2408">
        <v>-4.5526000000000098</v>
      </c>
      <c r="AD2408">
        <v>-1.1036705198229999</v>
      </c>
      <c r="AE2408">
        <v>-13.1700999999999</v>
      </c>
      <c r="AF2408">
        <v>4.0419185118541199</v>
      </c>
      <c r="AG2408">
        <v>-1.1036705198229999</v>
      </c>
      <c r="AH2408">
        <v>13.2448915236487</v>
      </c>
      <c r="AI2408">
        <v>94.556813113904397</v>
      </c>
      <c r="AJ2408">
        <v>73.029482297816401</v>
      </c>
      <c r="AK2408">
        <v>13.8918085700177</v>
      </c>
      <c r="AL2408">
        <v>87.582095471861905</v>
      </c>
      <c r="AM2408">
        <v>83.489491026746606</v>
      </c>
      <c r="AN2408">
        <v>0.999999987268818</v>
      </c>
    </row>
    <row r="2409" spans="1:40" x14ac:dyDescent="0.3">
      <c r="A2409" t="str">
        <f>"20200111153923188"</f>
        <v>20200111153923188</v>
      </c>
      <c r="B2409" t="str">
        <f>"1578728363183464"</f>
        <v>1578728363183464</v>
      </c>
      <c r="C2409" t="s">
        <v>40</v>
      </c>
      <c r="D2409">
        <v>5.4977559999999999</v>
      </c>
      <c r="E2409">
        <v>0.56852939999999996</v>
      </c>
      <c r="F2409" t="s">
        <v>42</v>
      </c>
      <c r="G2409">
        <v>-195.03</v>
      </c>
      <c r="H2409" s="1">
        <v>-4.5645439999999996E-6</v>
      </c>
      <c r="I2409">
        <v>166.84899999999999</v>
      </c>
      <c r="J2409">
        <v>-190.57839999999999</v>
      </c>
      <c r="K2409">
        <v>1.1035969999999999</v>
      </c>
      <c r="L2409">
        <v>179.54990000000001</v>
      </c>
      <c r="M2409">
        <v>-3.8416510000000001E-2</v>
      </c>
      <c r="N2409">
        <v>0</v>
      </c>
      <c r="O2409">
        <v>-0.9991622</v>
      </c>
      <c r="P2409">
        <v>-0.15212429999999999</v>
      </c>
      <c r="Q2409">
        <v>2.7899E-2</v>
      </c>
      <c r="R2409">
        <v>-0.98796799999999996</v>
      </c>
      <c r="S2409">
        <v>-0.99238590000000004</v>
      </c>
      <c r="T2409">
        <v>-0.2453024</v>
      </c>
      <c r="U2409">
        <v>-2.8923190000000001</v>
      </c>
      <c r="V2409">
        <v>0.1141928</v>
      </c>
      <c r="W2409">
        <v>4.1538510000000001E-2</v>
      </c>
      <c r="X2409">
        <v>0.99258979999999997</v>
      </c>
      <c r="Y2409">
        <v>0.28691100000000003</v>
      </c>
      <c r="Z2409">
        <v>8.0356259999999999E-2</v>
      </c>
      <c r="AA2409">
        <v>0.95458109999999996</v>
      </c>
      <c r="AB2409">
        <v>30</v>
      </c>
      <c r="AC2409">
        <v>-4.4516000000000098</v>
      </c>
      <c r="AD2409">
        <v>-1.103601564544</v>
      </c>
      <c r="AE2409">
        <v>-12.700899999999899</v>
      </c>
      <c r="AF2409">
        <v>3.93388848804695</v>
      </c>
      <c r="AG2409">
        <v>-1.103601564544</v>
      </c>
      <c r="AH2409">
        <v>12.776642834093799</v>
      </c>
      <c r="AI2409">
        <v>94.719185459531801</v>
      </c>
      <c r="AJ2409">
        <v>72.886564143841099</v>
      </c>
      <c r="AK2409">
        <v>13.4140231533889</v>
      </c>
      <c r="AL2409">
        <v>87.619333681260798</v>
      </c>
      <c r="AM2409">
        <v>83.437241496618896</v>
      </c>
      <c r="AN2409">
        <v>0.999999977224449</v>
      </c>
    </row>
    <row r="2410" spans="1:40" x14ac:dyDescent="0.3">
      <c r="A2410" t="str">
        <f>"20200111153923210"</f>
        <v>20200111153923210</v>
      </c>
      <c r="B2410" t="str">
        <f>"1578728363202982"</f>
        <v>1578728363202982</v>
      </c>
      <c r="C2410" t="s">
        <v>40</v>
      </c>
      <c r="D2410">
        <v>5.4302109999999999</v>
      </c>
      <c r="E2410">
        <v>0.56833829999999996</v>
      </c>
      <c r="F2410" t="s">
        <v>42</v>
      </c>
      <c r="G2410">
        <v>-195.0367</v>
      </c>
      <c r="H2410" s="1">
        <v>-4.4914029999999998E-6</v>
      </c>
      <c r="I2410">
        <v>166.65549999999999</v>
      </c>
      <c r="J2410">
        <v>-190.59180000000001</v>
      </c>
      <c r="K2410">
        <v>1.1035239999999999</v>
      </c>
      <c r="L2410">
        <v>179.2509</v>
      </c>
      <c r="M2410">
        <v>-4.0244330000000002E-2</v>
      </c>
      <c r="N2410">
        <v>0</v>
      </c>
      <c r="O2410">
        <v>-0.99909150000000002</v>
      </c>
      <c r="P2410">
        <v>-0.15508959999999999</v>
      </c>
      <c r="Q2410">
        <v>2.8369459999999999E-2</v>
      </c>
      <c r="R2410">
        <v>-0.98749290000000001</v>
      </c>
      <c r="S2410">
        <v>-0.99911499999999998</v>
      </c>
      <c r="T2410">
        <v>-0.2473216</v>
      </c>
      <c r="U2410">
        <v>-2.889694</v>
      </c>
      <c r="V2410">
        <v>0.11536730000000001</v>
      </c>
      <c r="W2410">
        <v>4.1876289999999997E-2</v>
      </c>
      <c r="X2410">
        <v>0.99243979999999998</v>
      </c>
      <c r="Y2410">
        <v>0.28739429999999999</v>
      </c>
      <c r="Z2410">
        <v>8.1037780000000004E-2</v>
      </c>
      <c r="AA2410">
        <v>0.95437810000000001</v>
      </c>
      <c r="AB2410">
        <v>30</v>
      </c>
      <c r="AC2410">
        <v>-4.4448999999999899</v>
      </c>
      <c r="AD2410">
        <v>-1.1035284914029999</v>
      </c>
      <c r="AE2410">
        <v>-12.5954</v>
      </c>
      <c r="AF2410">
        <v>3.9076810660093901</v>
      </c>
      <c r="AG2410">
        <v>-1.1035284914029999</v>
      </c>
      <c r="AH2410">
        <v>12.677556086048201</v>
      </c>
      <c r="AI2410">
        <v>94.755136376735194</v>
      </c>
      <c r="AJ2410">
        <v>72.868810477672895</v>
      </c>
      <c r="AK2410">
        <v>13.3119560831563</v>
      </c>
      <c r="AL2410">
        <v>87.599963505394896</v>
      </c>
      <c r="AM2410">
        <v>83.369346726973106</v>
      </c>
      <c r="AN2410">
        <v>0.99999999709874698</v>
      </c>
    </row>
    <row r="2411" spans="1:40" x14ac:dyDescent="0.3">
      <c r="A2411" t="str">
        <f>"20200111153923233"</f>
        <v>20200111153923233</v>
      </c>
      <c r="B2411" t="str">
        <f>"1578728363223477"</f>
        <v>1578728363223477</v>
      </c>
      <c r="C2411" t="s">
        <v>40</v>
      </c>
      <c r="D2411">
        <v>5.4722059999999999</v>
      </c>
      <c r="E2411">
        <v>0.56814949999999997</v>
      </c>
      <c r="F2411" t="s">
        <v>42</v>
      </c>
      <c r="G2411">
        <v>-195.06809999999999</v>
      </c>
      <c r="H2411" s="1">
        <v>-4.4030099999999999E-6</v>
      </c>
      <c r="I2411">
        <v>166.41079999999999</v>
      </c>
      <c r="J2411">
        <v>-190.6062</v>
      </c>
      <c r="K2411">
        <v>1.103443</v>
      </c>
      <c r="L2411">
        <v>178.94630000000001</v>
      </c>
      <c r="M2411">
        <v>-4.2209700000000003E-2</v>
      </c>
      <c r="N2411">
        <v>0</v>
      </c>
      <c r="O2411">
        <v>-0.99901209999999996</v>
      </c>
      <c r="P2411">
        <v>-0.1582307</v>
      </c>
      <c r="Q2411">
        <v>2.896837E-2</v>
      </c>
      <c r="R2411">
        <v>-0.98697729999999995</v>
      </c>
      <c r="S2411">
        <v>-1.00647</v>
      </c>
      <c r="T2411">
        <v>-0.24812500000000001</v>
      </c>
      <c r="U2411">
        <v>-2.887054</v>
      </c>
      <c r="V2411">
        <v>0.1165842</v>
      </c>
      <c r="W2411">
        <v>4.2350329999999999E-2</v>
      </c>
      <c r="X2411">
        <v>0.99227739999999998</v>
      </c>
      <c r="Y2411">
        <v>0.28794209999999998</v>
      </c>
      <c r="Z2411">
        <v>8.1319290000000002E-2</v>
      </c>
      <c r="AA2411">
        <v>0.95418890000000001</v>
      </c>
      <c r="AB2411">
        <v>30</v>
      </c>
      <c r="AC2411">
        <v>-4.4618999999999804</v>
      </c>
      <c r="AD2411">
        <v>-1.1034474030100001</v>
      </c>
      <c r="AE2411">
        <v>-12.535500000000001</v>
      </c>
      <c r="AF2411">
        <v>3.90191745446737</v>
      </c>
      <c r="AG2411">
        <v>-1.1034474030100001</v>
      </c>
      <c r="AH2411">
        <v>12.625848581293001</v>
      </c>
      <c r="AI2411">
        <v>94.773092345110598</v>
      </c>
      <c r="AJ2411">
        <v>72.826654505856794</v>
      </c>
      <c r="AK2411">
        <v>13.2610183768225</v>
      </c>
      <c r="AL2411">
        <v>87.572778739406203</v>
      </c>
      <c r="AM2411">
        <v>83.298952267472302</v>
      </c>
      <c r="AN2411">
        <v>0.99999993234575202</v>
      </c>
    </row>
    <row r="2412" spans="1:40" x14ac:dyDescent="0.3">
      <c r="A2412" t="str">
        <f>"20200111153923254"</f>
        <v>20200111153923254</v>
      </c>
      <c r="B2412" t="str">
        <f>"1578728363243001"</f>
        <v>1578728363243001</v>
      </c>
      <c r="C2412" t="s">
        <v>40</v>
      </c>
      <c r="D2412">
        <v>5.4970299999999996</v>
      </c>
      <c r="E2412">
        <v>0.56800079999999997</v>
      </c>
      <c r="F2412" t="s">
        <v>42</v>
      </c>
      <c r="G2412">
        <v>-195.0701</v>
      </c>
      <c r="H2412" s="1">
        <v>-4.3404469999999901E-6</v>
      </c>
      <c r="I2412">
        <v>166.24690000000001</v>
      </c>
      <c r="J2412">
        <v>-190.62020000000001</v>
      </c>
      <c r="K2412">
        <v>1.1033660000000001</v>
      </c>
      <c r="L2412">
        <v>178.66220000000001</v>
      </c>
      <c r="M2412">
        <v>-4.4129790000000002E-2</v>
      </c>
      <c r="N2412">
        <v>0</v>
      </c>
      <c r="O2412">
        <v>-0.99893010000000004</v>
      </c>
      <c r="P2412">
        <v>-0.1615172</v>
      </c>
      <c r="Q2412">
        <v>2.9942819999999998E-2</v>
      </c>
      <c r="R2412">
        <v>-0.98641590000000001</v>
      </c>
      <c r="S2412">
        <v>-1.0138849999999999</v>
      </c>
      <c r="T2412">
        <v>-0.25062499999999999</v>
      </c>
      <c r="U2412">
        <v>-2.8843990000000002</v>
      </c>
      <c r="V2412">
        <v>0.11799469999999999</v>
      </c>
      <c r="W2412">
        <v>4.3218319999999998E-2</v>
      </c>
      <c r="X2412">
        <v>0.99207330000000005</v>
      </c>
      <c r="Y2412">
        <v>0.28853770000000001</v>
      </c>
      <c r="Z2412">
        <v>8.215219E-2</v>
      </c>
      <c r="AA2412">
        <v>0.95393760000000005</v>
      </c>
      <c r="AB2412">
        <v>30</v>
      </c>
      <c r="AC2412">
        <v>-4.44989999999998</v>
      </c>
      <c r="AD2412">
        <v>-1.1033703404469899</v>
      </c>
      <c r="AE2412">
        <v>-12.4153</v>
      </c>
      <c r="AF2412">
        <v>3.87053699961821</v>
      </c>
      <c r="AG2412">
        <v>-1.1033703404469899</v>
      </c>
      <c r="AH2412">
        <v>12.512022269179599</v>
      </c>
      <c r="AI2412">
        <v>94.815566271793998</v>
      </c>
      <c r="AJ2412">
        <v>72.810785707620894</v>
      </c>
      <c r="AK2412">
        <v>13.143408387402401</v>
      </c>
      <c r="AL2412">
        <v>87.523001164750298</v>
      </c>
      <c r="AM2412">
        <v>83.2172477256901</v>
      </c>
      <c r="AN2412">
        <v>1.0000000024922999</v>
      </c>
    </row>
    <row r="2413" spans="1:40" x14ac:dyDescent="0.3">
      <c r="A2413" t="str">
        <f>"20200111153923277"</f>
        <v>20200111153923277</v>
      </c>
      <c r="B2413" t="str">
        <f>"1578728363273254"</f>
        <v>1578728363273254</v>
      </c>
      <c r="C2413" t="s">
        <v>40</v>
      </c>
      <c r="D2413">
        <v>5.4756710000000002</v>
      </c>
      <c r="E2413">
        <v>0.56770969999999998</v>
      </c>
      <c r="F2413" t="s">
        <v>42</v>
      </c>
      <c r="G2413">
        <v>-195.16890000000001</v>
      </c>
      <c r="H2413" s="1">
        <v>-4.2015109999999996E-6</v>
      </c>
      <c r="I2413">
        <v>165.83949999999999</v>
      </c>
      <c r="J2413">
        <v>-190.63570000000001</v>
      </c>
      <c r="K2413">
        <v>1.1032949999999999</v>
      </c>
      <c r="L2413">
        <v>178.3629</v>
      </c>
      <c r="M2413">
        <v>-4.6225629999999997E-2</v>
      </c>
      <c r="N2413">
        <v>0</v>
      </c>
      <c r="O2413">
        <v>-0.99883619999999995</v>
      </c>
      <c r="P2413">
        <v>-0.16488069999999999</v>
      </c>
      <c r="Q2413">
        <v>2.96247E-2</v>
      </c>
      <c r="R2413">
        <v>-0.98586870000000004</v>
      </c>
      <c r="S2413">
        <v>-1.0221709999999999</v>
      </c>
      <c r="T2413">
        <v>-0.24794359999999999</v>
      </c>
      <c r="U2413">
        <v>-2.8814700000000002</v>
      </c>
      <c r="V2413">
        <v>0.1193018</v>
      </c>
      <c r="W2413">
        <v>4.2804340000000003E-2</v>
      </c>
      <c r="X2413">
        <v>0.99193489999999995</v>
      </c>
      <c r="Y2413">
        <v>0.28929490000000002</v>
      </c>
      <c r="Z2413">
        <v>8.1298029999999993E-2</v>
      </c>
      <c r="AA2413">
        <v>0.95378149999999995</v>
      </c>
      <c r="AB2413">
        <v>30</v>
      </c>
      <c r="AC2413">
        <v>-4.5331999999999901</v>
      </c>
      <c r="AD2413">
        <v>-1.1032992015109999</v>
      </c>
      <c r="AE2413">
        <v>-12.523400000000001</v>
      </c>
      <c r="AF2413">
        <v>3.9224791438036801</v>
      </c>
      <c r="AG2413">
        <v>-1.1032992015109999</v>
      </c>
      <c r="AH2413">
        <v>12.632889665744701</v>
      </c>
      <c r="AI2413">
        <v>94.767853876970406</v>
      </c>
      <c r="AJ2413">
        <v>72.750568217128702</v>
      </c>
      <c r="AK2413">
        <v>13.2737716218304</v>
      </c>
      <c r="AL2413">
        <v>87.546742407670493</v>
      </c>
      <c r="AM2413">
        <v>83.141874923066993</v>
      </c>
      <c r="AN2413">
        <v>0.99999998842204196</v>
      </c>
    </row>
    <row r="2414" spans="1:40" x14ac:dyDescent="0.3">
      <c r="A2414" t="str">
        <f>"20200111153923299"</f>
        <v>20200111153923299</v>
      </c>
      <c r="B2414" t="str">
        <f>"1578728363293751"</f>
        <v>1578728363293751</v>
      </c>
      <c r="C2414" t="s">
        <v>40</v>
      </c>
      <c r="D2414">
        <v>5.4900099999999998</v>
      </c>
      <c r="E2414">
        <v>0.56750100000000003</v>
      </c>
      <c r="F2414" t="s">
        <v>42</v>
      </c>
      <c r="G2414">
        <v>-195.12209999999999</v>
      </c>
      <c r="H2414" s="1">
        <v>-4.1837829999999998E-6</v>
      </c>
      <c r="I2414">
        <v>165.81489999999999</v>
      </c>
      <c r="J2414">
        <v>-190.6524</v>
      </c>
      <c r="K2414">
        <v>1.1032379999999999</v>
      </c>
      <c r="L2414">
        <v>178.05359999999999</v>
      </c>
      <c r="M2414">
        <v>-4.844093E-2</v>
      </c>
      <c r="N2414">
        <v>0</v>
      </c>
      <c r="O2414">
        <v>-0.99873219999999996</v>
      </c>
      <c r="P2414">
        <v>-0.16916239999999999</v>
      </c>
      <c r="Q2414">
        <v>2.8341559999999998E-2</v>
      </c>
      <c r="R2414">
        <v>-0.98518079999999997</v>
      </c>
      <c r="S2414">
        <v>-1.029175</v>
      </c>
      <c r="T2414">
        <v>-0.25309619999999999</v>
      </c>
      <c r="U2414">
        <v>-2.8784939999999999</v>
      </c>
      <c r="V2414">
        <v>0.12140910000000001</v>
      </c>
      <c r="W2414">
        <v>4.1431780000000001E-2</v>
      </c>
      <c r="X2414">
        <v>0.99173750000000005</v>
      </c>
      <c r="Y2414">
        <v>0.289495</v>
      </c>
      <c r="Z2414">
        <v>8.3007250000000005E-2</v>
      </c>
      <c r="AA2414">
        <v>0.95357349999999996</v>
      </c>
      <c r="AB2414">
        <v>30</v>
      </c>
      <c r="AC2414">
        <v>-4.46969999999998</v>
      </c>
      <c r="AD2414">
        <v>-1.103242183783</v>
      </c>
      <c r="AE2414">
        <v>-12.2386999999999</v>
      </c>
      <c r="AF2414">
        <v>3.8439823263633399</v>
      </c>
      <c r="AG2414">
        <v>-1.103242183783</v>
      </c>
      <c r="AH2414">
        <v>12.3523050621893</v>
      </c>
      <c r="AI2414">
        <v>94.874429270036998</v>
      </c>
      <c r="AJ2414">
        <v>72.714090861961097</v>
      </c>
      <c r="AK2414">
        <v>12.983558209938399</v>
      </c>
      <c r="AL2414">
        <v>87.625454219693097</v>
      </c>
      <c r="AM2414">
        <v>83.020544597528399</v>
      </c>
      <c r="AN2414">
        <v>1.0000000154315101</v>
      </c>
    </row>
    <row r="2415" spans="1:40" x14ac:dyDescent="0.3">
      <c r="A2415" t="str">
        <f>"20200111153923323"</f>
        <v>20200111153923323</v>
      </c>
      <c r="B2415" t="str">
        <f>"1578728363313273"</f>
        <v>1578728363313273</v>
      </c>
      <c r="C2415" t="s">
        <v>40</v>
      </c>
      <c r="D2415">
        <v>5.4706190000000001</v>
      </c>
      <c r="E2415">
        <v>0.56742320000000002</v>
      </c>
      <c r="F2415" t="s">
        <v>42</v>
      </c>
      <c r="G2415">
        <v>-195.08510000000001</v>
      </c>
      <c r="H2415" s="1">
        <v>-4.1691480000000001E-6</v>
      </c>
      <c r="I2415">
        <v>165.79390000000001</v>
      </c>
      <c r="J2415">
        <v>-190.67019999999999</v>
      </c>
      <c r="K2415">
        <v>1.103192</v>
      </c>
      <c r="L2415">
        <v>177.73830000000001</v>
      </c>
      <c r="M2415">
        <v>-5.0728860000000001E-2</v>
      </c>
      <c r="N2415">
        <v>0</v>
      </c>
      <c r="O2415">
        <v>-0.99861940000000005</v>
      </c>
      <c r="P2415">
        <v>-0.17344470000000001</v>
      </c>
      <c r="Q2415">
        <v>2.6508170000000001E-2</v>
      </c>
      <c r="R2415">
        <v>-0.984487</v>
      </c>
      <c r="S2415">
        <v>-1.039185</v>
      </c>
      <c r="T2415">
        <v>-0.25863839999999999</v>
      </c>
      <c r="U2415">
        <v>-2.8741150000000002</v>
      </c>
      <c r="V2415">
        <v>0.12344239999999999</v>
      </c>
      <c r="W2415">
        <v>3.9521720000000003E-2</v>
      </c>
      <c r="X2415">
        <v>0.99156449999999996</v>
      </c>
      <c r="Y2415">
        <v>0.29065089999999999</v>
      </c>
      <c r="Z2415">
        <v>8.4854139999999995E-2</v>
      </c>
      <c r="AA2415">
        <v>0.9530592</v>
      </c>
      <c r="AB2415">
        <v>30</v>
      </c>
      <c r="AC2415">
        <v>-4.41490000000001</v>
      </c>
      <c r="AD2415">
        <v>-1.1031961691479999</v>
      </c>
      <c r="AE2415">
        <v>-11.9444</v>
      </c>
      <c r="AF2415">
        <v>3.7749011277760798</v>
      </c>
      <c r="AG2415">
        <v>-1.1031961691479999</v>
      </c>
      <c r="AH2415">
        <v>12.062470808016799</v>
      </c>
      <c r="AI2415">
        <v>94.988288043630007</v>
      </c>
      <c r="AJ2415">
        <v>72.622701611190095</v>
      </c>
      <c r="AK2415">
        <v>12.687400139759299</v>
      </c>
      <c r="AL2415">
        <v>87.734982506955902</v>
      </c>
      <c r="AM2415">
        <v>82.903612483402</v>
      </c>
      <c r="AN2415">
        <v>1.0000000750648801</v>
      </c>
    </row>
    <row r="2416" spans="1:40" x14ac:dyDescent="0.3">
      <c r="A2416" t="str">
        <f>"20200111153923344"</f>
        <v>20200111153923344</v>
      </c>
      <c r="B2416" t="str">
        <f>"1578728363332793"</f>
        <v>1578728363332793</v>
      </c>
      <c r="C2416" t="s">
        <v>40</v>
      </c>
      <c r="D2416">
        <v>5.4653450000000001</v>
      </c>
      <c r="E2416">
        <v>0.56729069999999904</v>
      </c>
      <c r="F2416" t="s">
        <v>42</v>
      </c>
      <c r="G2416">
        <v>-195.04689999999999</v>
      </c>
      <c r="H2416" s="1">
        <v>-4.1583700000000003E-6</v>
      </c>
      <c r="I2416">
        <v>165.7835</v>
      </c>
      <c r="J2416">
        <v>-190.68680000000001</v>
      </c>
      <c r="K2416">
        <v>1.103156</v>
      </c>
      <c r="L2416">
        <v>177.45509999999999</v>
      </c>
      <c r="M2416">
        <v>-5.2790049999999998E-2</v>
      </c>
      <c r="N2416">
        <v>0</v>
      </c>
      <c r="O2416">
        <v>-0.99851310000000004</v>
      </c>
      <c r="P2416">
        <v>-0.17747060000000001</v>
      </c>
      <c r="Q2416">
        <v>2.3389650000000001E-2</v>
      </c>
      <c r="R2416">
        <v>-0.98384819999999995</v>
      </c>
      <c r="S2416">
        <v>-1.050476</v>
      </c>
      <c r="T2416">
        <v>-0.26478649999999998</v>
      </c>
      <c r="U2416">
        <v>-2.869354</v>
      </c>
      <c r="V2416">
        <v>0.1254362</v>
      </c>
      <c r="W2416">
        <v>3.6343029999999998E-2</v>
      </c>
      <c r="X2416">
        <v>0.99143579999999998</v>
      </c>
      <c r="Y2416">
        <v>0.29243279999999999</v>
      </c>
      <c r="Z2416">
        <v>8.689537E-2</v>
      </c>
      <c r="AA2416">
        <v>0.95232989999999995</v>
      </c>
      <c r="AB2416">
        <v>30</v>
      </c>
      <c r="AC2416">
        <v>-4.3600999999999797</v>
      </c>
      <c r="AD2416">
        <v>-1.1031601583699999</v>
      </c>
      <c r="AE2416">
        <v>-11.6715999999999</v>
      </c>
      <c r="AF2416">
        <v>3.7087436937642901</v>
      </c>
      <c r="AG2416">
        <v>-1.1031601583699999</v>
      </c>
      <c r="AH2416">
        <v>11.7930631564963</v>
      </c>
      <c r="AI2416">
        <v>95.099252663474701</v>
      </c>
      <c r="AJ2416">
        <v>72.542410545982804</v>
      </c>
      <c r="AK2416">
        <v>12.411610722793499</v>
      </c>
      <c r="AL2416">
        <v>87.917239105680693</v>
      </c>
      <c r="AM2416">
        <v>82.789264650666695</v>
      </c>
      <c r="AN2416">
        <v>1.0000000008108301</v>
      </c>
    </row>
    <row r="2417" spans="1:40" x14ac:dyDescent="0.3">
      <c r="A2417" t="str">
        <f>"20200111153923365"</f>
        <v>20200111153923365</v>
      </c>
      <c r="B2417" t="str">
        <f>"1578728363353286"</f>
        <v>1578728363353286</v>
      </c>
      <c r="C2417" t="s">
        <v>40</v>
      </c>
      <c r="D2417">
        <v>5.4993910000000001</v>
      </c>
      <c r="E2417">
        <v>0.56714249999999999</v>
      </c>
      <c r="F2417" t="s">
        <v>42</v>
      </c>
      <c r="G2417">
        <v>-194.94470000000001</v>
      </c>
      <c r="H2417" s="1">
        <v>-4.2069110000000004E-6</v>
      </c>
      <c r="I2417">
        <v>165.9571</v>
      </c>
      <c r="J2417">
        <v>-190.70429999999999</v>
      </c>
      <c r="K2417">
        <v>1.103129</v>
      </c>
      <c r="L2417">
        <v>177.1679</v>
      </c>
      <c r="M2417">
        <v>-5.4870229999999999E-2</v>
      </c>
      <c r="N2417">
        <v>0</v>
      </c>
      <c r="O2417">
        <v>-0.9984016</v>
      </c>
      <c r="P2417">
        <v>-0.18155669999999999</v>
      </c>
      <c r="Q2417">
        <v>2.0368859999999999E-2</v>
      </c>
      <c r="R2417">
        <v>-0.98316990000000004</v>
      </c>
      <c r="S2417">
        <v>-1.060745</v>
      </c>
      <c r="T2417">
        <v>-0.27482279999999998</v>
      </c>
      <c r="U2417">
        <v>-2.8644259999999999</v>
      </c>
      <c r="V2417">
        <v>0.127474</v>
      </c>
      <c r="W2417">
        <v>3.3269760000000002E-2</v>
      </c>
      <c r="X2417">
        <v>0.99128380000000005</v>
      </c>
      <c r="Y2417">
        <v>0.29387350000000001</v>
      </c>
      <c r="Z2417">
        <v>9.0216450000000004E-2</v>
      </c>
      <c r="AA2417">
        <v>0.95157729999999996</v>
      </c>
      <c r="AB2417">
        <v>30</v>
      </c>
      <c r="AC2417">
        <v>-4.2404000000000197</v>
      </c>
      <c r="AD2417">
        <v>-1.103133206911</v>
      </c>
      <c r="AE2417">
        <v>-11.210800000000001</v>
      </c>
      <c r="AF2417">
        <v>3.5884191828118501</v>
      </c>
      <c r="AG2417">
        <v>-1.103133206911</v>
      </c>
      <c r="AH2417">
        <v>11.330624373478299</v>
      </c>
      <c r="AI2417">
        <v>95.302721629845607</v>
      </c>
      <c r="AJ2417">
        <v>72.426957443964994</v>
      </c>
      <c r="AK2417">
        <v>11.9363605758465</v>
      </c>
      <c r="AL2417">
        <v>88.093431399921201</v>
      </c>
      <c r="AM2417">
        <v>82.672272737820194</v>
      </c>
      <c r="AN2417">
        <v>1.00000003487444</v>
      </c>
    </row>
    <row r="2418" spans="1:40" x14ac:dyDescent="0.3">
      <c r="A2418" t="str">
        <f>"20200111153923389"</f>
        <v>20200111153923389</v>
      </c>
      <c r="B2418" t="str">
        <f>"1578728363383542"</f>
        <v>1578728363383542</v>
      </c>
      <c r="C2418" t="s">
        <v>40</v>
      </c>
      <c r="D2418">
        <v>5.4911539999999999</v>
      </c>
      <c r="E2418">
        <v>0.56693090000000002</v>
      </c>
      <c r="F2418" t="s">
        <v>42</v>
      </c>
      <c r="G2418">
        <v>-194.8563</v>
      </c>
      <c r="H2418" s="1">
        <v>-4.23744899999999E-6</v>
      </c>
      <c r="I2418">
        <v>166.07749999999999</v>
      </c>
      <c r="J2418">
        <v>-190.72399999999999</v>
      </c>
      <c r="K2418">
        <v>1.1031280000000001</v>
      </c>
      <c r="L2418">
        <v>176.85400000000001</v>
      </c>
      <c r="M2418">
        <v>-5.71136E-2</v>
      </c>
      <c r="N2418">
        <v>0</v>
      </c>
      <c r="O2418">
        <v>-0.9982761</v>
      </c>
      <c r="P2418">
        <v>-0.18611130000000001</v>
      </c>
      <c r="Q2418">
        <v>1.809384E-2</v>
      </c>
      <c r="R2418">
        <v>-0.98236199999999996</v>
      </c>
      <c r="S2418">
        <v>-1.070557</v>
      </c>
      <c r="T2418">
        <v>-0.28442909999999999</v>
      </c>
      <c r="U2418">
        <v>-2.8595429999999999</v>
      </c>
      <c r="V2418">
        <v>0.129828</v>
      </c>
      <c r="W2418">
        <v>3.0945429999999999E-2</v>
      </c>
      <c r="X2418">
        <v>0.99105350000000003</v>
      </c>
      <c r="Y2418">
        <v>0.29501949999999999</v>
      </c>
      <c r="Z2418">
        <v>9.3401339999999999E-2</v>
      </c>
      <c r="AA2418">
        <v>0.95091519999999996</v>
      </c>
      <c r="AB2418">
        <v>30</v>
      </c>
      <c r="AC2418">
        <v>-4.1322999999999803</v>
      </c>
      <c r="AD2418">
        <v>-1.103132237449</v>
      </c>
      <c r="AE2418">
        <v>-10.7765</v>
      </c>
      <c r="AF2418">
        <v>3.47823787034929</v>
      </c>
      <c r="AG2418">
        <v>-1.103132237449</v>
      </c>
      <c r="AH2418">
        <v>10.895405635518699</v>
      </c>
      <c r="AI2418">
        <v>95.509240222447502</v>
      </c>
      <c r="AJ2418">
        <v>72.294891600554294</v>
      </c>
      <c r="AK2418">
        <v>11.490209022403601</v>
      </c>
      <c r="AL2418">
        <v>88.2266743329549</v>
      </c>
      <c r="AM2418">
        <v>82.536752001666599</v>
      </c>
      <c r="AN2418">
        <v>0.99999998454206696</v>
      </c>
    </row>
    <row r="2419" spans="1:40" x14ac:dyDescent="0.3">
      <c r="A2419" t="str">
        <f>"20200111153923410"</f>
        <v>20200111153923410</v>
      </c>
      <c r="B2419" t="str">
        <f>"1578728363403064"</f>
        <v>1578728363403064</v>
      </c>
      <c r="C2419" t="s">
        <v>40</v>
      </c>
      <c r="D2419">
        <v>5.5071750000000002</v>
      </c>
      <c r="E2419">
        <v>0.56680909999999995</v>
      </c>
      <c r="F2419" t="s">
        <v>42</v>
      </c>
      <c r="G2419">
        <v>-194.8159</v>
      </c>
      <c r="H2419" s="1">
        <v>-4.2219689999999998E-6</v>
      </c>
      <c r="I2419">
        <v>166.0558</v>
      </c>
      <c r="J2419">
        <v>-190.74299999999999</v>
      </c>
      <c r="K2419">
        <v>1.103145</v>
      </c>
      <c r="L2419">
        <v>176.5609</v>
      </c>
      <c r="M2419">
        <v>-5.9159290000000003E-2</v>
      </c>
      <c r="N2419">
        <v>0</v>
      </c>
      <c r="O2419">
        <v>-0.99815739999999997</v>
      </c>
      <c r="P2419">
        <v>-0.19025310000000001</v>
      </c>
      <c r="Q2419">
        <v>1.7506560000000001E-2</v>
      </c>
      <c r="R2419">
        <v>-0.98157879999999997</v>
      </c>
      <c r="S2419">
        <v>-1.0816190000000001</v>
      </c>
      <c r="T2419">
        <v>-0.29159370000000001</v>
      </c>
      <c r="U2419">
        <v>-2.8543090000000002</v>
      </c>
      <c r="V2419">
        <v>0.13197249999999999</v>
      </c>
      <c r="W2419">
        <v>3.0321540000000001E-2</v>
      </c>
      <c r="X2419">
        <v>0.99078949999999999</v>
      </c>
      <c r="Y2419">
        <v>0.29678100000000002</v>
      </c>
      <c r="Z2419">
        <v>9.5787700000000003E-2</v>
      </c>
      <c r="AA2419">
        <v>0.95012929999999995</v>
      </c>
      <c r="AB2419">
        <v>30</v>
      </c>
      <c r="AC2419">
        <v>-4.0728999999999997</v>
      </c>
      <c r="AD2419">
        <v>-1.103149221969</v>
      </c>
      <c r="AE2419">
        <v>-10.505100000000001</v>
      </c>
      <c r="AF2419">
        <v>3.4115304941658202</v>
      </c>
      <c r="AG2419">
        <v>-1.103149221969</v>
      </c>
      <c r="AH2419">
        <v>10.6258072373055</v>
      </c>
      <c r="AI2419">
        <v>95.645246455921097</v>
      </c>
      <c r="AJ2419">
        <v>72.200210115522296</v>
      </c>
      <c r="AK2419">
        <v>11.2144218737717</v>
      </c>
      <c r="AL2419">
        <v>88.262437382786999</v>
      </c>
      <c r="AM2419">
        <v>82.412900340735405</v>
      </c>
      <c r="AN2419">
        <v>0.99999998492723496</v>
      </c>
    </row>
    <row r="2420" spans="1:40" x14ac:dyDescent="0.3">
      <c r="A2420" t="str">
        <f>"20200111153923433"</f>
        <v>20200111153923433</v>
      </c>
      <c r="B2420" t="str">
        <f>"1578728363423557"</f>
        <v>1578728363423557</v>
      </c>
      <c r="C2420" t="s">
        <v>40</v>
      </c>
      <c r="D2420">
        <v>5.5599879999999997</v>
      </c>
      <c r="E2420">
        <v>0.56672749999999905</v>
      </c>
      <c r="F2420" t="s">
        <v>42</v>
      </c>
      <c r="G2420">
        <v>-194.84440000000001</v>
      </c>
      <c r="H2420" s="1">
        <v>-4.1505819999999996E-6</v>
      </c>
      <c r="I2420">
        <v>165.85679999999999</v>
      </c>
      <c r="J2420">
        <v>-190.7627</v>
      </c>
      <c r="K2420">
        <v>1.1031770000000001</v>
      </c>
      <c r="L2420">
        <v>176.26499999999999</v>
      </c>
      <c r="M2420">
        <v>-6.1159289999999998E-2</v>
      </c>
      <c r="N2420">
        <v>0</v>
      </c>
      <c r="O2420">
        <v>-0.99803730000000002</v>
      </c>
      <c r="P2420">
        <v>-0.19404160000000001</v>
      </c>
      <c r="Q2420">
        <v>1.82119E-2</v>
      </c>
      <c r="R2420">
        <v>-0.98082449999999999</v>
      </c>
      <c r="S2420">
        <v>-1.0919650000000001</v>
      </c>
      <c r="T2420">
        <v>-0.29370459999999998</v>
      </c>
      <c r="U2420">
        <v>-2.8498990000000002</v>
      </c>
      <c r="V2420">
        <v>0.1338134</v>
      </c>
      <c r="W2420">
        <v>3.1000719999999999E-2</v>
      </c>
      <c r="X2420">
        <v>0.9905216</v>
      </c>
      <c r="Y2420">
        <v>0.29834149999999998</v>
      </c>
      <c r="Z2420">
        <v>9.6511120000000006E-2</v>
      </c>
      <c r="AA2420">
        <v>0.9495673</v>
      </c>
      <c r="AB2420">
        <v>30</v>
      </c>
      <c r="AC2420">
        <v>-4.0817000000000103</v>
      </c>
      <c r="AD2420">
        <v>-1.1031811505819999</v>
      </c>
      <c r="AE2420">
        <v>-10.4081999999999</v>
      </c>
      <c r="AF2420">
        <v>3.4042951155085501</v>
      </c>
      <c r="AG2420">
        <v>-1.1031811505819999</v>
      </c>
      <c r="AH2420">
        <v>10.535784397099899</v>
      </c>
      <c r="AI2420">
        <v>95.6899370055079</v>
      </c>
      <c r="AJ2420">
        <v>72.093453271541193</v>
      </c>
      <c r="AK2420">
        <v>11.1269486718799</v>
      </c>
      <c r="AL2420">
        <v>88.223505054490801</v>
      </c>
      <c r="AM2420">
        <v>82.306269994782795</v>
      </c>
      <c r="AN2420">
        <v>1.0000000553633099</v>
      </c>
    </row>
    <row r="2421" spans="1:40" x14ac:dyDescent="0.3">
      <c r="A2421" t="str">
        <f>"20200111153923455"</f>
        <v>20200111153923455</v>
      </c>
      <c r="B2421" t="str">
        <f>"1578728363452838"</f>
        <v>1578728363452838</v>
      </c>
      <c r="C2421" t="s">
        <v>40</v>
      </c>
      <c r="D2421">
        <v>5.3651839999999904</v>
      </c>
      <c r="E2421">
        <v>0.47834840000000001</v>
      </c>
      <c r="F2421" t="s">
        <v>42</v>
      </c>
      <c r="G2421">
        <v>-194.92509999999999</v>
      </c>
      <c r="H2421" s="1">
        <v>-4.0331240000000002E-6</v>
      </c>
      <c r="I2421">
        <v>165.5136</v>
      </c>
      <c r="J2421">
        <v>-190.7833</v>
      </c>
      <c r="K2421">
        <v>1.1032189999999999</v>
      </c>
      <c r="L2421">
        <v>175.96539999999999</v>
      </c>
      <c r="M2421">
        <v>-6.3092590000000004E-2</v>
      </c>
      <c r="N2421">
        <v>0</v>
      </c>
      <c r="O2421">
        <v>-0.99791739999999995</v>
      </c>
      <c r="P2421">
        <v>-0.1969149</v>
      </c>
      <c r="Q2421">
        <v>1.8749269999999998E-2</v>
      </c>
      <c r="R2421">
        <v>-0.98024140000000004</v>
      </c>
      <c r="S2421">
        <v>-1.1018520000000001</v>
      </c>
      <c r="T2421">
        <v>-0.2920296</v>
      </c>
      <c r="U2421">
        <v>-2.846069</v>
      </c>
      <c r="V2421">
        <v>0.13479530000000001</v>
      </c>
      <c r="W2421">
        <v>3.1526890000000002E-2</v>
      </c>
      <c r="X2421">
        <v>0.99037180000000002</v>
      </c>
      <c r="Y2421">
        <v>0.29981059999999998</v>
      </c>
      <c r="Z2421">
        <v>9.5987820000000001E-2</v>
      </c>
      <c r="AA2421">
        <v>0.94915749999999999</v>
      </c>
      <c r="AB2421">
        <v>30</v>
      </c>
      <c r="AC2421">
        <v>-4.1417999999999804</v>
      </c>
      <c r="AD2421">
        <v>-1.1032230331240001</v>
      </c>
      <c r="AE2421">
        <v>-10.451799999999899</v>
      </c>
      <c r="AF2421">
        <v>3.44092223645008</v>
      </c>
      <c r="AG2421">
        <v>-1.1032230331240001</v>
      </c>
      <c r="AH2421">
        <v>10.5903350386802</v>
      </c>
      <c r="AI2421">
        <v>95.658074417396307</v>
      </c>
      <c r="AJ2421">
        <v>72.000421862362003</v>
      </c>
      <c r="AK2421">
        <v>11.189827663088</v>
      </c>
      <c r="AL2421">
        <v>88.193342909271394</v>
      </c>
      <c r="AM2421">
        <v>82.249340349441297</v>
      </c>
      <c r="AN2421">
        <v>1.0000000099652</v>
      </c>
    </row>
    <row r="2422" spans="1:40" x14ac:dyDescent="0.3">
      <c r="A2422" t="str">
        <f>"20200111153923478"</f>
        <v>20200111153923478</v>
      </c>
      <c r="B2422" t="str">
        <f>"1578728363473334"</f>
        <v>1578728363473334</v>
      </c>
      <c r="C2422" t="s">
        <v>40</v>
      </c>
      <c r="D2422">
        <v>5.3643640000000001</v>
      </c>
      <c r="E2422">
        <v>0.46300599999999997</v>
      </c>
      <c r="F2422" t="s">
        <v>41</v>
      </c>
      <c r="G2422">
        <v>-190.91730000000001</v>
      </c>
      <c r="H2422">
        <v>1.0066870000000001</v>
      </c>
      <c r="I2422">
        <v>175.01169999999999</v>
      </c>
      <c r="J2422">
        <v>-190.80410000000001</v>
      </c>
      <c r="K2422">
        <v>1.103281</v>
      </c>
      <c r="L2422">
        <v>175.6687</v>
      </c>
      <c r="M2422">
        <v>-6.4897159999999995E-2</v>
      </c>
      <c r="N2422">
        <v>0</v>
      </c>
      <c r="O2422">
        <v>-0.99780210000000003</v>
      </c>
      <c r="P2422">
        <v>-0.19920160000000001</v>
      </c>
      <c r="Q2422">
        <v>1.7772779999999998E-2</v>
      </c>
      <c r="R2422">
        <v>-0.9797979</v>
      </c>
      <c r="S2422">
        <v>-0.41888429999999999</v>
      </c>
      <c r="T2422">
        <v>-0.30185000000000001</v>
      </c>
      <c r="U2422">
        <v>-2.9821010000000001</v>
      </c>
      <c r="V2422">
        <v>0.13530449999999999</v>
      </c>
      <c r="W2422">
        <v>3.0550790000000001E-2</v>
      </c>
      <c r="X2422">
        <v>0.99033300000000002</v>
      </c>
      <c r="Y2422">
        <v>7.3840260000000005E-2</v>
      </c>
      <c r="Z2422">
        <v>9.9767449999999994E-2</v>
      </c>
      <c r="AA2422">
        <v>0.99226709999999996</v>
      </c>
      <c r="AB2422">
        <v>30</v>
      </c>
      <c r="AC2422">
        <v>-0.113200000000006</v>
      </c>
      <c r="AD2422">
        <v>-9.6593999999999805E-2</v>
      </c>
      <c r="AE2422">
        <v>-0.65700000000001002</v>
      </c>
      <c r="AF2422">
        <v>6.8874225897632299E-2</v>
      </c>
      <c r="AG2422">
        <v>-9.6593999999999805E-2</v>
      </c>
      <c r="AH2422">
        <v>0.64933070074034804</v>
      </c>
      <c r="AI2422">
        <v>98.4147099781989</v>
      </c>
      <c r="AJ2422">
        <v>83.945300425799999</v>
      </c>
      <c r="AK2422">
        <v>0.66007910037581796</v>
      </c>
      <c r="AL2422">
        <v>88.249296359150406</v>
      </c>
      <c r="AM2422">
        <v>82.220118422088902</v>
      </c>
      <c r="AN2422">
        <v>1.0000000546894301</v>
      </c>
    </row>
    <row r="2423" spans="1:40" x14ac:dyDescent="0.3">
      <c r="A2423" t="str">
        <f>"20200111153923500"</f>
        <v>20200111153923500</v>
      </c>
      <c r="B2423" t="str">
        <f>"1578728363492854"</f>
        <v>1578728363492854</v>
      </c>
      <c r="C2423" t="s">
        <v>40</v>
      </c>
      <c r="D2423">
        <v>5.2530799999999997</v>
      </c>
      <c r="E2423">
        <v>0.45951239999999999</v>
      </c>
      <c r="F2423" t="s">
        <v>41</v>
      </c>
      <c r="G2423">
        <v>-190.8982</v>
      </c>
      <c r="H2423">
        <v>1.0063359999999999</v>
      </c>
      <c r="I2423">
        <v>174.74299999999999</v>
      </c>
      <c r="J2423">
        <v>-190.82589999999999</v>
      </c>
      <c r="K2423">
        <v>1.103334</v>
      </c>
      <c r="L2423">
        <v>175.36359999999999</v>
      </c>
      <c r="M2423">
        <v>-6.6655930000000002E-2</v>
      </c>
      <c r="N2423">
        <v>0</v>
      </c>
      <c r="O2423">
        <v>-0.99768639999999997</v>
      </c>
      <c r="P2423">
        <v>-0.20245099999999999</v>
      </c>
      <c r="Q2423">
        <v>1.6236359999999998E-2</v>
      </c>
      <c r="R2423">
        <v>-0.97915770000000002</v>
      </c>
      <c r="S2423">
        <v>-0.30519099999999999</v>
      </c>
      <c r="T2423">
        <v>-0.31475969999999998</v>
      </c>
      <c r="U2423">
        <v>-3.0055079999999998</v>
      </c>
      <c r="V2423">
        <v>0.13683139999999999</v>
      </c>
      <c r="W2423">
        <v>2.901273E-2</v>
      </c>
      <c r="X2423">
        <v>0.99016939999999998</v>
      </c>
      <c r="Y2423">
        <v>3.3934979999999997E-2</v>
      </c>
      <c r="Z2423">
        <v>0.1035191</v>
      </c>
      <c r="AA2423">
        <v>0.99404840000000005</v>
      </c>
      <c r="AB2423">
        <v>30</v>
      </c>
      <c r="AC2423">
        <v>-7.2300000000012604E-2</v>
      </c>
      <c r="AD2423">
        <v>-9.6997999999999904E-2</v>
      </c>
      <c r="AE2423">
        <v>-0.62059999999999504</v>
      </c>
      <c r="AF2423">
        <v>3.0044680708307101E-2</v>
      </c>
      <c r="AG2423">
        <v>-9.6997999999999904E-2</v>
      </c>
      <c r="AH2423">
        <v>0.60935278104380797</v>
      </c>
      <c r="AI2423">
        <v>99.033780618964002</v>
      </c>
      <c r="AJ2423">
        <v>87.177266583963302</v>
      </c>
      <c r="AK2423">
        <v>0.61775570139715197</v>
      </c>
      <c r="AL2423">
        <v>88.337459735170995</v>
      </c>
      <c r="AM2423">
        <v>82.132132803782696</v>
      </c>
      <c r="AN2423">
        <v>1.0000000056121801</v>
      </c>
    </row>
    <row r="2424" spans="1:40" x14ac:dyDescent="0.3">
      <c r="A2424" t="str">
        <f>"20200111153923524"</f>
        <v>20200111153923524</v>
      </c>
      <c r="B2424" t="str">
        <f>"1578728363513359"</f>
        <v>1578728363513359</v>
      </c>
      <c r="C2424" t="s">
        <v>40</v>
      </c>
      <c r="D2424">
        <v>5.2562920000000002</v>
      </c>
      <c r="E2424">
        <v>0.45846310000000001</v>
      </c>
      <c r="F2424" t="s">
        <v>41</v>
      </c>
      <c r="G2424">
        <v>-190.91079999999999</v>
      </c>
      <c r="H2424">
        <v>1.0083899999999999</v>
      </c>
      <c r="I2424">
        <v>174.47550000000001</v>
      </c>
      <c r="J2424">
        <v>-190.84800000000001</v>
      </c>
      <c r="K2424">
        <v>1.103386</v>
      </c>
      <c r="L2424">
        <v>175.06229999999999</v>
      </c>
      <c r="M2424">
        <v>-6.8292980000000003E-2</v>
      </c>
      <c r="N2424">
        <v>0</v>
      </c>
      <c r="O2424">
        <v>-0.99757560000000001</v>
      </c>
      <c r="P2424">
        <v>-0.2060139</v>
      </c>
      <c r="Q2424">
        <v>1.522328E-2</v>
      </c>
      <c r="R2424">
        <v>-0.97843040000000003</v>
      </c>
      <c r="S2424">
        <v>-0.28707890000000003</v>
      </c>
      <c r="T2424">
        <v>-0.3218124</v>
      </c>
      <c r="U2424">
        <v>-3.0098569999999998</v>
      </c>
      <c r="V2424">
        <v>0.13880139999999999</v>
      </c>
      <c r="W2424">
        <v>2.7997000000000001E-2</v>
      </c>
      <c r="X2424">
        <v>0.98992440000000004</v>
      </c>
      <c r="Y2424">
        <v>2.620345E-2</v>
      </c>
      <c r="Z2424">
        <v>0.1056879</v>
      </c>
      <c r="AA2424">
        <v>0.99405410000000005</v>
      </c>
      <c r="AB2424">
        <v>30</v>
      </c>
      <c r="AC2424">
        <v>-6.2800000000009903E-2</v>
      </c>
      <c r="AD2424">
        <v>-9.4995999999999997E-2</v>
      </c>
      <c r="AE2424">
        <v>-0.586799999999982</v>
      </c>
      <c r="AF2424">
        <v>2.2005268572900701E-2</v>
      </c>
      <c r="AG2424">
        <v>-9.4995999999999997E-2</v>
      </c>
      <c r="AH2424">
        <v>0.574824648330161</v>
      </c>
      <c r="AI2424">
        <v>99.377186573181106</v>
      </c>
      <c r="AJ2424">
        <v>87.807690292470795</v>
      </c>
      <c r="AK2424">
        <v>0.5830367468598</v>
      </c>
      <c r="AL2424">
        <v>88.395680410877006</v>
      </c>
      <c r="AM2424">
        <v>82.018356407110502</v>
      </c>
      <c r="AN2424">
        <v>0.99999998918315902</v>
      </c>
    </row>
    <row r="2425" spans="1:40" x14ac:dyDescent="0.3">
      <c r="A2425" t="str">
        <f>"20200111153923546"</f>
        <v>20200111153923546</v>
      </c>
      <c r="B2425" t="str">
        <f>"1578728363543607"</f>
        <v>1578728363543607</v>
      </c>
      <c r="C2425" t="s">
        <v>40</v>
      </c>
      <c r="D2425">
        <v>5.2152219999999998</v>
      </c>
      <c r="E2425">
        <v>0.45745770000000002</v>
      </c>
      <c r="F2425" t="s">
        <v>41</v>
      </c>
      <c r="G2425">
        <v>-190.93010000000001</v>
      </c>
      <c r="H2425">
        <v>1.0117119999999999</v>
      </c>
      <c r="I2425">
        <v>174.20820000000001</v>
      </c>
      <c r="J2425">
        <v>-190.8699</v>
      </c>
      <c r="K2425">
        <v>1.1034299999999999</v>
      </c>
      <c r="L2425">
        <v>174.7681</v>
      </c>
      <c r="M2425">
        <v>-6.9798669999999993E-2</v>
      </c>
      <c r="N2425">
        <v>0</v>
      </c>
      <c r="O2425">
        <v>-0.99747169999999996</v>
      </c>
      <c r="P2425">
        <v>-0.20939160000000001</v>
      </c>
      <c r="Q2425">
        <v>1.4987759999999999E-2</v>
      </c>
      <c r="R2425">
        <v>-0.97771730000000001</v>
      </c>
      <c r="S2425">
        <v>-0.28941349999999999</v>
      </c>
      <c r="T2425">
        <v>-0.32311050000000002</v>
      </c>
      <c r="U2425">
        <v>-3.0102389999999999</v>
      </c>
      <c r="V2425">
        <v>0.14072019999999999</v>
      </c>
      <c r="W2425">
        <v>2.7760099999999999E-2</v>
      </c>
      <c r="X2425">
        <v>0.98966010000000004</v>
      </c>
      <c r="Y2425">
        <v>2.5442579999999999E-2</v>
      </c>
      <c r="Z2425">
        <v>0.1060767</v>
      </c>
      <c r="AA2425">
        <v>0.99403240000000004</v>
      </c>
      <c r="AB2425">
        <v>30</v>
      </c>
      <c r="AC2425">
        <v>-6.0200000000008899E-2</v>
      </c>
      <c r="AD2425">
        <v>-9.1717999999999703E-2</v>
      </c>
      <c r="AE2425">
        <v>-0.55989999999999895</v>
      </c>
      <c r="AF2425">
        <v>2.0427500448771198E-2</v>
      </c>
      <c r="AG2425">
        <v>-9.1717999999999703E-2</v>
      </c>
      <c r="AH2425">
        <v>0.54819424435972997</v>
      </c>
      <c r="AI2425">
        <v>99.491676425953102</v>
      </c>
      <c r="AJ2425">
        <v>87.865960285835101</v>
      </c>
      <c r="AK2425">
        <v>0.55618917990888705</v>
      </c>
      <c r="AL2425">
        <v>88.409259005703802</v>
      </c>
      <c r="AM2425">
        <v>81.907336697372102</v>
      </c>
      <c r="AN2425">
        <v>0.99999995568602895</v>
      </c>
    </row>
    <row r="2426" spans="1:40" x14ac:dyDescent="0.3">
      <c r="A2426" t="str">
        <f>"20200111153923567"</f>
        <v>20200111153923567</v>
      </c>
      <c r="B2426" t="str">
        <f>"1578728363563126"</f>
        <v>1578728363563126</v>
      </c>
      <c r="C2426" t="s">
        <v>40</v>
      </c>
      <c r="D2426">
        <v>5.2061780000000004</v>
      </c>
      <c r="E2426">
        <v>0.45714939999999998</v>
      </c>
      <c r="F2426" t="s">
        <v>41</v>
      </c>
      <c r="G2426">
        <v>-190.94970000000001</v>
      </c>
      <c r="H2426">
        <v>1.014149</v>
      </c>
      <c r="I2426">
        <v>173.94149999999999</v>
      </c>
      <c r="J2426">
        <v>-190.89089999999999</v>
      </c>
      <c r="K2426">
        <v>1.103459</v>
      </c>
      <c r="L2426">
        <v>174.48949999999999</v>
      </c>
      <c r="M2426">
        <v>-7.1150980000000003E-2</v>
      </c>
      <c r="N2426">
        <v>0</v>
      </c>
      <c r="O2426">
        <v>-0.9973765</v>
      </c>
      <c r="P2426">
        <v>-0.2121246</v>
      </c>
      <c r="Q2426">
        <v>1.469521E-2</v>
      </c>
      <c r="R2426">
        <v>-0.97713260000000002</v>
      </c>
      <c r="S2426">
        <v>-0.29116819999999999</v>
      </c>
      <c r="T2426">
        <v>-0.32518449999999999</v>
      </c>
      <c r="U2426">
        <v>-3.0109859999999999</v>
      </c>
      <c r="V2426">
        <v>0.1421405</v>
      </c>
      <c r="W2426">
        <v>2.7468389999999999E-2</v>
      </c>
      <c r="X2426">
        <v>0.98946529999999999</v>
      </c>
      <c r="Y2426">
        <v>2.4631150000000001E-2</v>
      </c>
      <c r="Z2426">
        <v>0.1067067</v>
      </c>
      <c r="AA2426">
        <v>0.99398540000000002</v>
      </c>
      <c r="AB2426">
        <v>30</v>
      </c>
      <c r="AC2426">
        <v>-5.8800000000019198E-2</v>
      </c>
      <c r="AD2426">
        <v>-8.931E-2</v>
      </c>
      <c r="AE2426">
        <v>-0.54800000000000104</v>
      </c>
      <c r="AF2426">
        <v>1.9153799996730302E-2</v>
      </c>
      <c r="AG2426">
        <v>-8.931E-2</v>
      </c>
      <c r="AH2426">
        <v>0.53670201491797898</v>
      </c>
      <c r="AI2426">
        <v>99.441842442708605</v>
      </c>
      <c r="AJ2426">
        <v>87.956097948026894</v>
      </c>
      <c r="AK2426">
        <v>0.54441913721996604</v>
      </c>
      <c r="AL2426">
        <v>88.425979215363199</v>
      </c>
      <c r="AM2426">
        <v>81.825167634295497</v>
      </c>
      <c r="AN2426">
        <v>1.0000000070467601</v>
      </c>
    </row>
    <row r="2427" spans="1:40" x14ac:dyDescent="0.3">
      <c r="A2427" t="str">
        <f>"20200111153923590"</f>
        <v>20200111153923590</v>
      </c>
      <c r="B2427" t="str">
        <f>"1578728363583622"</f>
        <v>1578728363583622</v>
      </c>
      <c r="C2427" t="s">
        <v>40</v>
      </c>
      <c r="D2427">
        <v>5.2147709999999998</v>
      </c>
      <c r="E2427">
        <v>0.45676640000000002</v>
      </c>
      <c r="F2427" t="s">
        <v>41</v>
      </c>
      <c r="G2427">
        <v>-190.97120000000001</v>
      </c>
      <c r="H2427">
        <v>1.015617</v>
      </c>
      <c r="I2427">
        <v>173.67570000000001</v>
      </c>
      <c r="J2427">
        <v>-190.91460000000001</v>
      </c>
      <c r="K2427">
        <v>1.103491</v>
      </c>
      <c r="L2427">
        <v>174.18109999999999</v>
      </c>
      <c r="M2427">
        <v>-7.2580909999999998E-2</v>
      </c>
      <c r="N2427">
        <v>0</v>
      </c>
      <c r="O2427">
        <v>-0.99727339999999998</v>
      </c>
      <c r="P2427">
        <v>-0.21375350000000001</v>
      </c>
      <c r="Q2427">
        <v>1.376139E-2</v>
      </c>
      <c r="R2427">
        <v>-0.97679090000000002</v>
      </c>
      <c r="S2427">
        <v>-0.29644779999999998</v>
      </c>
      <c r="T2427">
        <v>-0.32499029999999901</v>
      </c>
      <c r="U2427">
        <v>-3.010742</v>
      </c>
      <c r="V2427">
        <v>0.14236399999999999</v>
      </c>
      <c r="W2427">
        <v>2.654223E-2</v>
      </c>
      <c r="X2427">
        <v>0.98945839999999996</v>
      </c>
      <c r="Y2427">
        <v>2.4932940000000001E-2</v>
      </c>
      <c r="Z2427">
        <v>0.1066264</v>
      </c>
      <c r="AA2427">
        <v>0.9939865</v>
      </c>
      <c r="AB2427">
        <v>30</v>
      </c>
      <c r="AC2427">
        <v>-5.6600000000003002E-2</v>
      </c>
      <c r="AD2427">
        <v>-8.7873999999999994E-2</v>
      </c>
      <c r="AE2427">
        <v>-0.50539999999997998</v>
      </c>
      <c r="AF2427">
        <v>1.91920345823113E-2</v>
      </c>
      <c r="AG2427">
        <v>-8.7873999999999994E-2</v>
      </c>
      <c r="AH2427">
        <v>0.49344280696589399</v>
      </c>
      <c r="AI2427">
        <v>100.090102439585</v>
      </c>
      <c r="AJ2427">
        <v>87.7726525084516</v>
      </c>
      <c r="AK2427">
        <v>0.50157350190554295</v>
      </c>
      <c r="AL2427">
        <v>88.479063567776905</v>
      </c>
      <c r="AM2427">
        <v>81.812431445279699</v>
      </c>
      <c r="AN2427">
        <v>0.99999996189996498</v>
      </c>
    </row>
    <row r="2428" spans="1:40" x14ac:dyDescent="0.3">
      <c r="A2428" t="str">
        <f>"20200111153923612"</f>
        <v>20200111153923612</v>
      </c>
      <c r="B2428" t="str">
        <f>"1578728363603144"</f>
        <v>1578728363603144</v>
      </c>
      <c r="C2428" t="s">
        <v>40</v>
      </c>
      <c r="D2428">
        <v>5.1951900000000002</v>
      </c>
      <c r="E2428">
        <v>0.45639750000000001</v>
      </c>
      <c r="F2428" t="s">
        <v>41</v>
      </c>
      <c r="G2428">
        <v>-190.99100000000001</v>
      </c>
      <c r="H2428">
        <v>1.0194879999999999</v>
      </c>
      <c r="I2428">
        <v>173.40870000000001</v>
      </c>
      <c r="J2428">
        <v>-190.9384</v>
      </c>
      <c r="K2428">
        <v>1.103521</v>
      </c>
      <c r="L2428">
        <v>173.8751</v>
      </c>
      <c r="M2428">
        <v>-7.3942859999999999E-2</v>
      </c>
      <c r="N2428">
        <v>0</v>
      </c>
      <c r="O2428">
        <v>-0.99717350000000005</v>
      </c>
      <c r="P2428">
        <v>-0.21478749999999999</v>
      </c>
      <c r="Q2428">
        <v>1.3293910000000001E-2</v>
      </c>
      <c r="R2428">
        <v>-0.97657020000000005</v>
      </c>
      <c r="S2428">
        <v>-0.29786679999999999</v>
      </c>
      <c r="T2428">
        <v>-0.32745809999999997</v>
      </c>
      <c r="U2428">
        <v>-3.0107119999999998</v>
      </c>
      <c r="V2428">
        <v>0.14205489999999901</v>
      </c>
      <c r="W2428">
        <v>2.6083200000000001E-2</v>
      </c>
      <c r="X2428">
        <v>0.98951509999999998</v>
      </c>
      <c r="Y2428">
        <v>2.4024219999999999E-2</v>
      </c>
      <c r="Z2428">
        <v>0.1074104</v>
      </c>
      <c r="AA2428">
        <v>0.99392440000000004</v>
      </c>
      <c r="AB2428">
        <v>30</v>
      </c>
      <c r="AC2428">
        <v>-5.2599999999983903E-2</v>
      </c>
      <c r="AD2428">
        <v>-8.4032999999999997E-2</v>
      </c>
      <c r="AE2428">
        <v>-0.46639999999999299</v>
      </c>
      <c r="AF2428">
        <v>1.7407960942121201E-2</v>
      </c>
      <c r="AG2428">
        <v>-8.4032999999999997E-2</v>
      </c>
      <c r="AH2428">
        <v>0.454445551628606</v>
      </c>
      <c r="AI2428">
        <v>100.4689036712</v>
      </c>
      <c r="AJ2428">
        <v>87.806304247155794</v>
      </c>
      <c r="AK2428">
        <v>0.46247739575917701</v>
      </c>
      <c r="AL2428">
        <v>88.505373262701895</v>
      </c>
      <c r="AM2428">
        <v>81.830429834151602</v>
      </c>
      <c r="AN2428">
        <v>1.0000000305321199</v>
      </c>
    </row>
    <row r="2429" spans="1:40" x14ac:dyDescent="0.3">
      <c r="A2429" t="str">
        <f>"20200111153923634"</f>
        <v>20200111153923634</v>
      </c>
      <c r="B2429" t="str">
        <f>"1578728363623637"</f>
        <v>1578728363623637</v>
      </c>
      <c r="C2429" t="s">
        <v>40</v>
      </c>
      <c r="D2429">
        <v>5.20967</v>
      </c>
      <c r="E2429">
        <v>0.45598149999999998</v>
      </c>
      <c r="F2429" t="s">
        <v>41</v>
      </c>
      <c r="G2429">
        <v>-191.011</v>
      </c>
      <c r="H2429">
        <v>1.0234719999999999</v>
      </c>
      <c r="I2429">
        <v>173.14179999999999</v>
      </c>
      <c r="J2429">
        <v>-190.9606</v>
      </c>
      <c r="K2429">
        <v>1.103556</v>
      </c>
      <c r="L2429">
        <v>173.59520000000001</v>
      </c>
      <c r="M2429">
        <v>-7.5144130000000003E-2</v>
      </c>
      <c r="N2429">
        <v>0</v>
      </c>
      <c r="O2429">
        <v>-0.99708399999999997</v>
      </c>
      <c r="P2429">
        <v>-0.21522939999999999</v>
      </c>
      <c r="Q2429">
        <v>1.3367E-2</v>
      </c>
      <c r="R2429">
        <v>-0.97647209999999995</v>
      </c>
      <c r="S2429">
        <v>-0.2973633</v>
      </c>
      <c r="T2429">
        <v>-0.32877210000000001</v>
      </c>
      <c r="U2429">
        <v>-3.0110320000000002</v>
      </c>
      <c r="V2429">
        <v>0.14130799999999999</v>
      </c>
      <c r="W2429">
        <v>2.616518E-2</v>
      </c>
      <c r="X2429">
        <v>0.9896199</v>
      </c>
      <c r="Y2429">
        <v>2.2640509999999999E-2</v>
      </c>
      <c r="Z2429">
        <v>0.1078132</v>
      </c>
      <c r="AA2429">
        <v>0.99391339999999995</v>
      </c>
      <c r="AB2429">
        <v>30</v>
      </c>
      <c r="AC2429">
        <v>-5.0399999999996198E-2</v>
      </c>
      <c r="AD2429">
        <v>-8.0084000000000002E-2</v>
      </c>
      <c r="AE2429">
        <v>-0.45340000000001601</v>
      </c>
      <c r="AF2429">
        <v>1.57002757153515E-2</v>
      </c>
      <c r="AG2429">
        <v>-8.0084000000000002E-2</v>
      </c>
      <c r="AH2429">
        <v>0.44227571101315299</v>
      </c>
      <c r="AI2429">
        <v>100.257164181902</v>
      </c>
      <c r="AJ2429">
        <v>87.966919879576295</v>
      </c>
      <c r="AK2429">
        <v>0.44974187070555</v>
      </c>
      <c r="AL2429">
        <v>88.500674590874695</v>
      </c>
      <c r="AM2429">
        <v>81.873657843651301</v>
      </c>
      <c r="AN2429">
        <v>1.0000000569922101</v>
      </c>
    </row>
    <row r="2430" spans="1:40" x14ac:dyDescent="0.3">
      <c r="A2430" t="str">
        <f>"20200111153923656"</f>
        <v>20200111153923656</v>
      </c>
      <c r="B2430" t="str">
        <f>"1578728363652918"</f>
        <v>1578728363652918</v>
      </c>
      <c r="C2430" t="s">
        <v>40</v>
      </c>
      <c r="D2430">
        <v>5.3748709999999997</v>
      </c>
      <c r="E2430">
        <v>0.45557330000000001</v>
      </c>
      <c r="F2430" t="s">
        <v>41</v>
      </c>
      <c r="G2430">
        <v>-191.0309</v>
      </c>
      <c r="H2430">
        <v>1.025253</v>
      </c>
      <c r="I2430">
        <v>172.87620000000001</v>
      </c>
      <c r="J2430">
        <v>-190.9836</v>
      </c>
      <c r="K2430">
        <v>1.103599</v>
      </c>
      <c r="L2430">
        <v>173.30799999999999</v>
      </c>
      <c r="M2430">
        <v>-7.6336009999999996E-2</v>
      </c>
      <c r="N2430">
        <v>0</v>
      </c>
      <c r="O2430">
        <v>-0.99699340000000003</v>
      </c>
      <c r="P2430">
        <v>-0.21638009999999999</v>
      </c>
      <c r="Q2430">
        <v>1.371926E-2</v>
      </c>
      <c r="R2430">
        <v>-0.97621290000000005</v>
      </c>
      <c r="S2430">
        <v>-0.29463200000000001</v>
      </c>
      <c r="T2430">
        <v>-0.32802750000000003</v>
      </c>
      <c r="U2430">
        <v>-3.011841</v>
      </c>
      <c r="V2430">
        <v>0.1412899</v>
      </c>
      <c r="W2430">
        <v>2.6523169999999999E-2</v>
      </c>
      <c r="X2430">
        <v>0.98961290000000002</v>
      </c>
      <c r="Y2430">
        <v>2.0529410000000001E-2</v>
      </c>
      <c r="Z2430">
        <v>0.10753600000000001</v>
      </c>
      <c r="AA2430">
        <v>0.99398920000000002</v>
      </c>
      <c r="AB2430">
        <v>30</v>
      </c>
      <c r="AC2430">
        <v>-4.7300000000007003E-2</v>
      </c>
      <c r="AD2430">
        <v>-7.8345999999999999E-2</v>
      </c>
      <c r="AE2430">
        <v>-0.43179999999998098</v>
      </c>
      <c r="AF2430">
        <v>1.37498676128496E-2</v>
      </c>
      <c r="AG2430">
        <v>-7.8345999999999999E-2</v>
      </c>
      <c r="AH2430">
        <v>0.42047275421172797</v>
      </c>
      <c r="AI2430">
        <v>100.549279298318</v>
      </c>
      <c r="AJ2430">
        <v>88.127039767398102</v>
      </c>
      <c r="AK2430">
        <v>0.42793047520569</v>
      </c>
      <c r="AL2430">
        <v>88.480156072633804</v>
      </c>
      <c r="AM2430">
        <v>81.874628131443899</v>
      </c>
      <c r="AN2430">
        <v>1.0000000031176299</v>
      </c>
    </row>
    <row r="2431" spans="1:40" x14ac:dyDescent="0.3">
      <c r="A2431" t="str">
        <f>"20200111153923679"</f>
        <v>20200111153923679</v>
      </c>
      <c r="B2431" t="str">
        <f>"1578728363673414"</f>
        <v>1578728363673414</v>
      </c>
      <c r="C2431" t="s">
        <v>40</v>
      </c>
      <c r="D2431">
        <v>5.2727209999999998</v>
      </c>
      <c r="E2431">
        <v>0.45886549999999998</v>
      </c>
      <c r="F2431" t="s">
        <v>41</v>
      </c>
      <c r="G2431">
        <v>-191.0762</v>
      </c>
      <c r="H2431">
        <v>1.0010490000000001</v>
      </c>
      <c r="I2431">
        <v>172.3597</v>
      </c>
      <c r="J2431">
        <v>-191.00890000000001</v>
      </c>
      <c r="K2431">
        <v>1.1036570000000001</v>
      </c>
      <c r="L2431">
        <v>172.99719999999999</v>
      </c>
      <c r="M2431">
        <v>-7.7582219999999993E-2</v>
      </c>
      <c r="N2431">
        <v>0</v>
      </c>
      <c r="O2431">
        <v>-0.99689740000000004</v>
      </c>
      <c r="P2431">
        <v>-0.21855720000000001</v>
      </c>
      <c r="Q2431">
        <v>1.4630860000000001E-2</v>
      </c>
      <c r="R2431">
        <v>-0.97571439999999998</v>
      </c>
      <c r="S2431">
        <v>-0.2941742</v>
      </c>
      <c r="T2431">
        <v>-0.32575379999999998</v>
      </c>
      <c r="U2431">
        <v>-3.0124659999999999</v>
      </c>
      <c r="V2431">
        <v>0.14226129999999901</v>
      </c>
      <c r="W2431">
        <v>2.7436930000000002E-2</v>
      </c>
      <c r="X2431">
        <v>0.98944880000000002</v>
      </c>
      <c r="Y2431">
        <v>1.9118090000000001E-2</v>
      </c>
      <c r="Z2431">
        <v>0.10676430000000001</v>
      </c>
      <c r="AA2431">
        <v>0.9941006</v>
      </c>
      <c r="AB2431">
        <v>30</v>
      </c>
      <c r="AC2431">
        <v>-6.7299999999988799E-2</v>
      </c>
      <c r="AD2431">
        <v>-0.10260799999999901</v>
      </c>
      <c r="AE2431">
        <v>-0.63749999999998797</v>
      </c>
      <c r="AF2431">
        <v>1.7193577481411398E-2</v>
      </c>
      <c r="AG2431">
        <v>-0.10260799999999901</v>
      </c>
      <c r="AH2431">
        <v>0.62479241623575299</v>
      </c>
      <c r="AI2431">
        <v>99.322815856903503</v>
      </c>
      <c r="AJ2431">
        <v>88.423683068559797</v>
      </c>
      <c r="AK2431">
        <v>0.63339528270766299</v>
      </c>
      <c r="AL2431">
        <v>88.427782401584295</v>
      </c>
      <c r="AM2431">
        <v>81.818179574885903</v>
      </c>
      <c r="AN2431">
        <v>0.99999999521347704</v>
      </c>
    </row>
    <row r="2432" spans="1:40" x14ac:dyDescent="0.3">
      <c r="A2432" t="str">
        <f>"20200111153923702"</f>
        <v>20200111153923702</v>
      </c>
      <c r="B2432" t="str">
        <f>"1578728363692937"</f>
        <v>1578728363692937</v>
      </c>
      <c r="C2432" t="s">
        <v>40</v>
      </c>
      <c r="D2432">
        <v>5.5990409999999997</v>
      </c>
      <c r="E2432">
        <v>0.56019319999999995</v>
      </c>
      <c r="F2432" t="s">
        <v>41</v>
      </c>
      <c r="G2432">
        <v>-191.1069</v>
      </c>
      <c r="H2432">
        <v>1.0076590000000001</v>
      </c>
      <c r="I2432">
        <v>172.0933</v>
      </c>
      <c r="J2432">
        <v>-191.0341</v>
      </c>
      <c r="K2432">
        <v>1.1037049999999999</v>
      </c>
      <c r="L2432">
        <v>172.69239999999999</v>
      </c>
      <c r="M2432">
        <v>-7.8770399999999893E-2</v>
      </c>
      <c r="N2432">
        <v>0</v>
      </c>
      <c r="O2432">
        <v>-0.99680440000000003</v>
      </c>
      <c r="P2432">
        <v>-0.22110489999999999</v>
      </c>
      <c r="Q2432">
        <v>1.7082239999999999E-2</v>
      </c>
      <c r="R2432">
        <v>-0.97510059999999998</v>
      </c>
      <c r="S2432">
        <v>-0.32569890000000001</v>
      </c>
      <c r="T2432">
        <v>-0.31936629999999999</v>
      </c>
      <c r="U2432">
        <v>-3.0065</v>
      </c>
      <c r="V2432">
        <v>0.143673</v>
      </c>
      <c r="W2432">
        <v>2.98864E-2</v>
      </c>
      <c r="X2432">
        <v>0.98917379999999999</v>
      </c>
      <c r="Y2432">
        <v>2.8452559999999998E-2</v>
      </c>
      <c r="Z2432">
        <v>0.1048168</v>
      </c>
      <c r="AA2432">
        <v>0.99408439999999998</v>
      </c>
      <c r="AB2432">
        <v>30</v>
      </c>
      <c r="AC2432">
        <v>-7.2800000000000795E-2</v>
      </c>
      <c r="AD2432">
        <v>-9.6045999999999798E-2</v>
      </c>
      <c r="AE2432">
        <v>-0.59909999999999197</v>
      </c>
      <c r="AF2432">
        <v>2.4751357335046902E-2</v>
      </c>
      <c r="AG2432">
        <v>-9.6045999999999798E-2</v>
      </c>
      <c r="AH2432">
        <v>0.58807851309280501</v>
      </c>
      <c r="AI2432">
        <v>99.2676882395251</v>
      </c>
      <c r="AJ2432">
        <v>87.5899275695553</v>
      </c>
      <c r="AK2432">
        <v>0.596383937885127</v>
      </c>
      <c r="AL2432">
        <v>88.287380343365598</v>
      </c>
      <c r="AM2432">
        <v>81.735839236680604</v>
      </c>
      <c r="AN2432">
        <v>0.99999996722019902</v>
      </c>
    </row>
    <row r="2433" spans="1:40" x14ac:dyDescent="0.3">
      <c r="A2433" t="str">
        <f>"20200111153923724"</f>
        <v>20200111153923724</v>
      </c>
      <c r="B2433" t="str">
        <f>"1578728363713430"</f>
        <v>1578728363713430</v>
      </c>
      <c r="C2433" t="s">
        <v>40</v>
      </c>
      <c r="D2433">
        <v>5.4316069999999996</v>
      </c>
      <c r="E2433">
        <v>0.56373240000000002</v>
      </c>
      <c r="F2433" t="s">
        <v>42</v>
      </c>
      <c r="G2433">
        <v>-195.6525</v>
      </c>
      <c r="H2433" s="1">
        <v>-2.2007949999999998E-6</v>
      </c>
      <c r="I2433">
        <v>161.06569999999999</v>
      </c>
      <c r="J2433">
        <v>-191.05799999999999</v>
      </c>
      <c r="K2433">
        <v>1.1037520000000001</v>
      </c>
      <c r="L2433">
        <v>172.40520000000001</v>
      </c>
      <c r="M2433">
        <v>-7.9857410000000004E-2</v>
      </c>
      <c r="N2433">
        <v>0</v>
      </c>
      <c r="O2433">
        <v>-0.99671790000000005</v>
      </c>
      <c r="P2433">
        <v>-0.2242873</v>
      </c>
      <c r="Q2433">
        <v>1.9275299999999999E-2</v>
      </c>
      <c r="R2433">
        <v>-0.97433270000000005</v>
      </c>
      <c r="S2433">
        <v>-1.122849</v>
      </c>
      <c r="T2433">
        <v>-0.26833639999999997</v>
      </c>
      <c r="U2433">
        <v>-2.826721</v>
      </c>
      <c r="V2433">
        <v>0.14583009999999999</v>
      </c>
      <c r="W2433">
        <v>3.2074980000000003E-2</v>
      </c>
      <c r="X2433">
        <v>0.98878960000000005</v>
      </c>
      <c r="Y2433">
        <v>0.29231380000000001</v>
      </c>
      <c r="Z2433">
        <v>8.865307E-2</v>
      </c>
      <c r="AA2433">
        <v>0.95220450000000001</v>
      </c>
      <c r="AB2433">
        <v>30</v>
      </c>
      <c r="AC2433">
        <v>-4.5945000000000098</v>
      </c>
      <c r="AD2433">
        <v>-1.1037542007950001</v>
      </c>
      <c r="AE2433">
        <v>-11.339499999999999</v>
      </c>
      <c r="AF2433">
        <v>3.64454016568481</v>
      </c>
      <c r="AG2433">
        <v>-1.1037542007950001</v>
      </c>
      <c r="AH2433">
        <v>11.5760051759652</v>
      </c>
      <c r="AI2433">
        <v>95.196611914589894</v>
      </c>
      <c r="AJ2433">
        <v>72.524134890032897</v>
      </c>
      <c r="AK2433">
        <v>12.186256282757</v>
      </c>
      <c r="AL2433">
        <v>88.161923843753996</v>
      </c>
      <c r="AM2433">
        <v>81.610301130026201</v>
      </c>
      <c r="AN2433">
        <v>1.0000000477380799</v>
      </c>
    </row>
    <row r="2434" spans="1:40" x14ac:dyDescent="0.3">
      <c r="A2434" t="str">
        <f>"20200111153923746"</f>
        <v>20200111153923746</v>
      </c>
      <c r="B2434" t="str">
        <f>"1578728363743687"</f>
        <v>1578728363743687</v>
      </c>
      <c r="C2434" t="s">
        <v>40</v>
      </c>
      <c r="D2434">
        <v>5.42286</v>
      </c>
      <c r="E2434">
        <v>0.56236540000000002</v>
      </c>
      <c r="F2434" t="s">
        <v>42</v>
      </c>
      <c r="G2434">
        <v>-195.67769999999999</v>
      </c>
      <c r="H2434" s="1">
        <v>-2.2574160000000002E-6</v>
      </c>
      <c r="I2434">
        <v>161.1713</v>
      </c>
      <c r="J2434">
        <v>-191.08260000000001</v>
      </c>
      <c r="K2434">
        <v>1.103788</v>
      </c>
      <c r="L2434">
        <v>172.1146</v>
      </c>
      <c r="M2434">
        <v>-8.0921629999999994E-2</v>
      </c>
      <c r="N2434">
        <v>0</v>
      </c>
      <c r="O2434">
        <v>-0.99663230000000003</v>
      </c>
      <c r="P2434">
        <v>-0.22829969999999999</v>
      </c>
      <c r="Q2434">
        <v>2.1383510000000001E-2</v>
      </c>
      <c r="R2434">
        <v>-0.97335629999999995</v>
      </c>
      <c r="S2434">
        <v>-1.158752</v>
      </c>
      <c r="T2434">
        <v>-0.27685080000000001</v>
      </c>
      <c r="U2434">
        <v>-2.81778</v>
      </c>
      <c r="V2434">
        <v>0.14885419999999999</v>
      </c>
      <c r="W2434">
        <v>3.4175240000000003E-2</v>
      </c>
      <c r="X2434">
        <v>0.98826840000000005</v>
      </c>
      <c r="Y2434">
        <v>0.30264419999999997</v>
      </c>
      <c r="Z2434">
        <v>9.1337080000000001E-2</v>
      </c>
      <c r="AA2434">
        <v>0.94871709999999998</v>
      </c>
      <c r="AB2434">
        <v>30</v>
      </c>
      <c r="AC2434">
        <v>-4.5950999999999702</v>
      </c>
      <c r="AD2434">
        <v>-1.1037902574159999</v>
      </c>
      <c r="AE2434">
        <v>-10.943299999999899</v>
      </c>
      <c r="AF2434">
        <v>3.66272217557791</v>
      </c>
      <c r="AG2434">
        <v>-1.1037902574159999</v>
      </c>
      <c r="AH2434">
        <v>11.1825654604565</v>
      </c>
      <c r="AI2434">
        <v>95.358827230679296</v>
      </c>
      <c r="AJ2434">
        <v>71.864379632496295</v>
      </c>
      <c r="AK2434">
        <v>11.8187840721976</v>
      </c>
      <c r="AL2434">
        <v>88.041521576091398</v>
      </c>
      <c r="AM2434">
        <v>81.434427060417605</v>
      </c>
      <c r="AN2434">
        <v>0.99999997516262795</v>
      </c>
    </row>
    <row r="2435" spans="1:40" x14ac:dyDescent="0.3">
      <c r="A2435" t="str">
        <f>"20200111153923770"</f>
        <v>20200111153923770</v>
      </c>
      <c r="B2435" t="str">
        <f>"1578728363763207"</f>
        <v>1578728363763207</v>
      </c>
      <c r="C2435" t="s">
        <v>40</v>
      </c>
      <c r="D2435">
        <v>5.4603910000000004</v>
      </c>
      <c r="E2435">
        <v>0.56164320000000001</v>
      </c>
      <c r="F2435" t="s">
        <v>42</v>
      </c>
      <c r="G2435">
        <v>-195.8905</v>
      </c>
      <c r="H2435" s="1">
        <v>-1.965795E-6</v>
      </c>
      <c r="I2435">
        <v>160.43459999999999</v>
      </c>
      <c r="J2435">
        <v>-191.10839999999999</v>
      </c>
      <c r="K2435">
        <v>1.1038220000000001</v>
      </c>
      <c r="L2435">
        <v>171.81229999999999</v>
      </c>
      <c r="M2435">
        <v>-8.1989919999999994E-2</v>
      </c>
      <c r="N2435">
        <v>0</v>
      </c>
      <c r="O2435">
        <v>-0.99654480000000001</v>
      </c>
      <c r="P2435">
        <v>-0.23271069999999999</v>
      </c>
      <c r="Q2435">
        <v>2.1622450000000001E-2</v>
      </c>
      <c r="R2435">
        <v>-0.9723058</v>
      </c>
      <c r="S2435">
        <v>-1.1592100000000001</v>
      </c>
      <c r="T2435">
        <v>-0.26612619999999998</v>
      </c>
      <c r="U2435">
        <v>-2.8160859999999999</v>
      </c>
      <c r="V2435">
        <v>0.1522744</v>
      </c>
      <c r="W2435">
        <v>3.440733E-2</v>
      </c>
      <c r="X2435">
        <v>0.98773909999999998</v>
      </c>
      <c r="Y2435">
        <v>0.30207399999999901</v>
      </c>
      <c r="Z2435">
        <v>8.7870439999999994E-2</v>
      </c>
      <c r="AA2435">
        <v>0.94922609999999996</v>
      </c>
      <c r="AB2435">
        <v>30</v>
      </c>
      <c r="AC2435">
        <v>-4.7821000000000096</v>
      </c>
      <c r="AD2435">
        <v>-1.10382396579499</v>
      </c>
      <c r="AE2435">
        <v>-11.377700000000001</v>
      </c>
      <c r="AF2435">
        <v>3.8026400177733701</v>
      </c>
      <c r="AG2435">
        <v>-1.10382396579499</v>
      </c>
      <c r="AH2435">
        <v>11.6384080574315</v>
      </c>
      <c r="AI2435">
        <v>95.151466728464101</v>
      </c>
      <c r="AJ2435">
        <v>71.906129750080694</v>
      </c>
      <c r="AK2435">
        <v>12.293536536063201</v>
      </c>
      <c r="AL2435">
        <v>88.028215910451294</v>
      </c>
      <c r="AM2435">
        <v>81.236015018926395</v>
      </c>
      <c r="AN2435">
        <v>0.99999994346094701</v>
      </c>
    </row>
    <row r="2436" spans="1:40" x14ac:dyDescent="0.3">
      <c r="A2436" t="str">
        <f>"20200111153923791"</f>
        <v>20200111153923791</v>
      </c>
      <c r="B2436" t="str">
        <f>"1578728363783702"</f>
        <v>1578728363783702</v>
      </c>
      <c r="C2436" t="s">
        <v>40</v>
      </c>
      <c r="D2436">
        <v>5.4025780000000001</v>
      </c>
      <c r="E2436">
        <v>0.56098300000000001</v>
      </c>
      <c r="F2436" t="s">
        <v>42</v>
      </c>
      <c r="G2436">
        <v>-195.82300000000001</v>
      </c>
      <c r="H2436" s="1">
        <v>-1.9469509999999999E-6</v>
      </c>
      <c r="I2436">
        <v>160.43270000000001</v>
      </c>
      <c r="J2436">
        <v>-191.13319999999999</v>
      </c>
      <c r="K2436">
        <v>1.103842</v>
      </c>
      <c r="L2436">
        <v>171.52369999999999</v>
      </c>
      <c r="M2436">
        <v>-8.2972589999999999E-2</v>
      </c>
      <c r="N2436">
        <v>0</v>
      </c>
      <c r="O2436">
        <v>-0.99646380000000001</v>
      </c>
      <c r="P2436">
        <v>-0.23718359999999999</v>
      </c>
      <c r="Q2436">
        <v>2.081438E-2</v>
      </c>
      <c r="R2436">
        <v>-0.9712423</v>
      </c>
      <c r="S2436">
        <v>-1.1652979999999999</v>
      </c>
      <c r="T2436">
        <v>-0.27282669999999998</v>
      </c>
      <c r="U2436">
        <v>-2.8126220000000002</v>
      </c>
      <c r="V2436">
        <v>0.15584120000000001</v>
      </c>
      <c r="W2436">
        <v>3.3592400000000001E-2</v>
      </c>
      <c r="X2436">
        <v>0.98721080000000005</v>
      </c>
      <c r="Y2436">
        <v>0.30322440000000001</v>
      </c>
      <c r="Z2436">
        <v>9.010232E-2</v>
      </c>
      <c r="AA2436">
        <v>0.94864979999999999</v>
      </c>
      <c r="AB2436">
        <v>30</v>
      </c>
      <c r="AC2436">
        <v>-4.6897999999999902</v>
      </c>
      <c r="AD2436">
        <v>-1.103843946951</v>
      </c>
      <c r="AE2436">
        <v>-11.0909999999999</v>
      </c>
      <c r="AF2436">
        <v>3.7220200967402701</v>
      </c>
      <c r="AG2436">
        <v>-1.103843946951</v>
      </c>
      <c r="AH2436">
        <v>11.3465635487256</v>
      </c>
      <c r="AI2436">
        <v>95.281305126115399</v>
      </c>
      <c r="AJ2436">
        <v>71.838926378431097</v>
      </c>
      <c r="AK2436">
        <v>11.992347952966901</v>
      </c>
      <c r="AL2436">
        <v>88.074935173242807</v>
      </c>
      <c r="AM2436">
        <v>81.0293094189458</v>
      </c>
      <c r="AN2436">
        <v>1.00000004629591</v>
      </c>
    </row>
    <row r="2437" spans="1:40" x14ac:dyDescent="0.3">
      <c r="A2437" t="str">
        <f>"20200111153923813"</f>
        <v>20200111153923813</v>
      </c>
      <c r="B2437" t="str">
        <f>"1578728363803225"</f>
        <v>1578728363803225</v>
      </c>
      <c r="C2437" t="s">
        <v>40</v>
      </c>
      <c r="D2437">
        <v>5.3422510000000001</v>
      </c>
      <c r="E2437">
        <v>0.56007830000000003</v>
      </c>
      <c r="F2437" t="s">
        <v>42</v>
      </c>
      <c r="G2437">
        <v>-195.80279999999999</v>
      </c>
      <c r="H2437" s="1">
        <v>-1.897628E-6</v>
      </c>
      <c r="I2437">
        <v>160.3398</v>
      </c>
      <c r="J2437">
        <v>-191.15860000000001</v>
      </c>
      <c r="K2437">
        <v>1.1038589999999999</v>
      </c>
      <c r="L2437">
        <v>171.2321</v>
      </c>
      <c r="M2437">
        <v>-8.3933250000000001E-2</v>
      </c>
      <c r="N2437">
        <v>0</v>
      </c>
      <c r="O2437">
        <v>-0.99638320000000002</v>
      </c>
      <c r="P2437">
        <v>-0.24118990000000001</v>
      </c>
      <c r="Q2437">
        <v>1.958358E-2</v>
      </c>
      <c r="R2437">
        <v>-0.97028060000000005</v>
      </c>
      <c r="S2437">
        <v>-1.172577</v>
      </c>
      <c r="T2437">
        <v>-0.27718880000000001</v>
      </c>
      <c r="U2437">
        <v>-2.808411</v>
      </c>
      <c r="V2437">
        <v>0.15895699999999999</v>
      </c>
      <c r="W2437">
        <v>3.2356160000000002E-2</v>
      </c>
      <c r="X2437">
        <v>0.98675520000000005</v>
      </c>
      <c r="Y2437">
        <v>0.30485240000000002</v>
      </c>
      <c r="Z2437">
        <v>9.1576879999999999E-2</v>
      </c>
      <c r="AA2437">
        <v>0.94798669999999996</v>
      </c>
      <c r="AB2437">
        <v>30</v>
      </c>
      <c r="AC2437">
        <v>-4.6441999999999801</v>
      </c>
      <c r="AD2437">
        <v>-1.103860897628</v>
      </c>
      <c r="AE2437">
        <v>-10.892300000000001</v>
      </c>
      <c r="AF2437">
        <v>3.68150868197587</v>
      </c>
      <c r="AG2437">
        <v>-1.103860897628</v>
      </c>
      <c r="AH2437">
        <v>11.1468234655086</v>
      </c>
      <c r="AI2437">
        <v>95.371913879983296</v>
      </c>
      <c r="AJ2437">
        <v>71.722941346354403</v>
      </c>
      <c r="AK2437">
        <v>11.790830692872699</v>
      </c>
      <c r="AL2437">
        <v>88.145805030400595</v>
      </c>
      <c r="AM2437">
        <v>80.848805698493706</v>
      </c>
      <c r="AN2437">
        <v>1.00000003683299</v>
      </c>
    </row>
    <row r="2438" spans="1:40" x14ac:dyDescent="0.3">
      <c r="A2438" t="str">
        <f>"20200111153923835"</f>
        <v>20200111153923835</v>
      </c>
      <c r="B2438" t="str">
        <f>"1578728363823717"</f>
        <v>1578728363823717</v>
      </c>
      <c r="C2438" t="s">
        <v>40</v>
      </c>
      <c r="D2438">
        <v>5.3928900000000004</v>
      </c>
      <c r="E2438">
        <v>0.55957570000000001</v>
      </c>
      <c r="F2438" t="s">
        <v>42</v>
      </c>
      <c r="G2438">
        <v>-195.7457</v>
      </c>
      <c r="H2438" s="1">
        <v>-1.8619009999999999E-6</v>
      </c>
      <c r="I2438">
        <v>160.2963</v>
      </c>
      <c r="J2438">
        <v>-191.18369999999999</v>
      </c>
      <c r="K2438">
        <v>1.103869</v>
      </c>
      <c r="L2438">
        <v>170.9468</v>
      </c>
      <c r="M2438">
        <v>-8.4848399999999893E-2</v>
      </c>
      <c r="N2438">
        <v>0</v>
      </c>
      <c r="O2438">
        <v>-0.99630589999999997</v>
      </c>
      <c r="P2438">
        <v>-0.2452009</v>
      </c>
      <c r="Q2438">
        <v>1.84017E-2</v>
      </c>
      <c r="R2438">
        <v>-0.96929810000000005</v>
      </c>
      <c r="S2438">
        <v>-1.17662</v>
      </c>
      <c r="T2438">
        <v>-0.2831514</v>
      </c>
      <c r="U2438">
        <v>-2.8051300000000001</v>
      </c>
      <c r="V2438">
        <v>0.16212599999999999</v>
      </c>
      <c r="W2438">
        <v>3.1167529999999999E-2</v>
      </c>
      <c r="X2438">
        <v>0.98627770000000003</v>
      </c>
      <c r="Y2438">
        <v>0.30546279999999998</v>
      </c>
      <c r="Z2438">
        <v>9.3583659999999999E-2</v>
      </c>
      <c r="AA2438">
        <v>0.94759409999999999</v>
      </c>
      <c r="AB2438">
        <v>29</v>
      </c>
      <c r="AC2438">
        <v>-4.56200000000001</v>
      </c>
      <c r="AD2438">
        <v>-1.103870861901</v>
      </c>
      <c r="AE2438">
        <v>-10.6504999999999</v>
      </c>
      <c r="AF2438">
        <v>3.6090299819724798</v>
      </c>
      <c r="AG2438">
        <v>-1.103870861901</v>
      </c>
      <c r="AH2438">
        <v>10.9002577732109</v>
      </c>
      <c r="AI2438">
        <v>95.491404956702397</v>
      </c>
      <c r="AJ2438">
        <v>71.680507655619706</v>
      </c>
      <c r="AK2438">
        <v>11.5351310271264</v>
      </c>
      <c r="AL2438">
        <v>88.213942787403994</v>
      </c>
      <c r="AM2438">
        <v>80.665105677498602</v>
      </c>
      <c r="AN2438">
        <v>0.99999997815979502</v>
      </c>
    </row>
    <row r="2439" spans="1:40" x14ac:dyDescent="0.3">
      <c r="A2439" t="str">
        <f>"20200111153923857"</f>
        <v>20200111153923857</v>
      </c>
      <c r="B2439" t="str">
        <f>"1578728363852999"</f>
        <v>1578728363852999</v>
      </c>
      <c r="C2439" t="s">
        <v>40</v>
      </c>
      <c r="D2439">
        <v>5.3733969999999998</v>
      </c>
      <c r="E2439">
        <v>0.55898190000000003</v>
      </c>
      <c r="F2439" t="s">
        <v>42</v>
      </c>
      <c r="G2439">
        <v>-195.71180000000001</v>
      </c>
      <c r="H2439" s="1">
        <v>-1.8248300000000001E-6</v>
      </c>
      <c r="I2439">
        <v>160.23699999999999</v>
      </c>
      <c r="J2439">
        <v>-191.2098</v>
      </c>
      <c r="K2439">
        <v>1.103872</v>
      </c>
      <c r="L2439">
        <v>170.65360000000001</v>
      </c>
      <c r="M2439">
        <v>-8.5771669999999994E-2</v>
      </c>
      <c r="N2439">
        <v>0</v>
      </c>
      <c r="O2439">
        <v>-0.99622699999999997</v>
      </c>
      <c r="P2439">
        <v>-0.2485146</v>
      </c>
      <c r="Q2439">
        <v>1.714808E-2</v>
      </c>
      <c r="R2439">
        <v>-0.96847660000000002</v>
      </c>
      <c r="S2439">
        <v>-1.1842189999999999</v>
      </c>
      <c r="T2439">
        <v>-0.28869409999999901</v>
      </c>
      <c r="U2439">
        <v>-2.8009339999999998</v>
      </c>
      <c r="V2439">
        <v>0.1645799</v>
      </c>
      <c r="W2439">
        <v>2.9907360000000001E-2</v>
      </c>
      <c r="X2439">
        <v>0.98591019999999896</v>
      </c>
      <c r="Y2439">
        <v>0.3072011</v>
      </c>
      <c r="Z2439">
        <v>9.5441960000000006E-2</v>
      </c>
      <c r="AA2439">
        <v>0.94684650000000004</v>
      </c>
      <c r="AB2439">
        <v>29</v>
      </c>
      <c r="AC2439">
        <v>-4.5019999999999998</v>
      </c>
      <c r="AD2439">
        <v>-1.10387382483</v>
      </c>
      <c r="AE2439">
        <v>-10.416600000000001</v>
      </c>
      <c r="AF2439">
        <v>3.5582090131945598</v>
      </c>
      <c r="AG2439">
        <v>-1.10387382483</v>
      </c>
      <c r="AH2439">
        <v>10.6634794383864</v>
      </c>
      <c r="AI2439">
        <v>95.608269311700894</v>
      </c>
      <c r="AJ2439">
        <v>71.5470839539243</v>
      </c>
      <c r="AK2439">
        <v>11.295538169366401</v>
      </c>
      <c r="AL2439">
        <v>88.286178871027701</v>
      </c>
      <c r="AM2439">
        <v>80.522890303906905</v>
      </c>
      <c r="AN2439">
        <v>0.999999958065108</v>
      </c>
    </row>
    <row r="2440" spans="1:40" x14ac:dyDescent="0.3">
      <c r="A2440" t="str">
        <f>"20200111153923880"</f>
        <v>20200111153923880</v>
      </c>
      <c r="B2440" t="str">
        <f>"1578728363873495"</f>
        <v>1578728363873495</v>
      </c>
      <c r="C2440" t="s">
        <v>40</v>
      </c>
      <c r="D2440">
        <v>5.4301659999999998</v>
      </c>
      <c r="E2440">
        <v>0.5585772</v>
      </c>
      <c r="F2440" t="s">
        <v>42</v>
      </c>
      <c r="G2440">
        <v>-195.6825</v>
      </c>
      <c r="H2440" s="1">
        <v>-1.767537E-6</v>
      </c>
      <c r="I2440">
        <v>160.13229999999999</v>
      </c>
      <c r="J2440">
        <v>-191.23679999999999</v>
      </c>
      <c r="K2440">
        <v>1.103864</v>
      </c>
      <c r="L2440">
        <v>170.3527</v>
      </c>
      <c r="M2440">
        <v>-8.6709449999999993E-2</v>
      </c>
      <c r="N2440">
        <v>0</v>
      </c>
      <c r="O2440">
        <v>-0.99614559999999996</v>
      </c>
      <c r="P2440">
        <v>-0.25137690000000001</v>
      </c>
      <c r="Q2440">
        <v>1.575942E-2</v>
      </c>
      <c r="R2440">
        <v>-0.96776099999999998</v>
      </c>
      <c r="S2440">
        <v>-1.189316</v>
      </c>
      <c r="T2440">
        <v>-0.2935258</v>
      </c>
      <c r="U2440">
        <v>-2.7976839999999998</v>
      </c>
      <c r="V2440">
        <v>0.1665616</v>
      </c>
      <c r="W2440">
        <v>2.8512249999999999E-2</v>
      </c>
      <c r="X2440">
        <v>0.98561869999999996</v>
      </c>
      <c r="Y2440">
        <v>0.3081005</v>
      </c>
      <c r="Z2440">
        <v>9.7067059999999997E-2</v>
      </c>
      <c r="AA2440">
        <v>0.94638900000000004</v>
      </c>
      <c r="AB2440">
        <v>29</v>
      </c>
      <c r="AC2440">
        <v>-4.4457000000000102</v>
      </c>
      <c r="AD2440">
        <v>-1.1038657675370001</v>
      </c>
      <c r="AE2440">
        <v>-10.2204</v>
      </c>
      <c r="AF2440">
        <v>3.5082564152270499</v>
      </c>
      <c r="AG2440">
        <v>-1.1038657675370001</v>
      </c>
      <c r="AH2440">
        <v>10.4647655243831</v>
      </c>
      <c r="AI2440">
        <v>95.711356394440799</v>
      </c>
      <c r="AJ2440">
        <v>71.466549597564295</v>
      </c>
      <c r="AK2440">
        <v>11.0922360319297</v>
      </c>
      <c r="AL2440">
        <v>88.366146934877904</v>
      </c>
      <c r="AM2440">
        <v>80.408100207608598</v>
      </c>
      <c r="AN2440">
        <v>0.99999996839215499</v>
      </c>
    </row>
    <row r="2441" spans="1:40" x14ac:dyDescent="0.3">
      <c r="A2441" t="str">
        <f>"20200111153923903"</f>
        <v>20200111153923903</v>
      </c>
      <c r="B2441" t="str">
        <f>"1578728363893017"</f>
        <v>1578728363893017</v>
      </c>
      <c r="C2441" t="s">
        <v>40</v>
      </c>
      <c r="D2441">
        <v>5.3966539999999998</v>
      </c>
      <c r="E2441">
        <v>0.55817280000000002</v>
      </c>
      <c r="F2441" t="s">
        <v>42</v>
      </c>
      <c r="G2441">
        <v>-195.6422</v>
      </c>
      <c r="H2441" s="1">
        <v>-1.7152159999999999E-6</v>
      </c>
      <c r="I2441">
        <v>160.04429999999999</v>
      </c>
      <c r="J2441">
        <v>-191.2636</v>
      </c>
      <c r="K2441">
        <v>1.1038539999999999</v>
      </c>
      <c r="L2441">
        <v>170.0574</v>
      </c>
      <c r="M2441">
        <v>-8.7626759999999998E-2</v>
      </c>
      <c r="N2441">
        <v>0</v>
      </c>
      <c r="O2441">
        <v>-0.99606539999999999</v>
      </c>
      <c r="P2441">
        <v>-0.25362180000000001</v>
      </c>
      <c r="Q2441">
        <v>1.397815E-2</v>
      </c>
      <c r="R2441">
        <v>-0.96720289999999998</v>
      </c>
      <c r="S2441">
        <v>-1.1942900000000001</v>
      </c>
      <c r="T2441">
        <v>-0.29925629999999998</v>
      </c>
      <c r="U2441">
        <v>-2.7945859999999998</v>
      </c>
      <c r="V2441">
        <v>0.1679351</v>
      </c>
      <c r="W2441">
        <v>2.67248E-2</v>
      </c>
      <c r="X2441">
        <v>0.98543570000000003</v>
      </c>
      <c r="Y2441">
        <v>0.3089537</v>
      </c>
      <c r="Z2441">
        <v>9.8983650000000006E-2</v>
      </c>
      <c r="AA2441">
        <v>0.94591219999999998</v>
      </c>
      <c r="AB2441">
        <v>29</v>
      </c>
      <c r="AC2441">
        <v>-4.3785999999999996</v>
      </c>
      <c r="AD2441">
        <v>-1.103855715216</v>
      </c>
      <c r="AE2441">
        <v>-10.0131</v>
      </c>
      <c r="AF2441">
        <v>3.4490735318027599</v>
      </c>
      <c r="AG2441">
        <v>-1.103855715216</v>
      </c>
      <c r="AH2441">
        <v>10.253682253190499</v>
      </c>
      <c r="AI2441">
        <v>95.826104366660203</v>
      </c>
      <c r="AJ2441">
        <v>71.4083917198585</v>
      </c>
      <c r="AK2441">
        <v>10.8744013820159</v>
      </c>
      <c r="AL2441">
        <v>88.468599370838703</v>
      </c>
      <c r="AM2441">
        <v>80.328729145069204</v>
      </c>
      <c r="AN2441">
        <v>0.999999965790769</v>
      </c>
    </row>
    <row r="2442" spans="1:40" x14ac:dyDescent="0.3">
      <c r="A2442" t="str">
        <f>"20200111153923923"</f>
        <v>20200111153923923</v>
      </c>
      <c r="B2442" t="str">
        <f>"1578728363913044"</f>
        <v>1578728363913044</v>
      </c>
      <c r="C2442" t="s">
        <v>40</v>
      </c>
      <c r="D2442">
        <v>5.4055289999999996</v>
      </c>
      <c r="E2442">
        <v>0.55777769999999904</v>
      </c>
      <c r="F2442" t="s">
        <v>42</v>
      </c>
      <c r="G2442">
        <v>-195.57820000000001</v>
      </c>
      <c r="H2442" s="1">
        <v>-1.6764660000000001E-6</v>
      </c>
      <c r="I2442">
        <v>159.9983</v>
      </c>
      <c r="J2442">
        <v>-191.28890000000001</v>
      </c>
      <c r="K2442">
        <v>1.10385</v>
      </c>
      <c r="L2442">
        <v>169.7809</v>
      </c>
      <c r="M2442">
        <v>-8.8490719999999995E-2</v>
      </c>
      <c r="N2442">
        <v>0</v>
      </c>
      <c r="O2442">
        <v>-0.99598900000000001</v>
      </c>
      <c r="P2442">
        <v>-0.25556909999999999</v>
      </c>
      <c r="Q2442">
        <v>1.33702E-2</v>
      </c>
      <c r="R2442">
        <v>-0.96669859999999996</v>
      </c>
      <c r="S2442">
        <v>-1.1976169999999999</v>
      </c>
      <c r="T2442">
        <v>-0.30639959999999899</v>
      </c>
      <c r="U2442">
        <v>-2.7921140000000002</v>
      </c>
      <c r="V2442">
        <v>0.1690632</v>
      </c>
      <c r="W2442">
        <v>2.6110850000000001E-2</v>
      </c>
      <c r="X2442">
        <v>0.98525929999999995</v>
      </c>
      <c r="Y2442">
        <v>0.3092897</v>
      </c>
      <c r="Z2442">
        <v>0.1013627</v>
      </c>
      <c r="AA2442">
        <v>0.94555040000000001</v>
      </c>
      <c r="AB2442">
        <v>29</v>
      </c>
      <c r="AC2442">
        <v>-4.2892999999999901</v>
      </c>
      <c r="AD2442">
        <v>-1.103851676466</v>
      </c>
      <c r="AE2442">
        <v>-9.7826000000000004</v>
      </c>
      <c r="AF2442">
        <v>3.37072765378739</v>
      </c>
      <c r="AG2442">
        <v>-1.103851676466</v>
      </c>
      <c r="AH2442">
        <v>10.0168390639391</v>
      </c>
      <c r="AI2442">
        <v>95.962620724952998</v>
      </c>
      <c r="AJ2442">
        <v>71.401598614780099</v>
      </c>
      <c r="AK2442">
        <v>10.626257961883899</v>
      </c>
      <c r="AL2442">
        <v>88.503788471691607</v>
      </c>
      <c r="AM2442">
        <v>80.263292138940301</v>
      </c>
      <c r="AN2442">
        <v>1.0000000151592201</v>
      </c>
    </row>
    <row r="2443" spans="1:40" x14ac:dyDescent="0.3">
      <c r="A2443" t="str">
        <f>"20200111153923948"</f>
        <v>20200111153923948</v>
      </c>
      <c r="B2443" t="str">
        <f>"1578728363943298"</f>
        <v>1578728363943298</v>
      </c>
      <c r="C2443" t="s">
        <v>40</v>
      </c>
      <c r="D2443">
        <v>5.3937359999999996</v>
      </c>
      <c r="E2443">
        <v>0.55754250000000005</v>
      </c>
      <c r="F2443" t="s">
        <v>42</v>
      </c>
      <c r="G2443">
        <v>-195.5513</v>
      </c>
      <c r="H2443" s="1">
        <v>-1.608457E-6</v>
      </c>
      <c r="I2443">
        <v>159.86959999999999</v>
      </c>
      <c r="J2443">
        <v>-191.31710000000001</v>
      </c>
      <c r="K2443">
        <v>1.1038479999999999</v>
      </c>
      <c r="L2443">
        <v>169.47569999999999</v>
      </c>
      <c r="M2443">
        <v>-8.9460330000000005E-2</v>
      </c>
      <c r="N2443">
        <v>0</v>
      </c>
      <c r="O2443">
        <v>-0.99590259999999997</v>
      </c>
      <c r="P2443">
        <v>-0.25685019999999997</v>
      </c>
      <c r="Q2443">
        <v>1.4022430000000001E-2</v>
      </c>
      <c r="R2443">
        <v>-0.96635000000000004</v>
      </c>
      <c r="S2443">
        <v>-1.200027</v>
      </c>
      <c r="T2443">
        <v>-0.31077189999999999</v>
      </c>
      <c r="U2443">
        <v>-2.7903899999999999</v>
      </c>
      <c r="V2443">
        <v>0.16941229999999999</v>
      </c>
      <c r="W2443">
        <v>2.675721E-2</v>
      </c>
      <c r="X2443">
        <v>0.985182</v>
      </c>
      <c r="Y2443">
        <v>0.3092067</v>
      </c>
      <c r="Z2443">
        <v>0.1028222</v>
      </c>
      <c r="AA2443">
        <v>0.94541989999999998</v>
      </c>
      <c r="AB2443">
        <v>29</v>
      </c>
      <c r="AC2443">
        <v>-4.23419999999998</v>
      </c>
      <c r="AD2443">
        <v>-1.103849608457</v>
      </c>
      <c r="AE2443">
        <v>-9.6060999999999908</v>
      </c>
      <c r="AF2443">
        <v>3.3210603246546899</v>
      </c>
      <c r="AG2443">
        <v>-1.103849608457</v>
      </c>
      <c r="AH2443">
        <v>9.8376331464692903</v>
      </c>
      <c r="AI2443">
        <v>96.068451513119498</v>
      </c>
      <c r="AJ2443">
        <v>71.345969298533205</v>
      </c>
      <c r="AK2443">
        <v>10.4415971748864</v>
      </c>
      <c r="AL2443">
        <v>88.466741840153702</v>
      </c>
      <c r="AM2443">
        <v>80.242821944892</v>
      </c>
      <c r="AN2443">
        <v>1.00000002440113</v>
      </c>
    </row>
    <row r="2444" spans="1:40" x14ac:dyDescent="0.3">
      <c r="A2444" t="str">
        <f>"20200111153923970"</f>
        <v>20200111153923970</v>
      </c>
      <c r="B2444" t="str">
        <f>"1578728363963794"</f>
        <v>1578728363963794</v>
      </c>
      <c r="C2444" t="s">
        <v>40</v>
      </c>
      <c r="D2444">
        <v>5.3736519999999999</v>
      </c>
      <c r="E2444">
        <v>0.55746879999999999</v>
      </c>
      <c r="F2444" t="s">
        <v>62</v>
      </c>
      <c r="G2444">
        <v>-195.60589999999999</v>
      </c>
      <c r="H2444" s="1">
        <v>-1.495382E-5</v>
      </c>
      <c r="I2444">
        <v>159.5222</v>
      </c>
      <c r="J2444">
        <v>-191.34559999999999</v>
      </c>
      <c r="K2444">
        <v>1.103845</v>
      </c>
      <c r="L2444">
        <v>169.17080000000001</v>
      </c>
      <c r="M2444">
        <v>-9.0455540000000001E-2</v>
      </c>
      <c r="N2444">
        <v>0</v>
      </c>
      <c r="O2444">
        <v>-0.99581280000000005</v>
      </c>
      <c r="P2444">
        <v>-0.25839810000000002</v>
      </c>
      <c r="Q2444">
        <v>1.5036559999999999E-2</v>
      </c>
      <c r="R2444">
        <v>-0.96592180000000005</v>
      </c>
      <c r="S2444">
        <v>-1.2019500000000001</v>
      </c>
      <c r="T2444">
        <v>-0.30935750000000001</v>
      </c>
      <c r="U2444">
        <v>-2.7894589999999999</v>
      </c>
      <c r="V2444">
        <v>0.17001040000000001</v>
      </c>
      <c r="W2444">
        <v>2.776153E-2</v>
      </c>
      <c r="X2444">
        <v>0.98505120000000002</v>
      </c>
      <c r="Y2444">
        <v>0.30893969999999998</v>
      </c>
      <c r="Z2444">
        <v>0.10236779999999999</v>
      </c>
      <c r="AA2444">
        <v>0.94555650000000002</v>
      </c>
      <c r="AB2444">
        <v>29</v>
      </c>
      <c r="AC2444">
        <v>-4.2603</v>
      </c>
      <c r="AD2444">
        <v>-1.10385995382</v>
      </c>
      <c r="AE2444">
        <v>-9.6486000000000107</v>
      </c>
      <c r="AF2444">
        <v>3.33347373047078</v>
      </c>
      <c r="AG2444">
        <v>-1.10385995382</v>
      </c>
      <c r="AH2444">
        <v>9.8861539789228203</v>
      </c>
      <c r="AI2444">
        <v>96.039673169174904</v>
      </c>
      <c r="AJ2444">
        <v>71.366608657677403</v>
      </c>
      <c r="AK2444">
        <v>10.491262765003899</v>
      </c>
      <c r="AL2444">
        <v>88.409177195420099</v>
      </c>
      <c r="AM2444">
        <v>80.207765448922103</v>
      </c>
      <c r="AN2444">
        <v>1.00000005263876</v>
      </c>
    </row>
    <row r="2445" spans="1:40" x14ac:dyDescent="0.3">
      <c r="A2445" t="str">
        <f>"20200111153923993"</f>
        <v>20200111153923993</v>
      </c>
      <c r="B2445" t="str">
        <f>"1578728363983316"</f>
        <v>1578728363983316</v>
      </c>
      <c r="C2445" t="s">
        <v>40</v>
      </c>
      <c r="D2445">
        <v>5.3127180000000003</v>
      </c>
      <c r="E2445">
        <v>0.55747340000000001</v>
      </c>
      <c r="F2445" t="s">
        <v>62</v>
      </c>
      <c r="G2445">
        <v>-195.69210000000001</v>
      </c>
      <c r="H2445" s="1">
        <v>-1.4854009999999999E-5</v>
      </c>
      <c r="I2445">
        <v>159.12559999999999</v>
      </c>
      <c r="J2445">
        <v>-191.3725</v>
      </c>
      <c r="K2445">
        <v>1.1038289999999999</v>
      </c>
      <c r="L2445">
        <v>168.88659999999999</v>
      </c>
      <c r="M2445">
        <v>-9.1418600000000003E-2</v>
      </c>
      <c r="N2445">
        <v>0</v>
      </c>
      <c r="O2445">
        <v>-0.99572470000000002</v>
      </c>
      <c r="P2445">
        <v>-0.2605422</v>
      </c>
      <c r="Q2445">
        <v>1.581668E-2</v>
      </c>
      <c r="R2445">
        <v>-0.9653332</v>
      </c>
      <c r="S2445">
        <v>-1.2063140000000001</v>
      </c>
      <c r="T2445">
        <v>-0.30635959999999901</v>
      </c>
      <c r="U2445">
        <v>-2.787903</v>
      </c>
      <c r="V2445">
        <v>0.17124919999999999</v>
      </c>
      <c r="W2445">
        <v>2.8526079999999999E-2</v>
      </c>
      <c r="X2445">
        <v>0.98481470000000004</v>
      </c>
      <c r="Y2445">
        <v>0.30949959999999999</v>
      </c>
      <c r="Z2445">
        <v>0.10138510000000001</v>
      </c>
      <c r="AA2445">
        <v>0.94547930000000002</v>
      </c>
      <c r="AB2445">
        <v>29</v>
      </c>
      <c r="AC2445">
        <v>-4.3196000000000003</v>
      </c>
      <c r="AD2445">
        <v>-1.10384385401</v>
      </c>
      <c r="AE2445">
        <v>-9.7609999999999904</v>
      </c>
      <c r="AF2445">
        <v>3.37302145719572</v>
      </c>
      <c r="AG2445">
        <v>-1.10384385401</v>
      </c>
      <c r="AH2445">
        <v>10.008016341032301</v>
      </c>
      <c r="AI2445">
        <v>95.966855000096004</v>
      </c>
      <c r="AJ2445">
        <v>71.374538658043505</v>
      </c>
      <c r="AK2445">
        <v>10.6186692239239</v>
      </c>
      <c r="AL2445">
        <v>88.365354279056703</v>
      </c>
      <c r="AM2445">
        <v>80.135487480900295</v>
      </c>
      <c r="AN2445">
        <v>1.00000000953844</v>
      </c>
    </row>
    <row r="2446" spans="1:40" x14ac:dyDescent="0.3">
      <c r="A2446" t="str">
        <f>"20200111153924025"</f>
        <v>20200111153924025</v>
      </c>
      <c r="B2446" t="str">
        <f>"1578728364013101"</f>
        <v>1578728364013101</v>
      </c>
      <c r="C2446" t="s">
        <v>40</v>
      </c>
      <c r="D2446">
        <v>5.3515189999999997</v>
      </c>
      <c r="E2446">
        <v>0.55747139999999995</v>
      </c>
      <c r="F2446" t="s">
        <v>62</v>
      </c>
      <c r="G2446">
        <v>-195.77959999999999</v>
      </c>
      <c r="H2446" s="1">
        <v>-1.476456E-5</v>
      </c>
      <c r="I2446">
        <v>158.77000000000001</v>
      </c>
      <c r="J2446">
        <v>-191.41329999999999</v>
      </c>
      <c r="K2446">
        <v>1.103783</v>
      </c>
      <c r="L2446">
        <v>168.4614</v>
      </c>
      <c r="M2446">
        <v>-9.2959920000000001E-2</v>
      </c>
      <c r="N2446">
        <v>0</v>
      </c>
      <c r="O2446">
        <v>-0.99558190000000002</v>
      </c>
      <c r="P2446">
        <v>-0.26284390000000002</v>
      </c>
      <c r="Q2446">
        <v>1.6792870000000001E-2</v>
      </c>
      <c r="R2446">
        <v>-0.96469260000000001</v>
      </c>
      <c r="S2446">
        <v>-1.2133480000000001</v>
      </c>
      <c r="T2446">
        <v>-0.30390250000000002</v>
      </c>
      <c r="U2446">
        <v>-2.7852169999999998</v>
      </c>
      <c r="V2446">
        <v>0.17208099999999901</v>
      </c>
      <c r="W2446">
        <v>2.9474110000000001E-2</v>
      </c>
      <c r="X2446">
        <v>0.98464180000000001</v>
      </c>
      <c r="Y2446">
        <v>0.31040190000000001</v>
      </c>
      <c r="Z2446">
        <v>0.1005837</v>
      </c>
      <c r="AA2446">
        <v>0.94526900000000003</v>
      </c>
      <c r="AB2446">
        <v>29</v>
      </c>
      <c r="AC2446">
        <v>-4.3662999999999901</v>
      </c>
      <c r="AD2446">
        <v>-1.1037977645599999</v>
      </c>
      <c r="AE2446">
        <v>-9.6913999999999803</v>
      </c>
      <c r="AF2446">
        <v>3.4096325544392099</v>
      </c>
      <c r="AG2446">
        <v>-1.1037977645599999</v>
      </c>
      <c r="AH2446">
        <v>9.9480817796574303</v>
      </c>
      <c r="AI2446">
        <v>95.9919343830461</v>
      </c>
      <c r="AJ2446">
        <v>71.081222416846501</v>
      </c>
      <c r="AK2446">
        <v>10.5739441437947</v>
      </c>
      <c r="AL2446">
        <v>88.311013345697802</v>
      </c>
      <c r="AM2446">
        <v>80.086815143726298</v>
      </c>
      <c r="AN2446">
        <v>1.0000000340142601</v>
      </c>
    </row>
    <row r="2447" spans="1:40" x14ac:dyDescent="0.3">
      <c r="A2447" t="str">
        <f>"20200111153924048"</f>
        <v>20200111153924048</v>
      </c>
      <c r="B2447" t="str">
        <f>"1578728364043357"</f>
        <v>1578728364043357</v>
      </c>
      <c r="C2447" t="s">
        <v>40</v>
      </c>
      <c r="D2447">
        <v>5.3543729999999998</v>
      </c>
      <c r="E2447">
        <v>0.55764049999999998</v>
      </c>
      <c r="F2447" t="s">
        <v>62</v>
      </c>
      <c r="G2447">
        <v>-195.8811</v>
      </c>
      <c r="H2447" s="1">
        <v>-1.463902E-5</v>
      </c>
      <c r="I2447">
        <v>158.27109999999999</v>
      </c>
      <c r="J2447">
        <v>-191.4419</v>
      </c>
      <c r="K2447">
        <v>1.103729</v>
      </c>
      <c r="L2447">
        <v>168.16839999999999</v>
      </c>
      <c r="M2447">
        <v>-9.4098710000000002E-2</v>
      </c>
      <c r="N2447">
        <v>0</v>
      </c>
      <c r="O2447">
        <v>-0.99547529999999995</v>
      </c>
      <c r="P2447">
        <v>-0.26456069999999998</v>
      </c>
      <c r="Q2447">
        <v>1.8144670000000002E-2</v>
      </c>
      <c r="R2447">
        <v>-0.96419909999999998</v>
      </c>
      <c r="S2447">
        <v>-1.2200009999999999</v>
      </c>
      <c r="T2447">
        <v>-0.3014095</v>
      </c>
      <c r="U2447">
        <v>-2.7826230000000001</v>
      </c>
      <c r="V2447">
        <v>0.17271600000000001</v>
      </c>
      <c r="W2447">
        <v>3.0802449999999999E-2</v>
      </c>
      <c r="X2447">
        <v>0.98448990000000003</v>
      </c>
      <c r="Y2447">
        <v>0.31156780000000001</v>
      </c>
      <c r="Z2447">
        <v>9.9770460000000005E-2</v>
      </c>
      <c r="AA2447">
        <v>0.94497160000000002</v>
      </c>
      <c r="AB2447">
        <v>29</v>
      </c>
      <c r="AC2447">
        <v>-4.4391999999999996</v>
      </c>
      <c r="AD2447">
        <v>-1.1037436390199999</v>
      </c>
      <c r="AE2447">
        <v>-9.8972999999999995</v>
      </c>
      <c r="AF2447">
        <v>3.4523502323554802</v>
      </c>
      <c r="AG2447">
        <v>-1.1037436390199999</v>
      </c>
      <c r="AH2447">
        <v>10.1658814821619</v>
      </c>
      <c r="AI2447">
        <v>95.869771034304406</v>
      </c>
      <c r="AJ2447">
        <v>71.242427461579297</v>
      </c>
      <c r="AK2447">
        <v>10.792688194184199</v>
      </c>
      <c r="AL2447">
        <v>88.234870392317305</v>
      </c>
      <c r="AM2447">
        <v>80.049459488864102</v>
      </c>
      <c r="AN2447">
        <v>0.99999998539200596</v>
      </c>
    </row>
    <row r="2448" spans="1:40" x14ac:dyDescent="0.3">
      <c r="A2448" t="str">
        <f>"20200111153924069"</f>
        <v>20200111153924069</v>
      </c>
      <c r="B2448" t="str">
        <f>"1578728364062878"</f>
        <v>1578728364062878</v>
      </c>
      <c r="C2448" t="s">
        <v>40</v>
      </c>
      <c r="D2448">
        <v>5.3487280000000004</v>
      </c>
      <c r="E2448">
        <v>0.55786610000000003</v>
      </c>
      <c r="F2448" t="s">
        <v>62</v>
      </c>
      <c r="G2448">
        <v>-195.97300000000001</v>
      </c>
      <c r="H2448" s="1">
        <v>-1.454575E-5</v>
      </c>
      <c r="I2448">
        <v>157.90039999999999</v>
      </c>
      <c r="J2448">
        <v>-191.47040000000001</v>
      </c>
      <c r="K2448">
        <v>1.1036680000000001</v>
      </c>
      <c r="L2448">
        <v>167.8809</v>
      </c>
      <c r="M2448">
        <v>-9.5295389999999994E-2</v>
      </c>
      <c r="N2448">
        <v>0</v>
      </c>
      <c r="O2448">
        <v>-0.9953611</v>
      </c>
      <c r="P2448">
        <v>-0.2662235</v>
      </c>
      <c r="Q2448">
        <v>1.7746459999999999E-2</v>
      </c>
      <c r="R2448">
        <v>-0.96374820000000005</v>
      </c>
      <c r="S2448">
        <v>-1.2269129999999999</v>
      </c>
      <c r="T2448">
        <v>-0.29887180000000002</v>
      </c>
      <c r="U2448">
        <v>-2.7803650000000002</v>
      </c>
      <c r="V2448">
        <v>0.17323329999999901</v>
      </c>
      <c r="W2448">
        <v>3.0378269999999999E-2</v>
      </c>
      <c r="X2448">
        <v>0.98441219999999996</v>
      </c>
      <c r="Y2448">
        <v>0.3127103</v>
      </c>
      <c r="Z2448">
        <v>9.8928790000000003E-2</v>
      </c>
      <c r="AA2448">
        <v>0.94468269999999999</v>
      </c>
      <c r="AB2448">
        <v>29</v>
      </c>
      <c r="AC2448">
        <v>-4.50259999999997</v>
      </c>
      <c r="AD2448">
        <v>-1.1036825457499999</v>
      </c>
      <c r="AE2448">
        <v>-9.9804999999999993</v>
      </c>
      <c r="AF2448">
        <v>3.49541017769582</v>
      </c>
      <c r="AG2448">
        <v>-1.1036825457499999</v>
      </c>
      <c r="AH2448">
        <v>10.2599365845658</v>
      </c>
      <c r="AI2448">
        <v>95.814104359415197</v>
      </c>
      <c r="AJ2448">
        <v>71.186774981630705</v>
      </c>
      <c r="AK2448">
        <v>10.895058797062299</v>
      </c>
      <c r="AL2448">
        <v>88.259185517052799</v>
      </c>
      <c r="AM2448">
        <v>80.019483122150106</v>
      </c>
      <c r="AN2448">
        <v>0.99999999751296098</v>
      </c>
    </row>
    <row r="2449" spans="1:40" x14ac:dyDescent="0.3">
      <c r="A2449" t="str">
        <f>"20200111153924093"</f>
        <v>20200111153924093</v>
      </c>
      <c r="B2449" t="str">
        <f>"1578728364083375"</f>
        <v>1578728364083375</v>
      </c>
      <c r="C2449" t="s">
        <v>40</v>
      </c>
      <c r="D2449">
        <v>5.353345</v>
      </c>
      <c r="E2449">
        <v>0.55810969999999904</v>
      </c>
      <c r="F2449" t="s">
        <v>62</v>
      </c>
      <c r="G2449">
        <v>-195.98779999999999</v>
      </c>
      <c r="H2449" s="1">
        <v>-1.449743E-5</v>
      </c>
      <c r="I2449">
        <v>157.70840000000001</v>
      </c>
      <c r="J2449">
        <v>-191.5008</v>
      </c>
      <c r="K2449">
        <v>1.103577</v>
      </c>
      <c r="L2449">
        <v>167.5778</v>
      </c>
      <c r="M2449">
        <v>-9.6677570000000004E-2</v>
      </c>
      <c r="N2449">
        <v>0</v>
      </c>
      <c r="O2449">
        <v>-0.99522809999999995</v>
      </c>
      <c r="P2449">
        <v>-0.26834180000000002</v>
      </c>
      <c r="Q2449">
        <v>1.6565719999999999E-2</v>
      </c>
      <c r="R2449">
        <v>-0.96318179999999998</v>
      </c>
      <c r="S2449">
        <v>-1.2335050000000001</v>
      </c>
      <c r="T2449">
        <v>-0.30136590000000002</v>
      </c>
      <c r="U2449">
        <v>-2.7776640000000001</v>
      </c>
      <c r="V2449">
        <v>0.17403160000000001</v>
      </c>
      <c r="W2449">
        <v>2.916096E-2</v>
      </c>
      <c r="X2449">
        <v>0.98430819999999997</v>
      </c>
      <c r="Y2449">
        <v>0.31357200000000002</v>
      </c>
      <c r="Z2449">
        <v>9.975328E-2</v>
      </c>
      <c r="AA2449">
        <v>0.94431019999999999</v>
      </c>
      <c r="AB2449">
        <v>29</v>
      </c>
      <c r="AC2449">
        <v>-4.4869999999999903</v>
      </c>
      <c r="AD2449">
        <v>-1.1035914974299901</v>
      </c>
      <c r="AE2449">
        <v>-9.8693999999999793</v>
      </c>
      <c r="AF2449">
        <v>3.4757302301384199</v>
      </c>
      <c r="AG2449">
        <v>-1.1035914974299901</v>
      </c>
      <c r="AH2449">
        <v>10.151799817149699</v>
      </c>
      <c r="AI2449">
        <v>95.872108206373397</v>
      </c>
      <c r="AJ2449">
        <v>71.100039005184996</v>
      </c>
      <c r="AK2449">
        <v>10.786920522251799</v>
      </c>
      <c r="AL2449">
        <v>88.328963170735307</v>
      </c>
      <c r="AM2449">
        <v>79.973383742316898</v>
      </c>
      <c r="AN2449">
        <v>0.99999999598695999</v>
      </c>
    </row>
    <row r="2450" spans="1:40" x14ac:dyDescent="0.3">
      <c r="A2450" t="str">
        <f>"20200111153924115"</f>
        <v>20200111153924115</v>
      </c>
      <c r="B2450" t="str">
        <f>"1578728364103413"</f>
        <v>1578728364103413</v>
      </c>
      <c r="C2450" t="s">
        <v>40</v>
      </c>
      <c r="D2450">
        <v>5.4416260000000003</v>
      </c>
      <c r="E2450">
        <v>0.55846640000000003</v>
      </c>
      <c r="F2450" t="s">
        <v>62</v>
      </c>
      <c r="G2450">
        <v>-195.98230000000001</v>
      </c>
      <c r="H2450" s="1">
        <v>-1.4462309999999999E-5</v>
      </c>
      <c r="I2450">
        <v>157.56880000000001</v>
      </c>
      <c r="J2450">
        <v>-191.52940000000001</v>
      </c>
      <c r="K2450">
        <v>1.103464</v>
      </c>
      <c r="L2450">
        <v>167.2987</v>
      </c>
      <c r="M2450">
        <v>-9.8093330000000006E-2</v>
      </c>
      <c r="N2450">
        <v>0</v>
      </c>
      <c r="O2450">
        <v>-0.99508940000000001</v>
      </c>
      <c r="P2450">
        <v>-0.26998030000000001</v>
      </c>
      <c r="Q2450">
        <v>1.5212959999999999E-2</v>
      </c>
      <c r="R2450">
        <v>-0.96274610000000005</v>
      </c>
      <c r="S2450">
        <v>-1.2420040000000001</v>
      </c>
      <c r="T2450">
        <v>-0.30584909999999998</v>
      </c>
      <c r="U2450">
        <v>-2.773911</v>
      </c>
      <c r="V2450">
        <v>0.1743072</v>
      </c>
      <c r="W2450">
        <v>2.7766780000000001E-2</v>
      </c>
      <c r="X2450">
        <v>0.98429979999999995</v>
      </c>
      <c r="Y2450">
        <v>0.31504720000000003</v>
      </c>
      <c r="Z2450">
        <v>0.1012385</v>
      </c>
      <c r="AA2450">
        <v>0.94366099999999997</v>
      </c>
      <c r="AB2450">
        <v>29</v>
      </c>
      <c r="AC2450">
        <v>-4.4528999999999996</v>
      </c>
      <c r="AD2450">
        <v>-1.10347846231</v>
      </c>
      <c r="AE2450">
        <v>-9.7298999999999793</v>
      </c>
      <c r="AF2450">
        <v>3.4403124948284902</v>
      </c>
      <c r="AG2450">
        <v>-1.10347846231</v>
      </c>
      <c r="AH2450">
        <v>10.0133160228749</v>
      </c>
      <c r="AI2450">
        <v>95.949962612688694</v>
      </c>
      <c r="AJ2450">
        <v>71.038624107047795</v>
      </c>
      <c r="AK2450">
        <v>10.645182598378399</v>
      </c>
      <c r="AL2450">
        <v>88.408876264689795</v>
      </c>
      <c r="AM2450">
        <v>79.957744373481106</v>
      </c>
      <c r="AN2450">
        <v>1.0000000451617199</v>
      </c>
    </row>
    <row r="2451" spans="1:40" x14ac:dyDescent="0.3">
      <c r="A2451" t="str">
        <f>"20200111153924137"</f>
        <v>20200111153924137</v>
      </c>
      <c r="B2451" t="str">
        <f>"1578728364133656"</f>
        <v>1578728364133656</v>
      </c>
      <c r="C2451" t="s">
        <v>40</v>
      </c>
      <c r="D2451">
        <v>5.4860249999999997</v>
      </c>
      <c r="E2451">
        <v>0.57523789999999997</v>
      </c>
      <c r="F2451" t="s">
        <v>62</v>
      </c>
      <c r="G2451">
        <v>-195.9819</v>
      </c>
      <c r="H2451" s="1">
        <v>-1.442813E-5</v>
      </c>
      <c r="I2451">
        <v>157.43299999999999</v>
      </c>
      <c r="J2451">
        <v>-191.56</v>
      </c>
      <c r="K2451">
        <v>1.1033280000000001</v>
      </c>
      <c r="L2451">
        <v>167.00630000000001</v>
      </c>
      <c r="M2451">
        <v>-9.9761169999999996E-2</v>
      </c>
      <c r="N2451">
        <v>0</v>
      </c>
      <c r="O2451">
        <v>-0.99492369999999997</v>
      </c>
      <c r="P2451">
        <v>-0.27143820000000002</v>
      </c>
      <c r="Q2451">
        <v>1.3675430000000001E-2</v>
      </c>
      <c r="R2451">
        <v>-0.96235910000000002</v>
      </c>
      <c r="S2451">
        <v>-1.2502899999999999</v>
      </c>
      <c r="T2451">
        <v>-0.30986419999999998</v>
      </c>
      <c r="U2451">
        <v>-2.7703700000000002</v>
      </c>
      <c r="V2451">
        <v>0.17414979999999999</v>
      </c>
      <c r="W2451">
        <v>2.617806E-2</v>
      </c>
      <c r="X2451">
        <v>0.9843712</v>
      </c>
      <c r="Y2451">
        <v>0.31619839999999999</v>
      </c>
      <c r="Z2451">
        <v>0.1025655</v>
      </c>
      <c r="AA2451">
        <v>0.94313250000000004</v>
      </c>
      <c r="AB2451">
        <v>29</v>
      </c>
      <c r="AC2451">
        <v>-4.4218999999999902</v>
      </c>
      <c r="AD2451">
        <v>-1.1033424281299999</v>
      </c>
      <c r="AE2451">
        <v>-9.5733000000000104</v>
      </c>
      <c r="AF2451">
        <v>3.4074078854902101</v>
      </c>
      <c r="AG2451">
        <v>-1.1033424281299999</v>
      </c>
      <c r="AH2451">
        <v>9.8587788388413298</v>
      </c>
      <c r="AI2451">
        <v>96.038022733427695</v>
      </c>
      <c r="AJ2451">
        <v>70.933739851157995</v>
      </c>
      <c r="AK2451">
        <v>10.489199836259999</v>
      </c>
      <c r="AL2451">
        <v>88.499936360209901</v>
      </c>
      <c r="AM2451">
        <v>79.967341202749495</v>
      </c>
      <c r="AN2451">
        <v>1.0000000515274201</v>
      </c>
    </row>
    <row r="2452" spans="1:40" x14ac:dyDescent="0.3">
      <c r="A2452" t="str">
        <f>"20200111153924160"</f>
        <v>20200111153924160</v>
      </c>
      <c r="B2452" t="str">
        <f>"1578728364153177"</f>
        <v>1578728364153177</v>
      </c>
      <c r="C2452" t="s">
        <v>40</v>
      </c>
      <c r="D2452">
        <v>5.5075940000000001</v>
      </c>
      <c r="E2452">
        <v>0.58313199999999998</v>
      </c>
      <c r="F2452" t="s">
        <v>62</v>
      </c>
      <c r="G2452">
        <v>-195.91890000000001</v>
      </c>
      <c r="H2452" s="1">
        <v>-1.4669740000000001E-5</v>
      </c>
      <c r="I2452">
        <v>158.39320000000001</v>
      </c>
      <c r="J2452">
        <v>-191.59299999999999</v>
      </c>
      <c r="K2452">
        <v>1.103165</v>
      </c>
      <c r="L2452">
        <v>166.69909999999999</v>
      </c>
      <c r="M2452">
        <v>-0.10171910000000001</v>
      </c>
      <c r="N2452">
        <v>0</v>
      </c>
      <c r="O2452">
        <v>-0.99472519999999998</v>
      </c>
      <c r="P2452">
        <v>-0.27314169999999999</v>
      </c>
      <c r="Q2452">
        <v>1.276685E-2</v>
      </c>
      <c r="R2452">
        <v>-0.96188929999999995</v>
      </c>
      <c r="S2452">
        <v>-1.3827510000000001</v>
      </c>
      <c r="T2452">
        <v>-0.35001179999999998</v>
      </c>
      <c r="U2452">
        <v>-2.7323149999999998</v>
      </c>
      <c r="V2452">
        <v>0.17396039999999999</v>
      </c>
      <c r="W2452">
        <v>2.520992E-2</v>
      </c>
      <c r="X2452">
        <v>0.98442989999999997</v>
      </c>
      <c r="Y2452">
        <v>0.35543849999999999</v>
      </c>
      <c r="Z2452">
        <v>0.1151037</v>
      </c>
      <c r="AA2452">
        <v>0.9275854</v>
      </c>
      <c r="AB2452">
        <v>29</v>
      </c>
      <c r="AC2452">
        <v>-4.3259000000000096</v>
      </c>
      <c r="AD2452">
        <v>-1.10317966973999</v>
      </c>
      <c r="AE2452">
        <v>-8.3058999999999799</v>
      </c>
      <c r="AF2452">
        <v>3.4111798035014398</v>
      </c>
      <c r="AG2452">
        <v>-1.10317966973999</v>
      </c>
      <c r="AH2452">
        <v>8.5837619860312699</v>
      </c>
      <c r="AI2452">
        <v>96.810805093896903</v>
      </c>
      <c r="AJ2452">
        <v>68.327168673503195</v>
      </c>
      <c r="AK2452">
        <v>9.3023718947577692</v>
      </c>
      <c r="AL2452">
        <v>88.555424932297498</v>
      </c>
      <c r="AM2452">
        <v>79.978616579895601</v>
      </c>
      <c r="AN2452">
        <v>0.999999994424288</v>
      </c>
    </row>
    <row r="2453" spans="1:40" x14ac:dyDescent="0.3">
      <c r="A2453" t="str">
        <f>"20200111153924182"</f>
        <v>20200111153924182</v>
      </c>
      <c r="B2453" t="str">
        <f>"1578728364173672"</f>
        <v>1578728364173672</v>
      </c>
      <c r="C2453" t="s">
        <v>40</v>
      </c>
      <c r="D2453">
        <v>5.514138</v>
      </c>
      <c r="E2453">
        <v>0.57530979999999998</v>
      </c>
      <c r="F2453" t="s">
        <v>62</v>
      </c>
      <c r="G2453">
        <v>-196.631</v>
      </c>
      <c r="H2453" s="1">
        <v>-1.4387210000000001E-5</v>
      </c>
      <c r="I2453">
        <v>157.27029999999999</v>
      </c>
      <c r="J2453">
        <v>-191.62450000000001</v>
      </c>
      <c r="K2453">
        <v>1.103019</v>
      </c>
      <c r="L2453">
        <v>166.41159999999999</v>
      </c>
      <c r="M2453">
        <v>-0.10371850000000001</v>
      </c>
      <c r="N2453">
        <v>0</v>
      </c>
      <c r="O2453">
        <v>-0.99451860000000003</v>
      </c>
      <c r="P2453">
        <v>-0.27519749999999998</v>
      </c>
      <c r="Q2453">
        <v>1.083628E-2</v>
      </c>
      <c r="R2453">
        <v>-0.96132689999999998</v>
      </c>
      <c r="S2453">
        <v>-1.448898</v>
      </c>
      <c r="T2453">
        <v>-0.31726529999999997</v>
      </c>
      <c r="U2453">
        <v>-2.7116389999999999</v>
      </c>
      <c r="V2453">
        <v>0.17408460000000001</v>
      </c>
      <c r="W2453">
        <v>2.3224950000000001E-2</v>
      </c>
      <c r="X2453">
        <v>0.98445680000000002</v>
      </c>
      <c r="Y2453">
        <v>0.37468210000000002</v>
      </c>
      <c r="Z2453">
        <v>0.1041747</v>
      </c>
      <c r="AA2453">
        <v>0.92128220000000005</v>
      </c>
      <c r="AB2453">
        <v>29</v>
      </c>
      <c r="AC2453">
        <v>-5.00649999999996</v>
      </c>
      <c r="AD2453">
        <v>-1.10303338721</v>
      </c>
      <c r="AE2453">
        <v>-9.1412999999999993</v>
      </c>
      <c r="AF2453">
        <v>3.9866366941162701</v>
      </c>
      <c r="AG2453">
        <v>-1.10303338721</v>
      </c>
      <c r="AH2453">
        <v>9.5048435253488694</v>
      </c>
      <c r="AI2453">
        <v>96.108393985816093</v>
      </c>
      <c r="AJ2453">
        <v>67.245257970666898</v>
      </c>
      <c r="AK2453">
        <v>10.365905904721499</v>
      </c>
      <c r="AL2453">
        <v>88.669188752592504</v>
      </c>
      <c r="AM2453">
        <v>79.9718754004479</v>
      </c>
      <c r="AN2453">
        <v>1.0000000186629501</v>
      </c>
    </row>
    <row r="2454" spans="1:40" x14ac:dyDescent="0.3">
      <c r="A2454" t="str">
        <f>"20200111153924204"</f>
        <v>20200111153924204</v>
      </c>
      <c r="B2454" t="str">
        <f>"1578728364193193"</f>
        <v>1578728364193193</v>
      </c>
      <c r="C2454" t="s">
        <v>40</v>
      </c>
      <c r="D2454">
        <v>5.5246570000000004</v>
      </c>
      <c r="E2454">
        <v>0.57567800000000002</v>
      </c>
      <c r="F2454" t="s">
        <v>62</v>
      </c>
      <c r="G2454">
        <v>-196.60679999999999</v>
      </c>
      <c r="H2454" s="1">
        <v>-1.4238549999999999E-5</v>
      </c>
      <c r="I2454">
        <v>156.67949999999999</v>
      </c>
      <c r="J2454">
        <v>-191.6568</v>
      </c>
      <c r="K2454">
        <v>1.1028800000000001</v>
      </c>
      <c r="L2454">
        <v>166.12389999999999</v>
      </c>
      <c r="M2454">
        <v>-0.10589320000000001</v>
      </c>
      <c r="N2454">
        <v>0</v>
      </c>
      <c r="O2454">
        <v>-0.99428950000000005</v>
      </c>
      <c r="P2454">
        <v>-0.27752529999999997</v>
      </c>
      <c r="Q2454">
        <v>8.6416059999999996E-3</v>
      </c>
      <c r="R2454">
        <v>-0.96067999999999998</v>
      </c>
      <c r="S2454">
        <v>-1.3949739999999999</v>
      </c>
      <c r="T2454">
        <v>-0.30883060000000001</v>
      </c>
      <c r="U2454">
        <v>-2.7248380000000001</v>
      </c>
      <c r="V2454">
        <v>0.174312299999999</v>
      </c>
      <c r="W2454">
        <v>2.097769E-2</v>
      </c>
      <c r="X2454">
        <v>0.98446690000000003</v>
      </c>
      <c r="Y2454">
        <v>0.35650859999999901</v>
      </c>
      <c r="Z2454">
        <v>0.1017808</v>
      </c>
      <c r="AA2454">
        <v>0.92873159999999999</v>
      </c>
      <c r="AB2454">
        <v>29</v>
      </c>
      <c r="AC2454">
        <v>-4.9499999999999797</v>
      </c>
      <c r="AD2454">
        <v>-1.10289423854999</v>
      </c>
      <c r="AE2454">
        <v>-9.4443999999999999</v>
      </c>
      <c r="AF2454">
        <v>3.88046456275067</v>
      </c>
      <c r="AG2454">
        <v>-1.10289423854999</v>
      </c>
      <c r="AH2454">
        <v>9.8105516808958502</v>
      </c>
      <c r="AI2454">
        <v>95.967943555231301</v>
      </c>
      <c r="AJ2454">
        <v>68.419226431262999</v>
      </c>
      <c r="AK2454">
        <v>10.6076060073759</v>
      </c>
      <c r="AL2454">
        <v>88.797978678201105</v>
      </c>
      <c r="AM2454">
        <v>79.959126428502898</v>
      </c>
      <c r="AN2454">
        <v>0.999999959302317</v>
      </c>
    </row>
    <row r="2455" spans="1:40" x14ac:dyDescent="0.3">
      <c r="A2455" t="str">
        <f>"20200111153924226"</f>
        <v>20200111153924226</v>
      </c>
      <c r="B2455" t="str">
        <f>"1578728364223449"</f>
        <v>1578728364223449</v>
      </c>
      <c r="C2455" t="s">
        <v>40</v>
      </c>
      <c r="D2455">
        <v>5.5154800000000002</v>
      </c>
      <c r="E2455">
        <v>0.57605490000000004</v>
      </c>
      <c r="F2455" t="s">
        <v>62</v>
      </c>
      <c r="G2455">
        <v>-196.4547</v>
      </c>
      <c r="H2455" s="1">
        <v>-1.4275549999999999E-5</v>
      </c>
      <c r="I2455">
        <v>156.82650000000001</v>
      </c>
      <c r="J2455">
        <v>-191.68889999999999</v>
      </c>
      <c r="K2455">
        <v>1.1027499999999999</v>
      </c>
      <c r="L2455">
        <v>165.84479999999999</v>
      </c>
      <c r="M2455">
        <v>-0.1081713</v>
      </c>
      <c r="N2455">
        <v>0</v>
      </c>
      <c r="O2455">
        <v>-0.99404409999999999</v>
      </c>
      <c r="P2455">
        <v>-0.28029090000000001</v>
      </c>
      <c r="Q2455">
        <v>6.4496680000000004E-3</v>
      </c>
      <c r="R2455">
        <v>-0.95989340000000001</v>
      </c>
      <c r="S2455">
        <v>-1.403732</v>
      </c>
      <c r="T2455">
        <v>-0.32267829999999997</v>
      </c>
      <c r="U2455">
        <v>-2.7201689999999998</v>
      </c>
      <c r="V2455">
        <v>0.17488689999999901</v>
      </c>
      <c r="W2455">
        <v>1.8733179999999999E-2</v>
      </c>
      <c r="X2455">
        <v>0.98441029999999996</v>
      </c>
      <c r="Y2455">
        <v>0.35716290000000001</v>
      </c>
      <c r="Z2455">
        <v>0.1063241</v>
      </c>
      <c r="AA2455">
        <v>0.92797079999999998</v>
      </c>
      <c r="AB2455">
        <v>29</v>
      </c>
      <c r="AC2455">
        <v>-4.7658000000000103</v>
      </c>
      <c r="AD2455">
        <v>-1.10276427555</v>
      </c>
      <c r="AE2455">
        <v>-9.0182999999999804</v>
      </c>
      <c r="AF2455">
        <v>3.7187576600227499</v>
      </c>
      <c r="AG2455">
        <v>-1.10276427555</v>
      </c>
      <c r="AH2455">
        <v>9.3714051903626796</v>
      </c>
      <c r="AI2455">
        <v>96.241997299261499</v>
      </c>
      <c r="AJ2455">
        <v>68.355849689848796</v>
      </c>
      <c r="AK2455">
        <v>10.1424101092079</v>
      </c>
      <c r="AL2455">
        <v>88.926605060685702</v>
      </c>
      <c r="AM2455">
        <v>79.926137321854995</v>
      </c>
      <c r="AN2455">
        <v>0.99999999928530603</v>
      </c>
    </row>
    <row r="2456" spans="1:40" x14ac:dyDescent="0.3">
      <c r="A2456" t="str">
        <f>"20200111153924248"</f>
        <v>20200111153924248</v>
      </c>
      <c r="B2456" t="str">
        <f>"1578728364242969"</f>
        <v>1578728364242969</v>
      </c>
      <c r="C2456" t="s">
        <v>40</v>
      </c>
      <c r="D2456">
        <v>5.5451160000000002</v>
      </c>
      <c r="E2456">
        <v>0.57659749999999999</v>
      </c>
      <c r="F2456" t="s">
        <v>62</v>
      </c>
      <c r="G2456">
        <v>-196.44990000000001</v>
      </c>
      <c r="H2456" s="1">
        <v>-1.424514E-5</v>
      </c>
      <c r="I2456">
        <v>156.70570000000001</v>
      </c>
      <c r="J2456">
        <v>-191.72309999999999</v>
      </c>
      <c r="K2456">
        <v>1.102617</v>
      </c>
      <c r="L2456">
        <v>165.55529999999999</v>
      </c>
      <c r="M2456">
        <v>-0.1106953</v>
      </c>
      <c r="N2456">
        <v>0</v>
      </c>
      <c r="O2456">
        <v>-0.99376620000000004</v>
      </c>
      <c r="P2456">
        <v>-0.28340310000000002</v>
      </c>
      <c r="Q2456">
        <v>5.6806959999999998E-3</v>
      </c>
      <c r="R2456">
        <v>-0.95898410000000001</v>
      </c>
      <c r="S2456">
        <v>-1.414169</v>
      </c>
      <c r="T2456">
        <v>-0.32755570000000001</v>
      </c>
      <c r="U2456">
        <v>-2.7146149999999998</v>
      </c>
      <c r="V2456">
        <v>0.17558190000000001</v>
      </c>
      <c r="W2456">
        <v>1.7909350000000001E-2</v>
      </c>
      <c r="X2456">
        <v>0.98430189999999995</v>
      </c>
      <c r="Y2456">
        <v>0.35829650000000002</v>
      </c>
      <c r="Z2456">
        <v>0.10794570000000001</v>
      </c>
      <c r="AA2456">
        <v>0.92734640000000002</v>
      </c>
      <c r="AB2456">
        <v>29</v>
      </c>
      <c r="AC2456">
        <v>-4.7268000000000203</v>
      </c>
      <c r="AD2456">
        <v>-1.10263124514</v>
      </c>
      <c r="AE2456">
        <v>-8.8495999999999793</v>
      </c>
      <c r="AF2456">
        <v>3.6736784044491002</v>
      </c>
      <c r="AG2456">
        <v>-1.10263124514</v>
      </c>
      <c r="AH2456">
        <v>9.2072748407262193</v>
      </c>
      <c r="AI2456">
        <v>96.346895352489497</v>
      </c>
      <c r="AJ2456">
        <v>68.2481306704628</v>
      </c>
      <c r="AK2456">
        <v>9.9742477748823095</v>
      </c>
      <c r="AL2456">
        <v>88.973814958041302</v>
      </c>
      <c r="AM2456">
        <v>79.885837809386601</v>
      </c>
      <c r="AN2456">
        <v>0.999999989384321</v>
      </c>
    </row>
    <row r="2457" spans="1:40" x14ac:dyDescent="0.3">
      <c r="A2457" t="str">
        <f>"20200111153924273"</f>
        <v>20200111153924273</v>
      </c>
      <c r="B2457" t="str">
        <f>"1578728364263464"</f>
        <v>1578728364263464</v>
      </c>
      <c r="C2457" t="s">
        <v>40</v>
      </c>
      <c r="D2457">
        <v>5.4972820000000002</v>
      </c>
      <c r="E2457">
        <v>0.577161699999999</v>
      </c>
      <c r="F2457" t="s">
        <v>62</v>
      </c>
      <c r="G2457">
        <v>-196.47839999999999</v>
      </c>
      <c r="H2457" s="1">
        <v>-1.4200840000000001E-5</v>
      </c>
      <c r="I2457">
        <v>156.52959999999999</v>
      </c>
      <c r="J2457">
        <v>-191.761</v>
      </c>
      <c r="K2457">
        <v>1.10249</v>
      </c>
      <c r="L2457">
        <v>165.24209999999999</v>
      </c>
      <c r="M2457">
        <v>-0.1135806</v>
      </c>
      <c r="N2457">
        <v>0</v>
      </c>
      <c r="O2457">
        <v>-0.99344049999999995</v>
      </c>
      <c r="P2457">
        <v>-0.28703269999999997</v>
      </c>
      <c r="Q2457">
        <v>5.5551970000000004E-3</v>
      </c>
      <c r="R2457">
        <v>-0.95790509999999995</v>
      </c>
      <c r="S2457">
        <v>-1.4270320000000001</v>
      </c>
      <c r="T2457">
        <v>-0.33088919999999999</v>
      </c>
      <c r="U2457">
        <v>-2.7085270000000001</v>
      </c>
      <c r="V2457">
        <v>0.1764561</v>
      </c>
      <c r="W2457">
        <v>1.7726269999999999E-2</v>
      </c>
      <c r="X2457">
        <v>0.98414889999999999</v>
      </c>
      <c r="Y2457">
        <v>0.35983959999999998</v>
      </c>
      <c r="Z2457">
        <v>0.109045</v>
      </c>
      <c r="AA2457">
        <v>0.92662</v>
      </c>
      <c r="AB2457">
        <v>29</v>
      </c>
      <c r="AC2457">
        <v>-4.7173999999999898</v>
      </c>
      <c r="AD2457">
        <v>-1.1025042008399999</v>
      </c>
      <c r="AE2457">
        <v>-8.7125000000000004</v>
      </c>
      <c r="AF2457">
        <v>3.65198766207565</v>
      </c>
      <c r="AG2457">
        <v>-1.1025042008399999</v>
      </c>
      <c r="AH2457">
        <v>9.0795316204669803</v>
      </c>
      <c r="AI2457">
        <v>96.427613793854903</v>
      </c>
      <c r="AJ2457">
        <v>68.088922021362194</v>
      </c>
      <c r="AK2457">
        <v>9.8483716341272594</v>
      </c>
      <c r="AL2457">
        <v>88.984306362653697</v>
      </c>
      <c r="AM2457">
        <v>79.834980776724805</v>
      </c>
      <c r="AN2457">
        <v>1.0000000166232601</v>
      </c>
    </row>
    <row r="2458" spans="1:40" x14ac:dyDescent="0.3">
      <c r="A2458" t="str">
        <f>"20200111153924293"</f>
        <v>20200111153924293</v>
      </c>
      <c r="B2458" t="str">
        <f>"1578728364282987"</f>
        <v>1578728364282987</v>
      </c>
      <c r="C2458" t="s">
        <v>40</v>
      </c>
      <c r="D2458">
        <v>5.4985229999999996</v>
      </c>
      <c r="E2458">
        <v>0.57762569999999902</v>
      </c>
      <c r="F2458" t="s">
        <v>62</v>
      </c>
      <c r="G2458">
        <v>-196.6328</v>
      </c>
      <c r="H2458" s="1">
        <v>-1.406558E-5</v>
      </c>
      <c r="I2458">
        <v>156.11060000000001</v>
      </c>
      <c r="J2458">
        <v>-191.79419999999999</v>
      </c>
      <c r="K2458">
        <v>1.1023959999999999</v>
      </c>
      <c r="L2458">
        <v>164.97550000000001</v>
      </c>
      <c r="M2458">
        <v>-0.11615010000000001</v>
      </c>
      <c r="N2458">
        <v>0</v>
      </c>
      <c r="O2458">
        <v>-0.99314329999999995</v>
      </c>
      <c r="P2458">
        <v>-0.29065920000000001</v>
      </c>
      <c r="Q2458">
        <v>5.9480019999999896E-3</v>
      </c>
      <c r="R2458">
        <v>-0.95680810000000005</v>
      </c>
      <c r="S2458">
        <v>-1.4414370000000001</v>
      </c>
      <c r="T2458">
        <v>-0.32620349999999998</v>
      </c>
      <c r="U2458">
        <v>-2.7017820000000001</v>
      </c>
      <c r="V2458">
        <v>0.17764469999999999</v>
      </c>
      <c r="W2458">
        <v>1.8071920000000002E-2</v>
      </c>
      <c r="X2458">
        <v>0.98392869999999999</v>
      </c>
      <c r="Y2458">
        <v>0.36231269999999999</v>
      </c>
      <c r="Z2458">
        <v>0.107527</v>
      </c>
      <c r="AA2458">
        <v>0.92583340000000003</v>
      </c>
      <c r="AB2458">
        <v>29</v>
      </c>
      <c r="AC2458">
        <v>-4.8386000000000102</v>
      </c>
      <c r="AD2458">
        <v>-1.10241006558</v>
      </c>
      <c r="AE2458">
        <v>-8.8649000000000004</v>
      </c>
      <c r="AF2458">
        <v>3.7316333346362298</v>
      </c>
      <c r="AG2458">
        <v>-1.10241006558</v>
      </c>
      <c r="AH2458">
        <v>9.2566494886638306</v>
      </c>
      <c r="AI2458">
        <v>96.303125799137206</v>
      </c>
      <c r="AJ2458">
        <v>68.044156545298193</v>
      </c>
      <c r="AK2458">
        <v>10.041212827783299</v>
      </c>
      <c r="AL2458">
        <v>88.964498845083</v>
      </c>
      <c r="AM2458">
        <v>79.765710023922693</v>
      </c>
      <c r="AN2458">
        <v>0.999999960207132</v>
      </c>
    </row>
    <row r="2459" spans="1:40" x14ac:dyDescent="0.3">
      <c r="A2459" t="str">
        <f>"20200111153924315"</f>
        <v>20200111153924315</v>
      </c>
      <c r="B2459" t="str">
        <f>"1578728364303480"</f>
        <v>1578728364303480</v>
      </c>
      <c r="C2459" t="s">
        <v>40</v>
      </c>
      <c r="D2459">
        <v>5.496054</v>
      </c>
      <c r="E2459">
        <v>0.57806729999999995</v>
      </c>
      <c r="F2459" t="s">
        <v>62</v>
      </c>
      <c r="G2459">
        <v>-196.76820000000001</v>
      </c>
      <c r="H2459" s="1">
        <v>-1.39274E-5</v>
      </c>
      <c r="I2459">
        <v>155.76050000000001</v>
      </c>
      <c r="J2459">
        <v>-191.82900000000001</v>
      </c>
      <c r="K2459">
        <v>1.1023080000000001</v>
      </c>
      <c r="L2459">
        <v>164.7028</v>
      </c>
      <c r="M2459">
        <v>-0.1188627</v>
      </c>
      <c r="N2459">
        <v>0</v>
      </c>
      <c r="O2459">
        <v>-0.99282219999999999</v>
      </c>
      <c r="P2459">
        <v>-0.29512280000000002</v>
      </c>
      <c r="Q2459">
        <v>6.568834E-3</v>
      </c>
      <c r="R2459">
        <v>-0.95543699999999998</v>
      </c>
      <c r="S2459">
        <v>-1.4549559999999999</v>
      </c>
      <c r="T2459">
        <v>-0.32246459999999999</v>
      </c>
      <c r="U2459">
        <v>-2.6954799999999999</v>
      </c>
      <c r="V2459">
        <v>0.17955739999999901</v>
      </c>
      <c r="W2459">
        <v>1.864594E-2</v>
      </c>
      <c r="X2459">
        <v>0.98357079999999997</v>
      </c>
      <c r="Y2459">
        <v>0.3643325</v>
      </c>
      <c r="Z2459">
        <v>0.10631309999999999</v>
      </c>
      <c r="AA2459">
        <v>0.92518069999999997</v>
      </c>
      <c r="AB2459">
        <v>29</v>
      </c>
      <c r="AC2459">
        <v>-4.9391999999999996</v>
      </c>
      <c r="AD2459">
        <v>-1.1023219274</v>
      </c>
      <c r="AE2459">
        <v>-8.9422999999999799</v>
      </c>
      <c r="AF2459">
        <v>3.7969692655041301</v>
      </c>
      <c r="AG2459">
        <v>-1.1023219274</v>
      </c>
      <c r="AH2459">
        <v>9.3570838339032107</v>
      </c>
      <c r="AI2459">
        <v>96.229804637126605</v>
      </c>
      <c r="AJ2459">
        <v>67.913397429737998</v>
      </c>
      <c r="AK2459">
        <v>10.1581054882051</v>
      </c>
      <c r="AL2459">
        <v>88.931604444963995</v>
      </c>
      <c r="AM2459">
        <v>79.654201158506794</v>
      </c>
      <c r="AN2459">
        <v>1.0000000247929399</v>
      </c>
    </row>
    <row r="2460" spans="1:40" x14ac:dyDescent="0.3">
      <c r="A2460" t="str">
        <f>"20200111153924337"</f>
        <v>20200111153924337</v>
      </c>
      <c r="B2460" t="str">
        <f>"1578728364332761"</f>
        <v>1578728364332761</v>
      </c>
      <c r="C2460" t="s">
        <v>40</v>
      </c>
      <c r="D2460">
        <v>5.5016080000000001</v>
      </c>
      <c r="E2460">
        <v>0.57852109999999901</v>
      </c>
      <c r="F2460" t="s">
        <v>62</v>
      </c>
      <c r="G2460">
        <v>-196.89750000000001</v>
      </c>
      <c r="H2460" s="1">
        <v>-1.3800520000000001E-5</v>
      </c>
      <c r="I2460">
        <v>155.43799999999999</v>
      </c>
      <c r="J2460">
        <v>-191.86709999999999</v>
      </c>
      <c r="K2460">
        <v>1.102249</v>
      </c>
      <c r="L2460">
        <v>164.41130000000001</v>
      </c>
      <c r="M2460">
        <v>-0.12183090000000001</v>
      </c>
      <c r="N2460">
        <v>0</v>
      </c>
      <c r="O2460">
        <v>-0.99246230000000002</v>
      </c>
      <c r="P2460">
        <v>-0.29983280000000001</v>
      </c>
      <c r="Q2460">
        <v>7.1209250000000002E-3</v>
      </c>
      <c r="R2460">
        <v>-0.95396510000000001</v>
      </c>
      <c r="S2460">
        <v>-1.4704900000000001</v>
      </c>
      <c r="T2460">
        <v>-0.31980979999999998</v>
      </c>
      <c r="U2460">
        <v>-2.6879270000000002</v>
      </c>
      <c r="V2460">
        <v>0.181475</v>
      </c>
      <c r="W2460">
        <v>1.915797E-2</v>
      </c>
      <c r="X2460">
        <v>0.983209</v>
      </c>
      <c r="Y2460">
        <v>0.36680420000000002</v>
      </c>
      <c r="Z2460">
        <v>0.1054592</v>
      </c>
      <c r="AA2460">
        <v>0.92430140000000005</v>
      </c>
      <c r="AB2460">
        <v>29</v>
      </c>
      <c r="AC2460">
        <v>-5.03040000000001</v>
      </c>
      <c r="AD2460">
        <v>-1.1022628005199999</v>
      </c>
      <c r="AE2460">
        <v>-8.9733000000000196</v>
      </c>
      <c r="AF2460">
        <v>3.8553366184412399</v>
      </c>
      <c r="AG2460">
        <v>-1.1022628005199999</v>
      </c>
      <c r="AH2460">
        <v>9.4113052432016602</v>
      </c>
      <c r="AI2460">
        <v>96.185566487061905</v>
      </c>
      <c r="AJ2460">
        <v>67.723564438441997</v>
      </c>
      <c r="AK2460">
        <v>10.2299203371101</v>
      </c>
      <c r="AL2460">
        <v>88.902262095381502</v>
      </c>
      <c r="AM2460">
        <v>79.542373677049198</v>
      </c>
      <c r="AN2460">
        <v>1.0000000705602501</v>
      </c>
    </row>
    <row r="2461" spans="1:40" x14ac:dyDescent="0.3">
      <c r="A2461" t="str">
        <f>"20200111153924361"</f>
        <v>20200111153924361</v>
      </c>
      <c r="B2461" t="str">
        <f>"1578728364353257"</f>
        <v>1578728364353257</v>
      </c>
      <c r="C2461" t="s">
        <v>40</v>
      </c>
      <c r="D2461">
        <v>5.458126</v>
      </c>
      <c r="E2461">
        <v>0.58348880000000003</v>
      </c>
      <c r="F2461" t="s">
        <v>62</v>
      </c>
      <c r="G2461">
        <v>-197.03229999999999</v>
      </c>
      <c r="H2461" s="1">
        <v>-1.36698799999999E-5</v>
      </c>
      <c r="I2461">
        <v>155.10560000000001</v>
      </c>
      <c r="J2461">
        <v>-191.90690000000001</v>
      </c>
      <c r="K2461">
        <v>1.1022069999999999</v>
      </c>
      <c r="L2461">
        <v>164.11500000000001</v>
      </c>
      <c r="M2461">
        <v>-0.12489020000000001</v>
      </c>
      <c r="N2461">
        <v>0</v>
      </c>
      <c r="O2461">
        <v>-0.99208220000000003</v>
      </c>
      <c r="P2461">
        <v>-0.30455979999999999</v>
      </c>
      <c r="Q2461">
        <v>7.2631630000000004E-3</v>
      </c>
      <c r="R2461">
        <v>-0.95246609999999998</v>
      </c>
      <c r="S2461">
        <v>-1.4873499999999999</v>
      </c>
      <c r="T2461">
        <v>-0.31740449999999998</v>
      </c>
      <c r="U2461">
        <v>-2.6796419999999999</v>
      </c>
      <c r="V2461">
        <v>0.18332219999999999</v>
      </c>
      <c r="W2461">
        <v>1.926953E-2</v>
      </c>
      <c r="X2461">
        <v>0.98286399999999996</v>
      </c>
      <c r="Y2461">
        <v>0.36963770000000001</v>
      </c>
      <c r="Z2461">
        <v>0.1046861</v>
      </c>
      <c r="AA2461">
        <v>0.92325990000000002</v>
      </c>
      <c r="AB2461">
        <v>29</v>
      </c>
      <c r="AC2461">
        <v>-5.1253999999999804</v>
      </c>
      <c r="AD2461">
        <v>-1.1022206698799999</v>
      </c>
      <c r="AE2461">
        <v>-9.0093999999999994</v>
      </c>
      <c r="AF2461">
        <v>3.9157018743859799</v>
      </c>
      <c r="AG2461">
        <v>-1.1022206698799999</v>
      </c>
      <c r="AH2461">
        <v>9.4719117270986199</v>
      </c>
      <c r="AI2461">
        <v>96.138010703025103</v>
      </c>
      <c r="AJ2461">
        <v>67.539728628887602</v>
      </c>
      <c r="AK2461">
        <v>10.308478226204301</v>
      </c>
      <c r="AL2461">
        <v>88.895868913009593</v>
      </c>
      <c r="AM2461">
        <v>79.434686982584495</v>
      </c>
      <c r="AN2461">
        <v>0.99999999314763</v>
      </c>
    </row>
    <row r="2462" spans="1:40" x14ac:dyDescent="0.3">
      <c r="A2462" t="str">
        <f>"20200111153924383"</f>
        <v>20200111153924383</v>
      </c>
      <c r="B2462" t="str">
        <f>"1578728364372776"</f>
        <v>1578728364372776</v>
      </c>
      <c r="C2462" t="s">
        <v>40</v>
      </c>
      <c r="D2462">
        <v>5.4653689999999999</v>
      </c>
      <c r="E2462">
        <v>0.58416159999999995</v>
      </c>
      <c r="F2462" t="s">
        <v>62</v>
      </c>
      <c r="G2462">
        <v>-197.60380000000001</v>
      </c>
      <c r="H2462" s="1">
        <v>-1.34231399999999E-5</v>
      </c>
      <c r="I2462">
        <v>154.26849999999999</v>
      </c>
      <c r="J2462">
        <v>-191.9469</v>
      </c>
      <c r="K2462">
        <v>1.1021829999999999</v>
      </c>
      <c r="L2462">
        <v>163.82329999999999</v>
      </c>
      <c r="M2462">
        <v>-0.12792539999999999</v>
      </c>
      <c r="N2462">
        <v>0</v>
      </c>
      <c r="O2462">
        <v>-0.99169529999999995</v>
      </c>
      <c r="P2462">
        <v>-0.3091506</v>
      </c>
      <c r="Q2462">
        <v>7.7459460000000001E-3</v>
      </c>
      <c r="R2462">
        <v>-0.95098190000000005</v>
      </c>
      <c r="S2462">
        <v>-1.538956</v>
      </c>
      <c r="T2462">
        <v>-0.29775200000000002</v>
      </c>
      <c r="U2462">
        <v>-2.6599119999999998</v>
      </c>
      <c r="V2462">
        <v>0.18506</v>
      </c>
      <c r="W2462">
        <v>1.972863E-2</v>
      </c>
      <c r="X2462">
        <v>0.98252919999999999</v>
      </c>
      <c r="Y2462">
        <v>0.38352700000000001</v>
      </c>
      <c r="Z2462">
        <v>9.8118689999999995E-2</v>
      </c>
      <c r="AA2462">
        <v>0.91830270000000003</v>
      </c>
      <c r="AB2462">
        <v>29</v>
      </c>
      <c r="AC2462">
        <v>-5.6569000000000003</v>
      </c>
      <c r="AD2462">
        <v>-1.1021964231400001</v>
      </c>
      <c r="AE2462">
        <v>-9.5548000000000002</v>
      </c>
      <c r="AF2462">
        <v>4.3451909848724899</v>
      </c>
      <c r="AG2462">
        <v>-1.1021964231400001</v>
      </c>
      <c r="AH2462">
        <v>10.1004854241977</v>
      </c>
      <c r="AI2462">
        <v>95.724258818817702</v>
      </c>
      <c r="AJ2462">
        <v>66.722806052865806</v>
      </c>
      <c r="AK2462">
        <v>11.050580412567999</v>
      </c>
      <c r="AL2462">
        <v>88.869559454870796</v>
      </c>
      <c r="AM2462">
        <v>79.333269366401893</v>
      </c>
      <c r="AN2462">
        <v>1.00000002564715</v>
      </c>
    </row>
    <row r="2463" spans="1:40" x14ac:dyDescent="0.3">
      <c r="A2463" t="str">
        <f>"20200111153924404"</f>
        <v>20200111153924404</v>
      </c>
      <c r="B2463" t="str">
        <f>"1578728364393276"</f>
        <v>1578728364393276</v>
      </c>
      <c r="C2463" t="s">
        <v>40</v>
      </c>
      <c r="D2463">
        <v>5.462618</v>
      </c>
      <c r="E2463">
        <v>0.58468819999999999</v>
      </c>
      <c r="F2463" t="s">
        <v>62</v>
      </c>
      <c r="G2463">
        <v>-197.7431</v>
      </c>
      <c r="H2463" s="1">
        <v>-1.335681E-5</v>
      </c>
      <c r="I2463">
        <v>153.95580000000001</v>
      </c>
      <c r="J2463">
        <v>-191.9854</v>
      </c>
      <c r="K2463">
        <v>1.102166</v>
      </c>
      <c r="L2463">
        <v>163.54920000000001</v>
      </c>
      <c r="M2463">
        <v>-0.13079470000000001</v>
      </c>
      <c r="N2463">
        <v>0</v>
      </c>
      <c r="O2463">
        <v>-0.9913208</v>
      </c>
      <c r="P2463">
        <v>-0.31296740000000001</v>
      </c>
      <c r="Q2463">
        <v>8.6628609999999905E-3</v>
      </c>
      <c r="R2463">
        <v>-0.94972460000000003</v>
      </c>
      <c r="S2463">
        <v>-1.557129</v>
      </c>
      <c r="T2463">
        <v>-0.29609990000000003</v>
      </c>
      <c r="U2463">
        <v>-2.6508639999999999</v>
      </c>
      <c r="V2463">
        <v>0.1861699</v>
      </c>
      <c r="W2463">
        <v>2.06292E-2</v>
      </c>
      <c r="X2463">
        <v>0.98230099999999998</v>
      </c>
      <c r="Y2463">
        <v>0.38693359999999999</v>
      </c>
      <c r="Z2463">
        <v>9.7580600000000003E-2</v>
      </c>
      <c r="AA2463">
        <v>0.91692989999999996</v>
      </c>
      <c r="AB2463">
        <v>29</v>
      </c>
      <c r="AC2463">
        <v>-5.7576999999999998</v>
      </c>
      <c r="AD2463">
        <v>-1.10217935681</v>
      </c>
      <c r="AE2463">
        <v>-9.5934000000000008</v>
      </c>
      <c r="AF2463">
        <v>4.4105530570644103</v>
      </c>
      <c r="AG2463">
        <v>-1.10217935681</v>
      </c>
      <c r="AH2463">
        <v>10.165469459385999</v>
      </c>
      <c r="AI2463">
        <v>95.6802539031831</v>
      </c>
      <c r="AJ2463">
        <v>66.545136138632003</v>
      </c>
      <c r="AK2463">
        <v>11.135732887128199</v>
      </c>
      <c r="AL2463">
        <v>88.817950085177898</v>
      </c>
      <c r="AM2463">
        <v>79.268341692067196</v>
      </c>
      <c r="AN2463">
        <v>1.00000002507982</v>
      </c>
    </row>
    <row r="2464" spans="1:40" x14ac:dyDescent="0.3">
      <c r="A2464" t="str">
        <f>"20200111153924426"</f>
        <v>20200111153924426</v>
      </c>
      <c r="B2464" t="str">
        <f>"1578728364423529"</f>
        <v>1578728364423529</v>
      </c>
      <c r="C2464" t="s">
        <v>40</v>
      </c>
      <c r="D2464">
        <v>5.4300129999999998</v>
      </c>
      <c r="E2464">
        <v>0.5853313</v>
      </c>
      <c r="F2464" t="s">
        <v>62</v>
      </c>
      <c r="G2464">
        <v>-197.9127</v>
      </c>
      <c r="H2464" s="1">
        <v>-1.327778E-5</v>
      </c>
      <c r="I2464">
        <v>153.58189999999999</v>
      </c>
      <c r="J2464">
        <v>-192.02629999999999</v>
      </c>
      <c r="K2464">
        <v>1.1021399999999999</v>
      </c>
      <c r="L2464">
        <v>163.26410000000001</v>
      </c>
      <c r="M2464">
        <v>-0.1337999</v>
      </c>
      <c r="N2464">
        <v>0</v>
      </c>
      <c r="O2464">
        <v>-0.99091969999999996</v>
      </c>
      <c r="P2464">
        <v>-0.31742530000000002</v>
      </c>
      <c r="Q2464">
        <v>8.1085640000000004E-3</v>
      </c>
      <c r="R2464">
        <v>-0.94824900000000001</v>
      </c>
      <c r="S2464">
        <v>-1.571976</v>
      </c>
      <c r="T2464">
        <v>-0.2923094</v>
      </c>
      <c r="U2464">
        <v>-2.6434329999999999</v>
      </c>
      <c r="V2464">
        <v>0.187803</v>
      </c>
      <c r="W2464">
        <v>2.00533E-2</v>
      </c>
      <c r="X2464">
        <v>0.98200200000000004</v>
      </c>
      <c r="Y2464">
        <v>0.38913999999999999</v>
      </c>
      <c r="Z2464">
        <v>9.6341969999999999E-2</v>
      </c>
      <c r="AA2464">
        <v>0.91612680000000002</v>
      </c>
      <c r="AB2464">
        <v>29</v>
      </c>
      <c r="AC2464">
        <v>-5.8864000000000001</v>
      </c>
      <c r="AD2464">
        <v>-1.1021532777799901</v>
      </c>
      <c r="AE2464">
        <v>-9.6822000000000195</v>
      </c>
      <c r="AF2464">
        <v>4.4953406757881602</v>
      </c>
      <c r="AG2464">
        <v>-1.1021532777799901</v>
      </c>
      <c r="AH2464">
        <v>10.2854838717655</v>
      </c>
      <c r="AI2464">
        <v>95.607777312805197</v>
      </c>
      <c r="AJ2464">
        <v>66.391939578408596</v>
      </c>
      <c r="AK2464">
        <v>11.278918747622299</v>
      </c>
      <c r="AL2464">
        <v>88.850953541015997</v>
      </c>
      <c r="AM2464">
        <v>79.173199272669393</v>
      </c>
      <c r="AN2464">
        <v>1.0000000148269399</v>
      </c>
    </row>
    <row r="2465" spans="1:40" x14ac:dyDescent="0.3">
      <c r="A2465" t="str">
        <f>"20200111153924449"</f>
        <v>20200111153924449</v>
      </c>
      <c r="B2465" t="str">
        <f>"1578728364443049"</f>
        <v>1578728364443049</v>
      </c>
      <c r="C2465" t="s">
        <v>40</v>
      </c>
      <c r="D2465">
        <v>5.4360850000000003</v>
      </c>
      <c r="E2465">
        <v>0.58558739999999998</v>
      </c>
      <c r="F2465" t="s">
        <v>62</v>
      </c>
      <c r="G2465">
        <v>-197.89009999999999</v>
      </c>
      <c r="H2465" s="1">
        <v>-1.3266280000000001E-5</v>
      </c>
      <c r="I2465">
        <v>153.54409999999999</v>
      </c>
      <c r="J2465">
        <v>-192.06909999999999</v>
      </c>
      <c r="K2465">
        <v>1.1021030000000001</v>
      </c>
      <c r="L2465">
        <v>162.9725</v>
      </c>
      <c r="M2465">
        <v>-0.13690539999999901</v>
      </c>
      <c r="N2465">
        <v>0</v>
      </c>
      <c r="O2465">
        <v>-0.99049529999999997</v>
      </c>
      <c r="P2465">
        <v>-0.32204290000000002</v>
      </c>
      <c r="Q2465">
        <v>7.306084E-3</v>
      </c>
      <c r="R2465">
        <v>-0.94669720000000002</v>
      </c>
      <c r="S2465">
        <v>-1.589218</v>
      </c>
      <c r="T2465">
        <v>-0.29870649999999999</v>
      </c>
      <c r="U2465">
        <v>-2.6343079999999999</v>
      </c>
      <c r="V2465">
        <v>0.18950649999999999</v>
      </c>
      <c r="W2465">
        <v>1.922519E-2</v>
      </c>
      <c r="X2465">
        <v>0.98169119999999999</v>
      </c>
      <c r="Y2465">
        <v>0.3919494</v>
      </c>
      <c r="Z2465">
        <v>9.8439940000000004E-2</v>
      </c>
      <c r="AA2465">
        <v>0.91470499999999999</v>
      </c>
      <c r="AB2465">
        <v>29</v>
      </c>
      <c r="AC2465">
        <v>-5.82099999999999</v>
      </c>
      <c r="AD2465">
        <v>-1.1021162662799999</v>
      </c>
      <c r="AE2465">
        <v>-9.4283999999999999</v>
      </c>
      <c r="AF2465">
        <v>4.4314275755522203</v>
      </c>
      <c r="AG2465">
        <v>-1.1021162662799999</v>
      </c>
      <c r="AH2465">
        <v>10.037304277130399</v>
      </c>
      <c r="AI2465">
        <v>95.736004800591701</v>
      </c>
      <c r="AJ2465">
        <v>66.178743487680293</v>
      </c>
      <c r="AK2465">
        <v>11.0272248446046</v>
      </c>
      <c r="AL2465">
        <v>88.898409849587395</v>
      </c>
      <c r="AM2465">
        <v>79.073969929132502</v>
      </c>
      <c r="AN2465">
        <v>0.99999996681511205</v>
      </c>
    </row>
    <row r="2466" spans="1:40" x14ac:dyDescent="0.3">
      <c r="A2466" t="str">
        <f>"20200111153924473"</f>
        <v>20200111153924473</v>
      </c>
      <c r="B2466" t="str">
        <f>"1578728364463544"</f>
        <v>1578728364463544</v>
      </c>
      <c r="C2466" t="s">
        <v>40</v>
      </c>
      <c r="D2466">
        <v>5.4237359999999999</v>
      </c>
      <c r="E2466">
        <v>0.58582749999999995</v>
      </c>
      <c r="F2466" t="s">
        <v>62</v>
      </c>
      <c r="G2466">
        <v>-197.90360000000001</v>
      </c>
      <c r="H2466" s="1">
        <v>-1.3237079999999999E-5</v>
      </c>
      <c r="I2466">
        <v>153.42339999999999</v>
      </c>
      <c r="J2466">
        <v>-192.11500000000001</v>
      </c>
      <c r="K2466">
        <v>1.102061</v>
      </c>
      <c r="L2466">
        <v>162.66650000000001</v>
      </c>
      <c r="M2466">
        <v>-0.14021829999999999</v>
      </c>
      <c r="N2466">
        <v>0</v>
      </c>
      <c r="O2466">
        <v>-0.99003169999999996</v>
      </c>
      <c r="P2466">
        <v>-0.32710009999999901</v>
      </c>
      <c r="Q2466">
        <v>7.2484089999999999E-3</v>
      </c>
      <c r="R2466">
        <v>-0.94496230000000003</v>
      </c>
      <c r="S2466">
        <v>-1.6042179999999999</v>
      </c>
      <c r="T2466">
        <v>-0.30303190000000002</v>
      </c>
      <c r="U2466">
        <v>-2.6255649999999999</v>
      </c>
      <c r="V2466">
        <v>0.19147259999999999</v>
      </c>
      <c r="W2466">
        <v>1.9134129999999999E-2</v>
      </c>
      <c r="X2466">
        <v>0.98131139999999994</v>
      </c>
      <c r="Y2466">
        <v>0.39395999999999998</v>
      </c>
      <c r="Z2466">
        <v>9.9879190000000007E-2</v>
      </c>
      <c r="AA2466">
        <v>0.91368470000000002</v>
      </c>
      <c r="AB2466">
        <v>29</v>
      </c>
      <c r="AC2466">
        <v>-5.7885999999999997</v>
      </c>
      <c r="AD2466">
        <v>-1.1020742370800001</v>
      </c>
      <c r="AE2466">
        <v>-9.2431000000000196</v>
      </c>
      <c r="AF2466">
        <v>4.39040418617172</v>
      </c>
      <c r="AG2466">
        <v>-1.1020742370800001</v>
      </c>
      <c r="AH2466">
        <v>9.8627942477065904</v>
      </c>
      <c r="AI2466">
        <v>95.828742286110398</v>
      </c>
      <c r="AJ2466">
        <v>66.003853148130801</v>
      </c>
      <c r="AK2466">
        <v>10.8519549812272</v>
      </c>
      <c r="AL2466">
        <v>88.903628164224898</v>
      </c>
      <c r="AM2466">
        <v>78.959217032896603</v>
      </c>
      <c r="AN2466">
        <v>0.99999996762578702</v>
      </c>
    </row>
    <row r="2467" spans="1:40" x14ac:dyDescent="0.3">
      <c r="A2467" t="str">
        <f>"20200111153924495"</f>
        <v>20200111153924495</v>
      </c>
      <c r="B2467" t="str">
        <f>"1578728364483064"</f>
        <v>1578728364483064</v>
      </c>
      <c r="C2467" t="s">
        <v>40</v>
      </c>
      <c r="D2467">
        <v>5.4398150000000003</v>
      </c>
      <c r="E2467">
        <v>0.58610189999999995</v>
      </c>
      <c r="F2467" t="s">
        <v>62</v>
      </c>
      <c r="G2467">
        <v>-197.97970000000001</v>
      </c>
      <c r="H2467" s="1">
        <v>-1.318621E-5</v>
      </c>
      <c r="I2467">
        <v>153.1944</v>
      </c>
      <c r="J2467">
        <v>-192.15799999999999</v>
      </c>
      <c r="K2467">
        <v>1.102009</v>
      </c>
      <c r="L2467">
        <v>162.387</v>
      </c>
      <c r="M2467">
        <v>-0.14332039999999999</v>
      </c>
      <c r="N2467">
        <v>0</v>
      </c>
      <c r="O2467">
        <v>-0.98958749999999995</v>
      </c>
      <c r="P2467">
        <v>-0.33187100000000003</v>
      </c>
      <c r="Q2467">
        <v>7.2796850000000001E-3</v>
      </c>
      <c r="R2467">
        <v>-0.94329669999999999</v>
      </c>
      <c r="S2467">
        <v>-1.619904</v>
      </c>
      <c r="T2467">
        <v>-0.30441040000000003</v>
      </c>
      <c r="U2467">
        <v>-2.6163479999999999</v>
      </c>
      <c r="V2467">
        <v>0.19335849999999999</v>
      </c>
      <c r="W2467">
        <v>1.9127459999999999E-2</v>
      </c>
      <c r="X2467">
        <v>0.98094170000000003</v>
      </c>
      <c r="Y2467">
        <v>0.396457</v>
      </c>
      <c r="Z2467">
        <v>0.1003568</v>
      </c>
      <c r="AA2467">
        <v>0.91255160000000002</v>
      </c>
      <c r="AB2467">
        <v>29</v>
      </c>
      <c r="AC2467">
        <v>-5.8217000000000203</v>
      </c>
      <c r="AD2467">
        <v>-1.1020221862099999</v>
      </c>
      <c r="AE2467">
        <v>-9.1926000000000005</v>
      </c>
      <c r="AF2467">
        <v>4.3988636467626803</v>
      </c>
      <c r="AG2467">
        <v>-1.1020221862099999</v>
      </c>
      <c r="AH2467">
        <v>9.8312789465709205</v>
      </c>
      <c r="AI2467">
        <v>95.842082428889199</v>
      </c>
      <c r="AJ2467">
        <v>65.894561049230703</v>
      </c>
      <c r="AK2467">
        <v>10.826749281617101</v>
      </c>
      <c r="AL2467">
        <v>88.904010425974406</v>
      </c>
      <c r="AM2467">
        <v>78.849086103403394</v>
      </c>
      <c r="AN2467">
        <v>0.99999999402359496</v>
      </c>
    </row>
    <row r="2468" spans="1:40" x14ac:dyDescent="0.3">
      <c r="A2468" t="str">
        <f>"20200111153924516"</f>
        <v>20200111153924516</v>
      </c>
      <c r="B2468" t="str">
        <f>"1578728364513321"</f>
        <v>1578728364513321</v>
      </c>
      <c r="C2468" t="s">
        <v>40</v>
      </c>
      <c r="D2468">
        <v>5.4239540000000002</v>
      </c>
      <c r="E2468">
        <v>0.58650930000000001</v>
      </c>
      <c r="F2468" t="s">
        <v>62</v>
      </c>
      <c r="G2468">
        <v>-198.04349999999999</v>
      </c>
      <c r="H2468" s="1">
        <v>-1.314362E-5</v>
      </c>
      <c r="I2468">
        <v>153.0026</v>
      </c>
      <c r="J2468">
        <v>-192.2002</v>
      </c>
      <c r="K2468">
        <v>1.1019479999999999</v>
      </c>
      <c r="L2468">
        <v>162.1191</v>
      </c>
      <c r="M2468">
        <v>-0.14638309999999999</v>
      </c>
      <c r="N2468">
        <v>0</v>
      </c>
      <c r="O2468">
        <v>-0.98913899999999999</v>
      </c>
      <c r="P2468">
        <v>-0.33585150000000003</v>
      </c>
      <c r="Q2468">
        <v>7.14841E-3</v>
      </c>
      <c r="R2468">
        <v>-0.94188819999999995</v>
      </c>
      <c r="S2468">
        <v>-1.6352390000000001</v>
      </c>
      <c r="T2468">
        <v>-0.30619030000000003</v>
      </c>
      <c r="U2468">
        <v>-2.6073909999999998</v>
      </c>
      <c r="V2468">
        <v>0.19446620000000001</v>
      </c>
      <c r="W2468">
        <v>1.8960600000000001E-2</v>
      </c>
      <c r="X2468">
        <v>0.98072590000000004</v>
      </c>
      <c r="Y2468">
        <v>0.39884849999999999</v>
      </c>
      <c r="Z2468">
        <v>0.10095999999999999</v>
      </c>
      <c r="AA2468">
        <v>0.91144230000000004</v>
      </c>
      <c r="AB2468">
        <v>29</v>
      </c>
      <c r="AC2468">
        <v>-5.8432999999999904</v>
      </c>
      <c r="AD2468">
        <v>-1.1019611436200001</v>
      </c>
      <c r="AE2468">
        <v>-9.1165000000000003</v>
      </c>
      <c r="AF2468">
        <v>4.4001566002154098</v>
      </c>
      <c r="AG2468">
        <v>-1.1019611436200001</v>
      </c>
      <c r="AH2468">
        <v>9.7725086515650599</v>
      </c>
      <c r="AI2468">
        <v>95.870495984851104</v>
      </c>
      <c r="AJ2468">
        <v>65.759931689802897</v>
      </c>
      <c r="AK2468">
        <v>10.7739325138679</v>
      </c>
      <c r="AL2468">
        <v>88.913572485140406</v>
      </c>
      <c r="AM2468">
        <v>78.7844148927215</v>
      </c>
      <c r="AN2468">
        <v>0.99999994911280299</v>
      </c>
    </row>
    <row r="2469" spans="1:40" x14ac:dyDescent="0.3">
      <c r="A2469" t="str">
        <f>"20200111153924539"</f>
        <v>20200111153924539</v>
      </c>
      <c r="B2469" t="str">
        <f>"1578728364532841"</f>
        <v>1578728364532841</v>
      </c>
      <c r="C2469" t="s">
        <v>40</v>
      </c>
      <c r="D2469">
        <v>5.4328250000000002</v>
      </c>
      <c r="E2469">
        <v>0.5867445</v>
      </c>
      <c r="F2469" t="s">
        <v>62</v>
      </c>
      <c r="G2469">
        <v>-198.12710000000001</v>
      </c>
      <c r="H2469" s="1">
        <v>-1.3094079999999999E-5</v>
      </c>
      <c r="I2469">
        <v>152.77619999999999</v>
      </c>
      <c r="J2469">
        <v>-192.24809999999999</v>
      </c>
      <c r="K2469">
        <v>1.1018870000000001</v>
      </c>
      <c r="L2469">
        <v>161.82169999999999</v>
      </c>
      <c r="M2469">
        <v>-0.14987739999999999</v>
      </c>
      <c r="N2469">
        <v>0</v>
      </c>
      <c r="O2469">
        <v>-0.98861560000000004</v>
      </c>
      <c r="P2469">
        <v>-0.34097810000000001</v>
      </c>
      <c r="Q2469">
        <v>7.8119369999999997E-3</v>
      </c>
      <c r="R2469">
        <v>-0.94003910000000002</v>
      </c>
      <c r="S2469">
        <v>-1.649033</v>
      </c>
      <c r="T2469">
        <v>-0.3065929</v>
      </c>
      <c r="U2469">
        <v>-2.5994259999999998</v>
      </c>
      <c r="V2469">
        <v>0.1963522</v>
      </c>
      <c r="W2469">
        <v>1.9578459999999999E-2</v>
      </c>
      <c r="X2469">
        <v>0.98033800000000004</v>
      </c>
      <c r="Y2469">
        <v>0.40031640000000002</v>
      </c>
      <c r="Z2469">
        <v>0.1011044</v>
      </c>
      <c r="AA2469">
        <v>0.91078250000000005</v>
      </c>
      <c r="AB2469">
        <v>29</v>
      </c>
      <c r="AC2469">
        <v>-5.8790000000000102</v>
      </c>
      <c r="AD2469">
        <v>-1.1019000940799999</v>
      </c>
      <c r="AE2469">
        <v>-9.0455000000000005</v>
      </c>
      <c r="AF2469">
        <v>4.4107318460953602</v>
      </c>
      <c r="AG2469">
        <v>-1.1019000940799999</v>
      </c>
      <c r="AH2469">
        <v>9.72307912431096</v>
      </c>
      <c r="AI2469">
        <v>95.892386419737505</v>
      </c>
      <c r="AJ2469">
        <v>65.5992789334246</v>
      </c>
      <c r="AK2469">
        <v>10.733452701395899</v>
      </c>
      <c r="AL2469">
        <v>88.878165249587894</v>
      </c>
      <c r="AM2469">
        <v>78.6740747411162</v>
      </c>
      <c r="AN2469">
        <v>1.0000000483924001</v>
      </c>
    </row>
    <row r="2470" spans="1:40" x14ac:dyDescent="0.3">
      <c r="A2470" t="str">
        <f>"20200111153924562"</f>
        <v>20200111153924562</v>
      </c>
      <c r="B2470" t="str">
        <f>"1578728364553340"</f>
        <v>1578728364553340</v>
      </c>
      <c r="C2470" t="s">
        <v>40</v>
      </c>
      <c r="D2470">
        <v>5.4307919999999896</v>
      </c>
      <c r="E2470">
        <v>0.5870088</v>
      </c>
      <c r="F2470" t="s">
        <v>62</v>
      </c>
      <c r="G2470">
        <v>-198.25819999999999</v>
      </c>
      <c r="H2470" s="1">
        <v>-1.302907E-5</v>
      </c>
      <c r="I2470">
        <v>152.4716</v>
      </c>
      <c r="J2470">
        <v>-192.29580000000001</v>
      </c>
      <c r="K2470">
        <v>1.1018239999999999</v>
      </c>
      <c r="L2470">
        <v>161.53290000000001</v>
      </c>
      <c r="M2470">
        <v>-0.153372799999999</v>
      </c>
      <c r="N2470">
        <v>0</v>
      </c>
      <c r="O2470">
        <v>-0.98807920000000005</v>
      </c>
      <c r="P2470">
        <v>-0.34524319999999997</v>
      </c>
      <c r="Q2470">
        <v>9.0705040000000001E-3</v>
      </c>
      <c r="R2470">
        <v>-0.93846969999999996</v>
      </c>
      <c r="S2470">
        <v>-1.664841</v>
      </c>
      <c r="T2470">
        <v>-0.3052318</v>
      </c>
      <c r="U2470">
        <v>-2.5900120000000002</v>
      </c>
      <c r="V2470">
        <v>0.19734989999999999</v>
      </c>
      <c r="W2470">
        <v>2.0798440000000001E-2</v>
      </c>
      <c r="X2470">
        <v>0.98011250000000005</v>
      </c>
      <c r="Y2470">
        <v>0.40254210000000001</v>
      </c>
      <c r="Z2470">
        <v>0.10068009999999999</v>
      </c>
      <c r="AA2470">
        <v>0.90984799999999999</v>
      </c>
      <c r="AB2470">
        <v>29</v>
      </c>
      <c r="AC2470">
        <v>-5.9623999999999704</v>
      </c>
      <c r="AD2470">
        <v>-1.1018370290699999</v>
      </c>
      <c r="AE2470">
        <v>-9.0613000000000099</v>
      </c>
      <c r="AF2470">
        <v>4.4559843170768296</v>
      </c>
      <c r="AG2470">
        <v>-1.1018370290699999</v>
      </c>
      <c r="AH2470">
        <v>9.7678327362731103</v>
      </c>
      <c r="AI2470">
        <v>95.859639485465195</v>
      </c>
      <c r="AJ2470">
        <v>65.478018626046904</v>
      </c>
      <c r="AK2470">
        <v>10.7926084630395</v>
      </c>
      <c r="AL2470">
        <v>88.808251279059206</v>
      </c>
      <c r="AM2470">
        <v>78.615473879807993</v>
      </c>
      <c r="AN2470">
        <v>1.0000000353963401</v>
      </c>
    </row>
    <row r="2471" spans="1:40" x14ac:dyDescent="0.3">
      <c r="A2471" t="str">
        <f>"20200111153924584"</f>
        <v>20200111153924584</v>
      </c>
      <c r="B2471" t="str">
        <f>"1578728364572856"</f>
        <v>1578728364572856</v>
      </c>
      <c r="C2471" t="s">
        <v>40</v>
      </c>
      <c r="D2471">
        <v>5.4101689999999998</v>
      </c>
      <c r="E2471">
        <v>0.58726160000000005</v>
      </c>
      <c r="F2471" t="s">
        <v>62</v>
      </c>
      <c r="G2471">
        <v>-198.4127</v>
      </c>
      <c r="H2471" s="1">
        <v>-1.2955369999999999E-5</v>
      </c>
      <c r="I2471">
        <v>152.12430000000001</v>
      </c>
      <c r="J2471">
        <v>-192.34379999999999</v>
      </c>
      <c r="K2471">
        <v>1.101758</v>
      </c>
      <c r="L2471">
        <v>161.24860000000001</v>
      </c>
      <c r="M2471">
        <v>-0.156935299999999</v>
      </c>
      <c r="N2471">
        <v>0</v>
      </c>
      <c r="O2471">
        <v>-0.98751960000000005</v>
      </c>
      <c r="P2471">
        <v>-0.34946919999999998</v>
      </c>
      <c r="Q2471">
        <v>1.0558420000000001E-2</v>
      </c>
      <c r="R2471">
        <v>-0.93688850000000001</v>
      </c>
      <c r="S2471">
        <v>-1.678696</v>
      </c>
      <c r="T2471">
        <v>-0.30238369999999998</v>
      </c>
      <c r="U2471">
        <v>-2.582077</v>
      </c>
      <c r="V2471">
        <v>0.1982487</v>
      </c>
      <c r="W2471">
        <v>2.2245310000000001E-2</v>
      </c>
      <c r="X2471">
        <v>0.97989930000000003</v>
      </c>
      <c r="Y2471">
        <v>0.40400560000000002</v>
      </c>
      <c r="Z2471">
        <v>9.9753739999999994E-2</v>
      </c>
      <c r="AA2471">
        <v>0.90930120000000003</v>
      </c>
      <c r="AB2471">
        <v>29</v>
      </c>
      <c r="AC2471">
        <v>-6.06890000000001</v>
      </c>
      <c r="AD2471">
        <v>-1.1017709553699999</v>
      </c>
      <c r="AE2471">
        <v>-9.1242999999999999</v>
      </c>
      <c r="AF2471">
        <v>4.51598437562639</v>
      </c>
      <c r="AG2471">
        <v>-1.1017709553699999</v>
      </c>
      <c r="AH2471">
        <v>9.8640157773336803</v>
      </c>
      <c r="AI2471">
        <v>95.798989044367104</v>
      </c>
      <c r="AJ2471">
        <v>65.400550533459395</v>
      </c>
      <c r="AK2471">
        <v>10.9044404429794</v>
      </c>
      <c r="AL2471">
        <v>88.725332504147303</v>
      </c>
      <c r="AM2471">
        <v>78.562565329707397</v>
      </c>
      <c r="AN2471">
        <v>1.00000001950458</v>
      </c>
    </row>
    <row r="2472" spans="1:40" x14ac:dyDescent="0.3">
      <c r="A2472" t="str">
        <f>"20200111153924605"</f>
        <v>20200111153924605</v>
      </c>
      <c r="B2472" t="str">
        <f>"1578728364593352"</f>
        <v>1578728364593352</v>
      </c>
      <c r="C2472" t="s">
        <v>40</v>
      </c>
      <c r="D2472">
        <v>5.3915620000000004</v>
      </c>
      <c r="E2472">
        <v>0.5879354</v>
      </c>
      <c r="F2472" t="s">
        <v>62</v>
      </c>
      <c r="G2472">
        <v>-198.6052</v>
      </c>
      <c r="H2472" s="1">
        <v>-1.287247E-5</v>
      </c>
      <c r="I2472">
        <v>151.7269</v>
      </c>
      <c r="J2472">
        <v>-192.38990000000001</v>
      </c>
      <c r="K2472">
        <v>1.101685</v>
      </c>
      <c r="L2472">
        <v>160.98249999999999</v>
      </c>
      <c r="M2472">
        <v>-0.1603945</v>
      </c>
      <c r="N2472">
        <v>0</v>
      </c>
      <c r="O2472">
        <v>-0.98696360000000005</v>
      </c>
      <c r="P2472">
        <v>-0.35374220000000001</v>
      </c>
      <c r="Q2472">
        <v>1.236133E-2</v>
      </c>
      <c r="R2472">
        <v>-0.93526160000000003</v>
      </c>
      <c r="S2472">
        <v>-1.6927029999999901</v>
      </c>
      <c r="T2472">
        <v>-0.2978519</v>
      </c>
      <c r="U2472">
        <v>-2.5740660000000002</v>
      </c>
      <c r="V2472">
        <v>0.19930919999999999</v>
      </c>
      <c r="W2472">
        <v>2.400103E-2</v>
      </c>
      <c r="X2472">
        <v>0.97964269999999998</v>
      </c>
      <c r="Y2472">
        <v>0.40563959999999999</v>
      </c>
      <c r="Z2472">
        <v>9.8273529999999998E-2</v>
      </c>
      <c r="AA2472">
        <v>0.90873470000000001</v>
      </c>
      <c r="AB2472">
        <v>29</v>
      </c>
      <c r="AC2472">
        <v>-6.2152999999999796</v>
      </c>
      <c r="AD2472">
        <v>-1.10169787247</v>
      </c>
      <c r="AE2472">
        <v>-9.2555999999999798</v>
      </c>
      <c r="AF2472">
        <v>4.6051688315248898</v>
      </c>
      <c r="AG2472">
        <v>-1.10169787247</v>
      </c>
      <c r="AH2472">
        <v>10.0347460260066</v>
      </c>
      <c r="AI2472">
        <v>95.698250154505402</v>
      </c>
      <c r="AJ2472">
        <v>65.348553858103699</v>
      </c>
      <c r="AK2472">
        <v>11.0958301165577</v>
      </c>
      <c r="AL2472">
        <v>88.624710234418899</v>
      </c>
      <c r="AM2472">
        <v>78.500076375941504</v>
      </c>
      <c r="AN2472">
        <v>1.0000000131544899</v>
      </c>
    </row>
    <row r="2473" spans="1:40" x14ac:dyDescent="0.3">
      <c r="A2473" t="str">
        <f>"20200111153924628"</f>
        <v>20200111153924628</v>
      </c>
      <c r="B2473" t="str">
        <f>"1578728364623365"</f>
        <v>1578728364623365</v>
      </c>
      <c r="C2473" t="s">
        <v>40</v>
      </c>
      <c r="D2473">
        <v>5.3829779999999996</v>
      </c>
      <c r="E2473">
        <v>0.59842039999999996</v>
      </c>
      <c r="F2473" t="s">
        <v>62</v>
      </c>
      <c r="G2473">
        <v>-198.81780000000001</v>
      </c>
      <c r="H2473" s="1">
        <v>-1.279364E-5</v>
      </c>
      <c r="I2473">
        <v>151.33869999999999</v>
      </c>
      <c r="J2473">
        <v>-192.4408</v>
      </c>
      <c r="K2473">
        <v>1.101577</v>
      </c>
      <c r="L2473">
        <v>160.69489999999999</v>
      </c>
      <c r="M2473">
        <v>-0.16429360000000001</v>
      </c>
      <c r="N2473">
        <v>0</v>
      </c>
      <c r="O2473">
        <v>-0.98632209999999998</v>
      </c>
      <c r="P2473">
        <v>-0.35846499999999998</v>
      </c>
      <c r="Q2473">
        <v>1.4209940000000001E-2</v>
      </c>
      <c r="R2473">
        <v>-0.93343549999999997</v>
      </c>
      <c r="S2473">
        <v>-1.7096100000000001</v>
      </c>
      <c r="T2473">
        <v>-0.29301260000000001</v>
      </c>
      <c r="U2473">
        <v>-2.5649109999999999</v>
      </c>
      <c r="V2473">
        <v>0.2004138</v>
      </c>
      <c r="W2473">
        <v>2.5788129999999999E-2</v>
      </c>
      <c r="X2473">
        <v>0.97937189999999996</v>
      </c>
      <c r="Y2473">
        <v>0.40776489999999999</v>
      </c>
      <c r="Z2473">
        <v>9.6674899999999994E-2</v>
      </c>
      <c r="AA2473">
        <v>0.9079547</v>
      </c>
      <c r="AB2473">
        <v>29</v>
      </c>
      <c r="AC2473">
        <v>-6.3769999999999998</v>
      </c>
      <c r="AD2473">
        <v>-1.1015897936399901</v>
      </c>
      <c r="AE2473">
        <v>-9.3561999999999994</v>
      </c>
      <c r="AF2473">
        <v>4.7084641071854199</v>
      </c>
      <c r="AG2473">
        <v>-1.1015897936399901</v>
      </c>
      <c r="AH2473">
        <v>10.1804715911447</v>
      </c>
      <c r="AI2473">
        <v>95.609079843053905</v>
      </c>
      <c r="AJ2473">
        <v>65.179477226873203</v>
      </c>
      <c r="AK2473">
        <v>11.270542850289401</v>
      </c>
      <c r="AL2473">
        <v>88.522285199354798</v>
      </c>
      <c r="AM2473">
        <v>78.434942998426706</v>
      </c>
      <c r="AN2473">
        <v>1.00000001869447</v>
      </c>
    </row>
    <row r="2474" spans="1:40" x14ac:dyDescent="0.3">
      <c r="A2474" t="str">
        <f>"20200111153924651"</f>
        <v>20200111153924651</v>
      </c>
      <c r="B2474" t="str">
        <f>"1578728364642887"</f>
        <v>1578728364642887</v>
      </c>
      <c r="C2474" t="s">
        <v>40</v>
      </c>
      <c r="D2474">
        <v>5.3846800000000004</v>
      </c>
      <c r="E2474">
        <v>0.5985376</v>
      </c>
      <c r="F2474" t="s">
        <v>62</v>
      </c>
      <c r="G2474">
        <v>-198.7448</v>
      </c>
      <c r="H2474" s="1">
        <v>-1.291404E-5</v>
      </c>
      <c r="I2474">
        <v>151.84299999999999</v>
      </c>
      <c r="J2474">
        <v>-192.49600000000001</v>
      </c>
      <c r="K2474">
        <v>1.1014330000000001</v>
      </c>
      <c r="L2474">
        <v>160.39169999999999</v>
      </c>
      <c r="M2474">
        <v>-0.1686059</v>
      </c>
      <c r="N2474">
        <v>0</v>
      </c>
      <c r="O2474">
        <v>-0.98559390000000002</v>
      </c>
      <c r="P2474">
        <v>-0.3633613</v>
      </c>
      <c r="Q2474">
        <v>1.560628E-2</v>
      </c>
      <c r="R2474">
        <v>-0.93151799999999996</v>
      </c>
      <c r="S2474">
        <v>-1.799973</v>
      </c>
      <c r="T2474">
        <v>-0.31453819999999999</v>
      </c>
      <c r="U2474">
        <v>-2.5274960000000002</v>
      </c>
      <c r="V2474">
        <v>0.20129639999999999</v>
      </c>
      <c r="W2474">
        <v>2.711233E-2</v>
      </c>
      <c r="X2474">
        <v>0.97915509999999994</v>
      </c>
      <c r="Y2474">
        <v>0.43132579999999998</v>
      </c>
      <c r="Z2474">
        <v>0.1032838</v>
      </c>
      <c r="AA2474">
        <v>0.89626479999999997</v>
      </c>
      <c r="AB2474">
        <v>29</v>
      </c>
      <c r="AC2474">
        <v>-6.2488000000000099</v>
      </c>
      <c r="AD2474">
        <v>-1.1014459140399999</v>
      </c>
      <c r="AE2474">
        <v>-8.5486999999999895</v>
      </c>
      <c r="AF2474">
        <v>4.6673358452864901</v>
      </c>
      <c r="AG2474">
        <v>-1.1014459140399999</v>
      </c>
      <c r="AH2474">
        <v>9.3784967441012803</v>
      </c>
      <c r="AI2474">
        <v>96.002195249481204</v>
      </c>
      <c r="AJ2474">
        <v>63.542144535490202</v>
      </c>
      <c r="AK2474">
        <v>10.5334423705344</v>
      </c>
      <c r="AL2474">
        <v>88.446387563231994</v>
      </c>
      <c r="AM2474">
        <v>78.382890961320498</v>
      </c>
      <c r="AN2474">
        <v>1.00000001447349</v>
      </c>
    </row>
    <row r="2475" spans="1:40" x14ac:dyDescent="0.3">
      <c r="A2475" t="str">
        <f>"20200111153924673"</f>
        <v>20200111153924673</v>
      </c>
      <c r="B2475" t="str">
        <f>"1578728364663383"</f>
        <v>1578728364663383</v>
      </c>
      <c r="C2475" t="s">
        <v>40</v>
      </c>
      <c r="D2475">
        <v>5.4117449999999998</v>
      </c>
      <c r="E2475">
        <v>0.59885140000000003</v>
      </c>
      <c r="F2475" t="s">
        <v>62</v>
      </c>
      <c r="G2475">
        <v>-198.8843</v>
      </c>
      <c r="H2475" s="1">
        <v>-1.2846179999999999E-5</v>
      </c>
      <c r="I2475">
        <v>151.5241</v>
      </c>
      <c r="J2475">
        <v>-192.54560000000001</v>
      </c>
      <c r="K2475">
        <v>1.101286</v>
      </c>
      <c r="L2475">
        <v>160.12710000000001</v>
      </c>
      <c r="M2475">
        <v>-0.17257919999999999</v>
      </c>
      <c r="N2475">
        <v>0</v>
      </c>
      <c r="O2475">
        <v>-0.98490560000000005</v>
      </c>
      <c r="P2475">
        <v>-0.36795709999999998</v>
      </c>
      <c r="Q2475">
        <v>1.5971570000000001E-2</v>
      </c>
      <c r="R2475">
        <v>-0.92970560000000002</v>
      </c>
      <c r="S2475">
        <v>-1.814087</v>
      </c>
      <c r="T2475">
        <v>-0.31278</v>
      </c>
      <c r="U2475">
        <v>-2.5181580000000001</v>
      </c>
      <c r="V2475">
        <v>0.20219719999999999</v>
      </c>
      <c r="W2475">
        <v>2.7403569999999999E-2</v>
      </c>
      <c r="X2475">
        <v>0.97896130000000003</v>
      </c>
      <c r="Y2475">
        <v>0.43261040000000001</v>
      </c>
      <c r="Z2475">
        <v>0.1027266</v>
      </c>
      <c r="AA2475">
        <v>0.89570949999999905</v>
      </c>
      <c r="AB2475">
        <v>29</v>
      </c>
      <c r="AC2475">
        <v>-6.3386999999999798</v>
      </c>
      <c r="AD2475">
        <v>-1.10129884618</v>
      </c>
      <c r="AE2475">
        <v>-8.6029999999999998</v>
      </c>
      <c r="AF2475">
        <v>4.7087312768121601</v>
      </c>
      <c r="AG2475">
        <v>-1.10129884618</v>
      </c>
      <c r="AH2475">
        <v>9.4673631288370395</v>
      </c>
      <c r="AI2475">
        <v>95.946176077167493</v>
      </c>
      <c r="AJ2475">
        <v>63.555873950121601</v>
      </c>
      <c r="AK2475">
        <v>10.6308971398979</v>
      </c>
      <c r="AL2475">
        <v>88.4296944290748</v>
      </c>
      <c r="AM2475">
        <v>78.330080342573694</v>
      </c>
      <c r="AN2475">
        <v>0.99999994511713597</v>
      </c>
    </row>
    <row r="2476" spans="1:40" x14ac:dyDescent="0.3">
      <c r="A2476" t="str">
        <f>"20200111153924696"</f>
        <v>20200111153924696</v>
      </c>
      <c r="B2476" t="str">
        <f>"1578728364693637"</f>
        <v>1578728364693637</v>
      </c>
      <c r="C2476" t="s">
        <v>40</v>
      </c>
      <c r="D2476">
        <v>5.3720309999999998</v>
      </c>
      <c r="E2476">
        <v>0.61429829999999996</v>
      </c>
      <c r="F2476" t="s">
        <v>62</v>
      </c>
      <c r="G2476">
        <v>-198.9846</v>
      </c>
      <c r="H2476" s="1">
        <v>-1.2798250000000001E-5</v>
      </c>
      <c r="I2476">
        <v>151.29820000000001</v>
      </c>
      <c r="J2476">
        <v>-192.60050000000001</v>
      </c>
      <c r="K2476">
        <v>1.1010979999999999</v>
      </c>
      <c r="L2476">
        <v>159.8417</v>
      </c>
      <c r="M2476">
        <v>-0.17711950000000001</v>
      </c>
      <c r="N2476">
        <v>0</v>
      </c>
      <c r="O2476">
        <v>-0.98409930000000001</v>
      </c>
      <c r="P2476">
        <v>-0.37333909999999998</v>
      </c>
      <c r="Q2476">
        <v>1.590331E-2</v>
      </c>
      <c r="R2476">
        <v>-0.92755889999999996</v>
      </c>
      <c r="S2476">
        <v>-1.8292999999999999</v>
      </c>
      <c r="T2476">
        <v>-0.31287110000000001</v>
      </c>
      <c r="U2476">
        <v>-2.5082089999999999</v>
      </c>
      <c r="V2476">
        <v>0.2033681</v>
      </c>
      <c r="W2476">
        <v>2.724246E-2</v>
      </c>
      <c r="X2476">
        <v>0.97872329999999996</v>
      </c>
      <c r="Y2476">
        <v>0.4336951</v>
      </c>
      <c r="Z2476">
        <v>0.1027624</v>
      </c>
      <c r="AA2476">
        <v>0.89518059999999999</v>
      </c>
      <c r="AB2476">
        <v>29</v>
      </c>
      <c r="AC2476">
        <v>-6.3840999999999797</v>
      </c>
      <c r="AD2476">
        <v>-1.1011107982499999</v>
      </c>
      <c r="AE2476">
        <v>-8.5434999999999892</v>
      </c>
      <c r="AF2476">
        <v>4.7194854850655998</v>
      </c>
      <c r="AG2476">
        <v>-1.1011107982499999</v>
      </c>
      <c r="AH2476">
        <v>9.4386396556856393</v>
      </c>
      <c r="AI2476">
        <v>95.956860860232993</v>
      </c>
      <c r="AJ2476">
        <v>63.434144351648698</v>
      </c>
      <c r="AK2476">
        <v>10.6100851449764</v>
      </c>
      <c r="AL2476">
        <v>88.438928912217406</v>
      </c>
      <c r="AM2476">
        <v>78.261595763520305</v>
      </c>
      <c r="AN2476">
        <v>1.00000001684367</v>
      </c>
    </row>
    <row r="2477" spans="1:40" x14ac:dyDescent="0.3">
      <c r="A2477" t="str">
        <f>"20200111153924719"</f>
        <v>20200111153924719</v>
      </c>
      <c r="B2477" t="str">
        <f>"1578728364713156"</f>
        <v>1578728364713156</v>
      </c>
      <c r="C2477" t="s">
        <v>40</v>
      </c>
      <c r="D2477">
        <v>5.299366</v>
      </c>
      <c r="E2477">
        <v>0.61551840000000002</v>
      </c>
      <c r="F2477" t="s">
        <v>62</v>
      </c>
      <c r="G2477">
        <v>-200.59119999999999</v>
      </c>
      <c r="H2477" s="1">
        <v>-1.2228879999999999E-5</v>
      </c>
      <c r="I2477">
        <v>149.8493</v>
      </c>
      <c r="J2477">
        <v>-192.65770000000001</v>
      </c>
      <c r="K2477">
        <v>1.1008789999999999</v>
      </c>
      <c r="L2477">
        <v>159.5538</v>
      </c>
      <c r="M2477">
        <v>-0.18201210000000001</v>
      </c>
      <c r="N2477">
        <v>0</v>
      </c>
      <c r="O2477">
        <v>-0.98320580000000002</v>
      </c>
      <c r="P2477">
        <v>-0.37946469999999999</v>
      </c>
      <c r="Q2477">
        <v>1.5992429999999998E-2</v>
      </c>
      <c r="R2477">
        <v>-0.92506809999999995</v>
      </c>
      <c r="S2477">
        <v>-1.959427</v>
      </c>
      <c r="T2477">
        <v>-0.27000649999999998</v>
      </c>
      <c r="U2477">
        <v>-2.450256</v>
      </c>
      <c r="V2477">
        <v>0.20498739999999999</v>
      </c>
      <c r="W2477">
        <v>2.722434E-2</v>
      </c>
      <c r="X2477">
        <v>0.97838590000000003</v>
      </c>
      <c r="Y2477">
        <v>0.46950890000000001</v>
      </c>
      <c r="Z2477">
        <v>8.8218980000000002E-2</v>
      </c>
      <c r="AA2477">
        <v>0.87850949999999906</v>
      </c>
      <c r="AB2477">
        <v>29</v>
      </c>
      <c r="AC2477">
        <v>-7.93349999999998</v>
      </c>
      <c r="AD2477">
        <v>-1.1008912288799999</v>
      </c>
      <c r="AE2477">
        <v>-9.7044999999999906</v>
      </c>
      <c r="AF2477">
        <v>5.9882719078052196</v>
      </c>
      <c r="AG2477">
        <v>-1.1008912288799999</v>
      </c>
      <c r="AH2477">
        <v>10.902393294213701</v>
      </c>
      <c r="AI2477">
        <v>95.057797767538105</v>
      </c>
      <c r="AJ2477">
        <v>61.221674008859203</v>
      </c>
      <c r="AK2477">
        <v>12.4873352434116</v>
      </c>
      <c r="AL2477">
        <v>88.439967445813096</v>
      </c>
      <c r="AM2477">
        <v>78.166788952552196</v>
      </c>
      <c r="AN2477">
        <v>0.99999998408300195</v>
      </c>
    </row>
    <row r="2478" spans="1:40" x14ac:dyDescent="0.3">
      <c r="A2478" t="str">
        <f>"20200111153924741"</f>
        <v>20200111153924741</v>
      </c>
      <c r="B2478" t="str">
        <f>"1578728364733655"</f>
        <v>1578728364733655</v>
      </c>
      <c r="C2478" t="s">
        <v>40</v>
      </c>
      <c r="D2478">
        <v>5.3571679999999997</v>
      </c>
      <c r="E2478">
        <v>0.61512889999999998</v>
      </c>
      <c r="F2478" t="s">
        <v>62</v>
      </c>
      <c r="G2478">
        <v>-202.0573</v>
      </c>
      <c r="H2478" s="1">
        <v>-1.106035E-5</v>
      </c>
      <c r="I2478">
        <v>148.0367</v>
      </c>
      <c r="J2478">
        <v>-192.7176</v>
      </c>
      <c r="K2478">
        <v>1.1006689999999999</v>
      </c>
      <c r="L2478">
        <v>159.26150000000001</v>
      </c>
      <c r="M2478">
        <v>-0.1872452</v>
      </c>
      <c r="N2478">
        <v>0</v>
      </c>
      <c r="O2478">
        <v>-0.98222259999999995</v>
      </c>
      <c r="P2478">
        <v>-0.38591619999999999</v>
      </c>
      <c r="Q2478">
        <v>1.5597160000000001E-2</v>
      </c>
      <c r="R2478">
        <v>-0.92240259999999996</v>
      </c>
      <c r="S2478">
        <v>-1.985352</v>
      </c>
      <c r="T2478">
        <v>-0.23252529999999999</v>
      </c>
      <c r="U2478">
        <v>-2.4326020000000002</v>
      </c>
      <c r="V2478">
        <v>0.20661930000000001</v>
      </c>
      <c r="W2478">
        <v>2.672337E-2</v>
      </c>
      <c r="X2478">
        <v>0.97805640000000005</v>
      </c>
      <c r="Y2478">
        <v>0.47419420000000001</v>
      </c>
      <c r="Z2478">
        <v>7.6043340000000001E-2</v>
      </c>
      <c r="AA2478">
        <v>0.87713019999999997</v>
      </c>
      <c r="AB2478">
        <v>29</v>
      </c>
      <c r="AC2478">
        <v>-9.3396999999999899</v>
      </c>
      <c r="AD2478">
        <v>-1.10068006035</v>
      </c>
      <c r="AE2478">
        <v>-11.2248</v>
      </c>
      <c r="AF2478">
        <v>7.03254683323369</v>
      </c>
      <c r="AG2478">
        <v>-1.10068006035</v>
      </c>
      <c r="AH2478">
        <v>12.703027902349399</v>
      </c>
      <c r="AI2478">
        <v>94.335051479716398</v>
      </c>
      <c r="AJ2478">
        <v>61.030566455015297</v>
      </c>
      <c r="AK2478">
        <v>14.561426078676</v>
      </c>
      <c r="AL2478">
        <v>88.468681381814406</v>
      </c>
      <c r="AM2478">
        <v>78.071369482799895</v>
      </c>
      <c r="AN2478">
        <v>0.99999999760880298</v>
      </c>
    </row>
    <row r="2479" spans="1:40" x14ac:dyDescent="0.3">
      <c r="A2479" t="str">
        <f>"20200111153924763"</f>
        <v>20200111153924763</v>
      </c>
      <c r="B2479" t="str">
        <f>"1578728364753172"</f>
        <v>1578728364753172</v>
      </c>
      <c r="C2479" t="s">
        <v>40</v>
      </c>
      <c r="D2479">
        <v>5.3294290000000002</v>
      </c>
      <c r="E2479">
        <v>0.61493730000000002</v>
      </c>
      <c r="F2479" t="s">
        <v>62</v>
      </c>
      <c r="G2479">
        <v>-202.80709999999999</v>
      </c>
      <c r="H2479" s="1">
        <v>-1.0436189999999999E-5</v>
      </c>
      <c r="I2479">
        <v>147.05619999999999</v>
      </c>
      <c r="J2479">
        <v>-192.77670000000001</v>
      </c>
      <c r="K2479">
        <v>1.100468</v>
      </c>
      <c r="L2479">
        <v>158.98220000000001</v>
      </c>
      <c r="M2479">
        <v>-0.1925278</v>
      </c>
      <c r="N2479">
        <v>0</v>
      </c>
      <c r="O2479">
        <v>-0.98120059999999998</v>
      </c>
      <c r="P2479">
        <v>-0.3916676</v>
      </c>
      <c r="Q2479">
        <v>1.5976879999999999E-2</v>
      </c>
      <c r="R2479">
        <v>-0.91996849999999997</v>
      </c>
      <c r="S2479">
        <v>-1.9999389999999999</v>
      </c>
      <c r="T2479">
        <v>-0.2181766</v>
      </c>
      <c r="U2479">
        <v>-2.4193419999999999</v>
      </c>
      <c r="V2479">
        <v>0.207481</v>
      </c>
      <c r="W2479">
        <v>2.700698E-2</v>
      </c>
      <c r="X2479">
        <v>0.97786620000000002</v>
      </c>
      <c r="Y2479">
        <v>0.47517979999999999</v>
      </c>
      <c r="Z2479">
        <v>7.1425150000000007E-2</v>
      </c>
      <c r="AA2479">
        <v>0.87698500000000001</v>
      </c>
      <c r="AB2479">
        <v>29</v>
      </c>
      <c r="AC2479">
        <v>-10.030399999999901</v>
      </c>
      <c r="AD2479">
        <v>-1.10047843619</v>
      </c>
      <c r="AE2479">
        <v>-11.926</v>
      </c>
      <c r="AF2479">
        <v>7.5089734374253201</v>
      </c>
      <c r="AG2479">
        <v>-1.10047843619</v>
      </c>
      <c r="AH2479">
        <v>13.5664885505094</v>
      </c>
      <c r="AI2479">
        <v>94.0595545205489</v>
      </c>
      <c r="AJ2479">
        <v>61.035724133382502</v>
      </c>
      <c r="AK2479">
        <v>15.544946010314099</v>
      </c>
      <c r="AL2479">
        <v>88.452425898935701</v>
      </c>
      <c r="AM2479">
        <v>78.020792928214604</v>
      </c>
      <c r="AN2479">
        <v>1.00000002371608</v>
      </c>
    </row>
    <row r="2480" spans="1:40" x14ac:dyDescent="0.3">
      <c r="A2480" t="str">
        <f>"20200111153924785"</f>
        <v>20200111153924785</v>
      </c>
      <c r="B2480" t="str">
        <f>"1578728364773668"</f>
        <v>1578728364773668</v>
      </c>
      <c r="C2480" t="s">
        <v>40</v>
      </c>
      <c r="D2480">
        <v>5.3744050000000003</v>
      </c>
      <c r="E2480">
        <v>0.61474619999999902</v>
      </c>
      <c r="F2480" t="s">
        <v>62</v>
      </c>
      <c r="G2480">
        <v>-203.1909</v>
      </c>
      <c r="H2480" s="1">
        <v>-1.011073E-5</v>
      </c>
      <c r="I2480">
        <v>146.5343</v>
      </c>
      <c r="J2480">
        <v>-192.83439999999999</v>
      </c>
      <c r="K2480">
        <v>1.100263</v>
      </c>
      <c r="L2480">
        <v>158.71690000000001</v>
      </c>
      <c r="M2480">
        <v>-0.19783229999999999</v>
      </c>
      <c r="N2480">
        <v>0</v>
      </c>
      <c r="O2480">
        <v>-0.98014449999999997</v>
      </c>
      <c r="P2480">
        <v>-0.3977058</v>
      </c>
      <c r="Q2480">
        <v>1.6493009999999999E-2</v>
      </c>
      <c r="R2480">
        <v>-0.91736499999999999</v>
      </c>
      <c r="S2480">
        <v>-2.0139770000000001</v>
      </c>
      <c r="T2480">
        <v>-0.21281729999999999</v>
      </c>
      <c r="U2480">
        <v>-2.4072420000000001</v>
      </c>
      <c r="V2480">
        <v>0.20863989999999999</v>
      </c>
      <c r="W2480">
        <v>2.742168E-2</v>
      </c>
      <c r="X2480">
        <v>0.97760800000000003</v>
      </c>
      <c r="Y2480">
        <v>0.47567979999999999</v>
      </c>
      <c r="Z2480">
        <v>6.9709270000000004E-2</v>
      </c>
      <c r="AA2480">
        <v>0.87685199999999996</v>
      </c>
      <c r="AB2480">
        <v>29</v>
      </c>
      <c r="AC2480">
        <v>-10.3565</v>
      </c>
      <c r="AD2480">
        <v>-1.1002731107299999</v>
      </c>
      <c r="AE2480">
        <v>-12.182600000000001</v>
      </c>
      <c r="AF2480">
        <v>7.7049654581769804</v>
      </c>
      <c r="AG2480">
        <v>-1.1002731107299999</v>
      </c>
      <c r="AH2480">
        <v>13.924878059770499</v>
      </c>
      <c r="AI2480">
        <v>93.954957485862096</v>
      </c>
      <c r="AJ2480">
        <v>61.043203685684098</v>
      </c>
      <c r="AK2480">
        <v>15.952408050491099</v>
      </c>
      <c r="AL2480">
        <v>88.428656465677605</v>
      </c>
      <c r="AM2480">
        <v>77.952742691073198</v>
      </c>
      <c r="AN2480">
        <v>0.99999997903501603</v>
      </c>
    </row>
    <row r="2481" spans="1:40" x14ac:dyDescent="0.3">
      <c r="A2481" t="str">
        <f>"20200111153924807"</f>
        <v>20200111153924807</v>
      </c>
      <c r="B2481" t="str">
        <f>"1578728364803455"</f>
        <v>1578728364803455</v>
      </c>
      <c r="C2481" t="s">
        <v>40</v>
      </c>
      <c r="D2481">
        <v>5.3428459999999998</v>
      </c>
      <c r="E2481">
        <v>0.61463819999999902</v>
      </c>
      <c r="F2481" t="s">
        <v>62</v>
      </c>
      <c r="G2481">
        <v>-203.24160000000001</v>
      </c>
      <c r="H2481" s="1">
        <v>-1.0057E-5</v>
      </c>
      <c r="I2481">
        <v>146.42930000000001</v>
      </c>
      <c r="J2481">
        <v>-192.89699999999999</v>
      </c>
      <c r="K2481">
        <v>1.10002</v>
      </c>
      <c r="L2481">
        <v>158.43860000000001</v>
      </c>
      <c r="M2481">
        <v>-0.20372570000000001</v>
      </c>
      <c r="N2481">
        <v>0</v>
      </c>
      <c r="O2481">
        <v>-0.97893609999999998</v>
      </c>
      <c r="P2481">
        <v>-0.40428930000000002</v>
      </c>
      <c r="Q2481">
        <v>1.6925220000000001E-2</v>
      </c>
      <c r="R2481">
        <v>-0.91447469999999997</v>
      </c>
      <c r="S2481">
        <v>-2.0282900000000001</v>
      </c>
      <c r="T2481">
        <v>-0.2144353</v>
      </c>
      <c r="U2481">
        <v>-2.3947600000000002</v>
      </c>
      <c r="V2481">
        <v>0.20980789999999999</v>
      </c>
      <c r="W2481">
        <v>2.7737700000000001E-2</v>
      </c>
      <c r="X2481">
        <v>0.97734909999999997</v>
      </c>
      <c r="Y2481">
        <v>0.47567130000000002</v>
      </c>
      <c r="Z2481">
        <v>7.026396E-2</v>
      </c>
      <c r="AA2481">
        <v>0.87681229999999999</v>
      </c>
      <c r="AB2481">
        <v>29</v>
      </c>
      <c r="AC2481">
        <v>-10.3445999999999</v>
      </c>
      <c r="AD2481">
        <v>-1.1000300569999999</v>
      </c>
      <c r="AE2481">
        <v>-12.0092999999999</v>
      </c>
      <c r="AF2481">
        <v>7.64397332793276</v>
      </c>
      <c r="AG2481">
        <v>-1.1000300569999999</v>
      </c>
      <c r="AH2481">
        <v>13.798585012855501</v>
      </c>
      <c r="AI2481">
        <v>93.989074878222695</v>
      </c>
      <c r="AJ2481">
        <v>61.0149539502736</v>
      </c>
      <c r="AK2481">
        <v>15.8126956184406</v>
      </c>
      <c r="AL2481">
        <v>88.410542994629196</v>
      </c>
      <c r="AM2481">
        <v>77.884172610820301</v>
      </c>
      <c r="AN2481">
        <v>0.99999999908725501</v>
      </c>
    </row>
    <row r="2482" spans="1:40" x14ac:dyDescent="0.3">
      <c r="A2482" t="str">
        <f>"20200111153924829"</f>
        <v>20200111153924829</v>
      </c>
      <c r="B2482" t="str">
        <f>"1578728364822975"</f>
        <v>1578728364822975</v>
      </c>
      <c r="C2482" t="s">
        <v>40</v>
      </c>
      <c r="D2482">
        <v>5.3343939999999996</v>
      </c>
      <c r="E2482">
        <v>0.61461399999999999</v>
      </c>
      <c r="F2482" t="s">
        <v>62</v>
      </c>
      <c r="G2482">
        <v>-203.25110000000001</v>
      </c>
      <c r="H2482" s="1">
        <v>-1.003862E-5</v>
      </c>
      <c r="I2482">
        <v>146.3817</v>
      </c>
      <c r="J2482">
        <v>-192.96420000000001</v>
      </c>
      <c r="K2482">
        <v>1.099745</v>
      </c>
      <c r="L2482">
        <v>158.1498</v>
      </c>
      <c r="M2482">
        <v>-0.21020749999999999</v>
      </c>
      <c r="N2482">
        <v>0</v>
      </c>
      <c r="O2482">
        <v>-0.97756430000000005</v>
      </c>
      <c r="P2482">
        <v>-0.41107890000000002</v>
      </c>
      <c r="Q2482">
        <v>1.7437609999999999E-2</v>
      </c>
      <c r="R2482">
        <v>-0.9114333</v>
      </c>
      <c r="S2482">
        <v>-2.0445099999999998</v>
      </c>
      <c r="T2482">
        <v>-0.2172103</v>
      </c>
      <c r="U2482">
        <v>-2.3807369999999999</v>
      </c>
      <c r="V2482">
        <v>0.21062739999999999</v>
      </c>
      <c r="W2482">
        <v>2.8123780000000001E-2</v>
      </c>
      <c r="X2482">
        <v>0.97716179999999997</v>
      </c>
      <c r="Y2482">
        <v>0.47579480000000002</v>
      </c>
      <c r="Z2482">
        <v>7.1192519999999995E-2</v>
      </c>
      <c r="AA2482">
        <v>0.87667039999999996</v>
      </c>
      <c r="AB2482">
        <v>29</v>
      </c>
      <c r="AC2482">
        <v>-10.286899999999999</v>
      </c>
      <c r="AD2482">
        <v>-1.0997550386199999</v>
      </c>
      <c r="AE2482">
        <v>-11.7681</v>
      </c>
      <c r="AF2482">
        <v>7.5456937047769204</v>
      </c>
      <c r="AG2482">
        <v>-1.0997550386199999</v>
      </c>
      <c r="AH2482">
        <v>13.600364631049199</v>
      </c>
      <c r="AI2482">
        <v>94.044564728215505</v>
      </c>
      <c r="AJ2482">
        <v>60.9778057159102</v>
      </c>
      <c r="AK2482">
        <v>15.592205512010599</v>
      </c>
      <c r="AL2482">
        <v>88.388413633647204</v>
      </c>
      <c r="AM2482">
        <v>77.835993121203003</v>
      </c>
      <c r="AN2482">
        <v>1.0000000160057401</v>
      </c>
    </row>
    <row r="2483" spans="1:40" x14ac:dyDescent="0.3">
      <c r="A2483" t="str">
        <f>"20200111153924853"</f>
        <v>20200111153924853</v>
      </c>
      <c r="B2483" t="str">
        <f>"1578728364843470"</f>
        <v>1578728364843470</v>
      </c>
      <c r="C2483" t="s">
        <v>40</v>
      </c>
      <c r="D2483">
        <v>5.3156439999999998</v>
      </c>
      <c r="E2483">
        <v>0.61474359999999995</v>
      </c>
      <c r="F2483" t="s">
        <v>62</v>
      </c>
      <c r="G2483">
        <v>-203.28890000000001</v>
      </c>
      <c r="H2483" s="1">
        <v>-9.9988199999999996E-6</v>
      </c>
      <c r="I2483">
        <v>146.30420000000001</v>
      </c>
      <c r="J2483">
        <v>-193.0326</v>
      </c>
      <c r="K2483">
        <v>1.0994569999999999</v>
      </c>
      <c r="L2483">
        <v>157.8656</v>
      </c>
      <c r="M2483">
        <v>-0.21697079999999999</v>
      </c>
      <c r="N2483">
        <v>0</v>
      </c>
      <c r="O2483">
        <v>-0.97608519999999999</v>
      </c>
      <c r="P2483">
        <v>-0.41815730000000001</v>
      </c>
      <c r="Q2483">
        <v>1.8058339999999999E-2</v>
      </c>
      <c r="R2483">
        <v>-0.90819550000000004</v>
      </c>
      <c r="S2483">
        <v>-2.0619960000000002</v>
      </c>
      <c r="T2483">
        <v>-0.2196369</v>
      </c>
      <c r="U2483">
        <v>-2.3657379999999999</v>
      </c>
      <c r="V2483">
        <v>0.21149470000000001</v>
      </c>
      <c r="W2483">
        <v>2.8611399999999999E-2</v>
      </c>
      <c r="X2483">
        <v>0.9769603</v>
      </c>
      <c r="Y2483">
        <v>0.47610710000000001</v>
      </c>
      <c r="Z2483">
        <v>7.2001629999999997E-2</v>
      </c>
      <c r="AA2483">
        <v>0.87643470000000001</v>
      </c>
      <c r="AB2483">
        <v>28</v>
      </c>
      <c r="AC2483">
        <v>-10.2563</v>
      </c>
      <c r="AD2483">
        <v>-1.0994669988200001</v>
      </c>
      <c r="AE2483">
        <v>-11.5613999999999</v>
      </c>
      <c r="AF2483">
        <v>7.4654352298996303</v>
      </c>
      <c r="AG2483">
        <v>-1.0994669988200001</v>
      </c>
      <c r="AH2483">
        <v>13.443418881035001</v>
      </c>
      <c r="AI2483">
        <v>94.0896785481835</v>
      </c>
      <c r="AJ2483">
        <v>60.9555933703707</v>
      </c>
      <c r="AK2483">
        <v>15.416454263685001</v>
      </c>
      <c r="AL2483">
        <v>88.360463830861406</v>
      </c>
      <c r="AM2483">
        <v>77.784962594509494</v>
      </c>
      <c r="AN2483">
        <v>1.0000000240570599</v>
      </c>
    </row>
    <row r="2484" spans="1:40" x14ac:dyDescent="0.3">
      <c r="A2484" t="str">
        <f>"20200111153924873"</f>
        <v>20200111153924873</v>
      </c>
      <c r="B2484" t="str">
        <f>"1578728364862993"</f>
        <v>1578728364862993</v>
      </c>
      <c r="C2484" t="s">
        <v>40</v>
      </c>
      <c r="D2484">
        <v>5.300503</v>
      </c>
      <c r="E2484">
        <v>0.61482879999999995</v>
      </c>
      <c r="F2484" t="s">
        <v>62</v>
      </c>
      <c r="G2484">
        <v>-203.43819999999999</v>
      </c>
      <c r="H2484" s="1">
        <v>-9.8936329999999999E-6</v>
      </c>
      <c r="I2484">
        <v>146.12190000000001</v>
      </c>
      <c r="J2484">
        <v>-193.0984</v>
      </c>
      <c r="K2484">
        <v>1.0991789999999999</v>
      </c>
      <c r="L2484">
        <v>157.60230000000001</v>
      </c>
      <c r="M2484">
        <v>-0.22361429999999999</v>
      </c>
      <c r="N2484">
        <v>0</v>
      </c>
      <c r="O2484">
        <v>-0.97458420000000001</v>
      </c>
      <c r="P2484">
        <v>-0.42488379999999998</v>
      </c>
      <c r="Q2484">
        <v>1.917574E-2</v>
      </c>
      <c r="R2484">
        <v>-0.90504490000000004</v>
      </c>
      <c r="S2484">
        <v>-2.0815429999999999</v>
      </c>
      <c r="T2484">
        <v>-0.21993850000000001</v>
      </c>
      <c r="U2484">
        <v>-2.3492130000000002</v>
      </c>
      <c r="V2484">
        <v>0.21212829999999999</v>
      </c>
      <c r="W2484">
        <v>2.9603750000000002E-2</v>
      </c>
      <c r="X2484">
        <v>0.97679329999999998</v>
      </c>
      <c r="Y2484">
        <v>0.47726279999999999</v>
      </c>
      <c r="Z2484">
        <v>7.2113070000000001E-2</v>
      </c>
      <c r="AA2484">
        <v>0.87579669999999898</v>
      </c>
      <c r="AB2484">
        <v>28</v>
      </c>
      <c r="AC2484">
        <v>-10.339799999999901</v>
      </c>
      <c r="AD2484">
        <v>-1.0991888936329901</v>
      </c>
      <c r="AE2484">
        <v>-11.480399999999999</v>
      </c>
      <c r="AF2484">
        <v>7.47268626432815</v>
      </c>
      <c r="AG2484">
        <v>-1.0991888936329901</v>
      </c>
      <c r="AH2484">
        <v>13.433979253261899</v>
      </c>
      <c r="AI2484">
        <v>94.089900938482401</v>
      </c>
      <c r="AJ2484">
        <v>60.914885271349199</v>
      </c>
      <c r="AK2484">
        <v>15.411718100394801</v>
      </c>
      <c r="AL2484">
        <v>88.303582177068904</v>
      </c>
      <c r="AM2484">
        <v>77.747440922625799</v>
      </c>
      <c r="AN2484">
        <v>0.99999997429992005</v>
      </c>
    </row>
    <row r="2485" spans="1:40" x14ac:dyDescent="0.3">
      <c r="A2485" t="str">
        <f>"20200111153924896"</f>
        <v>20200111153924896</v>
      </c>
      <c r="B2485" t="str">
        <f>"1578728364893247"</f>
        <v>1578728364893247</v>
      </c>
      <c r="C2485" t="s">
        <v>40</v>
      </c>
      <c r="D2485">
        <v>5.2503729999999997</v>
      </c>
      <c r="E2485">
        <v>0.61492040000000003</v>
      </c>
      <c r="F2485" t="s">
        <v>62</v>
      </c>
      <c r="G2485">
        <v>-203.7079</v>
      </c>
      <c r="H2485" s="1">
        <v>-9.7100569999999995E-6</v>
      </c>
      <c r="I2485">
        <v>145.81110000000001</v>
      </c>
      <c r="J2485">
        <v>-193.16900000000001</v>
      </c>
      <c r="K2485">
        <v>1.0988770000000001</v>
      </c>
      <c r="L2485">
        <v>157.32929999999999</v>
      </c>
      <c r="M2485">
        <v>-0.23091100000000001</v>
      </c>
      <c r="N2485">
        <v>0</v>
      </c>
      <c r="O2485">
        <v>-0.97288070000000004</v>
      </c>
      <c r="P2485">
        <v>-0.43246519999999999</v>
      </c>
      <c r="Q2485">
        <v>1.9696330000000001E-2</v>
      </c>
      <c r="R2485">
        <v>-0.9014356</v>
      </c>
      <c r="S2485">
        <v>-2.0997469999999998</v>
      </c>
      <c r="T2485">
        <v>-0.2175414</v>
      </c>
      <c r="U2485">
        <v>-2.3336030000000001</v>
      </c>
      <c r="V2485">
        <v>0.21303949999999999</v>
      </c>
      <c r="W2485">
        <v>2.998934E-2</v>
      </c>
      <c r="X2485">
        <v>0.97658319999999998</v>
      </c>
      <c r="Y2485">
        <v>0.47741020000000001</v>
      </c>
      <c r="Z2485">
        <v>7.1332119999999999E-2</v>
      </c>
      <c r="AA2485">
        <v>0.87578029999999996</v>
      </c>
      <c r="AB2485">
        <v>28</v>
      </c>
      <c r="AC2485">
        <v>-10.5388999999999</v>
      </c>
      <c r="AD2485">
        <v>-1.0988867100569999</v>
      </c>
      <c r="AE2485">
        <v>-11.518199999999901</v>
      </c>
      <c r="AF2485">
        <v>7.5566710432938002</v>
      </c>
      <c r="AG2485">
        <v>-1.0988867100569999</v>
      </c>
      <c r="AH2485">
        <v>13.573385471089599</v>
      </c>
      <c r="AI2485">
        <v>94.046113550010503</v>
      </c>
      <c r="AJ2485">
        <v>60.894129692948802</v>
      </c>
      <c r="AK2485">
        <v>15.573940490604199</v>
      </c>
      <c r="AL2485">
        <v>88.281479671711196</v>
      </c>
      <c r="AM2485">
        <v>77.693843415905306</v>
      </c>
      <c r="AN2485">
        <v>0.99999996779806199</v>
      </c>
    </row>
    <row r="2486" spans="1:40" x14ac:dyDescent="0.3">
      <c r="A2486" t="str">
        <f>"20200111153924919"</f>
        <v>20200111153924919</v>
      </c>
      <c r="B2486" t="str">
        <f>"1578728364913275"</f>
        <v>1578728364913275</v>
      </c>
      <c r="C2486" t="s">
        <v>40</v>
      </c>
      <c r="D2486">
        <v>5.2419979999999997</v>
      </c>
      <c r="E2486">
        <v>0.61501589999999995</v>
      </c>
      <c r="F2486" t="s">
        <v>62</v>
      </c>
      <c r="G2486">
        <v>-203.85050000000001</v>
      </c>
      <c r="H2486" s="1">
        <v>-9.6166530000000004E-6</v>
      </c>
      <c r="I2486">
        <v>145.66059999999999</v>
      </c>
      <c r="J2486">
        <v>-193.244</v>
      </c>
      <c r="K2486">
        <v>1.0985579999999999</v>
      </c>
      <c r="L2486">
        <v>157.05029999999999</v>
      </c>
      <c r="M2486">
        <v>-0.23879990000000001</v>
      </c>
      <c r="N2486">
        <v>0</v>
      </c>
      <c r="O2486">
        <v>-0.9709738</v>
      </c>
      <c r="P2486">
        <v>-0.4403299</v>
      </c>
      <c r="Q2486">
        <v>1.999165E-2</v>
      </c>
      <c r="R2486">
        <v>-0.89761380000000002</v>
      </c>
      <c r="S2486">
        <v>-2.1198579999999998</v>
      </c>
      <c r="T2486">
        <v>-0.21808649999999999</v>
      </c>
      <c r="U2486">
        <v>-2.3157960000000002</v>
      </c>
      <c r="V2486">
        <v>0.21368029999999999</v>
      </c>
      <c r="W2486">
        <v>3.015234E-2</v>
      </c>
      <c r="X2486">
        <v>0.97643820000000003</v>
      </c>
      <c r="Y2486">
        <v>0.47776760000000001</v>
      </c>
      <c r="Z2486">
        <v>7.1513590000000002E-2</v>
      </c>
      <c r="AA2486">
        <v>0.87557070000000004</v>
      </c>
      <c r="AB2486">
        <v>28</v>
      </c>
      <c r="AC2486">
        <v>-10.606499999999899</v>
      </c>
      <c r="AD2486">
        <v>-1.0985676166529901</v>
      </c>
      <c r="AE2486">
        <v>-11.389699999999999</v>
      </c>
      <c r="AF2486">
        <v>7.5418968828804296</v>
      </c>
      <c r="AG2486">
        <v>-1.0985676166529901</v>
      </c>
      <c r="AH2486">
        <v>13.525794544238</v>
      </c>
      <c r="AI2486">
        <v>94.057637028666903</v>
      </c>
      <c r="AJ2486">
        <v>60.856240850694299</v>
      </c>
      <c r="AK2486">
        <v>15.5252754388867</v>
      </c>
      <c r="AL2486">
        <v>88.272136283249097</v>
      </c>
      <c r="AM2486">
        <v>77.656184065083593</v>
      </c>
      <c r="AN2486">
        <v>0.999999996317402</v>
      </c>
    </row>
    <row r="2487" spans="1:40" x14ac:dyDescent="0.3">
      <c r="A2487" t="str">
        <f>"20200111153924941"</f>
        <v>20200111153924941</v>
      </c>
      <c r="B2487" t="str">
        <f>"1578728364932794"</f>
        <v>1578728364932794</v>
      </c>
      <c r="C2487" t="s">
        <v>40</v>
      </c>
      <c r="D2487">
        <v>5.2373370000000001</v>
      </c>
      <c r="E2487">
        <v>0.61511000000000005</v>
      </c>
      <c r="F2487" t="s">
        <v>62</v>
      </c>
      <c r="G2487">
        <v>-204.0677</v>
      </c>
      <c r="H2487" s="1">
        <v>-9.4763340000000007E-6</v>
      </c>
      <c r="I2487">
        <v>145.43879999999999</v>
      </c>
      <c r="J2487">
        <v>-193.32509999999999</v>
      </c>
      <c r="K2487">
        <v>1.098263</v>
      </c>
      <c r="L2487">
        <v>156.76009999999999</v>
      </c>
      <c r="M2487">
        <v>-0.2473844</v>
      </c>
      <c r="N2487">
        <v>0</v>
      </c>
      <c r="O2487">
        <v>-0.9688215</v>
      </c>
      <c r="P2487">
        <v>-0.44857259999999999</v>
      </c>
      <c r="Q2487">
        <v>2.0595189999999999E-2</v>
      </c>
      <c r="R2487">
        <v>-0.89350929999999995</v>
      </c>
      <c r="S2487">
        <v>-2.1409449999999999</v>
      </c>
      <c r="T2487">
        <v>-0.21729889999999999</v>
      </c>
      <c r="U2487">
        <v>-2.2967680000000001</v>
      </c>
      <c r="V2487">
        <v>0.21405979999999999</v>
      </c>
      <c r="W2487">
        <v>3.0638019999999998E-2</v>
      </c>
      <c r="X2487">
        <v>0.97633990000000004</v>
      </c>
      <c r="Y2487">
        <v>0.4779311</v>
      </c>
      <c r="Z2487">
        <v>7.1253490000000003E-2</v>
      </c>
      <c r="AA2487">
        <v>0.87550260000000002</v>
      </c>
      <c r="AB2487">
        <v>28</v>
      </c>
      <c r="AC2487">
        <v>-10.742599999999999</v>
      </c>
      <c r="AD2487">
        <v>-1.0982724763339999</v>
      </c>
      <c r="AE2487">
        <v>-11.321300000000001</v>
      </c>
      <c r="AF2487">
        <v>7.5701678314142997</v>
      </c>
      <c r="AG2487">
        <v>-1.0982724763339999</v>
      </c>
      <c r="AH2487">
        <v>13.559986895410599</v>
      </c>
      <c r="AI2487">
        <v>94.045190981308806</v>
      </c>
      <c r="AJ2487">
        <v>60.826578008708097</v>
      </c>
      <c r="AK2487">
        <v>15.568779272369399</v>
      </c>
      <c r="AL2487">
        <v>88.244295912218206</v>
      </c>
      <c r="AM2487">
        <v>77.633728404436795</v>
      </c>
      <c r="AN2487">
        <v>0.99999994328878306</v>
      </c>
    </row>
    <row r="2488" spans="1:40" x14ac:dyDescent="0.3">
      <c r="A2488" t="str">
        <f>"20200111153924964"</f>
        <v>20200111153924964</v>
      </c>
      <c r="B2488" t="str">
        <f>"1578728364953293"</f>
        <v>1578728364953293</v>
      </c>
      <c r="C2488" t="s">
        <v>40</v>
      </c>
      <c r="D2488">
        <v>5.2328659999999996</v>
      </c>
      <c r="E2488">
        <v>0.61517010000000005</v>
      </c>
      <c r="F2488" t="s">
        <v>62</v>
      </c>
      <c r="G2488">
        <v>-204.41329999999999</v>
      </c>
      <c r="H2488" s="1">
        <v>-9.2539650000000008E-6</v>
      </c>
      <c r="I2488">
        <v>145.08920000000001</v>
      </c>
      <c r="J2488">
        <v>-193.40280000000001</v>
      </c>
      <c r="K2488">
        <v>1.0979989999999999</v>
      </c>
      <c r="L2488">
        <v>156.49199999999999</v>
      </c>
      <c r="M2488">
        <v>-0.25565650000000001</v>
      </c>
      <c r="N2488">
        <v>0</v>
      </c>
      <c r="O2488">
        <v>-0.96667119999999995</v>
      </c>
      <c r="P2488">
        <v>-0.45693729999999999</v>
      </c>
      <c r="Q2488">
        <v>2.117778E-2</v>
      </c>
      <c r="R2488">
        <v>-0.88924699999999901</v>
      </c>
      <c r="S2488">
        <v>-2.1629179999999999</v>
      </c>
      <c r="T2488">
        <v>-0.21423490000000001</v>
      </c>
      <c r="U2488">
        <v>-2.2765960000000001</v>
      </c>
      <c r="V2488">
        <v>0.2149085</v>
      </c>
      <c r="W2488">
        <v>3.1109379999999999E-2</v>
      </c>
      <c r="X2488">
        <v>0.97613859999999997</v>
      </c>
      <c r="Y2488">
        <v>0.478794</v>
      </c>
      <c r="Z2488">
        <v>7.0251590000000003E-2</v>
      </c>
      <c r="AA2488">
        <v>0.875112</v>
      </c>
      <c r="AB2488">
        <v>28</v>
      </c>
      <c r="AC2488">
        <v>-11.010499999999899</v>
      </c>
      <c r="AD2488">
        <v>-1.098008253965</v>
      </c>
      <c r="AE2488">
        <v>-11.402799999999999</v>
      </c>
      <c r="AF2488">
        <v>7.6921442563642701</v>
      </c>
      <c r="AG2488">
        <v>-1.098008253965</v>
      </c>
      <c r="AH2488">
        <v>13.772867362325901</v>
      </c>
      <c r="AI2488">
        <v>93.981530053509502</v>
      </c>
      <c r="AJ2488">
        <v>60.8166484236381</v>
      </c>
      <c r="AK2488">
        <v>15.813493629388599</v>
      </c>
      <c r="AL2488">
        <v>88.217276213198005</v>
      </c>
      <c r="AM2488">
        <v>77.583735441652195</v>
      </c>
      <c r="AN2488">
        <v>1.00000001165309</v>
      </c>
    </row>
    <row r="2489" spans="1:40" x14ac:dyDescent="0.3">
      <c r="A2489" t="str">
        <f>"20200111153924985"</f>
        <v>20200111153924985</v>
      </c>
      <c r="B2489" t="str">
        <f>"1578728364973790"</f>
        <v>1578728364973790</v>
      </c>
      <c r="C2489" t="s">
        <v>40</v>
      </c>
      <c r="D2489">
        <v>5.2429819999999996</v>
      </c>
      <c r="E2489">
        <v>0.61536000000000002</v>
      </c>
      <c r="F2489" t="s">
        <v>62</v>
      </c>
      <c r="G2489">
        <v>-204.68950000000001</v>
      </c>
      <c r="H2489" s="1">
        <v>-9.0833509999999994E-6</v>
      </c>
      <c r="I2489">
        <v>144.83680000000001</v>
      </c>
      <c r="J2489">
        <v>-193.48259999999999</v>
      </c>
      <c r="K2489">
        <v>1.0977410000000001</v>
      </c>
      <c r="L2489">
        <v>156.22630000000001</v>
      </c>
      <c r="M2489">
        <v>-0.26418469999999999</v>
      </c>
      <c r="N2489">
        <v>0</v>
      </c>
      <c r="O2489">
        <v>-0.96437470000000003</v>
      </c>
      <c r="P2489">
        <v>-0.46594439999999998</v>
      </c>
      <c r="Q2489">
        <v>2.02921E-2</v>
      </c>
      <c r="R2489">
        <v>-0.88458139999999996</v>
      </c>
      <c r="S2489">
        <v>-2.1847530000000002</v>
      </c>
      <c r="T2489">
        <v>-0.2125399</v>
      </c>
      <c r="U2489">
        <v>-2.2560730000000002</v>
      </c>
      <c r="V2489">
        <v>0.21619910000000001</v>
      </c>
      <c r="W2489">
        <v>3.01085E-2</v>
      </c>
      <c r="X2489">
        <v>0.97588490000000006</v>
      </c>
      <c r="Y2489">
        <v>0.47942289999999999</v>
      </c>
      <c r="Z2489">
        <v>6.9690619999999995E-2</v>
      </c>
      <c r="AA2489">
        <v>0.87481249999999999</v>
      </c>
      <c r="AB2489">
        <v>28</v>
      </c>
      <c r="AC2489">
        <v>-11.206899999999999</v>
      </c>
      <c r="AD2489">
        <v>-1.0977500833509899</v>
      </c>
      <c r="AE2489">
        <v>-11.3894999999999</v>
      </c>
      <c r="AF2489">
        <v>7.7628124389374804</v>
      </c>
      <c r="AG2489">
        <v>-1.0977500833509899</v>
      </c>
      <c r="AH2489">
        <v>13.880234391758499</v>
      </c>
      <c r="AI2489">
        <v>93.948610994560198</v>
      </c>
      <c r="AJ2489">
        <v>60.782981016563397</v>
      </c>
      <c r="AK2489">
        <v>15.941368165178799</v>
      </c>
      <c r="AL2489">
        <v>88.274649200451606</v>
      </c>
      <c r="AM2489">
        <v>77.508359401718195</v>
      </c>
      <c r="AN2489">
        <v>0.99999995533053398</v>
      </c>
    </row>
    <row r="2490" spans="1:40" x14ac:dyDescent="0.3">
      <c r="A2490" t="str">
        <f>"20200111153925007"</f>
        <v>20200111153925007</v>
      </c>
      <c r="B2490" t="str">
        <f>"1578728365003067"</f>
        <v>1578728365003067</v>
      </c>
      <c r="C2490" t="s">
        <v>40</v>
      </c>
      <c r="D2490">
        <v>5.1941280000000001</v>
      </c>
      <c r="E2490">
        <v>0.61556690000000003</v>
      </c>
      <c r="F2490" t="s">
        <v>62</v>
      </c>
      <c r="G2490">
        <v>-204.7098</v>
      </c>
      <c r="H2490" s="1">
        <v>-9.0858849999999995E-6</v>
      </c>
      <c r="I2490">
        <v>144.87530000000001</v>
      </c>
      <c r="J2490">
        <v>-193.5685</v>
      </c>
      <c r="K2490">
        <v>1.097469</v>
      </c>
      <c r="L2490">
        <v>155.9503</v>
      </c>
      <c r="M2490">
        <v>-0.27339000000000002</v>
      </c>
      <c r="N2490">
        <v>0</v>
      </c>
      <c r="O2490">
        <v>-0.96180489999999996</v>
      </c>
      <c r="P2490">
        <v>-0.475796</v>
      </c>
      <c r="Q2490">
        <v>1.9443160000000001E-2</v>
      </c>
      <c r="R2490">
        <v>-0.87934080000000003</v>
      </c>
      <c r="S2490">
        <v>-2.2086489999999999</v>
      </c>
      <c r="T2490">
        <v>-0.2159529</v>
      </c>
      <c r="U2490">
        <v>-2.2330019999999999</v>
      </c>
      <c r="V2490">
        <v>0.2177722</v>
      </c>
      <c r="W2490">
        <v>2.91357E-2</v>
      </c>
      <c r="X2490">
        <v>0.97556469999999995</v>
      </c>
      <c r="Y2490">
        <v>0.48023670000000002</v>
      </c>
      <c r="Z2490">
        <v>7.0794880000000004E-2</v>
      </c>
      <c r="AA2490">
        <v>0.87427730000000003</v>
      </c>
      <c r="AB2490">
        <v>28</v>
      </c>
      <c r="AC2490">
        <v>-11.141299999999999</v>
      </c>
      <c r="AD2490">
        <v>-1.097478085885</v>
      </c>
      <c r="AE2490">
        <v>-11.0749999999999</v>
      </c>
      <c r="AF2490">
        <v>7.6513469651804602</v>
      </c>
      <c r="AG2490">
        <v>-1.097478085885</v>
      </c>
      <c r="AH2490">
        <v>13.6326697835184</v>
      </c>
      <c r="AI2490">
        <v>94.0157101114944</v>
      </c>
      <c r="AJ2490">
        <v>60.696645689761397</v>
      </c>
      <c r="AK2490">
        <v>15.6715428071721</v>
      </c>
      <c r="AL2490">
        <v>88.330411170890997</v>
      </c>
      <c r="AM2490">
        <v>77.416353748039498</v>
      </c>
      <c r="AN2490">
        <v>1.0000000519967001</v>
      </c>
    </row>
    <row r="2491" spans="1:40" x14ac:dyDescent="0.3">
      <c r="A2491" t="str">
        <f>"20200111153925030"</f>
        <v>20200111153925030</v>
      </c>
      <c r="B2491" t="str">
        <f>"1578728365023563"</f>
        <v>1578728365023563</v>
      </c>
      <c r="C2491" t="s">
        <v>40</v>
      </c>
      <c r="D2491">
        <v>5.2068599999999998</v>
      </c>
      <c r="E2491">
        <v>0.61576009999999903</v>
      </c>
      <c r="F2491" t="s">
        <v>62</v>
      </c>
      <c r="G2491">
        <v>-204.71960000000001</v>
      </c>
      <c r="H2491" s="1">
        <v>-9.0981479999999998E-6</v>
      </c>
      <c r="I2491">
        <v>144.9358</v>
      </c>
      <c r="J2491">
        <v>-193.6584</v>
      </c>
      <c r="K2491">
        <v>1.0971949999999999</v>
      </c>
      <c r="L2491">
        <v>155.672</v>
      </c>
      <c r="M2491">
        <v>-0.2830222</v>
      </c>
      <c r="N2491">
        <v>0</v>
      </c>
      <c r="O2491">
        <v>-0.95901400000000003</v>
      </c>
      <c r="P2491">
        <v>-0.48615999999999998</v>
      </c>
      <c r="Q2491">
        <v>1.9115799999999999E-2</v>
      </c>
      <c r="R2491">
        <v>-0.87366109999999897</v>
      </c>
      <c r="S2491">
        <v>-2.2347109999999999</v>
      </c>
      <c r="T2491">
        <v>-0.21993650000000001</v>
      </c>
      <c r="U2491">
        <v>-2.2073209999999999</v>
      </c>
      <c r="V2491">
        <v>0.21953490000000001</v>
      </c>
      <c r="W2491">
        <v>2.8677649999999999E-2</v>
      </c>
      <c r="X2491">
        <v>0.97518309999999997</v>
      </c>
      <c r="Y2491">
        <v>0.48156280000000001</v>
      </c>
      <c r="Z2491">
        <v>7.2082629999999995E-2</v>
      </c>
      <c r="AA2491">
        <v>0.8734423</v>
      </c>
      <c r="AB2491">
        <v>28</v>
      </c>
      <c r="AC2491">
        <v>-11.061199999999999</v>
      </c>
      <c r="AD2491">
        <v>-1.097204098148</v>
      </c>
      <c r="AE2491">
        <v>-10.736199999999901</v>
      </c>
      <c r="AF2491">
        <v>7.5318249109583597</v>
      </c>
      <c r="AG2491">
        <v>-1.097204098148</v>
      </c>
      <c r="AH2491">
        <v>13.360322246704699</v>
      </c>
      <c r="AI2491">
        <v>94.091924315701704</v>
      </c>
      <c r="AJ2491">
        <v>60.588054726959598</v>
      </c>
      <c r="AK2491">
        <v>15.3762951928648</v>
      </c>
      <c r="AL2491">
        <v>88.356666435835606</v>
      </c>
      <c r="AM2491">
        <v>77.312978507721894</v>
      </c>
      <c r="AN2491">
        <v>1.0000000292265701</v>
      </c>
    </row>
    <row r="2492" spans="1:40" x14ac:dyDescent="0.3">
      <c r="A2492" t="str">
        <f>"20200111153925064"</f>
        <v>20200111153925064</v>
      </c>
      <c r="B2492" t="str">
        <f>"1578728365053818"</f>
        <v>1578728365053818</v>
      </c>
      <c r="C2492" t="s">
        <v>40</v>
      </c>
      <c r="D2492">
        <v>5.2015659999999997</v>
      </c>
      <c r="E2492">
        <v>0.61586450000000004</v>
      </c>
      <c r="F2492" t="s">
        <v>62</v>
      </c>
      <c r="G2492">
        <v>-204.86699999999999</v>
      </c>
      <c r="H2492" s="1">
        <v>-9.0251469999999996E-6</v>
      </c>
      <c r="I2492">
        <v>144.86940000000001</v>
      </c>
      <c r="J2492">
        <v>-193.79580000000001</v>
      </c>
      <c r="K2492">
        <v>1.0968100000000001</v>
      </c>
      <c r="L2492">
        <v>155.26740000000001</v>
      </c>
      <c r="M2492">
        <v>-0.29766769999999998</v>
      </c>
      <c r="N2492">
        <v>0</v>
      </c>
      <c r="O2492">
        <v>-0.95456870000000005</v>
      </c>
      <c r="P2492">
        <v>-0.50094280000000002</v>
      </c>
      <c r="Q2492">
        <v>1.9362540000000001E-2</v>
      </c>
      <c r="R2492">
        <v>-0.86526440000000004</v>
      </c>
      <c r="S2492">
        <v>-2.2619319999999998</v>
      </c>
      <c r="T2492">
        <v>-0.22142110000000001</v>
      </c>
      <c r="U2492">
        <v>-2.1800229999999998</v>
      </c>
      <c r="V2492">
        <v>0.2212219</v>
      </c>
      <c r="W2492">
        <v>2.8755340000000001E-2</v>
      </c>
      <c r="X2492">
        <v>0.97479950000000004</v>
      </c>
      <c r="Y2492">
        <v>0.47885240000000001</v>
      </c>
      <c r="Z2492">
        <v>7.247584E-2</v>
      </c>
      <c r="AA2492">
        <v>0.87489869999999903</v>
      </c>
      <c r="AB2492">
        <v>28</v>
      </c>
      <c r="AC2492">
        <v>-11.071199999999999</v>
      </c>
      <c r="AD2492">
        <v>-1.096819025147</v>
      </c>
      <c r="AE2492">
        <v>-10.3979999999999</v>
      </c>
      <c r="AF2492">
        <v>7.4350192989997499</v>
      </c>
      <c r="AG2492">
        <v>-1.096819025147</v>
      </c>
      <c r="AH2492">
        <v>13.1538218045243</v>
      </c>
      <c r="AI2492">
        <v>94.151845190193697</v>
      </c>
      <c r="AJ2492">
        <v>60.523284209902201</v>
      </c>
      <c r="AK2492">
        <v>15.1494406502551</v>
      </c>
      <c r="AL2492">
        <v>88.3522132947828</v>
      </c>
      <c r="AM2492">
        <v>77.213812376332598</v>
      </c>
      <c r="AN2492">
        <v>1.00000003190918</v>
      </c>
    </row>
    <row r="2493" spans="1:40" x14ac:dyDescent="0.3">
      <c r="A2493" t="str">
        <f>"20200111153925086"</f>
        <v>20200111153925086</v>
      </c>
      <c r="B2493" t="str">
        <f>"1578728365083099"</f>
        <v>1578728365083099</v>
      </c>
      <c r="C2493" t="s">
        <v>40</v>
      </c>
      <c r="D2493">
        <v>5.5742510000000003</v>
      </c>
      <c r="E2493">
        <v>0.61607279999999998</v>
      </c>
      <c r="F2493" t="s">
        <v>62</v>
      </c>
      <c r="G2493">
        <v>-205.28469999999999</v>
      </c>
      <c r="H2493" s="1">
        <v>-8.7678049999999996E-6</v>
      </c>
      <c r="I2493">
        <v>144.57320000000001</v>
      </c>
      <c r="J2493">
        <v>-193.88939999999999</v>
      </c>
      <c r="K2493">
        <v>1.096571</v>
      </c>
      <c r="L2493">
        <v>155.00370000000001</v>
      </c>
      <c r="M2493">
        <v>-0.30757420000000002</v>
      </c>
      <c r="N2493">
        <v>0</v>
      </c>
      <c r="O2493">
        <v>-0.9514222</v>
      </c>
      <c r="P2493">
        <v>-0.51143559999999999</v>
      </c>
      <c r="Q2493">
        <v>1.9072100000000002E-2</v>
      </c>
      <c r="R2493">
        <v>-0.85910989999999998</v>
      </c>
      <c r="S2493">
        <v>-2.299728</v>
      </c>
      <c r="T2493">
        <v>-0.2195491</v>
      </c>
      <c r="U2493">
        <v>-2.1406559999999999</v>
      </c>
      <c r="V2493">
        <v>0.2229614</v>
      </c>
      <c r="W2493">
        <v>2.8349719999999998E-2</v>
      </c>
      <c r="X2493">
        <v>0.97441489999999997</v>
      </c>
      <c r="Y2493">
        <v>0.48495189999999999</v>
      </c>
      <c r="Z2493">
        <v>7.1894840000000002E-2</v>
      </c>
      <c r="AA2493">
        <v>0.87158060000000004</v>
      </c>
      <c r="AB2493">
        <v>28</v>
      </c>
      <c r="AC2493">
        <v>-11.395299999999899</v>
      </c>
      <c r="AD2493">
        <v>-1.096579767805</v>
      </c>
      <c r="AE2493">
        <v>-10.430499999999901</v>
      </c>
      <c r="AF2493">
        <v>7.5960543458550998</v>
      </c>
      <c r="AG2493">
        <v>-1.096579767805</v>
      </c>
      <c r="AH2493">
        <v>13.362680571705001</v>
      </c>
      <c r="AI2493">
        <v>94.080669372295404</v>
      </c>
      <c r="AJ2493">
        <v>60.383809823764103</v>
      </c>
      <c r="AK2493">
        <v>15.409859210056499</v>
      </c>
      <c r="AL2493">
        <v>88.375462946038397</v>
      </c>
      <c r="AM2493">
        <v>77.111699857378994</v>
      </c>
      <c r="AN2493">
        <v>0.99999994492802202</v>
      </c>
    </row>
    <row r="2494" spans="1:40" x14ac:dyDescent="0.3">
      <c r="A2494" t="str">
        <f>"20200111153925109"</f>
        <v>20200111153925109</v>
      </c>
      <c r="B2494" t="str">
        <f>"1578728365103123"</f>
        <v>1578728365103123</v>
      </c>
      <c r="C2494" t="s">
        <v>40</v>
      </c>
      <c r="D2494">
        <v>5.2162689999999996</v>
      </c>
      <c r="E2494">
        <v>0.61638970000000004</v>
      </c>
      <c r="F2494" t="s">
        <v>62</v>
      </c>
      <c r="G2494">
        <v>-205.48439999999999</v>
      </c>
      <c r="H2494" s="1">
        <v>-8.6547889999999903E-6</v>
      </c>
      <c r="I2494">
        <v>144.48060000000001</v>
      </c>
      <c r="J2494">
        <v>-193.9906</v>
      </c>
      <c r="K2494">
        <v>1.096355</v>
      </c>
      <c r="L2494">
        <v>154.72890000000001</v>
      </c>
      <c r="M2494">
        <v>-0.31817279999999998</v>
      </c>
      <c r="N2494">
        <v>0</v>
      </c>
      <c r="O2494">
        <v>-0.94792969999999999</v>
      </c>
      <c r="P2494">
        <v>-0.52363510000000002</v>
      </c>
      <c r="Q2494">
        <v>1.8762850000000001E-2</v>
      </c>
      <c r="R2494">
        <v>-0.85173619999999906</v>
      </c>
      <c r="S2494">
        <v>-2.3268279999999999</v>
      </c>
      <c r="T2494">
        <v>-0.2200558</v>
      </c>
      <c r="U2494">
        <v>-2.11171</v>
      </c>
      <c r="V2494">
        <v>0.22598979999999999</v>
      </c>
      <c r="W2494">
        <v>2.7901189999999999E-2</v>
      </c>
      <c r="X2494">
        <v>0.97372999999999998</v>
      </c>
      <c r="Y2494">
        <v>0.48619059999999997</v>
      </c>
      <c r="Z2494">
        <v>7.2017159999999997E-2</v>
      </c>
      <c r="AA2494">
        <v>0.87088019999999999</v>
      </c>
      <c r="AB2494">
        <v>28</v>
      </c>
      <c r="AC2494">
        <v>-11.493799999999901</v>
      </c>
      <c r="AD2494">
        <v>-1.0963636547890001</v>
      </c>
      <c r="AE2494">
        <v>-10.2483</v>
      </c>
      <c r="AF2494">
        <v>7.5968224016904298</v>
      </c>
      <c r="AG2494">
        <v>-1.0963636547890001</v>
      </c>
      <c r="AH2494">
        <v>13.305544336263701</v>
      </c>
      <c r="AI2494">
        <v>94.092941774238099</v>
      </c>
      <c r="AJ2494">
        <v>60.275722518514101</v>
      </c>
      <c r="AK2494">
        <v>15.3607042140211</v>
      </c>
      <c r="AL2494">
        <v>88.401172065413306</v>
      </c>
      <c r="AM2494">
        <v>76.933734196415102</v>
      </c>
      <c r="AN2494">
        <v>0.99999998950372804</v>
      </c>
    </row>
    <row r="2495" spans="1:40" x14ac:dyDescent="0.3">
      <c r="A2495" t="str">
        <f>"20200111153925133"</f>
        <v>20200111153925133</v>
      </c>
      <c r="B2495" t="str">
        <f>"1578728365123620"</f>
        <v>1578728365123620</v>
      </c>
      <c r="C2495" t="s">
        <v>40</v>
      </c>
      <c r="D2495">
        <v>5.2895019999999997</v>
      </c>
      <c r="E2495">
        <v>0.68564899999999995</v>
      </c>
      <c r="F2495" t="s">
        <v>62</v>
      </c>
      <c r="G2495">
        <v>-205.47329999999999</v>
      </c>
      <c r="H2495" s="1">
        <v>-8.6954570000000007E-6</v>
      </c>
      <c r="I2495">
        <v>144.61600000000001</v>
      </c>
      <c r="J2495">
        <v>-194.09960000000001</v>
      </c>
      <c r="K2495">
        <v>1.096149</v>
      </c>
      <c r="L2495">
        <v>154.4434</v>
      </c>
      <c r="M2495">
        <v>-0.32947799999999999</v>
      </c>
      <c r="N2495">
        <v>0</v>
      </c>
      <c r="O2495">
        <v>-0.94405919999999999</v>
      </c>
      <c r="P2495">
        <v>-0.53677839999999999</v>
      </c>
      <c r="Q2495">
        <v>1.996071E-2</v>
      </c>
      <c r="R2495">
        <v>-0.8434876</v>
      </c>
      <c r="S2495">
        <v>-2.3585210000000001</v>
      </c>
      <c r="T2495">
        <v>-0.22519</v>
      </c>
      <c r="U2495">
        <v>-2.0771639999999998</v>
      </c>
      <c r="V2495">
        <v>0.2294988</v>
      </c>
      <c r="W2495">
        <v>2.8949809999999999E-2</v>
      </c>
      <c r="X2495">
        <v>0.97287829999999997</v>
      </c>
      <c r="Y2495">
        <v>0.48865219999999998</v>
      </c>
      <c r="Z2495">
        <v>7.3645509999999997E-2</v>
      </c>
      <c r="AA2495">
        <v>0.8693649</v>
      </c>
      <c r="AB2495">
        <v>28</v>
      </c>
      <c r="AC2495">
        <v>-11.3736999999999</v>
      </c>
      <c r="AD2495">
        <v>-1.096157695457</v>
      </c>
      <c r="AE2495">
        <v>-9.8273999999999795</v>
      </c>
      <c r="AF2495">
        <v>7.4605947994938102</v>
      </c>
      <c r="AG2495">
        <v>-1.096157695457</v>
      </c>
      <c r="AH2495">
        <v>12.957402489925901</v>
      </c>
      <c r="AI2495">
        <v>94.193024877637697</v>
      </c>
      <c r="AJ2495">
        <v>60.067584353981097</v>
      </c>
      <c r="AK2495">
        <v>14.9918749908569</v>
      </c>
      <c r="AL2495">
        <v>88.341066272381298</v>
      </c>
      <c r="AM2495">
        <v>76.726769137588406</v>
      </c>
      <c r="AN2495">
        <v>0.99999998865568296</v>
      </c>
    </row>
    <row r="2496" spans="1:40" x14ac:dyDescent="0.3">
      <c r="A2496" t="str">
        <f>"20200111153925154"</f>
        <v>20200111153925154</v>
      </c>
      <c r="B2496" t="str">
        <f>"1578728365143142"</f>
        <v>1578728365143142</v>
      </c>
      <c r="C2496" t="s">
        <v>40</v>
      </c>
      <c r="D2496">
        <v>5.262238</v>
      </c>
      <c r="E2496">
        <v>0.69033</v>
      </c>
      <c r="F2496" t="s">
        <v>63</v>
      </c>
      <c r="G2496">
        <v>-252.3116</v>
      </c>
      <c r="H2496">
        <v>1.645778</v>
      </c>
      <c r="I2496">
        <v>119.0955</v>
      </c>
      <c r="J2496">
        <v>-194.1995</v>
      </c>
      <c r="K2496">
        <v>1.0959760000000001</v>
      </c>
      <c r="L2496">
        <v>154.19120000000001</v>
      </c>
      <c r="M2496">
        <v>-0.33972140000000001</v>
      </c>
      <c r="N2496">
        <v>0</v>
      </c>
      <c r="O2496">
        <v>-0.9404209</v>
      </c>
      <c r="P2496">
        <v>-0.54874769999999995</v>
      </c>
      <c r="Q2496">
        <v>2.1210929999999999E-2</v>
      </c>
      <c r="R2496">
        <v>-0.835719199999999</v>
      </c>
      <c r="S2496">
        <v>-2.859467</v>
      </c>
      <c r="T2496">
        <v>2.7000070000000001E-2</v>
      </c>
      <c r="U2496">
        <v>-1.736343</v>
      </c>
      <c r="V2496">
        <v>0.23283980000000001</v>
      </c>
      <c r="W2496">
        <v>3.0065600000000001E-2</v>
      </c>
      <c r="X2496">
        <v>0.97205019999999998</v>
      </c>
      <c r="Y2496">
        <v>0.62753459999999905</v>
      </c>
      <c r="Z2496">
        <v>-8.5580589999999998E-3</v>
      </c>
      <c r="AA2496">
        <v>0.77854159999999994</v>
      </c>
      <c r="AB2496">
        <v>28</v>
      </c>
      <c r="AC2496">
        <v>-58.112099999999998</v>
      </c>
      <c r="AD2496">
        <v>0.54980199999999901</v>
      </c>
      <c r="AE2496">
        <v>-35.095700000000001</v>
      </c>
      <c r="AF2496">
        <v>42.728499017326797</v>
      </c>
      <c r="AG2496">
        <v>0.54980199999999901</v>
      </c>
      <c r="AH2496">
        <v>52.7484141147578</v>
      </c>
      <c r="AI2496">
        <v>89.535957700470206</v>
      </c>
      <c r="AJ2496">
        <v>50.991029714410203</v>
      </c>
      <c r="AK2496">
        <v>67.885359998565804</v>
      </c>
      <c r="AL2496">
        <v>88.277108297117607</v>
      </c>
      <c r="AM2496">
        <v>76.529474521153006</v>
      </c>
      <c r="AN2496">
        <v>0.99999995204371805</v>
      </c>
    </row>
    <row r="2497" spans="1:40" x14ac:dyDescent="0.3">
      <c r="A2497" t="str">
        <f>"20200111153925176"</f>
        <v>20200111153925176</v>
      </c>
      <c r="B2497" t="str">
        <f>"1578728365173395"</f>
        <v>1578728365173395</v>
      </c>
      <c r="C2497" t="s">
        <v>40</v>
      </c>
      <c r="D2497">
        <v>5.3395530000000004</v>
      </c>
      <c r="E2497">
        <v>0.68616849999999996</v>
      </c>
      <c r="F2497" t="s">
        <v>63</v>
      </c>
      <c r="G2497">
        <v>-255.36859999999999</v>
      </c>
      <c r="H2497">
        <v>2.9335070000000001</v>
      </c>
      <c r="I2497">
        <v>119.0955</v>
      </c>
      <c r="J2497">
        <v>-194.3022</v>
      </c>
      <c r="K2497">
        <v>1.0957969999999999</v>
      </c>
      <c r="L2497">
        <v>153.9409</v>
      </c>
      <c r="M2497">
        <v>-0.3501126</v>
      </c>
      <c r="N2497">
        <v>0</v>
      </c>
      <c r="O2497">
        <v>-0.93660120000000002</v>
      </c>
      <c r="P2497">
        <v>-0.56104619999999905</v>
      </c>
      <c r="Q2497">
        <v>2.223961E-2</v>
      </c>
      <c r="R2497">
        <v>-0.82748600000000005</v>
      </c>
      <c r="S2497">
        <v>-2.9157869999999999</v>
      </c>
      <c r="T2497">
        <v>8.7592119999999996E-2</v>
      </c>
      <c r="U2497">
        <v>-1.672928</v>
      </c>
      <c r="V2497">
        <v>0.2364955</v>
      </c>
      <c r="W2497">
        <v>3.095258E-2</v>
      </c>
      <c r="X2497">
        <v>0.97113939999999999</v>
      </c>
      <c r="Y2497">
        <v>0.63787050000000001</v>
      </c>
      <c r="Z2497">
        <v>-2.7686949999999998E-2</v>
      </c>
      <c r="AA2497">
        <v>0.76964580000000005</v>
      </c>
      <c r="AB2497">
        <v>28</v>
      </c>
      <c r="AC2497">
        <v>-61.066399999999902</v>
      </c>
      <c r="AD2497">
        <v>1.83771</v>
      </c>
      <c r="AE2497">
        <v>-34.845399999999998</v>
      </c>
      <c r="AF2497">
        <v>44.968813812660599</v>
      </c>
      <c r="AG2497">
        <v>1.83771</v>
      </c>
      <c r="AH2497">
        <v>53.984863190484702</v>
      </c>
      <c r="AI2497">
        <v>88.501735777359002</v>
      </c>
      <c r="AJ2497">
        <v>50.206063727050001</v>
      </c>
      <c r="AK2497">
        <v>70.284684302180594</v>
      </c>
      <c r="AL2497">
        <v>88.226264426433403</v>
      </c>
      <c r="AM2497">
        <v>76.313520270521096</v>
      </c>
      <c r="AN2497">
        <v>0.99999995898063199</v>
      </c>
    </row>
    <row r="2498" spans="1:40" x14ac:dyDescent="0.3">
      <c r="A2498" t="str">
        <f>"20200111153925198"</f>
        <v>20200111153925198</v>
      </c>
      <c r="B2498" t="str">
        <f>"1578728365192915"</f>
        <v>1578728365192915</v>
      </c>
      <c r="C2498" t="s">
        <v>40</v>
      </c>
      <c r="D2498">
        <v>5.5442099999999996</v>
      </c>
      <c r="E2498">
        <v>0.68290909999999905</v>
      </c>
      <c r="F2498" t="s">
        <v>63</v>
      </c>
      <c r="G2498">
        <v>-255.66650000000001</v>
      </c>
      <c r="H2498">
        <v>1.6195850000000001</v>
      </c>
      <c r="I2498">
        <v>119.16379999999999</v>
      </c>
      <c r="J2498">
        <v>-194.4171</v>
      </c>
      <c r="K2498">
        <v>1.0956140000000001</v>
      </c>
      <c r="L2498">
        <v>153.67099999999999</v>
      </c>
      <c r="M2498">
        <v>-0.36156680000000002</v>
      </c>
      <c r="N2498">
        <v>0</v>
      </c>
      <c r="O2498">
        <v>-0.93223849999999997</v>
      </c>
      <c r="P2498">
        <v>-0.57402439999999999</v>
      </c>
      <c r="Q2498">
        <v>2.267129E-2</v>
      </c>
      <c r="R2498">
        <v>-0.81852440000000004</v>
      </c>
      <c r="S2498">
        <v>-2.912064</v>
      </c>
      <c r="T2498">
        <v>2.4857879999999999E-2</v>
      </c>
      <c r="U2498">
        <v>-1.6503599999999901</v>
      </c>
      <c r="V2498">
        <v>0.23993220000000001</v>
      </c>
      <c r="W2498">
        <v>3.124379E-2</v>
      </c>
      <c r="X2498">
        <v>0.97028669999999995</v>
      </c>
      <c r="Y2498">
        <v>0.6328085</v>
      </c>
      <c r="Z2498">
        <v>-7.8815029999999998E-3</v>
      </c>
      <c r="AA2498">
        <v>0.77426819999999996</v>
      </c>
      <c r="AB2498">
        <v>28</v>
      </c>
      <c r="AC2498">
        <v>-61.249400000000001</v>
      </c>
      <c r="AD2498">
        <v>0.52397099999999996</v>
      </c>
      <c r="AE2498">
        <v>-34.507199999999997</v>
      </c>
      <c r="AF2498">
        <v>44.624393369559101</v>
      </c>
      <c r="AG2498">
        <v>0.52397099999999996</v>
      </c>
      <c r="AH2498">
        <v>54.317127346091603</v>
      </c>
      <c r="AI2498">
        <v>89.572944585835998</v>
      </c>
      <c r="AJ2498">
        <v>50.595086187211301</v>
      </c>
      <c r="AK2498">
        <v>70.299085003586796</v>
      </c>
      <c r="AL2498">
        <v>88.209571245356003</v>
      </c>
      <c r="AM2498">
        <v>76.110543765966</v>
      </c>
      <c r="AN2498">
        <v>0.99999995760364602</v>
      </c>
    </row>
    <row r="2499" spans="1:40" x14ac:dyDescent="0.3">
      <c r="A2499" t="str">
        <f>"20200111153925222"</f>
        <v>20200111153925222</v>
      </c>
      <c r="B2499" t="str">
        <f>"1578728365212932"</f>
        <v>1578728365212932</v>
      </c>
      <c r="C2499" t="s">
        <v>40</v>
      </c>
      <c r="D2499">
        <v>5.2685870000000001</v>
      </c>
      <c r="E2499">
        <v>0.68081130000000001</v>
      </c>
      <c r="F2499" t="s">
        <v>63</v>
      </c>
      <c r="G2499">
        <v>-256.29950000000002</v>
      </c>
      <c r="H2499">
        <v>0.92442369999999996</v>
      </c>
      <c r="I2499">
        <v>119.2859</v>
      </c>
      <c r="J2499">
        <v>-194.5384</v>
      </c>
      <c r="K2499">
        <v>1.095451</v>
      </c>
      <c r="L2499">
        <v>153.39599999999999</v>
      </c>
      <c r="M2499">
        <v>-0.37344319999999998</v>
      </c>
      <c r="N2499">
        <v>0</v>
      </c>
      <c r="O2499">
        <v>-0.92754420000000004</v>
      </c>
      <c r="P2499">
        <v>-0.58671809999999902</v>
      </c>
      <c r="Q2499">
        <v>2.3139179999999999E-2</v>
      </c>
      <c r="R2499">
        <v>-0.80946109999999905</v>
      </c>
      <c r="S2499">
        <v>-2.9160919999999999</v>
      </c>
      <c r="T2499">
        <v>-8.0657009999999998E-3</v>
      </c>
      <c r="U2499">
        <v>-1.620331</v>
      </c>
      <c r="V2499">
        <v>0.2426981</v>
      </c>
      <c r="W2499">
        <v>3.1593610000000001E-2</v>
      </c>
      <c r="X2499">
        <v>0.96958730000000004</v>
      </c>
      <c r="Y2499">
        <v>0.62946299999999999</v>
      </c>
      <c r="Z2499">
        <v>2.5626550000000001E-3</v>
      </c>
      <c r="AA2499">
        <v>0.7770262</v>
      </c>
      <c r="AB2499">
        <v>28</v>
      </c>
      <c r="AC2499">
        <v>-61.761099999999999</v>
      </c>
      <c r="AD2499">
        <v>-0.17102729999999999</v>
      </c>
      <c r="AE2499">
        <v>-34.110100000000003</v>
      </c>
      <c r="AF2499">
        <v>44.552201948303903</v>
      </c>
      <c r="AG2499">
        <v>-0.17102729999999999</v>
      </c>
      <c r="AH2499">
        <v>54.708090778407403</v>
      </c>
      <c r="AI2499">
        <v>90.138888176557401</v>
      </c>
      <c r="AJ2499">
        <v>50.841930396698999</v>
      </c>
      <c r="AK2499">
        <v>70.554256748960697</v>
      </c>
      <c r="AL2499">
        <v>88.189518262536197</v>
      </c>
      <c r="AM2499">
        <v>75.947001776086296</v>
      </c>
      <c r="AN2499">
        <v>1.0000000281288599</v>
      </c>
    </row>
    <row r="2500" spans="1:40" x14ac:dyDescent="0.3">
      <c r="A2500" t="str">
        <f>"20200111153925243"</f>
        <v>20200111153925243</v>
      </c>
      <c r="B2500" t="str">
        <f>"1578728365233428"</f>
        <v>1578728365233428</v>
      </c>
      <c r="C2500" t="s">
        <v>40</v>
      </c>
      <c r="D2500">
        <v>5.4786159999999997</v>
      </c>
      <c r="E2500">
        <v>0.67701579999999995</v>
      </c>
      <c r="F2500" t="s">
        <v>64</v>
      </c>
      <c r="G2500">
        <v>-259.25740000000002</v>
      </c>
      <c r="H2500">
        <v>0.52275590000000005</v>
      </c>
      <c r="I2500">
        <v>118.3472</v>
      </c>
      <c r="J2500">
        <v>-194.65199999999999</v>
      </c>
      <c r="K2500">
        <v>1.095307</v>
      </c>
      <c r="L2500">
        <v>153.14699999999999</v>
      </c>
      <c r="M2500">
        <v>-0.3843743</v>
      </c>
      <c r="N2500">
        <v>0</v>
      </c>
      <c r="O2500">
        <v>-0.92306730000000003</v>
      </c>
      <c r="P2500">
        <v>-0.59813799999999995</v>
      </c>
      <c r="Q2500">
        <v>2.29339E-2</v>
      </c>
      <c r="R2500">
        <v>-0.80106509999999997</v>
      </c>
      <c r="S2500">
        <v>-2.9271699999999998</v>
      </c>
      <c r="T2500">
        <v>-2.590191E-2</v>
      </c>
      <c r="U2500">
        <v>-1.5852200000000001</v>
      </c>
      <c r="V2500">
        <v>0.24499779999999999</v>
      </c>
      <c r="W2500">
        <v>3.1289539999999998E-2</v>
      </c>
      <c r="X2500">
        <v>0.96901859999999995</v>
      </c>
      <c r="Y2500">
        <v>0.62867519999999999</v>
      </c>
      <c r="Z2500">
        <v>8.2407709999999992E-3</v>
      </c>
      <c r="AA2500">
        <v>0.77762439999999999</v>
      </c>
      <c r="AB2500">
        <v>28</v>
      </c>
      <c r="AC2500">
        <v>-64.605400000000003</v>
      </c>
      <c r="AD2500">
        <v>-0.57255109999999998</v>
      </c>
      <c r="AE2500">
        <v>-34.799799999999998</v>
      </c>
      <c r="AF2500">
        <v>46.260866800602102</v>
      </c>
      <c r="AG2500">
        <v>-0.57255109999999998</v>
      </c>
      <c r="AH2500">
        <v>56.957531744246502</v>
      </c>
      <c r="AI2500">
        <v>90.447060543923001</v>
      </c>
      <c r="AJ2500">
        <v>50.916520854956197</v>
      </c>
      <c r="AK2500">
        <v>73.379534165201804</v>
      </c>
      <c r="AL2500">
        <v>88.2069487611505</v>
      </c>
      <c r="AM2500">
        <v>75.811203469628893</v>
      </c>
      <c r="AN2500">
        <v>1.0000000022321001</v>
      </c>
    </row>
    <row r="2501" spans="1:40" x14ac:dyDescent="0.3">
      <c r="A2501" t="str">
        <f>"20200111153925264"</f>
        <v>20200111153925264</v>
      </c>
      <c r="B2501" t="str">
        <f>"1578728365252948"</f>
        <v>1578728365252948</v>
      </c>
      <c r="C2501" t="s">
        <v>40</v>
      </c>
      <c r="D2501">
        <v>5.4825229999999996</v>
      </c>
      <c r="E2501">
        <v>0.67407569999999895</v>
      </c>
      <c r="F2501" t="s">
        <v>42</v>
      </c>
      <c r="G2501">
        <v>-245.4751</v>
      </c>
      <c r="H2501">
        <v>7.9986860000000007E-2</v>
      </c>
      <c r="I2501">
        <v>125.9897</v>
      </c>
      <c r="J2501">
        <v>-194.76660000000001</v>
      </c>
      <c r="K2501">
        <v>1.09517</v>
      </c>
      <c r="L2501">
        <v>152.90369999999999</v>
      </c>
      <c r="M2501">
        <v>-0.39522669999999999</v>
      </c>
      <c r="N2501">
        <v>0</v>
      </c>
      <c r="O2501">
        <v>-0.91847250000000003</v>
      </c>
      <c r="P2501">
        <v>-0.60926720000000001</v>
      </c>
      <c r="Q2501">
        <v>2.2263729999999999E-2</v>
      </c>
      <c r="R2501">
        <v>-0.79265269999999899</v>
      </c>
      <c r="S2501">
        <v>-2.9247740000000002</v>
      </c>
      <c r="T2501">
        <v>-5.8429719999999997E-2</v>
      </c>
      <c r="U2501">
        <v>-1.562851</v>
      </c>
      <c r="V2501">
        <v>0.2470976</v>
      </c>
      <c r="W2501">
        <v>3.052935E-2</v>
      </c>
      <c r="X2501">
        <v>0.96850959999999997</v>
      </c>
      <c r="Y2501">
        <v>0.62371390000000004</v>
      </c>
      <c r="Z2501">
        <v>1.8620749999999998E-2</v>
      </c>
      <c r="AA2501">
        <v>0.78143090000000004</v>
      </c>
      <c r="AB2501">
        <v>28</v>
      </c>
      <c r="AC2501">
        <v>-50.708500000000001</v>
      </c>
      <c r="AD2501">
        <v>-1.01518314</v>
      </c>
      <c r="AE2501">
        <v>-26.913999999999898</v>
      </c>
      <c r="AF2501">
        <v>35.929664224003403</v>
      </c>
      <c r="AG2501">
        <v>-1.01518314</v>
      </c>
      <c r="AH2501">
        <v>44.7516968372123</v>
      </c>
      <c r="AI2501">
        <v>91.0134041422927</v>
      </c>
      <c r="AJ2501">
        <v>51.240166095191299</v>
      </c>
      <c r="AK2501">
        <v>57.399353113664297</v>
      </c>
      <c r="AL2501">
        <v>88.250525354787996</v>
      </c>
      <c r="AM2501">
        <v>75.687357719417093</v>
      </c>
      <c r="AN2501">
        <v>1.00000005521466</v>
      </c>
    </row>
    <row r="2502" spans="1:40" x14ac:dyDescent="0.3">
      <c r="A2502" t="str">
        <f>"20200111153925288"</f>
        <v>20200111153925288</v>
      </c>
      <c r="B2502" t="str">
        <f>"1578728365283205"</f>
        <v>1578728365283205</v>
      </c>
      <c r="C2502" t="s">
        <v>40</v>
      </c>
      <c r="D2502">
        <v>5.4502560000000004</v>
      </c>
      <c r="E2502">
        <v>0.6707398</v>
      </c>
      <c r="F2502" t="s">
        <v>42</v>
      </c>
      <c r="G2502">
        <v>-239.10120000000001</v>
      </c>
      <c r="H2502" s="1">
        <v>-2.9468249999999999E-6</v>
      </c>
      <c r="I2502">
        <v>129.63820000000001</v>
      </c>
      <c r="J2502">
        <v>-194.89420000000001</v>
      </c>
      <c r="K2502">
        <v>1.095035</v>
      </c>
      <c r="L2502">
        <v>152.64169999999999</v>
      </c>
      <c r="M2502">
        <v>-0.40710390000000002</v>
      </c>
      <c r="N2502">
        <v>0</v>
      </c>
      <c r="O2502">
        <v>-0.91326929999999995</v>
      </c>
      <c r="P2502">
        <v>-0.62130769999999902</v>
      </c>
      <c r="Q2502">
        <v>2.115413E-2</v>
      </c>
      <c r="R2502">
        <v>-0.78328129999999996</v>
      </c>
      <c r="S2502">
        <v>-2.9277500000000001</v>
      </c>
      <c r="T2502">
        <v>-7.2322609999999996E-2</v>
      </c>
      <c r="U2502">
        <v>-1.536392</v>
      </c>
      <c r="V2502">
        <v>0.24930930000000001</v>
      </c>
      <c r="W2502">
        <v>2.9323970000000001E-2</v>
      </c>
      <c r="X2502">
        <v>0.96797979999999995</v>
      </c>
      <c r="Y2502">
        <v>0.61932909999999997</v>
      </c>
      <c r="Z2502">
        <v>2.3063899999999998E-2</v>
      </c>
      <c r="AA2502">
        <v>0.78479270000000001</v>
      </c>
      <c r="AB2502">
        <v>28</v>
      </c>
      <c r="AC2502">
        <v>-44.207000000000001</v>
      </c>
      <c r="AD2502">
        <v>-1.095037946825</v>
      </c>
      <c r="AE2502">
        <v>-23.003499999999899</v>
      </c>
      <c r="AF2502">
        <v>30.996303082746198</v>
      </c>
      <c r="AG2502">
        <v>-1.095037946825</v>
      </c>
      <c r="AH2502">
        <v>38.990416464521701</v>
      </c>
      <c r="AI2502">
        <v>91.2594079231976</v>
      </c>
      <c r="AJ2502">
        <v>51.516271206973997</v>
      </c>
      <c r="AK2502">
        <v>49.821907721195302</v>
      </c>
      <c r="AL2502">
        <v>88.319619325500796</v>
      </c>
      <c r="AM2502">
        <v>75.557009519885995</v>
      </c>
      <c r="AN2502">
        <v>0.99999995774554395</v>
      </c>
    </row>
    <row r="2503" spans="1:40" x14ac:dyDescent="0.3">
      <c r="A2503" t="str">
        <f>"20200111153925310"</f>
        <v>20200111153925310</v>
      </c>
      <c r="B2503" t="str">
        <f>"1578728365303700"</f>
        <v>1578728365303700</v>
      </c>
      <c r="C2503" t="s">
        <v>40</v>
      </c>
      <c r="D2503">
        <v>5.5601330000000004</v>
      </c>
      <c r="E2503">
        <v>0.66853019999999996</v>
      </c>
      <c r="F2503" t="s">
        <v>42</v>
      </c>
      <c r="G2503">
        <v>-230.3869</v>
      </c>
      <c r="H2503" s="1">
        <v>-5.0378390000000003E-6</v>
      </c>
      <c r="I2503">
        <v>134.3647</v>
      </c>
      <c r="J2503">
        <v>-195.02680000000001</v>
      </c>
      <c r="K2503">
        <v>1.0948899999999999</v>
      </c>
      <c r="L2503">
        <v>152.3785</v>
      </c>
      <c r="M2503">
        <v>-0.41922359999999997</v>
      </c>
      <c r="N2503">
        <v>0</v>
      </c>
      <c r="O2503">
        <v>-0.90776900000000005</v>
      </c>
      <c r="P2503">
        <v>-0.63342180000000003</v>
      </c>
      <c r="Q2503">
        <v>2.0544630000000001E-2</v>
      </c>
      <c r="R2503">
        <v>-0.77353439999999996</v>
      </c>
      <c r="S2503">
        <v>-2.9296880000000001</v>
      </c>
      <c r="T2503">
        <v>-9.0388419999999997E-2</v>
      </c>
      <c r="U2503">
        <v>-1.5086360000000001</v>
      </c>
      <c r="V2503">
        <v>0.25147770000000003</v>
      </c>
      <c r="W2503">
        <v>2.8616639999999999E-2</v>
      </c>
      <c r="X2503">
        <v>0.96743990000000002</v>
      </c>
      <c r="Y2503">
        <v>0.61479649999999997</v>
      </c>
      <c r="Z2503">
        <v>2.8846480000000001E-2</v>
      </c>
      <c r="AA2503">
        <v>0.78815809999999997</v>
      </c>
      <c r="AB2503">
        <v>28</v>
      </c>
      <c r="AC2503">
        <v>-35.360099999999903</v>
      </c>
      <c r="AD2503">
        <v>-1.0948950378390001</v>
      </c>
      <c r="AE2503">
        <v>-18.0138</v>
      </c>
      <c r="AF2503">
        <v>24.5308603483263</v>
      </c>
      <c r="AG2503">
        <v>-1.0948950378390001</v>
      </c>
      <c r="AH2503">
        <v>31.155668787530502</v>
      </c>
      <c r="AI2503">
        <v>91.581604579862002</v>
      </c>
      <c r="AJ2503">
        <v>51.784368337070298</v>
      </c>
      <c r="AK2503">
        <v>39.669101353210401</v>
      </c>
      <c r="AL2503">
        <v>88.360163361277401</v>
      </c>
      <c r="AM2503">
        <v>75.428927784560599</v>
      </c>
      <c r="AN2503">
        <v>0.99999995289709298</v>
      </c>
    </row>
    <row r="2504" spans="1:40" x14ac:dyDescent="0.3">
      <c r="A2504" t="str">
        <f>"20200111153925333"</f>
        <v>20200111153925333</v>
      </c>
      <c r="B2504" t="str">
        <f>"1578728365323223"</f>
        <v>1578728365323223</v>
      </c>
      <c r="C2504" t="s">
        <v>40</v>
      </c>
      <c r="D2504">
        <v>5.5408400000000002</v>
      </c>
      <c r="E2504">
        <v>0.66666829999999999</v>
      </c>
      <c r="F2504" t="s">
        <v>42</v>
      </c>
      <c r="G2504">
        <v>-227.16319999999999</v>
      </c>
      <c r="H2504" s="1">
        <v>-1.8450830000000001E-6</v>
      </c>
      <c r="I2504">
        <v>136.2576</v>
      </c>
      <c r="J2504">
        <v>-195.16130000000001</v>
      </c>
      <c r="K2504">
        <v>1.0947530000000001</v>
      </c>
      <c r="L2504">
        <v>152.12049999999999</v>
      </c>
      <c r="M2504">
        <v>-0.43129590000000001</v>
      </c>
      <c r="N2504">
        <v>0</v>
      </c>
      <c r="O2504">
        <v>-0.90209530000000004</v>
      </c>
      <c r="P2504">
        <v>-0.64547900000000002</v>
      </c>
      <c r="Q2504">
        <v>2.0232480000000001E-2</v>
      </c>
      <c r="R2504">
        <v>-0.76351009999999997</v>
      </c>
      <c r="S2504">
        <v>-2.9389799999999999</v>
      </c>
      <c r="T2504">
        <v>-0.1001314</v>
      </c>
      <c r="U2504">
        <v>-1.4743040000000001</v>
      </c>
      <c r="V2504">
        <v>0.25374799999999997</v>
      </c>
      <c r="W2504">
        <v>2.8201480000000001E-2</v>
      </c>
      <c r="X2504">
        <v>0.96685920000000003</v>
      </c>
      <c r="Y2504">
        <v>0.61252130000000005</v>
      </c>
      <c r="Z2504">
        <v>3.1956909999999998E-2</v>
      </c>
      <c r="AA2504">
        <v>0.78980790000000001</v>
      </c>
      <c r="AB2504">
        <v>28</v>
      </c>
      <c r="AC2504">
        <v>-32.0018999999999</v>
      </c>
      <c r="AD2504">
        <v>-1.094754845083</v>
      </c>
      <c r="AE2504">
        <v>-15.8628999999999</v>
      </c>
      <c r="AF2504">
        <v>22.0087742800782</v>
      </c>
      <c r="AG2504">
        <v>-1.094754845083</v>
      </c>
      <c r="AH2504">
        <v>28.088671236798099</v>
      </c>
      <c r="AI2504">
        <v>91.757226637543596</v>
      </c>
      <c r="AJ2504">
        <v>51.919657106331996</v>
      </c>
      <c r="AK2504">
        <v>35.700953563332099</v>
      </c>
      <c r="AL2504">
        <v>88.383960026827395</v>
      </c>
      <c r="AM2504">
        <v>75.294608933716404</v>
      </c>
      <c r="AN2504">
        <v>1.0000000418014099</v>
      </c>
    </row>
    <row r="2505" spans="1:40" x14ac:dyDescent="0.3">
      <c r="A2505" t="str">
        <f>"20200111153925359"</f>
        <v>20200111153925359</v>
      </c>
      <c r="B2505" t="str">
        <f>"1578728365353476"</f>
        <v>1578728365353476</v>
      </c>
      <c r="C2505" t="s">
        <v>40</v>
      </c>
      <c r="D2505">
        <v>5.2202449999999896</v>
      </c>
      <c r="E2505">
        <v>0.66475620000000002</v>
      </c>
      <c r="F2505" t="s">
        <v>42</v>
      </c>
      <c r="G2505">
        <v>-224.78819999999999</v>
      </c>
      <c r="H2505" s="1">
        <v>-2.5613630000000002E-6</v>
      </c>
      <c r="I2505">
        <v>137.6815</v>
      </c>
      <c r="J2505">
        <v>-195.31229999999999</v>
      </c>
      <c r="K2505">
        <v>1.0946020000000001</v>
      </c>
      <c r="L2505">
        <v>151.8416</v>
      </c>
      <c r="M2505">
        <v>-0.4445886</v>
      </c>
      <c r="N2505">
        <v>0</v>
      </c>
      <c r="O2505">
        <v>-0.89561809999999997</v>
      </c>
      <c r="P2505">
        <v>-0.65837809999999997</v>
      </c>
      <c r="Q2505">
        <v>2.0319980000000001E-2</v>
      </c>
      <c r="R2505">
        <v>-0.75241329999999995</v>
      </c>
      <c r="S2505">
        <v>-2.9503170000000001</v>
      </c>
      <c r="T2505">
        <v>-0.1090184</v>
      </c>
      <c r="U2505">
        <v>-1.4378660000000001</v>
      </c>
      <c r="V2505">
        <v>0.25591700000000001</v>
      </c>
      <c r="W2505">
        <v>2.818433E-2</v>
      </c>
      <c r="X2505">
        <v>0.96628780000000003</v>
      </c>
      <c r="Y2505">
        <v>0.60980239999999997</v>
      </c>
      <c r="Z2505">
        <v>3.4762109999999999E-2</v>
      </c>
      <c r="AA2505">
        <v>0.79179080000000002</v>
      </c>
      <c r="AB2505">
        <v>28</v>
      </c>
      <c r="AC2505">
        <v>-29.475899999999999</v>
      </c>
      <c r="AD2505">
        <v>-1.094604561363</v>
      </c>
      <c r="AE2505">
        <v>-14.1601</v>
      </c>
      <c r="AF2505">
        <v>20.083330905096599</v>
      </c>
      <c r="AG2505">
        <v>-1.094604561363</v>
      </c>
      <c r="AH2505">
        <v>25.760524757409598</v>
      </c>
      <c r="AI2505">
        <v>91.919315709569005</v>
      </c>
      <c r="AJ2505">
        <v>52.0594319806168</v>
      </c>
      <c r="AK2505">
        <v>32.6824566880533</v>
      </c>
      <c r="AL2505">
        <v>88.384942956285897</v>
      </c>
      <c r="AM2505">
        <v>75.166043245784905</v>
      </c>
      <c r="AN2505">
        <v>0.99999998988769401</v>
      </c>
    </row>
    <row r="2506" spans="1:40" x14ac:dyDescent="0.3">
      <c r="A2506" t="str">
        <f>"20200111153925377"</f>
        <v>20200111153925377</v>
      </c>
      <c r="B2506" t="str">
        <f>"1578728365372997"</f>
        <v>1578728365372997</v>
      </c>
      <c r="C2506" t="s">
        <v>40</v>
      </c>
      <c r="D2506">
        <v>5.3404089999999904</v>
      </c>
      <c r="E2506">
        <v>0.70206789999999997</v>
      </c>
      <c r="F2506" t="s">
        <v>42</v>
      </c>
      <c r="G2506">
        <v>-222.5292</v>
      </c>
      <c r="H2506" s="1">
        <v>-3.2967149999999999E-6</v>
      </c>
      <c r="I2506">
        <v>138.9992</v>
      </c>
      <c r="J2506">
        <v>-195.42619999999999</v>
      </c>
      <c r="K2506">
        <v>1.0944929999999999</v>
      </c>
      <c r="L2506">
        <v>151.63749999999999</v>
      </c>
      <c r="M2506">
        <v>-0.4544415</v>
      </c>
      <c r="N2506">
        <v>0</v>
      </c>
      <c r="O2506">
        <v>-0.89065859999999997</v>
      </c>
      <c r="P2506">
        <v>-0.66844459999999895</v>
      </c>
      <c r="Q2506">
        <v>2.0324410000000001E-2</v>
      </c>
      <c r="R2506">
        <v>-0.74348429999999999</v>
      </c>
      <c r="S2506">
        <v>-2.9627080000000001</v>
      </c>
      <c r="T2506">
        <v>-0.11915389999999999</v>
      </c>
      <c r="U2506">
        <v>-1.397964</v>
      </c>
      <c r="V2506">
        <v>0.25826919999999998</v>
      </c>
      <c r="W2506">
        <v>2.809186E-2</v>
      </c>
      <c r="X2506">
        <v>0.96566450000000004</v>
      </c>
      <c r="Y2506">
        <v>0.61092740000000001</v>
      </c>
      <c r="Z2506">
        <v>3.8016189999999998E-2</v>
      </c>
      <c r="AA2506">
        <v>0.79077339999999996</v>
      </c>
      <c r="AB2506">
        <v>28</v>
      </c>
      <c r="AC2506">
        <v>-27.103000000000002</v>
      </c>
      <c r="AD2506">
        <v>-1.094496296715</v>
      </c>
      <c r="AE2506">
        <v>-12.6382999999999</v>
      </c>
      <c r="AF2506">
        <v>18.373474155442199</v>
      </c>
      <c r="AG2506">
        <v>-1.094496296715</v>
      </c>
      <c r="AH2506">
        <v>23.544078753744401</v>
      </c>
      <c r="AI2506">
        <v>92.098855456062793</v>
      </c>
      <c r="AJ2506">
        <v>52.032014153088497</v>
      </c>
      <c r="AK2506">
        <v>29.8848811114709</v>
      </c>
      <c r="AL2506">
        <v>88.390243259370806</v>
      </c>
      <c r="AM2506">
        <v>75.026565552071801</v>
      </c>
      <c r="AN2506">
        <v>1.00000002941357</v>
      </c>
    </row>
    <row r="2507" spans="1:40" x14ac:dyDescent="0.3">
      <c r="A2507" t="str">
        <f>"20200111153925405"</f>
        <v>20200111153925405</v>
      </c>
      <c r="B2507" t="str">
        <f>"1578728365403253"</f>
        <v>1578728365403253</v>
      </c>
      <c r="C2507" t="s">
        <v>40</v>
      </c>
      <c r="D2507">
        <v>5.2420519999999904</v>
      </c>
      <c r="E2507">
        <v>0.70699489999999998</v>
      </c>
      <c r="F2507" t="s">
        <v>60</v>
      </c>
      <c r="G2507">
        <v>-320.47219999999999</v>
      </c>
      <c r="H2507">
        <v>2.9030659999999999</v>
      </c>
      <c r="I2507">
        <v>106.64190000000001</v>
      </c>
      <c r="J2507">
        <v>-195.60210000000001</v>
      </c>
      <c r="K2507">
        <v>1.0943529999999999</v>
      </c>
      <c r="L2507">
        <v>151.33330000000001</v>
      </c>
      <c r="M2507">
        <v>-0.46934809999999999</v>
      </c>
      <c r="N2507">
        <v>0</v>
      </c>
      <c r="O2507">
        <v>-0.88289309999999999</v>
      </c>
      <c r="P2507">
        <v>-0.68237499999999995</v>
      </c>
      <c r="Q2507">
        <v>2.018592E-2</v>
      </c>
      <c r="R2507">
        <v>-0.73072380000000003</v>
      </c>
      <c r="S2507">
        <v>-3.204224</v>
      </c>
      <c r="T2507">
        <v>4.6343799999999997E-2</v>
      </c>
      <c r="U2507">
        <v>-1.1529849999999999</v>
      </c>
      <c r="V2507">
        <v>0.26029069999999999</v>
      </c>
      <c r="W2507">
        <v>2.7856860000000001E-2</v>
      </c>
      <c r="X2507">
        <v>0.9651284</v>
      </c>
      <c r="Y2507">
        <v>0.67180030000000002</v>
      </c>
      <c r="Z2507">
        <v>-1.448107E-2</v>
      </c>
      <c r="AA2507">
        <v>0.74059069999999905</v>
      </c>
      <c r="AB2507">
        <v>28</v>
      </c>
      <c r="AC2507">
        <v>-124.870099999999</v>
      </c>
      <c r="AD2507">
        <v>1.808713</v>
      </c>
      <c r="AE2507">
        <v>-44.691400000000002</v>
      </c>
      <c r="AF2507">
        <v>89.263994558269104</v>
      </c>
      <c r="AG2507">
        <v>1.808713</v>
      </c>
      <c r="AH2507">
        <v>98.057438896288602</v>
      </c>
      <c r="AI2507">
        <v>89.218525348729202</v>
      </c>
      <c r="AJ2507">
        <v>47.687667078528598</v>
      </c>
      <c r="AK2507">
        <v>132.61445430312</v>
      </c>
      <c r="AL2507">
        <v>88.403713056924701</v>
      </c>
      <c r="AM2507">
        <v>74.906692033536402</v>
      </c>
      <c r="AN2507">
        <v>1.0000000408210501</v>
      </c>
    </row>
    <row r="2508" spans="1:40" x14ac:dyDescent="0.3">
      <c r="A2508" t="str">
        <f>"20200111153925423"</f>
        <v>20200111153925423</v>
      </c>
      <c r="B2508" t="str">
        <f>"1578728365413012"</f>
        <v>1578728365413012</v>
      </c>
      <c r="C2508" t="s">
        <v>40</v>
      </c>
      <c r="D2508">
        <v>5.2589110000000003</v>
      </c>
      <c r="E2508">
        <v>0.70725649999999995</v>
      </c>
      <c r="F2508" t="s">
        <v>60</v>
      </c>
      <c r="G2508">
        <v>-323.46940000000001</v>
      </c>
      <c r="H2508">
        <v>1.9434089999999999</v>
      </c>
      <c r="I2508">
        <v>109.4308</v>
      </c>
      <c r="J2508">
        <v>-195.7226</v>
      </c>
      <c r="K2508">
        <v>1.094266</v>
      </c>
      <c r="L2508">
        <v>151.13159999999999</v>
      </c>
      <c r="M2508">
        <v>-0.47935840000000002</v>
      </c>
      <c r="N2508">
        <v>0</v>
      </c>
      <c r="O2508">
        <v>-0.87749809999999995</v>
      </c>
      <c r="P2508">
        <v>-0.69175600000000004</v>
      </c>
      <c r="Q2508">
        <v>1.9682539999999998E-2</v>
      </c>
      <c r="R2508">
        <v>-0.72186329999999999</v>
      </c>
      <c r="S2508">
        <v>-3.2539060000000002</v>
      </c>
      <c r="T2508">
        <v>2.160668E-2</v>
      </c>
      <c r="U2508">
        <v>-1.0663149999999999</v>
      </c>
      <c r="V2508">
        <v>0.26176709999999997</v>
      </c>
      <c r="W2508">
        <v>2.7285360000000002E-2</v>
      </c>
      <c r="X2508">
        <v>0.96474530000000003</v>
      </c>
      <c r="Y2508">
        <v>0.68463879999999999</v>
      </c>
      <c r="Z2508">
        <v>-6.7354959999999997E-3</v>
      </c>
      <c r="AA2508">
        <v>0.72885140000000004</v>
      </c>
      <c r="AB2508">
        <v>28</v>
      </c>
      <c r="AC2508">
        <v>-127.74679999999999</v>
      </c>
      <c r="AD2508">
        <v>0.84914299999999998</v>
      </c>
      <c r="AE2508">
        <v>-41.700800000000001</v>
      </c>
      <c r="AF2508">
        <v>92.114060546327806</v>
      </c>
      <c r="AG2508">
        <v>0.84914299999999998</v>
      </c>
      <c r="AH2508">
        <v>97.835369265135199</v>
      </c>
      <c r="AI2508">
        <v>89.637942309201406</v>
      </c>
      <c r="AJ2508">
        <v>46.725236899432304</v>
      </c>
      <c r="AK2508">
        <v>134.37812572518001</v>
      </c>
      <c r="AL2508">
        <v>88.436469982447605</v>
      </c>
      <c r="AM2508">
        <v>74.819270508561601</v>
      </c>
      <c r="AN2508">
        <v>0.99999999969241404</v>
      </c>
    </row>
    <row r="2509" spans="1:40" x14ac:dyDescent="0.3">
      <c r="A2509" t="str">
        <f>"20200111153925446"</f>
        <v>20200111153925446</v>
      </c>
      <c r="B2509" t="str">
        <f>"1578728365443269"</f>
        <v>1578728365443269</v>
      </c>
      <c r="C2509" t="s">
        <v>40</v>
      </c>
      <c r="D2509">
        <v>5.1880620000000004</v>
      </c>
      <c r="E2509">
        <v>0.70611449999999998</v>
      </c>
      <c r="F2509" t="s">
        <v>60</v>
      </c>
      <c r="G2509">
        <v>-324.85230000000001</v>
      </c>
      <c r="H2509">
        <v>2.0342730000000002</v>
      </c>
      <c r="I2509">
        <v>110.73650000000001</v>
      </c>
      <c r="J2509">
        <v>-195.87100000000001</v>
      </c>
      <c r="K2509">
        <v>1.0941639999999999</v>
      </c>
      <c r="L2509">
        <v>150.89019999999999</v>
      </c>
      <c r="M2509">
        <v>-0.49146810000000002</v>
      </c>
      <c r="N2509">
        <v>0</v>
      </c>
      <c r="O2509">
        <v>-0.87077280000000001</v>
      </c>
      <c r="P2509">
        <v>-0.70251239999999904</v>
      </c>
      <c r="Q2509">
        <v>1.9212859999999998E-2</v>
      </c>
      <c r="R2509">
        <v>-0.71141209999999999</v>
      </c>
      <c r="S2509">
        <v>-3.269012</v>
      </c>
      <c r="T2509">
        <v>2.3797269999999999E-2</v>
      </c>
      <c r="U2509">
        <v>-1.022629</v>
      </c>
      <c r="V2509">
        <v>0.26287120000000003</v>
      </c>
      <c r="W2509">
        <v>2.6752919999999999E-2</v>
      </c>
      <c r="X2509">
        <v>0.96445999999999998</v>
      </c>
      <c r="Y2509">
        <v>0.68437150000000002</v>
      </c>
      <c r="Z2509">
        <v>-7.4019230000000004E-3</v>
      </c>
      <c r="AA2509">
        <v>0.72909599999999997</v>
      </c>
      <c r="AB2509">
        <v>28</v>
      </c>
      <c r="AC2509">
        <v>-128.9813</v>
      </c>
      <c r="AD2509">
        <v>0.94010899999999997</v>
      </c>
      <c r="AE2509">
        <v>-40.153699999999901</v>
      </c>
      <c r="AF2509">
        <v>92.584561110155704</v>
      </c>
      <c r="AG2509">
        <v>0.94010899999999997</v>
      </c>
      <c r="AH2509">
        <v>98.360698126640997</v>
      </c>
      <c r="AI2509">
        <v>89.601249414974603</v>
      </c>
      <c r="AJ2509">
        <v>46.732681827381199</v>
      </c>
      <c r="AK2509">
        <v>135.08372106531601</v>
      </c>
      <c r="AL2509">
        <v>88.466987749540607</v>
      </c>
      <c r="AM2509">
        <v>74.753913759126107</v>
      </c>
      <c r="AN2509">
        <v>1.0000000390589801</v>
      </c>
    </row>
    <row r="2510" spans="1:40" x14ac:dyDescent="0.3">
      <c r="A2510" t="str">
        <f>"20200111153925472"</f>
        <v>20200111153925472</v>
      </c>
      <c r="B2510" t="str">
        <f>"1578728365462788"</f>
        <v>1578728365462788</v>
      </c>
      <c r="C2510" t="s">
        <v>40</v>
      </c>
      <c r="D2510">
        <v>5.1525210000000001</v>
      </c>
      <c r="E2510">
        <v>0.70554469999999903</v>
      </c>
      <c r="F2510" t="s">
        <v>60</v>
      </c>
      <c r="G2510">
        <v>-326.14089999999999</v>
      </c>
      <c r="H2510">
        <v>2.158128</v>
      </c>
      <c r="I2510">
        <v>111.9532</v>
      </c>
      <c r="J2510">
        <v>-196.0504</v>
      </c>
      <c r="K2510">
        <v>1.0940479999999999</v>
      </c>
      <c r="L2510">
        <v>150.60810000000001</v>
      </c>
      <c r="M2510">
        <v>-0.50579439999999998</v>
      </c>
      <c r="N2510">
        <v>0</v>
      </c>
      <c r="O2510">
        <v>-0.86252980000000001</v>
      </c>
      <c r="P2510">
        <v>-0.71487339999999999</v>
      </c>
      <c r="Q2510">
        <v>1.9168290000000001E-2</v>
      </c>
      <c r="R2510">
        <v>-0.69899119999999904</v>
      </c>
      <c r="S2510">
        <v>-3.2775569999999998</v>
      </c>
      <c r="T2510">
        <v>2.6769399999999999E-2</v>
      </c>
      <c r="U2510">
        <v>-0.97964479999999998</v>
      </c>
      <c r="V2510">
        <v>0.26383889999999999</v>
      </c>
      <c r="W2510">
        <v>2.6637560000000001E-2</v>
      </c>
      <c r="X2510">
        <v>0.96419889999999997</v>
      </c>
      <c r="Y2510">
        <v>0.68159399999999903</v>
      </c>
      <c r="Z2510">
        <v>-8.308223E-3</v>
      </c>
      <c r="AA2510">
        <v>0.73168339999999998</v>
      </c>
      <c r="AB2510">
        <v>28</v>
      </c>
      <c r="AC2510">
        <v>-130.09049999999999</v>
      </c>
      <c r="AD2510">
        <v>1.0640799999999999</v>
      </c>
      <c r="AE2510">
        <v>-38.654899999999998</v>
      </c>
      <c r="AF2510">
        <v>92.659737389743199</v>
      </c>
      <c r="AG2510">
        <v>1.0640799999999999</v>
      </c>
      <c r="AH2510">
        <v>99.144582441193805</v>
      </c>
      <c r="AI2510">
        <v>89.550741246544504</v>
      </c>
      <c r="AJ2510">
        <v>46.936415069374199</v>
      </c>
      <c r="AK2510">
        <v>135.70780164316699</v>
      </c>
      <c r="AL2510">
        <v>88.473599720389998</v>
      </c>
      <c r="AM2510">
        <v>74.696465672948605</v>
      </c>
      <c r="AN2510">
        <v>1.00000002175858</v>
      </c>
    </row>
    <row r="2511" spans="1:40" x14ac:dyDescent="0.3">
      <c r="A2511" t="str">
        <f>"20200111153925492"</f>
        <v>20200111153925492</v>
      </c>
      <c r="B2511" t="str">
        <f>"1578728365483284"</f>
        <v>1578728365483284</v>
      </c>
      <c r="C2511" t="s">
        <v>40</v>
      </c>
      <c r="D2511">
        <v>5.2492279999999996</v>
      </c>
      <c r="E2511">
        <v>0.70451059999999999</v>
      </c>
      <c r="F2511" t="s">
        <v>60</v>
      </c>
      <c r="G2511">
        <v>-327.84859999999998</v>
      </c>
      <c r="H2511">
        <v>2.4727030000000001</v>
      </c>
      <c r="I2511">
        <v>113.56570000000001</v>
      </c>
      <c r="J2511">
        <v>-196.1824</v>
      </c>
      <c r="K2511">
        <v>1.0939620000000001</v>
      </c>
      <c r="L2511">
        <v>150.4075</v>
      </c>
      <c r="M2511">
        <v>-0.51610230000000001</v>
      </c>
      <c r="N2511">
        <v>0</v>
      </c>
      <c r="O2511">
        <v>-0.85640179999999999</v>
      </c>
      <c r="P2511">
        <v>-0.72399349999999996</v>
      </c>
      <c r="Q2511">
        <v>1.8183580000000001E-2</v>
      </c>
      <c r="R2511">
        <v>-0.68956759999999995</v>
      </c>
      <c r="S2511">
        <v>-3.2911990000000002</v>
      </c>
      <c r="T2511">
        <v>3.4427399999999997E-2</v>
      </c>
      <c r="U2511">
        <v>-0.92500309999999997</v>
      </c>
      <c r="V2511">
        <v>0.2649069</v>
      </c>
      <c r="W2511">
        <v>2.5583160000000001E-2</v>
      </c>
      <c r="X2511">
        <v>0.96393459999999997</v>
      </c>
      <c r="Y2511">
        <v>0.68482909999999997</v>
      </c>
      <c r="Z2511">
        <v>-1.068391E-2</v>
      </c>
      <c r="AA2511">
        <v>0.72862550000000004</v>
      </c>
      <c r="AB2511">
        <v>28</v>
      </c>
      <c r="AC2511">
        <v>-131.66619999999901</v>
      </c>
      <c r="AD2511">
        <v>1.378741</v>
      </c>
      <c r="AE2511">
        <v>-36.8417999999999</v>
      </c>
      <c r="AF2511">
        <v>93.745549768660098</v>
      </c>
      <c r="AG2511">
        <v>1.378741</v>
      </c>
      <c r="AH2511">
        <v>99.505161045042996</v>
      </c>
      <c r="AI2511">
        <v>89.422181160307304</v>
      </c>
      <c r="AJ2511">
        <v>46.7071283127352</v>
      </c>
      <c r="AK2511">
        <v>136.71651730048299</v>
      </c>
      <c r="AL2511">
        <v>88.534033019947401</v>
      </c>
      <c r="AM2511">
        <v>74.633426128870795</v>
      </c>
      <c r="AN2511">
        <v>1.0000000384101699</v>
      </c>
    </row>
    <row r="2512" spans="1:40" x14ac:dyDescent="0.3">
      <c r="A2512" t="str">
        <f>"20200111153925518"</f>
        <v>20200111153925518</v>
      </c>
      <c r="B2512" t="str">
        <f>"1578728365513541"</f>
        <v>1578728365513541</v>
      </c>
      <c r="C2512" t="s">
        <v>40</v>
      </c>
      <c r="D2512">
        <v>5.2015399999999996</v>
      </c>
      <c r="E2512">
        <v>0.703459099999999</v>
      </c>
      <c r="F2512" t="s">
        <v>60</v>
      </c>
      <c r="G2512">
        <v>-328.99759999999998</v>
      </c>
      <c r="H2512">
        <v>2.2711700000000001</v>
      </c>
      <c r="I2512">
        <v>114.65049999999999</v>
      </c>
      <c r="J2512">
        <v>-196.36369999999999</v>
      </c>
      <c r="K2512">
        <v>1.093855</v>
      </c>
      <c r="L2512">
        <v>150.1404</v>
      </c>
      <c r="M2512">
        <v>-0.52996759999999998</v>
      </c>
      <c r="N2512">
        <v>0</v>
      </c>
      <c r="O2512">
        <v>-0.84789130000000001</v>
      </c>
      <c r="P2512">
        <v>-0.73570269999999904</v>
      </c>
      <c r="Q2512">
        <v>1.688069E-2</v>
      </c>
      <c r="R2512">
        <v>-0.67709459999999999</v>
      </c>
      <c r="S2512">
        <v>-3.297409</v>
      </c>
      <c r="T2512">
        <v>2.92269E-2</v>
      </c>
      <c r="U2512">
        <v>-0.88774109999999995</v>
      </c>
      <c r="V2512">
        <v>0.26569490000000001</v>
      </c>
      <c r="W2512">
        <v>2.420315E-2</v>
      </c>
      <c r="X2512">
        <v>0.96375330000000003</v>
      </c>
      <c r="Y2512">
        <v>0.68099350000000003</v>
      </c>
      <c r="Z2512">
        <v>-9.0408729999999996E-3</v>
      </c>
      <c r="AA2512">
        <v>0.73223359999999904</v>
      </c>
      <c r="AB2512">
        <v>28</v>
      </c>
      <c r="AC2512">
        <v>-132.63389999999899</v>
      </c>
      <c r="AD2512">
        <v>1.1773149999999999</v>
      </c>
      <c r="AE2512">
        <v>-35.489899999999999</v>
      </c>
      <c r="AF2512">
        <v>93.653801097923804</v>
      </c>
      <c r="AG2512">
        <v>1.1773149999999999</v>
      </c>
      <c r="AH2512">
        <v>100.386643213234</v>
      </c>
      <c r="AI2512">
        <v>89.508678100298596</v>
      </c>
      <c r="AJ2512">
        <v>46.987259593016397</v>
      </c>
      <c r="AK2512">
        <v>137.294933141467</v>
      </c>
      <c r="AL2512">
        <v>88.613126225188907</v>
      </c>
      <c r="AM2512">
        <v>74.587124877166502</v>
      </c>
      <c r="AN2512">
        <v>0.99999999780841098</v>
      </c>
    </row>
    <row r="2513" spans="1:40" x14ac:dyDescent="0.3">
      <c r="A2513" t="str">
        <f>"20200111153925539"</f>
        <v>20200111153925539</v>
      </c>
      <c r="B2513" t="str">
        <f>"1578728365533060"</f>
        <v>1578728365533060</v>
      </c>
      <c r="C2513" t="s">
        <v>40</v>
      </c>
      <c r="D2513">
        <v>5.2224690000000002</v>
      </c>
      <c r="E2513">
        <v>0.70218319999999901</v>
      </c>
      <c r="F2513" t="s">
        <v>60</v>
      </c>
      <c r="G2513">
        <v>-330.58580000000001</v>
      </c>
      <c r="H2513">
        <v>2.3381910000000001</v>
      </c>
      <c r="I2513">
        <v>116.15</v>
      </c>
      <c r="J2513">
        <v>-196.52500000000001</v>
      </c>
      <c r="K2513">
        <v>1.0937749999999999</v>
      </c>
      <c r="L2513">
        <v>149.91079999999999</v>
      </c>
      <c r="M2513">
        <v>-0.54201129999999997</v>
      </c>
      <c r="N2513">
        <v>0</v>
      </c>
      <c r="O2513">
        <v>-0.84024330000000003</v>
      </c>
      <c r="P2513">
        <v>-0.74621680000000001</v>
      </c>
      <c r="Q2513">
        <v>1.6210189999999999E-2</v>
      </c>
      <c r="R2513">
        <v>-0.66550609999999999</v>
      </c>
      <c r="S2513">
        <v>-3.3063959999999999</v>
      </c>
      <c r="T2513">
        <v>3.0653E-2</v>
      </c>
      <c r="U2513">
        <v>-0.83731080000000002</v>
      </c>
      <c r="V2513">
        <v>0.26701570000000002</v>
      </c>
      <c r="W2513">
        <v>2.3450909999999998E-2</v>
      </c>
      <c r="X2513">
        <v>0.96340680000000001</v>
      </c>
      <c r="Y2513">
        <v>0.68149700000000002</v>
      </c>
      <c r="Z2513">
        <v>-9.4690039999999996E-3</v>
      </c>
      <c r="AA2513">
        <v>0.73175970000000001</v>
      </c>
      <c r="AB2513">
        <v>28</v>
      </c>
      <c r="AC2513">
        <v>-134.0608</v>
      </c>
      <c r="AD2513">
        <v>1.244416</v>
      </c>
      <c r="AE2513">
        <v>-33.760799999999897</v>
      </c>
      <c r="AF2513">
        <v>94.347450563581901</v>
      </c>
      <c r="AG2513">
        <v>1.244416</v>
      </c>
      <c r="AH2513">
        <v>101.032428058777</v>
      </c>
      <c r="AI2513">
        <v>89.484228206759198</v>
      </c>
      <c r="AJ2513">
        <v>46.959626746151201</v>
      </c>
      <c r="AK2513">
        <v>138.240882225485</v>
      </c>
      <c r="AL2513">
        <v>88.656238640511802</v>
      </c>
      <c r="AM2513">
        <v>74.508872326912197</v>
      </c>
      <c r="AN2513">
        <v>0.99999999575627896</v>
      </c>
    </row>
    <row r="2514" spans="1:40" x14ac:dyDescent="0.3">
      <c r="A2514" t="str">
        <f>"20200111153925558"</f>
        <v>20200111153925558</v>
      </c>
      <c r="B2514" t="str">
        <f>"1578728365553556"</f>
        <v>1578728365553556</v>
      </c>
      <c r="C2514" t="s">
        <v>40</v>
      </c>
      <c r="D2514">
        <v>5.1372739999999997</v>
      </c>
      <c r="E2514">
        <v>0.70118729999999996</v>
      </c>
      <c r="F2514" t="s">
        <v>60</v>
      </c>
      <c r="G2514">
        <v>-331.99560000000002</v>
      </c>
      <c r="H2514">
        <v>2.298098</v>
      </c>
      <c r="I2514">
        <v>117.4811</v>
      </c>
      <c r="J2514">
        <v>-196.66030000000001</v>
      </c>
      <c r="K2514">
        <v>1.093715</v>
      </c>
      <c r="L2514">
        <v>149.72329999999999</v>
      </c>
      <c r="M2514">
        <v>-0.55190859999999997</v>
      </c>
      <c r="N2514">
        <v>0</v>
      </c>
      <c r="O2514">
        <v>-0.83377559999999995</v>
      </c>
      <c r="P2514">
        <v>-0.7539015</v>
      </c>
      <c r="Q2514">
        <v>1.6064849999999999E-2</v>
      </c>
      <c r="R2514">
        <v>-0.65679140000000003</v>
      </c>
      <c r="S2514">
        <v>-3.3124539999999998</v>
      </c>
      <c r="T2514">
        <v>2.9447790000000001E-2</v>
      </c>
      <c r="U2514">
        <v>-0.79295349999999998</v>
      </c>
      <c r="V2514">
        <v>0.26681919999999998</v>
      </c>
      <c r="W2514">
        <v>2.3279770000000002E-2</v>
      </c>
      <c r="X2514">
        <v>0.96346540000000003</v>
      </c>
      <c r="Y2514">
        <v>0.68240529999999999</v>
      </c>
      <c r="Z2514">
        <v>-9.0905269999999993E-3</v>
      </c>
      <c r="AA2514">
        <v>0.7309175</v>
      </c>
      <c r="AB2514">
        <v>28</v>
      </c>
      <c r="AC2514">
        <v>-135.33529999999999</v>
      </c>
      <c r="AD2514">
        <v>1.204383</v>
      </c>
      <c r="AE2514">
        <v>-32.242199999999997</v>
      </c>
      <c r="AF2514">
        <v>95.047626213341999</v>
      </c>
      <c r="AG2514">
        <v>1.204383</v>
      </c>
      <c r="AH2514">
        <v>101.578791523665</v>
      </c>
      <c r="AI2514">
        <v>89.503967558783302</v>
      </c>
      <c r="AJ2514">
        <v>46.902443630660997</v>
      </c>
      <c r="AK2514">
        <v>139.11776548884799</v>
      </c>
      <c r="AL2514">
        <v>88.666046930448999</v>
      </c>
      <c r="AM2514">
        <v>74.520621887270195</v>
      </c>
      <c r="AN2514">
        <v>1.00000000508852</v>
      </c>
    </row>
    <row r="2515" spans="1:40" x14ac:dyDescent="0.3">
      <c r="A2515" t="str">
        <f>"20200111153925579"</f>
        <v>20200111153925579</v>
      </c>
      <c r="B2515" t="str">
        <f>"1578728365573076"</f>
        <v>1578728365573076</v>
      </c>
      <c r="C2515" t="s">
        <v>40</v>
      </c>
      <c r="D2515">
        <v>5.1322510000000001</v>
      </c>
      <c r="E2515">
        <v>0.68082509999999996</v>
      </c>
      <c r="F2515" t="s">
        <v>60</v>
      </c>
      <c r="G2515">
        <v>-333.02510000000001</v>
      </c>
      <c r="H2515">
        <v>2.4013499999999999</v>
      </c>
      <c r="I2515">
        <v>118.4532</v>
      </c>
      <c r="J2515">
        <v>-196.82249999999999</v>
      </c>
      <c r="K2515">
        <v>1.0936509999999999</v>
      </c>
      <c r="L2515">
        <v>149.50489999999999</v>
      </c>
      <c r="M2515">
        <v>-0.56353549999999997</v>
      </c>
      <c r="N2515">
        <v>0</v>
      </c>
      <c r="O2515">
        <v>-0.82596199999999997</v>
      </c>
      <c r="P2515">
        <v>-0.76326910000000003</v>
      </c>
      <c r="Q2515">
        <v>1.53282E-2</v>
      </c>
      <c r="R2515">
        <v>-0.64589919999999901</v>
      </c>
      <c r="S2515">
        <v>-3.3161619999999998</v>
      </c>
      <c r="T2515">
        <v>3.1799790000000001E-2</v>
      </c>
      <c r="U2515">
        <v>-0.76043700000000003</v>
      </c>
      <c r="V2515">
        <v>0.26715080000000002</v>
      </c>
      <c r="W2515">
        <v>2.248843E-2</v>
      </c>
      <c r="X2515">
        <v>0.96339229999999998</v>
      </c>
      <c r="Y2515">
        <v>0.67912980000000001</v>
      </c>
      <c r="Z2515">
        <v>-9.7837549999999999E-3</v>
      </c>
      <c r="AA2515">
        <v>0.73395310000000002</v>
      </c>
      <c r="AB2515">
        <v>28</v>
      </c>
      <c r="AC2515">
        <v>-136.20259999999999</v>
      </c>
      <c r="AD2515">
        <v>1.3076989999999999</v>
      </c>
      <c r="AE2515">
        <v>-31.0517</v>
      </c>
      <c r="AF2515">
        <v>95.001302946540505</v>
      </c>
      <c r="AG2515">
        <v>1.3076989999999999</v>
      </c>
      <c r="AH2515">
        <v>102.404536297254</v>
      </c>
      <c r="AI2515">
        <v>89.463626208910796</v>
      </c>
      <c r="AJ2515">
        <v>47.147734513860897</v>
      </c>
      <c r="AK2515">
        <v>139.691254889025</v>
      </c>
      <c r="AL2515">
        <v>88.711399245671004</v>
      </c>
      <c r="AM2515">
        <v>74.501189033384193</v>
      </c>
      <c r="AN2515">
        <v>1.00000000156189</v>
      </c>
    </row>
    <row r="2516" spans="1:40" x14ac:dyDescent="0.3">
      <c r="A2516" t="str">
        <f>"20200111153925603"</f>
        <v>20200111153925603</v>
      </c>
      <c r="B2516" t="str">
        <f>"1578728365593573"</f>
        <v>1578728365593573</v>
      </c>
      <c r="C2516" t="s">
        <v>40</v>
      </c>
      <c r="D2516">
        <v>5.0924110000000002</v>
      </c>
      <c r="E2516">
        <v>0.67957069999999997</v>
      </c>
      <c r="F2516" t="s">
        <v>42</v>
      </c>
      <c r="G2516">
        <v>-273.19069999999999</v>
      </c>
      <c r="H2516">
        <v>6.6227229999999998E-2</v>
      </c>
      <c r="I2516">
        <v>129.59989999999999</v>
      </c>
      <c r="J2516">
        <v>-197.0051</v>
      </c>
      <c r="K2516">
        <v>1.093583</v>
      </c>
      <c r="L2516">
        <v>149.26660000000001</v>
      </c>
      <c r="M2516">
        <v>-0.57631119999999902</v>
      </c>
      <c r="N2516">
        <v>0</v>
      </c>
      <c r="O2516">
        <v>-0.81709940000000003</v>
      </c>
      <c r="P2516">
        <v>-0.77337619999999996</v>
      </c>
      <c r="Q2516">
        <v>1.461962E-2</v>
      </c>
      <c r="R2516">
        <v>-0.63377910000000004</v>
      </c>
      <c r="S2516">
        <v>-3.220901</v>
      </c>
      <c r="T2516">
        <v>-4.3332580000000002E-2</v>
      </c>
      <c r="U2516">
        <v>-0.83950809999999998</v>
      </c>
      <c r="V2516">
        <v>0.26736159999999998</v>
      </c>
      <c r="W2516">
        <v>2.171853E-2</v>
      </c>
      <c r="X2516">
        <v>0.96335150000000003</v>
      </c>
      <c r="Y2516">
        <v>0.6452966</v>
      </c>
      <c r="Z2516">
        <v>1.3382949999999999E-2</v>
      </c>
      <c r="AA2516">
        <v>0.76381489999999996</v>
      </c>
      <c r="AB2516">
        <v>28</v>
      </c>
      <c r="AC2516">
        <v>-76.185599999999994</v>
      </c>
      <c r="AD2516">
        <v>-1.02735577</v>
      </c>
      <c r="AE2516">
        <v>-19.666699999999999</v>
      </c>
      <c r="AF2516">
        <v>50.913836935067003</v>
      </c>
      <c r="AG2516">
        <v>-1.02735577</v>
      </c>
      <c r="AH2516">
        <v>59.9724567174963</v>
      </c>
      <c r="AI2516">
        <v>90.748189439554295</v>
      </c>
      <c r="AJ2516">
        <v>49.670285799685999</v>
      </c>
      <c r="AK2516">
        <v>78.676361227885394</v>
      </c>
      <c r="AL2516">
        <v>88.755522065187606</v>
      </c>
      <c r="AM2516">
        <v>74.488922724649896</v>
      </c>
      <c r="AN2516">
        <v>1.00000001612608</v>
      </c>
    </row>
    <row r="2517" spans="1:40" x14ac:dyDescent="0.3">
      <c r="A2517" t="str">
        <f>"20200111153925629"</f>
        <v>20200111153925629</v>
      </c>
      <c r="B2517" t="str">
        <f>"1578728365623828"</f>
        <v>1578728365623828</v>
      </c>
      <c r="C2517" t="s">
        <v>40</v>
      </c>
      <c r="D2517">
        <v>5.0100290000000003</v>
      </c>
      <c r="E2517">
        <v>0.67900289999999996</v>
      </c>
      <c r="F2517" t="s">
        <v>42</v>
      </c>
      <c r="G2517">
        <v>-243.7534</v>
      </c>
      <c r="H2517" s="1">
        <v>-2.999083E-6</v>
      </c>
      <c r="I2517">
        <v>137.71629999999999</v>
      </c>
      <c r="J2517">
        <v>-197.20840000000001</v>
      </c>
      <c r="K2517">
        <v>1.0935109999999999</v>
      </c>
      <c r="L2517">
        <v>149.00989999999999</v>
      </c>
      <c r="M2517">
        <v>-0.59017679999999995</v>
      </c>
      <c r="N2517">
        <v>0</v>
      </c>
      <c r="O2517">
        <v>-0.80714200000000003</v>
      </c>
      <c r="P2517">
        <v>-0.78385139999999998</v>
      </c>
      <c r="Q2517">
        <v>1.420654E-2</v>
      </c>
      <c r="R2517">
        <v>-0.62078610000000001</v>
      </c>
      <c r="S2517">
        <v>-3.227112</v>
      </c>
      <c r="T2517">
        <v>-7.5492020000000007E-2</v>
      </c>
      <c r="U2517">
        <v>-0.79733279999999995</v>
      </c>
      <c r="V2517">
        <v>0.26698759999999999</v>
      </c>
      <c r="W2517">
        <v>2.1241320000000001E-2</v>
      </c>
      <c r="X2517">
        <v>0.96346589999999999</v>
      </c>
      <c r="Y2517">
        <v>0.641783199999999</v>
      </c>
      <c r="Z2517">
        <v>2.3197470000000001E-2</v>
      </c>
      <c r="AA2517">
        <v>0.76653519999999997</v>
      </c>
      <c r="AB2517">
        <v>27</v>
      </c>
      <c r="AC2517">
        <v>-46.544999999999902</v>
      </c>
      <c r="AD2517">
        <v>-1.0935139990830001</v>
      </c>
      <c r="AE2517">
        <v>-11.2935999999999</v>
      </c>
      <c r="AF2517">
        <v>30.890395426046801</v>
      </c>
      <c r="AG2517">
        <v>-1.0935139990830001</v>
      </c>
      <c r="AH2517">
        <v>36.570154761705503</v>
      </c>
      <c r="AI2517">
        <v>91.308587409603305</v>
      </c>
      <c r="AJ2517">
        <v>49.812598673618197</v>
      </c>
      <c r="AK2517">
        <v>47.883071348220902</v>
      </c>
      <c r="AL2517">
        <v>88.782870542743098</v>
      </c>
      <c r="AM2517">
        <v>74.511328815741194</v>
      </c>
      <c r="AN2517">
        <v>1.0000000563459499</v>
      </c>
    </row>
    <row r="2518" spans="1:40" x14ac:dyDescent="0.3">
      <c r="A2518" t="str">
        <f>"20200111153925646"</f>
        <v>20200111153925646</v>
      </c>
      <c r="B2518" t="str">
        <f>"1578728365643348"</f>
        <v>1578728365643348</v>
      </c>
      <c r="C2518" t="s">
        <v>40</v>
      </c>
      <c r="D2518">
        <v>4.9897609999999997</v>
      </c>
      <c r="E2518">
        <v>0.67831059999999999</v>
      </c>
      <c r="F2518" t="s">
        <v>42</v>
      </c>
      <c r="G2518">
        <v>-244.5855</v>
      </c>
      <c r="H2518" s="1">
        <v>-2.5778480000000002E-6</v>
      </c>
      <c r="I2518">
        <v>138.0787</v>
      </c>
      <c r="J2518">
        <v>-197.34360000000001</v>
      </c>
      <c r="K2518">
        <v>1.0934600000000001</v>
      </c>
      <c r="L2518">
        <v>148.84440000000001</v>
      </c>
      <c r="M2518">
        <v>-0.59918689999999997</v>
      </c>
      <c r="N2518">
        <v>0</v>
      </c>
      <c r="O2518">
        <v>-0.80047669999999904</v>
      </c>
      <c r="P2518">
        <v>-0.79028909999999997</v>
      </c>
      <c r="Q2518">
        <v>1.427379E-2</v>
      </c>
      <c r="R2518">
        <v>-0.6125678</v>
      </c>
      <c r="S2518">
        <v>-3.2371059999999998</v>
      </c>
      <c r="T2518">
        <v>-7.471585E-2</v>
      </c>
      <c r="U2518">
        <v>-0.74688719999999997</v>
      </c>
      <c r="V2518">
        <v>0.26625019999999999</v>
      </c>
      <c r="W2518">
        <v>2.1268019999999999E-2</v>
      </c>
      <c r="X2518">
        <v>0.96366929999999995</v>
      </c>
      <c r="Y2518">
        <v>0.64504309999999998</v>
      </c>
      <c r="Z2518">
        <v>2.2929120000000001E-2</v>
      </c>
      <c r="AA2518">
        <v>0.76380219999999999</v>
      </c>
      <c r="AB2518">
        <v>27</v>
      </c>
      <c r="AC2518">
        <v>-47.241900000000001</v>
      </c>
      <c r="AD2518">
        <v>-1.0934625778479901</v>
      </c>
      <c r="AE2518">
        <v>-10.765700000000001</v>
      </c>
      <c r="AF2518">
        <v>31.3527331591335</v>
      </c>
      <c r="AG2518">
        <v>-1.0934625778479901</v>
      </c>
      <c r="AH2518">
        <v>36.909538608742402</v>
      </c>
      <c r="AI2518">
        <v>91.293459503152306</v>
      </c>
      <c r="AJ2518">
        <v>49.653830223807702</v>
      </c>
      <c r="AK2518">
        <v>48.440722303318601</v>
      </c>
      <c r="AL2518">
        <v>88.781340341797502</v>
      </c>
      <c r="AM2518">
        <v>74.555166429977604</v>
      </c>
      <c r="AN2518">
        <v>1.00000000871862</v>
      </c>
    </row>
    <row r="2519" spans="1:40" x14ac:dyDescent="0.3">
      <c r="A2519" t="str">
        <f>"20200111153925669"</f>
        <v>20200111153925669</v>
      </c>
      <c r="B2519" t="str">
        <f>"1578728365663845"</f>
        <v>1578728365663845</v>
      </c>
      <c r="C2519" t="s">
        <v>40</v>
      </c>
      <c r="D2519">
        <v>4.9540649999999999</v>
      </c>
      <c r="E2519">
        <v>0.67704919999999902</v>
      </c>
      <c r="F2519" t="s">
        <v>42</v>
      </c>
      <c r="G2519">
        <v>-251.86490000000001</v>
      </c>
      <c r="H2519" s="1">
        <v>-3.9748289999999998E-6</v>
      </c>
      <c r="I2519">
        <v>136.78290000000001</v>
      </c>
      <c r="J2519">
        <v>-197.5284</v>
      </c>
      <c r="K2519">
        <v>1.0933870000000001</v>
      </c>
      <c r="L2519">
        <v>148.624</v>
      </c>
      <c r="M2519">
        <v>-0.61124959999999995</v>
      </c>
      <c r="N2519">
        <v>0</v>
      </c>
      <c r="O2519">
        <v>-0.79130509999999998</v>
      </c>
      <c r="P2519">
        <v>-0.79908069999999998</v>
      </c>
      <c r="Q2519">
        <v>1.4799909999999999E-2</v>
      </c>
      <c r="R2519">
        <v>-0.60104169999999901</v>
      </c>
      <c r="S2519">
        <v>-3.2414399999999999</v>
      </c>
      <c r="T2519">
        <v>-6.500947E-2</v>
      </c>
      <c r="U2519">
        <v>-0.71708680000000002</v>
      </c>
      <c r="V2519">
        <v>0.26563009999999998</v>
      </c>
      <c r="W2519">
        <v>2.1714239999999999E-2</v>
      </c>
      <c r="X2519">
        <v>0.96383050000000003</v>
      </c>
      <c r="Y2519">
        <v>0.64043300000000003</v>
      </c>
      <c r="Z2519">
        <v>1.9831189999999999E-2</v>
      </c>
      <c r="AA2519">
        <v>0.76775799999999905</v>
      </c>
      <c r="AB2519">
        <v>27</v>
      </c>
      <c r="AC2519">
        <v>-54.336500000000001</v>
      </c>
      <c r="AD2519">
        <v>-1.0933909748289901</v>
      </c>
      <c r="AE2519">
        <v>-11.8410999999999</v>
      </c>
      <c r="AF2519">
        <v>35.7488210631887</v>
      </c>
      <c r="AG2519">
        <v>-1.0933909748289901</v>
      </c>
      <c r="AH2519">
        <v>42.571105835942198</v>
      </c>
      <c r="AI2519">
        <v>91.126791078796998</v>
      </c>
      <c r="AJ2519">
        <v>49.978349159780201</v>
      </c>
      <c r="AK2519">
        <v>55.601014049446299</v>
      </c>
      <c r="AL2519">
        <v>88.755767958595996</v>
      </c>
      <c r="AM2519">
        <v>74.591880812942193</v>
      </c>
      <c r="AN2519">
        <v>1.00000004548751</v>
      </c>
    </row>
    <row r="2520" spans="1:40" x14ac:dyDescent="0.3">
      <c r="A2520" t="str">
        <f>"20200111153925693"</f>
        <v>20200111153925693</v>
      </c>
      <c r="B2520" t="str">
        <f>"1578728365683364"</f>
        <v>1578728365683364</v>
      </c>
      <c r="C2520" t="s">
        <v>40</v>
      </c>
      <c r="D2520">
        <v>4.9531769999999904</v>
      </c>
      <c r="E2520">
        <v>0.67560819999999999</v>
      </c>
      <c r="F2520" t="s">
        <v>42</v>
      </c>
      <c r="G2520">
        <v>-256.31060000000002</v>
      </c>
      <c r="H2520" s="1">
        <v>-2.1451340000000001E-6</v>
      </c>
      <c r="I2520">
        <v>136.3459</v>
      </c>
      <c r="J2520">
        <v>-197.72450000000001</v>
      </c>
      <c r="K2520">
        <v>1.093315</v>
      </c>
      <c r="L2520">
        <v>148.3972</v>
      </c>
      <c r="M2520">
        <v>-0.62373719999999999</v>
      </c>
      <c r="N2520">
        <v>0</v>
      </c>
      <c r="O2520">
        <v>-0.78150129999999995</v>
      </c>
      <c r="P2520">
        <v>-0.80776789999999998</v>
      </c>
      <c r="Q2520">
        <v>1.498799E-2</v>
      </c>
      <c r="R2520">
        <v>-0.58931040000000001</v>
      </c>
      <c r="S2520">
        <v>-3.2455289999999999</v>
      </c>
      <c r="T2520">
        <v>-6.0369010000000001E-2</v>
      </c>
      <c r="U2520">
        <v>-0.67790220000000001</v>
      </c>
      <c r="V2520">
        <v>0.264403</v>
      </c>
      <c r="W2520">
        <v>2.182626E-2</v>
      </c>
      <c r="X2520">
        <v>0.9641653</v>
      </c>
      <c r="Y2520">
        <v>0.63733200000000001</v>
      </c>
      <c r="Z2520">
        <v>1.8317429999999999E-2</v>
      </c>
      <c r="AA2520">
        <v>0.77037169999999999</v>
      </c>
      <c r="AB2520">
        <v>27</v>
      </c>
      <c r="AC2520">
        <v>-58.586100000000002</v>
      </c>
      <c r="AD2520">
        <v>-1.093317145134</v>
      </c>
      <c r="AE2520">
        <v>-12.0512999999999</v>
      </c>
      <c r="AF2520">
        <v>38.259459188297697</v>
      </c>
      <c r="AG2520">
        <v>-1.093317145134</v>
      </c>
      <c r="AH2520">
        <v>45.9498557168085</v>
      </c>
      <c r="AI2520">
        <v>91.047542655940504</v>
      </c>
      <c r="AJ2520">
        <v>50.218049603840498</v>
      </c>
      <c r="AK2520">
        <v>59.802765823633798</v>
      </c>
      <c r="AL2520">
        <v>88.749348143398194</v>
      </c>
      <c r="AM2520">
        <v>74.664775516977002</v>
      </c>
      <c r="AN2520">
        <v>1.00000002887933</v>
      </c>
    </row>
    <row r="2521" spans="1:40" x14ac:dyDescent="0.3">
      <c r="A2521" t="str">
        <f>"20200111153925716"</f>
        <v>20200111153925716</v>
      </c>
      <c r="B2521" t="str">
        <f>"1578728365703863"</f>
        <v>1578728365703863</v>
      </c>
      <c r="C2521" t="s">
        <v>40</v>
      </c>
      <c r="D2521">
        <v>4.9444290000000004</v>
      </c>
      <c r="E2521">
        <v>0.67461990000000005</v>
      </c>
      <c r="F2521" t="s">
        <v>42</v>
      </c>
      <c r="G2521">
        <v>-258.77269999999999</v>
      </c>
      <c r="H2521" s="1">
        <v>-1.2659020000000001E-6</v>
      </c>
      <c r="I2521">
        <v>136.3758</v>
      </c>
      <c r="J2521">
        <v>-197.91</v>
      </c>
      <c r="K2521">
        <v>1.093243</v>
      </c>
      <c r="L2521">
        <v>148.18940000000001</v>
      </c>
      <c r="M2521">
        <v>-0.63525600000000004</v>
      </c>
      <c r="N2521">
        <v>0</v>
      </c>
      <c r="O2521">
        <v>-0.77216859999999998</v>
      </c>
      <c r="P2521">
        <v>-0.8153937</v>
      </c>
      <c r="Q2521">
        <v>1.535531E-2</v>
      </c>
      <c r="R2521">
        <v>-0.57870359999999998</v>
      </c>
      <c r="S2521">
        <v>-3.2483520000000001</v>
      </c>
      <c r="T2521">
        <v>-5.8174969999999999E-2</v>
      </c>
      <c r="U2521">
        <v>-0.63964840000000001</v>
      </c>
      <c r="V2521">
        <v>0.26271319999999998</v>
      </c>
      <c r="W2521">
        <v>2.2134230000000001E-2</v>
      </c>
      <c r="X2521">
        <v>0.96462009999999998</v>
      </c>
      <c r="Y2521">
        <v>0.63476719999999998</v>
      </c>
      <c r="Z2521">
        <v>1.7565549999999999E-2</v>
      </c>
      <c r="AA2521">
        <v>0.77250379999999996</v>
      </c>
      <c r="AB2521">
        <v>27</v>
      </c>
      <c r="AC2521">
        <v>-60.862699999999897</v>
      </c>
      <c r="AD2521">
        <v>-1.0932442659020001</v>
      </c>
      <c r="AE2521">
        <v>-11.813599999999999</v>
      </c>
      <c r="AF2521">
        <v>39.483386531759599</v>
      </c>
      <c r="AG2521">
        <v>-1.0932442659020001</v>
      </c>
      <c r="AH2521">
        <v>47.775541154405303</v>
      </c>
      <c r="AI2521">
        <v>91.010526648607595</v>
      </c>
      <c r="AJ2521">
        <v>50.428476118647097</v>
      </c>
      <c r="AK2521">
        <v>61.988993600779999</v>
      </c>
      <c r="AL2521">
        <v>88.731698517052806</v>
      </c>
      <c r="AM2521">
        <v>74.765062810052299</v>
      </c>
      <c r="AN2521">
        <v>1.0000000434579699</v>
      </c>
    </row>
    <row r="2522" spans="1:40" x14ac:dyDescent="0.3">
      <c r="A2522" t="str">
        <f>"20200111153925738"</f>
        <v>20200111153925738</v>
      </c>
      <c r="B2522" t="str">
        <f>"1578728365733141"</f>
        <v>1578728365733141</v>
      </c>
      <c r="C2522" t="s">
        <v>40</v>
      </c>
      <c r="D2522">
        <v>4.8876249999999999</v>
      </c>
      <c r="E2522">
        <v>0.67361769999999999</v>
      </c>
      <c r="F2522" t="s">
        <v>42</v>
      </c>
      <c r="G2522">
        <v>-265.49669999999998</v>
      </c>
      <c r="H2522" s="1">
        <v>-2.6182510000000001E-6</v>
      </c>
      <c r="I2522">
        <v>135.64699999999999</v>
      </c>
      <c r="J2522">
        <v>-198.10059999999999</v>
      </c>
      <c r="K2522">
        <v>1.093186</v>
      </c>
      <c r="L2522">
        <v>147.98269999999999</v>
      </c>
      <c r="M2522">
        <v>-0.6467927</v>
      </c>
      <c r="N2522">
        <v>0</v>
      </c>
      <c r="O2522">
        <v>-0.76253309999999996</v>
      </c>
      <c r="P2522">
        <v>-0.82278929999999995</v>
      </c>
      <c r="Q2522">
        <v>1.516152E-2</v>
      </c>
      <c r="R2522">
        <v>-0.56814449999999905</v>
      </c>
      <c r="S2522">
        <v>-3.2519070000000001</v>
      </c>
      <c r="T2522">
        <v>-5.2601099999999998E-2</v>
      </c>
      <c r="U2522">
        <v>-0.60346979999999995</v>
      </c>
      <c r="V2522">
        <v>0.26064359999999998</v>
      </c>
      <c r="W2522">
        <v>2.1884899999999999E-2</v>
      </c>
      <c r="X2522">
        <v>0.96518700000000002</v>
      </c>
      <c r="Y2522">
        <v>0.63163349999999996</v>
      </c>
      <c r="Z2522">
        <v>1.578765E-2</v>
      </c>
      <c r="AA2522">
        <v>0.77510639999999997</v>
      </c>
      <c r="AB2522">
        <v>27</v>
      </c>
      <c r="AC2522">
        <v>-67.396099999999905</v>
      </c>
      <c r="AD2522">
        <v>-1.093188618251</v>
      </c>
      <c r="AE2522">
        <v>-12.3356999999999</v>
      </c>
      <c r="AF2522">
        <v>43.406461998810201</v>
      </c>
      <c r="AG2522">
        <v>-1.093188618251</v>
      </c>
      <c r="AH2522">
        <v>52.989561576895802</v>
      </c>
      <c r="AI2522">
        <v>90.914326252614003</v>
      </c>
      <c r="AJ2522">
        <v>50.6773396569996</v>
      </c>
      <c r="AK2522">
        <v>68.5070043186889</v>
      </c>
      <c r="AL2522">
        <v>88.745987467519896</v>
      </c>
      <c r="AM2522">
        <v>74.888039676210994</v>
      </c>
      <c r="AN2522">
        <v>0.99999999001898499</v>
      </c>
    </row>
    <row r="2523" spans="1:40" x14ac:dyDescent="0.3">
      <c r="A2523" t="str">
        <f>"20200111153925761"</f>
        <v>20200111153925761</v>
      </c>
      <c r="B2523" t="str">
        <f>"1578728365753638"</f>
        <v>1578728365753638</v>
      </c>
      <c r="C2523" t="s">
        <v>40</v>
      </c>
      <c r="D2523">
        <v>4.9698330000000004</v>
      </c>
      <c r="E2523">
        <v>0.67254969999999903</v>
      </c>
      <c r="F2523" t="s">
        <v>42</v>
      </c>
      <c r="G2523">
        <v>-272.00810000000001</v>
      </c>
      <c r="H2523" s="1">
        <v>-4.2138220000000004E-6</v>
      </c>
      <c r="I2523">
        <v>135.089</v>
      </c>
      <c r="J2523">
        <v>-198.2978</v>
      </c>
      <c r="K2523">
        <v>1.093135</v>
      </c>
      <c r="L2523">
        <v>147.77510000000001</v>
      </c>
      <c r="M2523">
        <v>-0.65841470000000002</v>
      </c>
      <c r="N2523">
        <v>0</v>
      </c>
      <c r="O2523">
        <v>-0.75252259999999904</v>
      </c>
      <c r="P2523">
        <v>-0.83024229999999999</v>
      </c>
      <c r="Q2523">
        <v>1.5318500000000001E-2</v>
      </c>
      <c r="R2523">
        <v>-0.55719219999999903</v>
      </c>
      <c r="S2523">
        <v>-3.2549290000000002</v>
      </c>
      <c r="T2523">
        <v>-4.8144699999999901E-2</v>
      </c>
      <c r="U2523">
        <v>-0.56784060000000003</v>
      </c>
      <c r="V2523">
        <v>0.25862760000000001</v>
      </c>
      <c r="W2523">
        <v>2.1986450000000001E-2</v>
      </c>
      <c r="X2523">
        <v>0.96572690000000005</v>
      </c>
      <c r="Y2523">
        <v>0.62810779999999999</v>
      </c>
      <c r="Z2523">
        <v>1.4354749999999999E-2</v>
      </c>
      <c r="AA2523">
        <v>0.77799390000000002</v>
      </c>
      <c r="AB2523">
        <v>27</v>
      </c>
      <c r="AC2523">
        <v>-73.710300000000004</v>
      </c>
      <c r="AD2523">
        <v>-1.093139213822</v>
      </c>
      <c r="AE2523">
        <v>-12.6861</v>
      </c>
      <c r="AF2523">
        <v>47.110596728347303</v>
      </c>
      <c r="AG2523">
        <v>-1.093139213822</v>
      </c>
      <c r="AH2523">
        <v>58.071920874495</v>
      </c>
      <c r="AI2523">
        <v>90.837515887915799</v>
      </c>
      <c r="AJ2523">
        <v>50.949456076133004</v>
      </c>
      <c r="AK2523">
        <v>74.786036607747704</v>
      </c>
      <c r="AL2523">
        <v>88.740167746749407</v>
      </c>
      <c r="AM2523">
        <v>75.007647159677603</v>
      </c>
      <c r="AN2523">
        <v>1.0000000424244799</v>
      </c>
    </row>
    <row r="2524" spans="1:40" x14ac:dyDescent="0.3">
      <c r="A2524" t="str">
        <f>"20200111153925782"</f>
        <v>20200111153925782</v>
      </c>
      <c r="B2524" t="str">
        <f>"1578728365773157"</f>
        <v>1578728365773157</v>
      </c>
      <c r="C2524" t="s">
        <v>40</v>
      </c>
      <c r="D2524">
        <v>4.9215249999999999</v>
      </c>
      <c r="E2524">
        <v>0.67144669999999995</v>
      </c>
      <c r="F2524" t="s">
        <v>42</v>
      </c>
      <c r="G2524">
        <v>-269.58080000000001</v>
      </c>
      <c r="H2524" s="1">
        <v>-1.0546469999999899E-6</v>
      </c>
      <c r="I2524">
        <v>136.1362</v>
      </c>
      <c r="J2524">
        <v>-198.4924</v>
      </c>
      <c r="K2524">
        <v>1.093097</v>
      </c>
      <c r="L2524">
        <v>147.57640000000001</v>
      </c>
      <c r="M2524">
        <v>-0.66958580000000001</v>
      </c>
      <c r="N2524">
        <v>0</v>
      </c>
      <c r="O2524">
        <v>-0.7426024</v>
      </c>
      <c r="P2524">
        <v>-0.83736869999999997</v>
      </c>
      <c r="Q2524">
        <v>1.5720540000000002E-2</v>
      </c>
      <c r="R2524">
        <v>-0.54641229999999996</v>
      </c>
      <c r="S2524">
        <v>-3.2574010000000002</v>
      </c>
      <c r="T2524">
        <v>-4.9952749999999997E-2</v>
      </c>
      <c r="U2524">
        <v>-0.53186040000000001</v>
      </c>
      <c r="V2524">
        <v>0.25668649999999998</v>
      </c>
      <c r="W2524">
        <v>2.2324440000000001E-2</v>
      </c>
      <c r="X2524">
        <v>0.96623680000000001</v>
      </c>
      <c r="Y2524">
        <v>0.62492380000000003</v>
      </c>
      <c r="Z2524">
        <v>1.47961E-2</v>
      </c>
      <c r="AA2524">
        <v>0.78054559999999995</v>
      </c>
      <c r="AB2524">
        <v>27</v>
      </c>
      <c r="AC2524">
        <v>-71.088399999999993</v>
      </c>
      <c r="AD2524">
        <v>-1.0930980546469999</v>
      </c>
      <c r="AE2524">
        <v>-11.440200000000001</v>
      </c>
      <c r="AF2524">
        <v>45.124256564563801</v>
      </c>
      <c r="AG2524">
        <v>-1.0930980546469999</v>
      </c>
      <c r="AH2524">
        <v>56.087889595454698</v>
      </c>
      <c r="AI2524">
        <v>90.869956590944994</v>
      </c>
      <c r="AJ2524">
        <v>51.182361607336503</v>
      </c>
      <c r="AK2524">
        <v>71.994755039055306</v>
      </c>
      <c r="AL2524">
        <v>88.720797469966996</v>
      </c>
      <c r="AM2524">
        <v>75.122664626983195</v>
      </c>
      <c r="AN2524">
        <v>0.99999994678890003</v>
      </c>
    </row>
    <row r="2525" spans="1:40" x14ac:dyDescent="0.3">
      <c r="A2525" t="str">
        <f>"20200111153925805"</f>
        <v>20200111153925805</v>
      </c>
      <c r="B2525" t="str">
        <f>"1578728365793652"</f>
        <v>1578728365793652</v>
      </c>
      <c r="C2525" t="s">
        <v>40</v>
      </c>
      <c r="D2525">
        <v>4.8503920000000003</v>
      </c>
      <c r="E2525">
        <v>0.67068450000000002</v>
      </c>
      <c r="F2525" t="s">
        <v>42</v>
      </c>
      <c r="G2525">
        <v>-266.3329</v>
      </c>
      <c r="H2525" s="1">
        <v>-1.9791670000000002E-6</v>
      </c>
      <c r="I2525">
        <v>137.2277</v>
      </c>
      <c r="J2525">
        <v>-198.6942</v>
      </c>
      <c r="K2525">
        <v>1.093062</v>
      </c>
      <c r="L2525">
        <v>147.37629999999999</v>
      </c>
      <c r="M2525">
        <v>-0.68086289999999905</v>
      </c>
      <c r="N2525">
        <v>0</v>
      </c>
      <c r="O2525">
        <v>-0.73227919999999902</v>
      </c>
      <c r="P2525">
        <v>-0.84439750000000002</v>
      </c>
      <c r="Q2525">
        <v>1.668414E-2</v>
      </c>
      <c r="R2525">
        <v>-0.53545739999999997</v>
      </c>
      <c r="S2525">
        <v>-3.2592319999999999</v>
      </c>
      <c r="T2525">
        <v>-5.2515270000000003E-2</v>
      </c>
      <c r="U2525">
        <v>-0.49717709999999998</v>
      </c>
      <c r="V2525">
        <v>0.25451059999999998</v>
      </c>
      <c r="W2525">
        <v>2.3225429999999998E-2</v>
      </c>
      <c r="X2525">
        <v>0.96679099999999996</v>
      </c>
      <c r="Y2525">
        <v>0.62114130000000001</v>
      </c>
      <c r="Z2525">
        <v>1.5441170000000001E-2</v>
      </c>
      <c r="AA2525">
        <v>0.78354650000000003</v>
      </c>
      <c r="AB2525">
        <v>27</v>
      </c>
      <c r="AC2525">
        <v>-67.6387</v>
      </c>
      <c r="AD2525">
        <v>-1.093063979167</v>
      </c>
      <c r="AE2525">
        <v>-10.148599999999901</v>
      </c>
      <c r="AF2525">
        <v>42.613835069558398</v>
      </c>
      <c r="AG2525">
        <v>-1.093063979167</v>
      </c>
      <c r="AH2525">
        <v>53.475790950190799</v>
      </c>
      <c r="AI2525">
        <v>90.915825202560001</v>
      </c>
      <c r="AJ2525">
        <v>51.449328835601797</v>
      </c>
      <c r="AK2525">
        <v>68.387089029630403</v>
      </c>
      <c r="AL2525">
        <v>88.669161154326503</v>
      </c>
      <c r="AM2525">
        <v>75.251342800505</v>
      </c>
      <c r="AN2525">
        <v>0.99999995189602098</v>
      </c>
    </row>
    <row r="2526" spans="1:40" x14ac:dyDescent="0.3">
      <c r="A2526" t="str">
        <f>"20200111153925826"</f>
        <v>20200111153925826</v>
      </c>
      <c r="B2526" t="str">
        <f>"1578728365823909"</f>
        <v>1578728365823909</v>
      </c>
      <c r="C2526" t="s">
        <v>40</v>
      </c>
      <c r="D2526">
        <v>5.1131180000000001</v>
      </c>
      <c r="E2526">
        <v>0.66966329999999996</v>
      </c>
      <c r="F2526" t="s">
        <v>42</v>
      </c>
      <c r="G2526">
        <v>-270.82709999999997</v>
      </c>
      <c r="H2526" s="1">
        <v>-4.3451250000000002E-6</v>
      </c>
      <c r="I2526">
        <v>137.20519999999999</v>
      </c>
      <c r="J2526">
        <v>-198.88939999999999</v>
      </c>
      <c r="K2526">
        <v>1.093032</v>
      </c>
      <c r="L2526">
        <v>147.1885</v>
      </c>
      <c r="M2526">
        <v>-0.69146770000000002</v>
      </c>
      <c r="N2526">
        <v>0</v>
      </c>
      <c r="O2526">
        <v>-0.72227589999999997</v>
      </c>
      <c r="P2526">
        <v>-0.850639699999999</v>
      </c>
      <c r="Q2526">
        <v>1.7874620000000001E-2</v>
      </c>
      <c r="R2526">
        <v>-0.52544539999999995</v>
      </c>
      <c r="S2526">
        <v>-3.2621310000000001</v>
      </c>
      <c r="T2526">
        <v>-4.9432749999999998E-2</v>
      </c>
      <c r="U2526">
        <v>-0.4599762</v>
      </c>
      <c r="V2526">
        <v>0.25184770000000001</v>
      </c>
      <c r="W2526">
        <v>2.4375709999999998E-2</v>
      </c>
      <c r="X2526">
        <v>0.96745990000000004</v>
      </c>
      <c r="Y2526">
        <v>0.61858179999999996</v>
      </c>
      <c r="Z2526">
        <v>1.443244E-2</v>
      </c>
      <c r="AA2526">
        <v>0.78558779999999995</v>
      </c>
      <c r="AB2526">
        <v>27</v>
      </c>
      <c r="AC2526">
        <v>-71.937699999999893</v>
      </c>
      <c r="AD2526">
        <v>-1.093036345125</v>
      </c>
      <c r="AE2526">
        <v>-9.9833000000000105</v>
      </c>
      <c r="AF2526">
        <v>45.049813307512103</v>
      </c>
      <c r="AG2526">
        <v>-1.093036345125</v>
      </c>
      <c r="AH2526">
        <v>56.945804374105201</v>
      </c>
      <c r="AI2526">
        <v>90.8624301932213</v>
      </c>
      <c r="AJ2526">
        <v>51.652486619117603</v>
      </c>
      <c r="AK2526">
        <v>72.618902796085493</v>
      </c>
      <c r="AL2526">
        <v>88.603236418671102</v>
      </c>
      <c r="AM2526">
        <v>75.408692476547301</v>
      </c>
      <c r="AN2526">
        <v>1.00000004867065</v>
      </c>
    </row>
    <row r="2527" spans="1:40" x14ac:dyDescent="0.3">
      <c r="A2527" t="str">
        <f>"20200111153925850"</f>
        <v>20200111153925850</v>
      </c>
      <c r="B2527" t="str">
        <f>"1578728365843428"</f>
        <v>1578728365843428</v>
      </c>
      <c r="C2527" t="s">
        <v>40</v>
      </c>
      <c r="D2527">
        <v>5.1070489999999999</v>
      </c>
      <c r="E2527">
        <v>0.66832569999999902</v>
      </c>
      <c r="F2527" t="s">
        <v>42</v>
      </c>
      <c r="G2527">
        <v>-274.56760000000003</v>
      </c>
      <c r="H2527" s="1">
        <v>-2.7316700000000001E-6</v>
      </c>
      <c r="I2527">
        <v>137.25479999999999</v>
      </c>
      <c r="J2527">
        <v>-199.10120000000001</v>
      </c>
      <c r="K2527">
        <v>1.0929990000000001</v>
      </c>
      <c r="L2527">
        <v>146.9905</v>
      </c>
      <c r="M2527">
        <v>-0.70265919999999904</v>
      </c>
      <c r="N2527">
        <v>0</v>
      </c>
      <c r="O2527">
        <v>-0.71139569999999996</v>
      </c>
      <c r="P2527">
        <v>-0.85741460000000003</v>
      </c>
      <c r="Q2527">
        <v>1.832806E-2</v>
      </c>
      <c r="R2527">
        <v>-0.51430070000000006</v>
      </c>
      <c r="S2527">
        <v>-3.2631839999999999</v>
      </c>
      <c r="T2527">
        <v>-4.7130819999999997E-2</v>
      </c>
      <c r="U2527">
        <v>-0.42832949999999997</v>
      </c>
      <c r="V2527">
        <v>0.24937309999999999</v>
      </c>
      <c r="W2527">
        <v>2.4778040000000001E-2</v>
      </c>
      <c r="X2527">
        <v>0.96809040000000002</v>
      </c>
      <c r="Y2527">
        <v>0.61383480000000001</v>
      </c>
      <c r="Z2527">
        <v>1.3639689999999999E-2</v>
      </c>
      <c r="AA2527">
        <v>0.78931669999999998</v>
      </c>
      <c r="AB2527">
        <v>28</v>
      </c>
      <c r="AC2527">
        <v>-75.466399999999993</v>
      </c>
      <c r="AD2527">
        <v>-1.09300173167</v>
      </c>
      <c r="AE2527">
        <v>-9.7356999999999996</v>
      </c>
      <c r="AF2527">
        <v>46.840290732846299</v>
      </c>
      <c r="AG2527">
        <v>-1.09300173167</v>
      </c>
      <c r="AH2527">
        <v>59.946309154296799</v>
      </c>
      <c r="AI2527">
        <v>90.823124197875401</v>
      </c>
      <c r="AJ2527">
        <v>51.996972638456697</v>
      </c>
      <c r="AK2527">
        <v>76.083950146831398</v>
      </c>
      <c r="AL2527">
        <v>88.580177515436901</v>
      </c>
      <c r="AM2527">
        <v>75.555049504894498</v>
      </c>
      <c r="AN2527">
        <v>0.99999995842100498</v>
      </c>
    </row>
    <row r="2528" spans="1:40" x14ac:dyDescent="0.3">
      <c r="A2528" t="str">
        <f>"20200111153925871"</f>
        <v>20200111153925871</v>
      </c>
      <c r="B2528" t="str">
        <f>"1578728365863924"</f>
        <v>1578728365863924</v>
      </c>
      <c r="C2528" t="s">
        <v>40</v>
      </c>
      <c r="D2528">
        <v>5.0532120000000003</v>
      </c>
      <c r="E2528">
        <v>0.62920710000000002</v>
      </c>
      <c r="F2528" t="s">
        <v>42</v>
      </c>
      <c r="G2528">
        <v>-268.54349999999999</v>
      </c>
      <c r="H2528" s="1">
        <v>-7.9027679999999999E-7</v>
      </c>
      <c r="I2528">
        <v>138.5839</v>
      </c>
      <c r="J2528">
        <v>-199.30520000000001</v>
      </c>
      <c r="K2528">
        <v>1.092978</v>
      </c>
      <c r="L2528">
        <v>146.8057</v>
      </c>
      <c r="M2528">
        <v>-0.71312350000000002</v>
      </c>
      <c r="N2528">
        <v>0</v>
      </c>
      <c r="O2528">
        <v>-0.70090730000000001</v>
      </c>
      <c r="P2528">
        <v>-0.86364609999999997</v>
      </c>
      <c r="Q2528">
        <v>1.8699650000000002E-2</v>
      </c>
      <c r="R2528">
        <v>-0.50375150000000002</v>
      </c>
      <c r="S2528">
        <v>-3.2630620000000001</v>
      </c>
      <c r="T2528">
        <v>-5.135965E-2</v>
      </c>
      <c r="U2528">
        <v>-0.39501950000000002</v>
      </c>
      <c r="V2528">
        <v>0.24689739999999999</v>
      </c>
      <c r="W2528">
        <v>2.5108390000000001E-2</v>
      </c>
      <c r="X2528">
        <v>0.96871629999999997</v>
      </c>
      <c r="Y2528">
        <v>0.61003719999999995</v>
      </c>
      <c r="Z2528">
        <v>1.4745080000000001E-2</v>
      </c>
      <c r="AA2528">
        <v>0.79223559999999904</v>
      </c>
      <c r="AB2528">
        <v>28</v>
      </c>
      <c r="AC2528">
        <v>-69.238299999999896</v>
      </c>
      <c r="AD2528">
        <v>-1.0929787902768</v>
      </c>
      <c r="AE2528">
        <v>-8.2218</v>
      </c>
      <c r="AF2528">
        <v>42.659910746101303</v>
      </c>
      <c r="AG2528">
        <v>-1.0929787902768</v>
      </c>
      <c r="AH2528">
        <v>55.129700455706498</v>
      </c>
      <c r="AI2528">
        <v>90.898294095033705</v>
      </c>
      <c r="AJ2528">
        <v>52.266939136936699</v>
      </c>
      <c r="AK2528">
        <v>69.716185063708494</v>
      </c>
      <c r="AL2528">
        <v>88.5612440424471</v>
      </c>
      <c r="AM2528">
        <v>75.701404479564403</v>
      </c>
      <c r="AN2528">
        <v>1.0000000136304199</v>
      </c>
    </row>
    <row r="2529" spans="1:40" x14ac:dyDescent="0.3">
      <c r="A2529" t="str">
        <f>"20200111153925894"</f>
        <v>20200111153925894</v>
      </c>
      <c r="B2529" t="str">
        <f>"1578728365883445"</f>
        <v>1578728365883445</v>
      </c>
      <c r="C2529" t="s">
        <v>40</v>
      </c>
      <c r="D2529">
        <v>5.1027319999999996</v>
      </c>
      <c r="E2529">
        <v>0.62262229999999996</v>
      </c>
      <c r="F2529" t="s">
        <v>42</v>
      </c>
      <c r="G2529">
        <v>-213.8322</v>
      </c>
      <c r="H2529" s="1">
        <v>-3.9921310000000001E-6</v>
      </c>
      <c r="I2529">
        <v>143.85830000000001</v>
      </c>
      <c r="J2529">
        <v>-199.51419999999999</v>
      </c>
      <c r="K2529">
        <v>1.0929530000000001</v>
      </c>
      <c r="L2529">
        <v>146.6217</v>
      </c>
      <c r="M2529">
        <v>-0.72354989999999997</v>
      </c>
      <c r="N2529">
        <v>0</v>
      </c>
      <c r="O2529">
        <v>-0.69014160000000002</v>
      </c>
      <c r="P2529">
        <v>-0.87019290000000005</v>
      </c>
      <c r="Q2529">
        <v>1.8750329999999999E-2</v>
      </c>
      <c r="R2529">
        <v>-0.49235499999999999</v>
      </c>
      <c r="S2529">
        <v>-3.1105960000000001</v>
      </c>
      <c r="T2529">
        <v>-0.23403479999999999</v>
      </c>
      <c r="U2529">
        <v>-0.63110350000000004</v>
      </c>
      <c r="V2529">
        <v>0.24511069999999999</v>
      </c>
      <c r="W2529">
        <v>2.5093130000000002E-2</v>
      </c>
      <c r="X2529">
        <v>0.96917030000000004</v>
      </c>
      <c r="Y2529">
        <v>0.52963419999999894</v>
      </c>
      <c r="Z2529">
        <v>6.607963E-2</v>
      </c>
      <c r="AA2529">
        <v>0.84564830000000002</v>
      </c>
      <c r="AB2529">
        <v>28</v>
      </c>
      <c r="AC2529">
        <v>-14.318</v>
      </c>
      <c r="AD2529">
        <v>-1.0929569921310001</v>
      </c>
      <c r="AE2529">
        <v>-2.7633999999999901</v>
      </c>
      <c r="AF2529">
        <v>7.8386643391429098</v>
      </c>
      <c r="AG2529">
        <v>-1.0929569921310001</v>
      </c>
      <c r="AH2529">
        <v>12.1994965944487</v>
      </c>
      <c r="AI2529">
        <v>94.310366558052806</v>
      </c>
      <c r="AJ2529">
        <v>57.2776336775459</v>
      </c>
      <c r="AK2529">
        <v>14.5419025841313</v>
      </c>
      <c r="AL2529">
        <v>88.562118625399606</v>
      </c>
      <c r="AM2529">
        <v>75.807061317953</v>
      </c>
      <c r="AN2529">
        <v>0.99999999541488804</v>
      </c>
    </row>
    <row r="2530" spans="1:40" x14ac:dyDescent="0.3">
      <c r="A2530" t="str">
        <f>"20200111153925916"</f>
        <v>20200111153925916</v>
      </c>
      <c r="B2530" t="str">
        <f>"1578728365913701"</f>
        <v>1578728365913701</v>
      </c>
      <c r="C2530" t="s">
        <v>40</v>
      </c>
      <c r="D2530">
        <v>5.1152629999999997</v>
      </c>
      <c r="E2530">
        <v>0.62124419999999902</v>
      </c>
      <c r="F2530" t="s">
        <v>42</v>
      </c>
      <c r="G2530">
        <v>-214.1275</v>
      </c>
      <c r="H2530" s="1">
        <v>-3.8213320000000002E-6</v>
      </c>
      <c r="I2530">
        <v>143.61850000000001</v>
      </c>
      <c r="J2530">
        <v>-199.726</v>
      </c>
      <c r="K2530">
        <v>1.0929249999999999</v>
      </c>
      <c r="L2530">
        <v>146.441</v>
      </c>
      <c r="M2530">
        <v>-0.73381300000000005</v>
      </c>
      <c r="N2530">
        <v>0</v>
      </c>
      <c r="O2530">
        <v>-0.67922109999999902</v>
      </c>
      <c r="P2530">
        <v>-0.87669750000000002</v>
      </c>
      <c r="Q2530">
        <v>1.8683020000000002E-2</v>
      </c>
      <c r="R2530">
        <v>-0.48067919999999997</v>
      </c>
      <c r="S2530">
        <v>-3.0928650000000002</v>
      </c>
      <c r="T2530">
        <v>-0.231321</v>
      </c>
      <c r="U2530">
        <v>-0.63562010000000002</v>
      </c>
      <c r="V2530">
        <v>0.2435369</v>
      </c>
      <c r="W2530">
        <v>2.4948700000000001E-2</v>
      </c>
      <c r="X2530">
        <v>0.96957070000000001</v>
      </c>
      <c r="Y2530">
        <v>0.51482299999999903</v>
      </c>
      <c r="Z2530">
        <v>6.4568239999999999E-2</v>
      </c>
      <c r="AA2530">
        <v>0.8548616</v>
      </c>
      <c r="AB2530">
        <v>28</v>
      </c>
      <c r="AC2530">
        <v>-14.4015</v>
      </c>
      <c r="AD2530">
        <v>-1.0929288213320001</v>
      </c>
      <c r="AE2530">
        <v>-2.82249999999999</v>
      </c>
      <c r="AF2530">
        <v>7.6687657845614901</v>
      </c>
      <c r="AG2530">
        <v>-1.0929288213320001</v>
      </c>
      <c r="AH2530">
        <v>12.4173460097361</v>
      </c>
      <c r="AI2530">
        <v>94.282667758721303</v>
      </c>
      <c r="AJ2530">
        <v>58.301147069380697</v>
      </c>
      <c r="AK2530">
        <v>14.635400370077599</v>
      </c>
      <c r="AL2530">
        <v>88.570396454128996</v>
      </c>
      <c r="AM2530">
        <v>75.900134888100595</v>
      </c>
      <c r="AN2530">
        <v>1.00000000079589</v>
      </c>
    </row>
    <row r="2531" spans="1:40" x14ac:dyDescent="0.3">
      <c r="A2531" t="str">
        <f>"20200111153925937"</f>
        <v>20200111153925937</v>
      </c>
      <c r="B2531" t="str">
        <f>"1578728365933221"</f>
        <v>1578728365933221</v>
      </c>
      <c r="C2531" t="s">
        <v>40</v>
      </c>
      <c r="D2531">
        <v>5.1117819999999998</v>
      </c>
      <c r="E2531">
        <v>0.62016470000000001</v>
      </c>
      <c r="F2531" t="s">
        <v>42</v>
      </c>
      <c r="G2531">
        <v>-214.05199999999999</v>
      </c>
      <c r="H2531" s="1">
        <v>-3.8642880000000001E-6</v>
      </c>
      <c r="I2531">
        <v>143.64590000000001</v>
      </c>
      <c r="J2531">
        <v>-199.93450000000001</v>
      </c>
      <c r="K2531">
        <v>1.0928960000000001</v>
      </c>
      <c r="L2531">
        <v>146.26840000000001</v>
      </c>
      <c r="M2531">
        <v>-0.74362779999999995</v>
      </c>
      <c r="N2531">
        <v>0</v>
      </c>
      <c r="O2531">
        <v>-0.66846369999999999</v>
      </c>
      <c r="P2531">
        <v>-0.88316170000000005</v>
      </c>
      <c r="Q2531">
        <v>1.8541019999999998E-2</v>
      </c>
      <c r="R2531">
        <v>-0.46870230000000002</v>
      </c>
      <c r="S2531">
        <v>-3.0957789999999998</v>
      </c>
      <c r="T2531">
        <v>-0.2361762</v>
      </c>
      <c r="U2531">
        <v>-0.60400390000000004</v>
      </c>
      <c r="V2531">
        <v>0.2426093</v>
      </c>
      <c r="W2531">
        <v>2.4706539999999999E-2</v>
      </c>
      <c r="X2531">
        <v>0.96980940000000004</v>
      </c>
      <c r="Y2531">
        <v>0.5108085</v>
      </c>
      <c r="Z2531">
        <v>6.5249299999999996E-2</v>
      </c>
      <c r="AA2531">
        <v>0.857214699999999</v>
      </c>
      <c r="AB2531">
        <v>28</v>
      </c>
      <c r="AC2531">
        <v>-14.1175</v>
      </c>
      <c r="AD2531">
        <v>-1.0928998642879999</v>
      </c>
      <c r="AE2531">
        <v>-2.6225000000000001</v>
      </c>
      <c r="AF2531">
        <v>7.4443975544127001</v>
      </c>
      <c r="AG2531">
        <v>-1.0928998642879999</v>
      </c>
      <c r="AH2531">
        <v>12.1817074549033</v>
      </c>
      <c r="AI2531">
        <v>94.377647346886405</v>
      </c>
      <c r="AJ2531">
        <v>58.570363236002102</v>
      </c>
      <c r="AK2531">
        <v>14.318082328941699</v>
      </c>
      <c r="AL2531">
        <v>88.584275447429206</v>
      </c>
      <c r="AM2531">
        <v>75.955029791131196</v>
      </c>
      <c r="AN2531">
        <v>0.99999997894681003</v>
      </c>
    </row>
    <row r="2532" spans="1:40" x14ac:dyDescent="0.3">
      <c r="A2532" t="str">
        <f>"20200111153925959"</f>
        <v>20200111153925959</v>
      </c>
      <c r="B2532" t="str">
        <f>"1578728365953716"</f>
        <v>1578728365953716</v>
      </c>
      <c r="C2532" t="s">
        <v>40</v>
      </c>
      <c r="D2532">
        <v>5.1194689999999996</v>
      </c>
      <c r="E2532">
        <v>0.61927849999999995</v>
      </c>
      <c r="F2532" t="s">
        <v>42</v>
      </c>
      <c r="G2532">
        <v>-214.06540000000001</v>
      </c>
      <c r="H2532" s="1">
        <v>-3.8651109999999997E-6</v>
      </c>
      <c r="I2532">
        <v>143.6728</v>
      </c>
      <c r="J2532">
        <v>-200.15889999999999</v>
      </c>
      <c r="K2532">
        <v>1.092865</v>
      </c>
      <c r="L2532">
        <v>146.08840000000001</v>
      </c>
      <c r="M2532">
        <v>-0.75387439999999994</v>
      </c>
      <c r="N2532">
        <v>0</v>
      </c>
      <c r="O2532">
        <v>-0.65688869999999999</v>
      </c>
      <c r="P2532">
        <v>-0.88983400000000001</v>
      </c>
      <c r="Q2532">
        <v>1.8529179999999999E-2</v>
      </c>
      <c r="R2532">
        <v>-0.45590839999999999</v>
      </c>
      <c r="S2532">
        <v>-3.0997469999999998</v>
      </c>
      <c r="T2532">
        <v>-0.23973739999999999</v>
      </c>
      <c r="U2532">
        <v>-0.5693665</v>
      </c>
      <c r="V2532">
        <v>0.24160960000000001</v>
      </c>
      <c r="W2532">
        <v>2.459451E-2</v>
      </c>
      <c r="X2532">
        <v>0.97006179999999997</v>
      </c>
      <c r="Y2532">
        <v>0.5069264</v>
      </c>
      <c r="Z2532">
        <v>6.5480399999999994E-2</v>
      </c>
      <c r="AA2532">
        <v>0.85949869999999995</v>
      </c>
      <c r="AB2532">
        <v>28</v>
      </c>
      <c r="AC2532">
        <v>-13.906499999999999</v>
      </c>
      <c r="AD2532">
        <v>-1.0928688651109999</v>
      </c>
      <c r="AE2532">
        <v>-2.4156000000000102</v>
      </c>
      <c r="AF2532">
        <v>7.2709980045199201</v>
      </c>
      <c r="AG2532">
        <v>-1.0928688651109999</v>
      </c>
      <c r="AH2532">
        <v>11.9996266257206</v>
      </c>
      <c r="AI2532">
        <v>94.453871163177496</v>
      </c>
      <c r="AJ2532">
        <v>58.786846103214103</v>
      </c>
      <c r="AK2532">
        <v>14.073123800164799</v>
      </c>
      <c r="AL2532">
        <v>88.590696263626498</v>
      </c>
      <c r="AM2532">
        <v>76.014123510861097</v>
      </c>
      <c r="AN2532">
        <v>0.99999999227676994</v>
      </c>
    </row>
    <row r="2533" spans="1:40" x14ac:dyDescent="0.3">
      <c r="A2533" t="str">
        <f>"20200111153925982"</f>
        <v>20200111153925982</v>
      </c>
      <c r="B2533" t="str">
        <f>"1578728365973237"</f>
        <v>1578728365973237</v>
      </c>
      <c r="C2533" t="s">
        <v>40</v>
      </c>
      <c r="D2533">
        <v>5.1600250000000001</v>
      </c>
      <c r="E2533">
        <v>0.61800889999999997</v>
      </c>
      <c r="F2533" t="s">
        <v>42</v>
      </c>
      <c r="G2533">
        <v>-214.28</v>
      </c>
      <c r="H2533" s="1">
        <v>-3.764218E-6</v>
      </c>
      <c r="I2533">
        <v>143.67490000000001</v>
      </c>
      <c r="J2533">
        <v>-200.38659999999999</v>
      </c>
      <c r="K2533">
        <v>1.0928310000000001</v>
      </c>
      <c r="L2533">
        <v>145.91130000000001</v>
      </c>
      <c r="M2533">
        <v>-0.763970699999999</v>
      </c>
      <c r="N2533">
        <v>0</v>
      </c>
      <c r="O2533">
        <v>-0.64512119999999995</v>
      </c>
      <c r="P2533">
        <v>-0.89612479999999906</v>
      </c>
      <c r="Q2533">
        <v>1.8939040000000001E-2</v>
      </c>
      <c r="R2533">
        <v>-0.44339820000000002</v>
      </c>
      <c r="S2533">
        <v>-3.1045530000000001</v>
      </c>
      <c r="T2533">
        <v>-0.24026829999999999</v>
      </c>
      <c r="U2533">
        <v>-0.5306244</v>
      </c>
      <c r="V2533">
        <v>0.2401604</v>
      </c>
      <c r="W2533">
        <v>2.4912460000000001E-2</v>
      </c>
      <c r="X2533">
        <v>0.97041350000000004</v>
      </c>
      <c r="Y2533">
        <v>0.50422889999999998</v>
      </c>
      <c r="Z2533">
        <v>6.4883789999999997E-2</v>
      </c>
      <c r="AA2533">
        <v>0.86112909999999998</v>
      </c>
      <c r="AB2533">
        <v>28</v>
      </c>
      <c r="AC2533">
        <v>-13.8934</v>
      </c>
      <c r="AD2533">
        <v>-1.0928347642180001</v>
      </c>
      <c r="AE2533">
        <v>-2.2364000000000002</v>
      </c>
      <c r="AF2533">
        <v>7.2114982578019102</v>
      </c>
      <c r="AG2533">
        <v>-1.0928347642180001</v>
      </c>
      <c r="AH2533">
        <v>11.9856247730589</v>
      </c>
      <c r="AI2533">
        <v>94.467286492017706</v>
      </c>
      <c r="AJ2533">
        <v>58.9655625004605</v>
      </c>
      <c r="AK2533">
        <v>14.030509475593799</v>
      </c>
      <c r="AL2533">
        <v>88.572473504309599</v>
      </c>
      <c r="AM2533">
        <v>76.099591755236602</v>
      </c>
      <c r="AN2533">
        <v>1.00000000468683</v>
      </c>
    </row>
    <row r="2534" spans="1:40" x14ac:dyDescent="0.3">
      <c r="A2534" t="str">
        <f>"20200111153926010"</f>
        <v>20200111153926010</v>
      </c>
      <c r="B2534" t="str">
        <f>"1578728366003496"</f>
        <v>1578728366003496</v>
      </c>
      <c r="C2534" t="s">
        <v>40</v>
      </c>
      <c r="D2534">
        <v>5.212421</v>
      </c>
      <c r="E2534">
        <v>0.61561919999999903</v>
      </c>
      <c r="F2534" t="s">
        <v>42</v>
      </c>
      <c r="G2534">
        <v>-214.66919999999999</v>
      </c>
      <c r="H2534" s="1">
        <v>-3.569214E-6</v>
      </c>
      <c r="I2534">
        <v>143.63329999999999</v>
      </c>
      <c r="J2534">
        <v>-200.66319999999999</v>
      </c>
      <c r="K2534">
        <v>1.092794</v>
      </c>
      <c r="L2534">
        <v>145.70330000000001</v>
      </c>
      <c r="M2534">
        <v>-0.77582589999999996</v>
      </c>
      <c r="N2534">
        <v>0</v>
      </c>
      <c r="O2534">
        <v>-0.63081809999999905</v>
      </c>
      <c r="P2534">
        <v>-0.90339550000000002</v>
      </c>
      <c r="Q2534">
        <v>1.9973350000000001E-2</v>
      </c>
      <c r="R2534">
        <v>-0.42834349999999999</v>
      </c>
      <c r="S2534">
        <v>-3.1075439999999999</v>
      </c>
      <c r="T2534">
        <v>-0.23777429999999999</v>
      </c>
      <c r="U2534">
        <v>-0.49562070000000003</v>
      </c>
      <c r="V2534">
        <v>0.23837800000000001</v>
      </c>
      <c r="W2534">
        <v>2.5831509999999999E-2</v>
      </c>
      <c r="X2534">
        <v>0.97082889999999999</v>
      </c>
      <c r="Y2534">
        <v>0.49787890000000001</v>
      </c>
      <c r="Z2534">
        <v>6.3202129999999995E-2</v>
      </c>
      <c r="AA2534">
        <v>0.8649405</v>
      </c>
      <c r="AB2534">
        <v>28</v>
      </c>
      <c r="AC2534">
        <v>-14.005999999999901</v>
      </c>
      <c r="AD2534">
        <v>-1.092797569214</v>
      </c>
      <c r="AE2534">
        <v>-2.0700000000000198</v>
      </c>
      <c r="AF2534">
        <v>7.1870497192139</v>
      </c>
      <c r="AG2534">
        <v>-1.092797569214</v>
      </c>
      <c r="AH2534">
        <v>12.100909659777299</v>
      </c>
      <c r="AI2534">
        <v>94.439819506502602</v>
      </c>
      <c r="AJ2534">
        <v>59.292805404777503</v>
      </c>
      <c r="AK2534">
        <v>14.116653455682201</v>
      </c>
      <c r="AL2534">
        <v>88.519798919809801</v>
      </c>
      <c r="AM2534">
        <v>76.2044778332302</v>
      </c>
      <c r="AN2534">
        <v>1.0000000454340401</v>
      </c>
    </row>
    <row r="2535" spans="1:40" x14ac:dyDescent="0.3">
      <c r="A2535" t="str">
        <f>"20200111153926028"</f>
        <v>20200111153926028</v>
      </c>
      <c r="B2535" t="str">
        <f>"1578728366023013"</f>
        <v>1578728366023013</v>
      </c>
      <c r="C2535" t="s">
        <v>40</v>
      </c>
      <c r="D2535">
        <v>5.2297549999999999</v>
      </c>
      <c r="E2535">
        <v>0.61491099999999999</v>
      </c>
      <c r="F2535" t="s">
        <v>42</v>
      </c>
      <c r="G2535">
        <v>-214.66970000000001</v>
      </c>
      <c r="H2535" s="1">
        <v>-3.5673449999999999E-6</v>
      </c>
      <c r="I2535">
        <v>143.62729999999999</v>
      </c>
      <c r="J2535">
        <v>-200.84690000000001</v>
      </c>
      <c r="K2535">
        <v>1.0927709999999999</v>
      </c>
      <c r="L2535">
        <v>145.56970000000001</v>
      </c>
      <c r="M2535">
        <v>-0.78344990000000003</v>
      </c>
      <c r="N2535">
        <v>0</v>
      </c>
      <c r="O2535">
        <v>-0.62132589999999999</v>
      </c>
      <c r="P2535">
        <v>-0.90786339999999999</v>
      </c>
      <c r="Q2535">
        <v>2.0723399999999999E-2</v>
      </c>
      <c r="R2535">
        <v>-0.41875370000000001</v>
      </c>
      <c r="S2535">
        <v>-3.107758</v>
      </c>
      <c r="T2535">
        <v>-0.24246880000000001</v>
      </c>
      <c r="U2535">
        <v>-0.46063229999999999</v>
      </c>
      <c r="V2535">
        <v>0.23684440000000001</v>
      </c>
      <c r="W2535">
        <v>2.6511719999999999E-2</v>
      </c>
      <c r="X2535">
        <v>0.97118579999999999</v>
      </c>
      <c r="Y2535">
        <v>0.49675459999999999</v>
      </c>
      <c r="Z2535">
        <v>6.3934870000000005E-2</v>
      </c>
      <c r="AA2535">
        <v>0.86553289999999905</v>
      </c>
      <c r="AB2535">
        <v>28</v>
      </c>
      <c r="AC2535">
        <v>-13.822800000000001</v>
      </c>
      <c r="AD2535">
        <v>-1.092774567345</v>
      </c>
      <c r="AE2535">
        <v>-1.9424000000000201</v>
      </c>
      <c r="AF2535">
        <v>7.0242071987222099</v>
      </c>
      <c r="AG2535">
        <v>-1.092774567345</v>
      </c>
      <c r="AH2535">
        <v>11.9639749487381</v>
      </c>
      <c r="AI2535">
        <v>94.503694995921805</v>
      </c>
      <c r="AJ2535">
        <v>59.582243934106899</v>
      </c>
      <c r="AK2535">
        <v>13.9165491268363</v>
      </c>
      <c r="AL2535">
        <v>88.480812334761097</v>
      </c>
      <c r="AM2535">
        <v>76.294719825389706</v>
      </c>
      <c r="AN2535">
        <v>0.99999999961517905</v>
      </c>
    </row>
    <row r="2536" spans="1:40" x14ac:dyDescent="0.3">
      <c r="A2536" t="str">
        <f>"20200111153926049"</f>
        <v>20200111153926049</v>
      </c>
      <c r="B2536" t="str">
        <f>"1578728366043508"</f>
        <v>1578728366043508</v>
      </c>
      <c r="C2536" t="s">
        <v>40</v>
      </c>
      <c r="D2536">
        <v>5.2416239999999998</v>
      </c>
      <c r="E2536">
        <v>0.60086649999999997</v>
      </c>
      <c r="F2536" t="s">
        <v>42</v>
      </c>
      <c r="G2536">
        <v>-214.92250000000001</v>
      </c>
      <c r="H2536" s="1">
        <v>-3.4437059999999999E-6</v>
      </c>
      <c r="I2536">
        <v>143.61179999999999</v>
      </c>
      <c r="J2536">
        <v>-201.07159999999999</v>
      </c>
      <c r="K2536">
        <v>1.092754</v>
      </c>
      <c r="L2536">
        <v>145.41050000000001</v>
      </c>
      <c r="M2536">
        <v>-0.79251700000000003</v>
      </c>
      <c r="N2536">
        <v>0</v>
      </c>
      <c r="O2536">
        <v>-0.60972150000000003</v>
      </c>
      <c r="P2536">
        <v>-0.91298159999999895</v>
      </c>
      <c r="Q2536">
        <v>2.078E-2</v>
      </c>
      <c r="R2536">
        <v>-0.4074718</v>
      </c>
      <c r="S2536">
        <v>-3.1104129999999999</v>
      </c>
      <c r="T2536">
        <v>-0.2414789</v>
      </c>
      <c r="U2536">
        <v>-0.43266300000000002</v>
      </c>
      <c r="V2536">
        <v>0.23457220000000001</v>
      </c>
      <c r="W2536">
        <v>2.648884E-2</v>
      </c>
      <c r="X2536">
        <v>0.97173770000000004</v>
      </c>
      <c r="Y2536">
        <v>0.4917783</v>
      </c>
      <c r="Z2536">
        <v>6.2810589999999999E-2</v>
      </c>
      <c r="AA2536">
        <v>0.868452</v>
      </c>
      <c r="AB2536">
        <v>28</v>
      </c>
      <c r="AC2536">
        <v>-13.850899999999999</v>
      </c>
      <c r="AD2536">
        <v>-1.0927574437059999</v>
      </c>
      <c r="AE2536">
        <v>-1.7987000000000199</v>
      </c>
      <c r="AF2536">
        <v>6.9775304589515299</v>
      </c>
      <c r="AG2536">
        <v>-1.0927574437059999</v>
      </c>
      <c r="AH2536">
        <v>12.0012638438764</v>
      </c>
      <c r="AI2536">
        <v>94.500830113256001</v>
      </c>
      <c r="AJ2536">
        <v>59.826296286831898</v>
      </c>
      <c r="AK2536">
        <v>13.925170878186901</v>
      </c>
      <c r="AL2536">
        <v>88.482123672668394</v>
      </c>
      <c r="AM2536">
        <v>76.428739676728696</v>
      </c>
      <c r="AN2536">
        <v>0.99999996662933699</v>
      </c>
    </row>
    <row r="2537" spans="1:40" x14ac:dyDescent="0.3">
      <c r="A2537" t="str">
        <f>"20200111153926072"</f>
        <v>20200111153926072</v>
      </c>
      <c r="B2537" t="str">
        <f>"1578728366063029"</f>
        <v>1578728366063029</v>
      </c>
      <c r="C2537" t="s">
        <v>40</v>
      </c>
      <c r="D2537">
        <v>5.0351280000000003</v>
      </c>
      <c r="E2537">
        <v>0.6086374</v>
      </c>
      <c r="F2537" t="s">
        <v>42</v>
      </c>
      <c r="G2537">
        <v>-211.37280000000001</v>
      </c>
      <c r="H2537" s="1">
        <v>-4.9153449999999999E-6</v>
      </c>
      <c r="I2537">
        <v>143.73869999999999</v>
      </c>
      <c r="J2537">
        <v>-201.31440000000001</v>
      </c>
      <c r="K2537">
        <v>1.0927340000000001</v>
      </c>
      <c r="L2537">
        <v>145.2439</v>
      </c>
      <c r="M2537">
        <v>-0.80198519999999995</v>
      </c>
      <c r="N2537">
        <v>0</v>
      </c>
      <c r="O2537">
        <v>-0.59721669999999905</v>
      </c>
      <c r="P2537">
        <v>-0.91751680000000002</v>
      </c>
      <c r="Q2537">
        <v>2.1167249999999999E-2</v>
      </c>
      <c r="R2537">
        <v>-0.39713320000000002</v>
      </c>
      <c r="S2537">
        <v>-3.0709230000000001</v>
      </c>
      <c r="T2537">
        <v>-0.32576539999999998</v>
      </c>
      <c r="U2537">
        <v>-0.4983978</v>
      </c>
      <c r="V2537">
        <v>0.23030349999999999</v>
      </c>
      <c r="W2537">
        <v>2.684158E-2</v>
      </c>
      <c r="X2537">
        <v>0.97274859999999996</v>
      </c>
      <c r="Y2537">
        <v>0.45579409999999998</v>
      </c>
      <c r="Z2537">
        <v>8.2545049999999995E-2</v>
      </c>
      <c r="AA2537">
        <v>0.88624939999999996</v>
      </c>
      <c r="AB2537">
        <v>28</v>
      </c>
      <c r="AC2537">
        <v>-10.058400000000001</v>
      </c>
      <c r="AD2537">
        <v>-1.092738915345</v>
      </c>
      <c r="AE2537">
        <v>-1.5052000000000001</v>
      </c>
      <c r="AF2537">
        <v>4.7454791856340499</v>
      </c>
      <c r="AG2537">
        <v>-1.092738915345</v>
      </c>
      <c r="AH2537">
        <v>8.8639739470464107</v>
      </c>
      <c r="AI2537">
        <v>96.202753246697696</v>
      </c>
      <c r="AJ2537">
        <v>61.836872784763599</v>
      </c>
      <c r="AK2537">
        <v>10.113539695492999</v>
      </c>
      <c r="AL2537">
        <v>88.461906029669294</v>
      </c>
      <c r="AM2537">
        <v>76.680171910916599</v>
      </c>
      <c r="AN2537">
        <v>1.00000000566555</v>
      </c>
    </row>
    <row r="2538" spans="1:40" x14ac:dyDescent="0.3">
      <c r="A2538" t="str">
        <f>"20200111153926105"</f>
        <v>20200111153926105</v>
      </c>
      <c r="B2538" t="str">
        <f>"1578728366093287"</f>
        <v>1578728366093287</v>
      </c>
      <c r="C2538" t="s">
        <v>40</v>
      </c>
      <c r="D2538">
        <v>5.0644260000000001</v>
      </c>
      <c r="E2538">
        <v>0.61157329999999999</v>
      </c>
      <c r="F2538" t="s">
        <v>42</v>
      </c>
      <c r="G2538">
        <v>-216.34469999999999</v>
      </c>
      <c r="H2538" s="1">
        <v>-2.6851509999999998E-6</v>
      </c>
      <c r="I2538">
        <v>143.28749999999999</v>
      </c>
      <c r="J2538">
        <v>-201.66399999999999</v>
      </c>
      <c r="K2538">
        <v>1.092727</v>
      </c>
      <c r="L2538">
        <v>145.0138</v>
      </c>
      <c r="M2538">
        <v>-0.81502489999999905</v>
      </c>
      <c r="N2538">
        <v>0</v>
      </c>
      <c r="O2538">
        <v>-0.57930139999999997</v>
      </c>
      <c r="P2538">
        <v>-0.92390510000000003</v>
      </c>
      <c r="Q2538">
        <v>2.0735400000000001E-2</v>
      </c>
      <c r="R2538">
        <v>-0.38206030000000002</v>
      </c>
      <c r="S2538">
        <v>-3.1002200000000002</v>
      </c>
      <c r="T2538">
        <v>-0.2253926</v>
      </c>
      <c r="U2538">
        <v>-0.4035339</v>
      </c>
      <c r="V2538">
        <v>0.22465209999999999</v>
      </c>
      <c r="W2538">
        <v>2.6306280000000001E-2</v>
      </c>
      <c r="X2538">
        <v>0.9740839</v>
      </c>
      <c r="Y2538">
        <v>0.46677770000000002</v>
      </c>
      <c r="Z2538">
        <v>5.6245799999999999E-2</v>
      </c>
      <c r="AA2538">
        <v>0.88258429999999999</v>
      </c>
      <c r="AB2538">
        <v>28</v>
      </c>
      <c r="AC2538">
        <v>-14.6806999999999</v>
      </c>
      <c r="AD2538">
        <v>-1.092729685151</v>
      </c>
      <c r="AE2538">
        <v>-1.7262999999999999</v>
      </c>
      <c r="AF2538">
        <v>7.0595064950369597</v>
      </c>
      <c r="AG2538">
        <v>-1.092729685151</v>
      </c>
      <c r="AH2538">
        <v>12.8956484836424</v>
      </c>
      <c r="AI2538">
        <v>94.250848075187704</v>
      </c>
      <c r="AJ2538">
        <v>61.3022385026904</v>
      </c>
      <c r="AK2538">
        <v>14.742063625284899</v>
      </c>
      <c r="AL2538">
        <v>88.492587310259097</v>
      </c>
      <c r="AM2538">
        <v>77.013006007235902</v>
      </c>
      <c r="AN2538">
        <v>1.00000001532052</v>
      </c>
    </row>
    <row r="2539" spans="1:40" x14ac:dyDescent="0.3">
      <c r="A2539" t="str">
        <f>"20200111153926129"</f>
        <v>20200111153926129</v>
      </c>
      <c r="B2539" t="str">
        <f>"1578728366123540"</f>
        <v>1578728366123540</v>
      </c>
      <c r="C2539" t="s">
        <v>40</v>
      </c>
      <c r="D2539">
        <v>4.9297399999999998</v>
      </c>
      <c r="E2539">
        <v>0.61157430000000002</v>
      </c>
      <c r="F2539" t="s">
        <v>42</v>
      </c>
      <c r="G2539">
        <v>-221.89850000000001</v>
      </c>
      <c r="H2539" s="1">
        <v>-4.2080929999999996E-6</v>
      </c>
      <c r="I2539">
        <v>142.87559999999999</v>
      </c>
      <c r="J2539">
        <v>-201.91679999999999</v>
      </c>
      <c r="K2539">
        <v>1.0927199999999999</v>
      </c>
      <c r="L2539">
        <v>144.8537</v>
      </c>
      <c r="M2539">
        <v>-0.82403400000000004</v>
      </c>
      <c r="N2539">
        <v>0</v>
      </c>
      <c r="O2539">
        <v>-0.56641790000000003</v>
      </c>
      <c r="P2539">
        <v>-0.92855639999999995</v>
      </c>
      <c r="Q2539">
        <v>2.037158E-2</v>
      </c>
      <c r="R2539">
        <v>-0.37063269999999998</v>
      </c>
      <c r="S2539">
        <v>-3.1147610000000001</v>
      </c>
      <c r="T2539">
        <v>-0.168208</v>
      </c>
      <c r="U2539">
        <v>-0.32913209999999998</v>
      </c>
      <c r="V2539">
        <v>0.22134039999999999</v>
      </c>
      <c r="W2539">
        <v>2.5827220000000001E-2</v>
      </c>
      <c r="X2539">
        <v>0.97485449999999996</v>
      </c>
      <c r="Y2539">
        <v>0.47532170000000001</v>
      </c>
      <c r="Z2539">
        <v>4.1581029999999998E-2</v>
      </c>
      <c r="AA2539">
        <v>0.87882890000000002</v>
      </c>
      <c r="AB2539">
        <v>28</v>
      </c>
      <c r="AC2539">
        <v>-19.9817</v>
      </c>
      <c r="AD2539">
        <v>-1.092724208093</v>
      </c>
      <c r="AE2539">
        <v>-1.97810000000001</v>
      </c>
      <c r="AF2539">
        <v>9.6600341792840805</v>
      </c>
      <c r="AG2539">
        <v>-1.092724208093</v>
      </c>
      <c r="AH2539">
        <v>17.535319465418201</v>
      </c>
      <c r="AI2539">
        <v>93.124184146949105</v>
      </c>
      <c r="AJ2539">
        <v>61.150065576618701</v>
      </c>
      <c r="AK2539">
        <v>20.0498811790535</v>
      </c>
      <c r="AL2539">
        <v>88.520044669919599</v>
      </c>
      <c r="AM2539">
        <v>77.207886629602896</v>
      </c>
      <c r="AN2539">
        <v>0.99999995706766798</v>
      </c>
    </row>
    <row r="2540" spans="1:40" x14ac:dyDescent="0.3">
      <c r="A2540" t="str">
        <f>"20200111153926152"</f>
        <v>20200111153926152</v>
      </c>
      <c r="B2540" t="str">
        <f>"1578728366143061"</f>
        <v>1578728366143061</v>
      </c>
      <c r="C2540" t="s">
        <v>40</v>
      </c>
      <c r="D2540">
        <v>4.9307699999999999</v>
      </c>
      <c r="E2540">
        <v>0.62110549999999998</v>
      </c>
      <c r="F2540" t="s">
        <v>42</v>
      </c>
      <c r="G2540">
        <v>-224.1944</v>
      </c>
      <c r="H2540" s="1">
        <v>-3.3152870000000001E-6</v>
      </c>
      <c r="I2540">
        <v>142.78229999999999</v>
      </c>
      <c r="J2540">
        <v>-202.17779999999999</v>
      </c>
      <c r="K2540">
        <v>1.092705</v>
      </c>
      <c r="L2540">
        <v>144.69390000000001</v>
      </c>
      <c r="M2540">
        <v>-0.83299029999999996</v>
      </c>
      <c r="N2540">
        <v>0</v>
      </c>
      <c r="O2540">
        <v>-0.5531684</v>
      </c>
      <c r="P2540">
        <v>-0.93294600000000005</v>
      </c>
      <c r="Q2540">
        <v>2.006403E-2</v>
      </c>
      <c r="R2540">
        <v>-0.35945759999999899</v>
      </c>
      <c r="S2540">
        <v>-3.118439</v>
      </c>
      <c r="T2540">
        <v>-0.1529605</v>
      </c>
      <c r="U2540">
        <v>-0.28994750000000002</v>
      </c>
      <c r="V2540">
        <v>0.21743760000000001</v>
      </c>
      <c r="W2540">
        <v>2.5378189999999998E-2</v>
      </c>
      <c r="X2540">
        <v>0.97574419999999995</v>
      </c>
      <c r="Y2540">
        <v>0.47255900000000001</v>
      </c>
      <c r="Z2540">
        <v>3.7215409999999997E-2</v>
      </c>
      <c r="AA2540">
        <v>0.88051290000000004</v>
      </c>
      <c r="AB2540">
        <v>28</v>
      </c>
      <c r="AC2540">
        <v>-22.0166</v>
      </c>
      <c r="AD2540">
        <v>-1.0927083152869901</v>
      </c>
      <c r="AE2540">
        <v>-1.9116000000000199</v>
      </c>
      <c r="AF2540">
        <v>10.5614205550341</v>
      </c>
      <c r="AG2540">
        <v>-1.0927083152869901</v>
      </c>
      <c r="AH2540">
        <v>19.351020438519701</v>
      </c>
      <c r="AI2540">
        <v>92.8375986401105</v>
      </c>
      <c r="AJ2540">
        <v>61.375123872089397</v>
      </c>
      <c r="AK2540">
        <v>22.072598569597599</v>
      </c>
      <c r="AL2540">
        <v>88.545780625710094</v>
      </c>
      <c r="AM2540">
        <v>77.437311805992493</v>
      </c>
      <c r="AN2540">
        <v>0.99999995312753698</v>
      </c>
    </row>
    <row r="2541" spans="1:40" x14ac:dyDescent="0.3">
      <c r="A2541" t="str">
        <f>"20200111153926173"</f>
        <v>20200111153926173</v>
      </c>
      <c r="B2541" t="str">
        <f>"1578728366163556"</f>
        <v>1578728366163556</v>
      </c>
      <c r="C2541" t="s">
        <v>40</v>
      </c>
      <c r="D2541">
        <v>4.9630179999999999</v>
      </c>
      <c r="E2541">
        <v>0.61938800000000005</v>
      </c>
      <c r="F2541" t="s">
        <v>65</v>
      </c>
      <c r="G2541">
        <v>0</v>
      </c>
      <c r="H2541">
        <v>0</v>
      </c>
      <c r="I2541">
        <v>0</v>
      </c>
      <c r="J2541">
        <v>-202.40350000000001</v>
      </c>
      <c r="K2541">
        <v>1.0926940000000001</v>
      </c>
      <c r="L2541">
        <v>144.56010000000001</v>
      </c>
      <c r="M2541">
        <v>-0.84044859999999899</v>
      </c>
      <c r="N2541">
        <v>0</v>
      </c>
      <c r="O2541">
        <v>-0.54177580000000003</v>
      </c>
      <c r="P2541">
        <v>-0.9365019</v>
      </c>
      <c r="Q2541">
        <v>2.0063319999999999E-2</v>
      </c>
      <c r="R2541">
        <v>-0.35008909999999999</v>
      </c>
      <c r="S2541">
        <v>-3.146957</v>
      </c>
      <c r="T2541">
        <v>-1.6574859999999999E-3</v>
      </c>
      <c r="U2541">
        <v>-0.17835999999999999</v>
      </c>
      <c r="V2541">
        <v>0.2139191</v>
      </c>
      <c r="W2541">
        <v>2.5207540000000001E-2</v>
      </c>
      <c r="X2541">
        <v>0.97652609999999995</v>
      </c>
      <c r="Y2541">
        <v>0.49338070000000001</v>
      </c>
      <c r="Z2541">
        <v>4.0153420000000001E-4</v>
      </c>
      <c r="AA2541">
        <v>0.86981339999999996</v>
      </c>
      <c r="AB2541">
        <v>28</v>
      </c>
      <c r="AC2541">
        <v>-3.146957</v>
      </c>
      <c r="AD2541">
        <v>-1.6574859999999999E-3</v>
      </c>
      <c r="AE2541">
        <v>-0.17835999999999999</v>
      </c>
      <c r="AF2541">
        <v>1.5551396068591801</v>
      </c>
      <c r="AG2541">
        <v>-1.6574859999999999E-3</v>
      </c>
      <c r="AH2541">
        <v>2.7416575202073301</v>
      </c>
      <c r="AI2541">
        <v>90.030129044084603</v>
      </c>
      <c r="AJ2541">
        <v>60.4369627972196</v>
      </c>
      <c r="AK2541">
        <v>3.1520069641724202</v>
      </c>
      <c r="AL2541">
        <v>88.555561366005406</v>
      </c>
      <c r="AM2541">
        <v>77.643890874809401</v>
      </c>
      <c r="AN2541">
        <v>1.00000001269943</v>
      </c>
    </row>
    <row r="2542" spans="1:40" x14ac:dyDescent="0.3">
      <c r="A2542" t="str">
        <f>"20200111153926196"</f>
        <v>20200111153926196</v>
      </c>
      <c r="B2542" t="str">
        <f>"1578728366193812"</f>
        <v>1578728366193812</v>
      </c>
      <c r="C2542" t="s">
        <v>40</v>
      </c>
      <c r="D2542">
        <v>4.995438</v>
      </c>
      <c r="E2542">
        <v>0.61541679999999999</v>
      </c>
      <c r="F2542" t="s">
        <v>42</v>
      </c>
      <c r="G2542">
        <v>-455.96</v>
      </c>
      <c r="H2542" s="1">
        <v>-2.462103E-6</v>
      </c>
      <c r="I2542">
        <v>131.66929999999999</v>
      </c>
      <c r="J2542">
        <v>-202.6661</v>
      </c>
      <c r="K2542">
        <v>1.092676</v>
      </c>
      <c r="L2542">
        <v>144.40940000000001</v>
      </c>
      <c r="M2542">
        <v>-0.84879539999999998</v>
      </c>
      <c r="N2542">
        <v>0</v>
      </c>
      <c r="O2542">
        <v>-0.5286111</v>
      </c>
      <c r="P2542">
        <v>-0.94084330000000005</v>
      </c>
      <c r="Q2542">
        <v>2.1426629999999999E-2</v>
      </c>
      <c r="R2542">
        <v>-0.33816499999999999</v>
      </c>
      <c r="S2542">
        <v>-3.1439360000000001</v>
      </c>
      <c r="T2542">
        <v>-1.354873E-2</v>
      </c>
      <c r="U2542">
        <v>-0.1598358</v>
      </c>
      <c r="V2542">
        <v>0.2111085</v>
      </c>
      <c r="W2542">
        <v>2.629627E-2</v>
      </c>
      <c r="X2542">
        <v>0.9771088</v>
      </c>
      <c r="Y2542">
        <v>0.48485200000000001</v>
      </c>
      <c r="Z2542">
        <v>3.2201370000000001E-3</v>
      </c>
      <c r="AA2542">
        <v>0.87459030000000004</v>
      </c>
      <c r="AB2542">
        <v>28</v>
      </c>
      <c r="AC2542">
        <v>-253.29390000000001</v>
      </c>
      <c r="AD2542">
        <v>-1.0926784621029999</v>
      </c>
      <c r="AE2542">
        <v>-12.7401</v>
      </c>
      <c r="AF2542">
        <v>123.085124804366</v>
      </c>
      <c r="AG2542">
        <v>-1.0926784621029999</v>
      </c>
      <c r="AH2542">
        <v>221.738075555725</v>
      </c>
      <c r="AI2542">
        <v>90.246857883095899</v>
      </c>
      <c r="AJ2542">
        <v>60.965677209537297</v>
      </c>
      <c r="AK2542">
        <v>253.61174272001799</v>
      </c>
      <c r="AL2542">
        <v>88.493160940745796</v>
      </c>
      <c r="AM2542">
        <v>77.808397593002596</v>
      </c>
      <c r="AN2542">
        <v>0.99999994981280005</v>
      </c>
    </row>
    <row r="2543" spans="1:40" x14ac:dyDescent="0.3">
      <c r="A2543" t="str">
        <f>"20200111153926218"</f>
        <v>20200111153926218</v>
      </c>
      <c r="B2543" t="str">
        <f>"1578728366213333"</f>
        <v>1578728366213333</v>
      </c>
      <c r="C2543" t="s">
        <v>40</v>
      </c>
      <c r="D2543">
        <v>5.0219180000000003</v>
      </c>
      <c r="E2543">
        <v>0.61285409999999996</v>
      </c>
      <c r="F2543" t="s">
        <v>42</v>
      </c>
      <c r="G2543">
        <v>-352.6232</v>
      </c>
      <c r="H2543" s="1">
        <v>-3.5689109999999999E-6</v>
      </c>
      <c r="I2543">
        <v>137.23740000000001</v>
      </c>
      <c r="J2543">
        <v>-202.90889999999999</v>
      </c>
      <c r="K2543">
        <v>1.092657</v>
      </c>
      <c r="L2543">
        <v>144.2747</v>
      </c>
      <c r="M2543">
        <v>-0.85619529999999999</v>
      </c>
      <c r="N2543">
        <v>0</v>
      </c>
      <c r="O2543">
        <v>-0.51654690000000003</v>
      </c>
      <c r="P2543">
        <v>-0.94469579999999997</v>
      </c>
      <c r="Q2543">
        <v>2.2522569999999999E-2</v>
      </c>
      <c r="R2543">
        <v>-0.32717400000000002</v>
      </c>
      <c r="S2543">
        <v>-3.1352690000000001</v>
      </c>
      <c r="T2543">
        <v>-2.2845509999999999E-2</v>
      </c>
      <c r="U2543">
        <v>-0.1499481</v>
      </c>
      <c r="V2543">
        <v>0.20867340000000001</v>
      </c>
      <c r="W2543">
        <v>2.711566E-2</v>
      </c>
      <c r="X2543">
        <v>0.97760939999999996</v>
      </c>
      <c r="Y2543">
        <v>0.47505609999999998</v>
      </c>
      <c r="Z2543">
        <v>5.3345110000000001E-3</v>
      </c>
      <c r="AA2543">
        <v>0.87993929999999998</v>
      </c>
      <c r="AB2543">
        <v>28</v>
      </c>
      <c r="AC2543">
        <v>-149.71430000000001</v>
      </c>
      <c r="AD2543">
        <v>-1.0926605689110001</v>
      </c>
      <c r="AE2543">
        <v>-7.0372999999999797</v>
      </c>
      <c r="AF2543">
        <v>71.309247833393798</v>
      </c>
      <c r="AG2543">
        <v>-1.0926605689110001</v>
      </c>
      <c r="AH2543">
        <v>131.81994828296999</v>
      </c>
      <c r="AI2543">
        <v>90.417715660449701</v>
      </c>
      <c r="AJ2543">
        <v>61.588408905113702</v>
      </c>
      <c r="AK2543">
        <v>149.875620095492</v>
      </c>
      <c r="AL2543">
        <v>88.446196664629198</v>
      </c>
      <c r="AM2543">
        <v>77.950881613760501</v>
      </c>
      <c r="AN2543">
        <v>0.99999999292657704</v>
      </c>
    </row>
    <row r="2544" spans="1:40" x14ac:dyDescent="0.3">
      <c r="A2544" t="str">
        <f>"20200111153926239"</f>
        <v>20200111153926239</v>
      </c>
      <c r="B2544" t="str">
        <f>"1578728366233829"</f>
        <v>1578728366233829</v>
      </c>
      <c r="C2544" t="s">
        <v>40</v>
      </c>
      <c r="D2544">
        <v>5.0143459999999997</v>
      </c>
      <c r="E2544">
        <v>0.61081229999999997</v>
      </c>
      <c r="F2544" t="s">
        <v>42</v>
      </c>
      <c r="G2544">
        <v>-320.53019999999998</v>
      </c>
      <c r="H2544" s="1">
        <v>-4.1048799999999997E-6</v>
      </c>
      <c r="I2544">
        <v>139.27780000000001</v>
      </c>
      <c r="J2544">
        <v>-203.16730000000001</v>
      </c>
      <c r="K2544">
        <v>1.0926469999999999</v>
      </c>
      <c r="L2544">
        <v>144.13589999999999</v>
      </c>
      <c r="M2544">
        <v>-0.86375550000000001</v>
      </c>
      <c r="N2544">
        <v>0</v>
      </c>
      <c r="O2544">
        <v>-0.50381100000000001</v>
      </c>
      <c r="P2544">
        <v>-0.94844390000000001</v>
      </c>
      <c r="Q2544">
        <v>2.372432E-2</v>
      </c>
      <c r="R2544">
        <v>-0.31605670000000002</v>
      </c>
      <c r="S2544">
        <v>-3.1302639999999999</v>
      </c>
      <c r="T2544">
        <v>-2.907908E-2</v>
      </c>
      <c r="U2544">
        <v>-0.1329803</v>
      </c>
      <c r="V2544">
        <v>0.20567959999999999</v>
      </c>
      <c r="W2544">
        <v>2.8043229999999999E-2</v>
      </c>
      <c r="X2544">
        <v>0.97821749999999996</v>
      </c>
      <c r="Y2544">
        <v>0.46667950000000002</v>
      </c>
      <c r="Z2544">
        <v>6.6615659999999998E-3</v>
      </c>
      <c r="AA2544">
        <v>0.8844014</v>
      </c>
      <c r="AB2544">
        <v>28</v>
      </c>
      <c r="AC2544">
        <v>-117.362899999999</v>
      </c>
      <c r="AD2544">
        <v>-1.0926511048799901</v>
      </c>
      <c r="AE2544">
        <v>-4.8580999999999701</v>
      </c>
      <c r="AF2544">
        <v>54.930528273830397</v>
      </c>
      <c r="AG2544">
        <v>-1.0926511048799901</v>
      </c>
      <c r="AH2544">
        <v>103.816670301945</v>
      </c>
      <c r="AI2544">
        <v>90.532999260160594</v>
      </c>
      <c r="AJ2544">
        <v>62.116196682479298</v>
      </c>
      <c r="AK2544">
        <v>117.458323908788</v>
      </c>
      <c r="AL2544">
        <v>88.393030602240998</v>
      </c>
      <c r="AM2544">
        <v>78.125977012792106</v>
      </c>
      <c r="AN2544">
        <v>0.99999999895562097</v>
      </c>
    </row>
    <row r="2545" spans="1:40" x14ac:dyDescent="0.3">
      <c r="A2545" t="str">
        <f>"20200111153926263"</f>
        <v>20200111153926263</v>
      </c>
      <c r="B2545" t="str">
        <f>"1578728366253349"</f>
        <v>1578728366253349</v>
      </c>
      <c r="C2545" t="s">
        <v>40</v>
      </c>
      <c r="D2545">
        <v>5.0242909999999998</v>
      </c>
      <c r="E2545">
        <v>0.60886640000000003</v>
      </c>
      <c r="F2545" t="s">
        <v>62</v>
      </c>
      <c r="G2545">
        <v>-302.13639999999998</v>
      </c>
      <c r="H2545" s="1">
        <v>-8.6555950000000003E-6</v>
      </c>
      <c r="I2545">
        <v>140.59909999999999</v>
      </c>
      <c r="J2545">
        <v>-203.4299</v>
      </c>
      <c r="K2545">
        <v>1.0926260000000001</v>
      </c>
      <c r="L2545">
        <v>143.99959999999999</v>
      </c>
      <c r="M2545">
        <v>-0.87112440000000002</v>
      </c>
      <c r="N2545">
        <v>0</v>
      </c>
      <c r="O2545">
        <v>-0.49096719999999999</v>
      </c>
      <c r="P2545">
        <v>-0.95187370000000004</v>
      </c>
      <c r="Q2545">
        <v>2.4633780000000001E-2</v>
      </c>
      <c r="R2545">
        <v>-0.30549929999999997</v>
      </c>
      <c r="S2545">
        <v>-3.126709</v>
      </c>
      <c r="T2545">
        <v>-3.452003E-2</v>
      </c>
      <c r="U2545">
        <v>-0.11174009999999999</v>
      </c>
      <c r="V2545">
        <v>0.20206289999999999</v>
      </c>
      <c r="W2545">
        <v>2.8694810000000001E-2</v>
      </c>
      <c r="X2545">
        <v>0.97895209999999999</v>
      </c>
      <c r="Y2545">
        <v>0.45950819999999998</v>
      </c>
      <c r="Z2545">
        <v>7.7561779999999999E-3</v>
      </c>
      <c r="AA2545">
        <v>0.88813969999999898</v>
      </c>
      <c r="AB2545">
        <v>29</v>
      </c>
      <c r="AC2545">
        <v>-98.706499999999906</v>
      </c>
      <c r="AD2545">
        <v>-1.0926346555949999</v>
      </c>
      <c r="AE2545">
        <v>-3.4004999999999899</v>
      </c>
      <c r="AF2545">
        <v>45.495954167058301</v>
      </c>
      <c r="AG2545">
        <v>-1.0926346555949999</v>
      </c>
      <c r="AH2545">
        <v>87.648544963505302</v>
      </c>
      <c r="AI2545">
        <v>90.633913078827504</v>
      </c>
      <c r="AJ2545">
        <v>62.567412565350402</v>
      </c>
      <c r="AK2545">
        <v>98.759015437990698</v>
      </c>
      <c r="AL2545">
        <v>88.355682805336201</v>
      </c>
      <c r="AM2545">
        <v>78.337512545049094</v>
      </c>
      <c r="AN2545">
        <v>1.00000001088587</v>
      </c>
    </row>
    <row r="2546" spans="1:40" x14ac:dyDescent="0.3">
      <c r="A2546" t="str">
        <f>"20200111153926285"</f>
        <v>20200111153926285</v>
      </c>
      <c r="B2546" t="str">
        <f>"1578728366273844"</f>
        <v>1578728366273844</v>
      </c>
      <c r="C2546" t="s">
        <v>40</v>
      </c>
      <c r="D2546">
        <v>5.0755439999999998</v>
      </c>
      <c r="E2546">
        <v>0.59601300000000001</v>
      </c>
      <c r="F2546" t="s">
        <v>62</v>
      </c>
      <c r="G2546">
        <v>-285.00259999999997</v>
      </c>
      <c r="H2546" s="1">
        <v>-6.4846279999999996E-6</v>
      </c>
      <c r="I2546">
        <v>141.59610000000001</v>
      </c>
      <c r="J2546">
        <v>-203.69210000000001</v>
      </c>
      <c r="K2546">
        <v>1.0926039999999999</v>
      </c>
      <c r="L2546">
        <v>143.86799999999999</v>
      </c>
      <c r="M2546">
        <v>-0.87817000000000001</v>
      </c>
      <c r="N2546">
        <v>0</v>
      </c>
      <c r="O2546">
        <v>-0.47825810000000002</v>
      </c>
      <c r="P2546">
        <v>-0.95503490000000002</v>
      </c>
      <c r="Q2546">
        <v>2.5564139999999999E-2</v>
      </c>
      <c r="R2546">
        <v>-0.29539019999999999</v>
      </c>
      <c r="S2546">
        <v>-3.12323</v>
      </c>
      <c r="T2546">
        <v>-4.1834349999999999E-2</v>
      </c>
      <c r="U2546">
        <v>-9.2025759999999998E-2</v>
      </c>
      <c r="V2546">
        <v>0.1982179</v>
      </c>
      <c r="W2546">
        <v>2.9392129999999999E-2</v>
      </c>
      <c r="X2546">
        <v>0.97971719999999896</v>
      </c>
      <c r="Y2546">
        <v>0.45212590000000002</v>
      </c>
      <c r="Z2546">
        <v>9.2130400000000005E-3</v>
      </c>
      <c r="AA2546">
        <v>0.89190659999999899</v>
      </c>
      <c r="AB2546">
        <v>29</v>
      </c>
      <c r="AC2546">
        <v>-81.310499999999905</v>
      </c>
      <c r="AD2546">
        <v>-1.092610484628</v>
      </c>
      <c r="AE2546">
        <v>-2.27189999999998</v>
      </c>
      <c r="AF2546">
        <v>36.887233704108702</v>
      </c>
      <c r="AG2546">
        <v>-1.092610484628</v>
      </c>
      <c r="AH2546">
        <v>72.481059458291199</v>
      </c>
      <c r="AI2546">
        <v>90.769704680501604</v>
      </c>
      <c r="AJ2546">
        <v>63.027438067173897</v>
      </c>
      <c r="AK2546">
        <v>81.334898956161496</v>
      </c>
      <c r="AL2546">
        <v>88.315712453328899</v>
      </c>
      <c r="AM2546">
        <v>78.562225897219193</v>
      </c>
      <c r="AN2546">
        <v>1.0000000125810899</v>
      </c>
    </row>
    <row r="2547" spans="1:40" x14ac:dyDescent="0.3">
      <c r="A2547" t="str">
        <f>"20200111153926308"</f>
        <v>20200111153926308</v>
      </c>
      <c r="B2547" t="str">
        <f>"1578728366303124"</f>
        <v>1578728366303124</v>
      </c>
      <c r="C2547" t="s">
        <v>40</v>
      </c>
      <c r="D2547">
        <v>5.1348200000000004</v>
      </c>
      <c r="E2547">
        <v>0.59285129999999997</v>
      </c>
      <c r="F2547" t="s">
        <v>42</v>
      </c>
      <c r="G2547">
        <v>-230.6113</v>
      </c>
      <c r="H2547" s="1">
        <v>-4.5777140000000002E-6</v>
      </c>
      <c r="I2547">
        <v>142.4897</v>
      </c>
      <c r="J2547">
        <v>-203.9631</v>
      </c>
      <c r="K2547">
        <v>1.0925849999999999</v>
      </c>
      <c r="L2547">
        <v>143.73670000000001</v>
      </c>
      <c r="M2547">
        <v>-0.88513180000000002</v>
      </c>
      <c r="N2547">
        <v>0</v>
      </c>
      <c r="O2547">
        <v>-0.4652539</v>
      </c>
      <c r="P2547">
        <v>-0.95834920000000001</v>
      </c>
      <c r="Q2547">
        <v>2.5939899999999998E-2</v>
      </c>
      <c r="R2547">
        <v>-0.28441949999999999</v>
      </c>
      <c r="S2547">
        <v>-3.095596</v>
      </c>
      <c r="T2547">
        <v>-0.1256456</v>
      </c>
      <c r="U2547">
        <v>-0.15849299999999999</v>
      </c>
      <c r="V2547">
        <v>0.19499549999999999</v>
      </c>
      <c r="W2547">
        <v>2.953416E-2</v>
      </c>
      <c r="X2547">
        <v>0.98035939999999999</v>
      </c>
      <c r="Y2547">
        <v>0.41870479999999999</v>
      </c>
      <c r="Z2547">
        <v>2.6722530000000001E-2</v>
      </c>
      <c r="AA2547">
        <v>0.90772909999999996</v>
      </c>
      <c r="AB2547">
        <v>29</v>
      </c>
      <c r="AC2547">
        <v>-26.648199999999999</v>
      </c>
      <c r="AD2547">
        <v>-1.092589577714</v>
      </c>
      <c r="AE2547">
        <v>-1.2470000000000101</v>
      </c>
      <c r="AF2547">
        <v>11.2759603439073</v>
      </c>
      <c r="AG2547">
        <v>-1.092589577714</v>
      </c>
      <c r="AH2547">
        <v>24.127842428818301</v>
      </c>
      <c r="AI2547">
        <v>92.349206670056702</v>
      </c>
      <c r="AJ2547">
        <v>64.951328582954304</v>
      </c>
      <c r="AK2547">
        <v>26.655089831636001</v>
      </c>
      <c r="AL2547">
        <v>88.307571233023907</v>
      </c>
      <c r="AM2547">
        <v>78.750568329407301</v>
      </c>
      <c r="AN2547">
        <v>1.00000003239775</v>
      </c>
    </row>
    <row r="2548" spans="1:40" x14ac:dyDescent="0.3">
      <c r="A2548" t="str">
        <f>"20200111153926329"</f>
        <v>20200111153926329</v>
      </c>
      <c r="B2548" t="str">
        <f>"1578728366323620"</f>
        <v>1578728366323620</v>
      </c>
      <c r="C2548" t="s">
        <v>40</v>
      </c>
      <c r="D2548">
        <v>5.1683779999999997</v>
      </c>
      <c r="E2548">
        <v>0.59174040000000006</v>
      </c>
      <c r="F2548" t="s">
        <v>42</v>
      </c>
      <c r="G2548">
        <v>-231.518</v>
      </c>
      <c r="H2548" s="1">
        <v>-4.2577699999999997E-6</v>
      </c>
      <c r="I2548">
        <v>142.42570000000001</v>
      </c>
      <c r="J2548">
        <v>-204.2175</v>
      </c>
      <c r="K2548">
        <v>1.092573</v>
      </c>
      <c r="L2548">
        <v>143.61760000000001</v>
      </c>
      <c r="M2548">
        <v>-0.89138200000000001</v>
      </c>
      <c r="N2548">
        <v>0</v>
      </c>
      <c r="O2548">
        <v>-0.4531695</v>
      </c>
      <c r="P2548">
        <v>-0.96114370000000005</v>
      </c>
      <c r="Q2548">
        <v>2.6390340000000002E-2</v>
      </c>
      <c r="R2548">
        <v>-0.27478469999999999</v>
      </c>
      <c r="S2548">
        <v>-3.0900880000000002</v>
      </c>
      <c r="T2548">
        <v>-0.12252589999999999</v>
      </c>
      <c r="U2548">
        <v>-0.14701839999999999</v>
      </c>
      <c r="V2548">
        <v>0.1914959</v>
      </c>
      <c r="W2548">
        <v>2.980441E-2</v>
      </c>
      <c r="X2548">
        <v>0.98104080000000005</v>
      </c>
      <c r="Y2548">
        <v>0.40965869999999999</v>
      </c>
      <c r="Z2548">
        <v>2.5502799999999999E-2</v>
      </c>
      <c r="AA2548">
        <v>0.91188230000000003</v>
      </c>
      <c r="AB2548">
        <v>29</v>
      </c>
      <c r="AC2548">
        <v>-27.3005</v>
      </c>
      <c r="AD2548">
        <v>-1.0925772577699999</v>
      </c>
      <c r="AE2548">
        <v>-1.1919</v>
      </c>
      <c r="AF2548">
        <v>11.291692128990199</v>
      </c>
      <c r="AG2548">
        <v>-1.0925772577699999</v>
      </c>
      <c r="AH2548">
        <v>24.836543182087699</v>
      </c>
      <c r="AI2548">
        <v>92.293255209273298</v>
      </c>
      <c r="AJ2548">
        <v>65.551544170106993</v>
      </c>
      <c r="AK2548">
        <v>27.304759904379399</v>
      </c>
      <c r="AL2548">
        <v>88.292080203013398</v>
      </c>
      <c r="AM2548">
        <v>78.954935668084204</v>
      </c>
      <c r="AN2548">
        <v>1.00000001691844</v>
      </c>
    </row>
    <row r="2549" spans="1:40" x14ac:dyDescent="0.3">
      <c r="A2549" t="str">
        <f>"20200111153926351"</f>
        <v>20200111153926351</v>
      </c>
      <c r="B2549" t="str">
        <f>"1578728366343140"</f>
        <v>1578728366343140</v>
      </c>
      <c r="C2549" t="s">
        <v>40</v>
      </c>
      <c r="D2549">
        <v>5.2113459999999998</v>
      </c>
      <c r="E2549">
        <v>0.59043999999999996</v>
      </c>
      <c r="F2549" t="s">
        <v>42</v>
      </c>
      <c r="G2549">
        <v>-229.5865</v>
      </c>
      <c r="H2549" s="1">
        <v>-9.5182110000000003E-7</v>
      </c>
      <c r="I2549">
        <v>142.5933</v>
      </c>
      <c r="J2549">
        <v>-204.49760000000001</v>
      </c>
      <c r="K2549">
        <v>1.0925670000000001</v>
      </c>
      <c r="L2549">
        <v>143.49100000000001</v>
      </c>
      <c r="M2549">
        <v>-0.89795669999999905</v>
      </c>
      <c r="N2549">
        <v>0</v>
      </c>
      <c r="O2549">
        <v>-0.4400038</v>
      </c>
      <c r="P2549">
        <v>-0.96420260000000002</v>
      </c>
      <c r="Q2549">
        <v>2.665501E-2</v>
      </c>
      <c r="R2549">
        <v>-0.26382410000000001</v>
      </c>
      <c r="S2549">
        <v>-3.089264</v>
      </c>
      <c r="T2549">
        <v>-0.1330462</v>
      </c>
      <c r="U2549">
        <v>-0.1247253</v>
      </c>
      <c r="V2549">
        <v>0.188222</v>
      </c>
      <c r="W2549">
        <v>2.988497E-2</v>
      </c>
      <c r="X2549">
        <v>0.98167179999999998</v>
      </c>
      <c r="Y2549">
        <v>0.40268090000000001</v>
      </c>
      <c r="Z2549">
        <v>2.7046850000000001E-2</v>
      </c>
      <c r="AA2549">
        <v>0.91494070000000005</v>
      </c>
      <c r="AB2549">
        <v>29</v>
      </c>
      <c r="AC2549">
        <v>-25.088899999999899</v>
      </c>
      <c r="AD2549">
        <v>-1.0925679518211</v>
      </c>
      <c r="AE2549">
        <v>-0.89770000000001404</v>
      </c>
      <c r="AF2549">
        <v>10.2141304639828</v>
      </c>
      <c r="AG2549">
        <v>-1.0925679518211</v>
      </c>
      <c r="AH2549">
        <v>22.881207647717499</v>
      </c>
      <c r="AI2549">
        <v>92.496654329989497</v>
      </c>
      <c r="AJ2549">
        <v>65.944100382175407</v>
      </c>
      <c r="AK2549">
        <v>25.081304377615101</v>
      </c>
      <c r="AL2549">
        <v>88.287462502402093</v>
      </c>
      <c r="AM2549">
        <v>79.146053781015794</v>
      </c>
      <c r="AN2549">
        <v>1.00000007781556</v>
      </c>
    </row>
    <row r="2550" spans="1:40" x14ac:dyDescent="0.3">
      <c r="A2550" t="str">
        <f>"20200111153926374"</f>
        <v>20200111153926374</v>
      </c>
      <c r="B2550" t="str">
        <f>"1578728366363636"</f>
        <v>1578728366363636</v>
      </c>
      <c r="C2550" t="s">
        <v>40</v>
      </c>
      <c r="D2550">
        <v>5.2262259999999996</v>
      </c>
      <c r="E2550">
        <v>0.5829088</v>
      </c>
      <c r="F2550" t="s">
        <v>42</v>
      </c>
      <c r="G2550">
        <v>-228.041</v>
      </c>
      <c r="H2550" s="1">
        <v>-1.651284E-6</v>
      </c>
      <c r="I2550">
        <v>142.7304</v>
      </c>
      <c r="J2550">
        <v>-204.77709999999999</v>
      </c>
      <c r="K2550">
        <v>1.092571</v>
      </c>
      <c r="L2550">
        <v>143.36920000000001</v>
      </c>
      <c r="M2550">
        <v>-0.90420529999999999</v>
      </c>
      <c r="N2550">
        <v>0</v>
      </c>
      <c r="O2550">
        <v>-0.42702099999999998</v>
      </c>
      <c r="P2550">
        <v>-0.96706400000000003</v>
      </c>
      <c r="Q2550">
        <v>2.6539980000000001E-2</v>
      </c>
      <c r="R2550">
        <v>-0.25314730000000002</v>
      </c>
      <c r="S2550">
        <v>-3.088028</v>
      </c>
      <c r="T2550">
        <v>-0.14330470000000001</v>
      </c>
      <c r="U2550">
        <v>-9.9761959999999997E-2</v>
      </c>
      <c r="V2550">
        <v>0.18492020000000001</v>
      </c>
      <c r="W2550">
        <v>2.9618530000000001E-2</v>
      </c>
      <c r="X2550">
        <v>0.98230709999999999</v>
      </c>
      <c r="Y2550">
        <v>0.39675579999999999</v>
      </c>
      <c r="Z2550">
        <v>2.846802E-2</v>
      </c>
      <c r="AA2550">
        <v>0.91748260000000004</v>
      </c>
      <c r="AB2550">
        <v>29</v>
      </c>
      <c r="AC2550">
        <v>-23.2639</v>
      </c>
      <c r="AD2550">
        <v>-1.0925726512839999</v>
      </c>
      <c r="AE2550">
        <v>-0.63880000000000303</v>
      </c>
      <c r="AF2550">
        <v>9.3362984895531191</v>
      </c>
      <c r="AG2550">
        <v>-1.0925726512839999</v>
      </c>
      <c r="AH2550">
        <v>21.261963192995299</v>
      </c>
      <c r="AI2550">
        <v>92.693783787272096</v>
      </c>
      <c r="AJ2550">
        <v>66.293337006122997</v>
      </c>
      <c r="AK2550">
        <v>23.2471775341578</v>
      </c>
      <c r="AL2550">
        <v>88.302734997519494</v>
      </c>
      <c r="AM2550">
        <v>79.338787909632003</v>
      </c>
      <c r="AN2550">
        <v>0.99999998819890501</v>
      </c>
    </row>
    <row r="2551" spans="1:40" x14ac:dyDescent="0.3">
      <c r="A2551" t="str">
        <f>"20200111153926397"</f>
        <v>20200111153926397</v>
      </c>
      <c r="B2551" t="str">
        <f>"1578728366392917"</f>
        <v>1578728366392917</v>
      </c>
      <c r="C2551" t="s">
        <v>40</v>
      </c>
      <c r="D2551">
        <v>5.2729980000000003</v>
      </c>
      <c r="E2551">
        <v>0.58029010000000003</v>
      </c>
      <c r="F2551" t="s">
        <v>42</v>
      </c>
      <c r="G2551">
        <v>-221.6328</v>
      </c>
      <c r="H2551" s="1">
        <v>-4.2645859999999998E-6</v>
      </c>
      <c r="I2551">
        <v>142.6842</v>
      </c>
      <c r="J2551">
        <v>-205.05090000000001</v>
      </c>
      <c r="K2551">
        <v>1.092587</v>
      </c>
      <c r="L2551">
        <v>143.25470000000001</v>
      </c>
      <c r="M2551">
        <v>-0.91002260000000001</v>
      </c>
      <c r="N2551">
        <v>0</v>
      </c>
      <c r="O2551">
        <v>-0.41448309999999999</v>
      </c>
      <c r="P2551">
        <v>-0.96965939999999995</v>
      </c>
      <c r="Q2551">
        <v>2.6488069999999999E-2</v>
      </c>
      <c r="R2551">
        <v>-0.24302070000000001</v>
      </c>
      <c r="S2551">
        <v>-3.0749050000000002</v>
      </c>
      <c r="T2551">
        <v>-0.1993142</v>
      </c>
      <c r="U2551">
        <v>-0.1249542</v>
      </c>
      <c r="V2551">
        <v>0.18160490000000001</v>
      </c>
      <c r="W2551">
        <v>2.9452659999999999E-2</v>
      </c>
      <c r="X2551">
        <v>0.98293039999999998</v>
      </c>
      <c r="Y2551">
        <v>0.37559569999999998</v>
      </c>
      <c r="Z2551">
        <v>3.829515E-2</v>
      </c>
      <c r="AA2551">
        <v>0.92599209999999998</v>
      </c>
      <c r="AB2551">
        <v>29</v>
      </c>
      <c r="AC2551">
        <v>-16.581899999999901</v>
      </c>
      <c r="AD2551">
        <v>-1.0925912645860001</v>
      </c>
      <c r="AE2551">
        <v>-0.570500000000009</v>
      </c>
      <c r="AF2551">
        <v>6.3265138590004097</v>
      </c>
      <c r="AG2551">
        <v>-1.0925912645860001</v>
      </c>
      <c r="AH2551">
        <v>15.2606693673963</v>
      </c>
      <c r="AI2551">
        <v>93.783871463353705</v>
      </c>
      <c r="AJ2551">
        <v>67.482896893852796</v>
      </c>
      <c r="AK2551">
        <v>16.5561638920543</v>
      </c>
      <c r="AL2551">
        <v>88.312242791274699</v>
      </c>
      <c r="AM2551">
        <v>79.532152803865799</v>
      </c>
      <c r="AN2551">
        <v>0.99999998506462195</v>
      </c>
    </row>
    <row r="2552" spans="1:40" x14ac:dyDescent="0.3">
      <c r="A2552" t="str">
        <f>"20200111153926419"</f>
        <v>20200111153926419</v>
      </c>
      <c r="B2552" t="str">
        <f>"1578728366413412"</f>
        <v>1578728366413412</v>
      </c>
      <c r="C2552" t="s">
        <v>40</v>
      </c>
      <c r="D2552">
        <v>5.2867179999999996</v>
      </c>
      <c r="E2552">
        <v>0.57933959999999995</v>
      </c>
      <c r="F2552" t="s">
        <v>42</v>
      </c>
      <c r="G2552">
        <v>-220.5949</v>
      </c>
      <c r="H2552" s="1">
        <v>-4.6171750000000004E-6</v>
      </c>
      <c r="I2552">
        <v>142.6808</v>
      </c>
      <c r="J2552">
        <v>-205.3252</v>
      </c>
      <c r="K2552">
        <v>1.0926</v>
      </c>
      <c r="L2552">
        <v>143.14410000000001</v>
      </c>
      <c r="M2552">
        <v>-0.91557100000000002</v>
      </c>
      <c r="N2552">
        <v>0</v>
      </c>
      <c r="O2552">
        <v>-0.40208270000000002</v>
      </c>
      <c r="P2552">
        <v>-0.97209840000000003</v>
      </c>
      <c r="Q2552">
        <v>2.6123420000000001E-2</v>
      </c>
      <c r="R2552">
        <v>-0.23311519999999999</v>
      </c>
      <c r="S2552">
        <v>-3.0713200000000001</v>
      </c>
      <c r="T2552">
        <v>-0.2158852</v>
      </c>
      <c r="U2552">
        <v>-0.11338810000000001</v>
      </c>
      <c r="V2552">
        <v>0.17826500000000001</v>
      </c>
      <c r="W2552">
        <v>2.8999380000000002E-2</v>
      </c>
      <c r="X2552">
        <v>0.98355510000000002</v>
      </c>
      <c r="Y2552">
        <v>0.3661991</v>
      </c>
      <c r="Z2552">
        <v>4.0394699999999902E-2</v>
      </c>
      <c r="AA2552">
        <v>0.92965929999999997</v>
      </c>
      <c r="AB2552">
        <v>29</v>
      </c>
      <c r="AC2552">
        <v>-15.2697</v>
      </c>
      <c r="AD2552">
        <v>-1.0926046171749999</v>
      </c>
      <c r="AE2552">
        <v>-0.46330000000000299</v>
      </c>
      <c r="AF2552">
        <v>5.68657929963131</v>
      </c>
      <c r="AG2552">
        <v>-1.0926046171749999</v>
      </c>
      <c r="AH2552">
        <v>14.095099377554201</v>
      </c>
      <c r="AI2552">
        <v>94.111731744130196</v>
      </c>
      <c r="AJ2552">
        <v>68.0286974892974</v>
      </c>
      <c r="AK2552">
        <v>15.238201844167699</v>
      </c>
      <c r="AL2552">
        <v>88.338224953953102</v>
      </c>
      <c r="AM2552">
        <v>79.726915372233705</v>
      </c>
      <c r="AN2552">
        <v>1.00000000450069</v>
      </c>
    </row>
    <row r="2553" spans="1:40" x14ac:dyDescent="0.3">
      <c r="A2553" t="str">
        <f>"20200111153926442"</f>
        <v>20200111153926442</v>
      </c>
      <c r="B2553" t="str">
        <f>"1578728366432933"</f>
        <v>1578728366432933</v>
      </c>
      <c r="C2553" t="s">
        <v>40</v>
      </c>
      <c r="D2553">
        <v>5.2899010000000004</v>
      </c>
      <c r="E2553">
        <v>0.57825029999999999</v>
      </c>
      <c r="F2553" t="s">
        <v>42</v>
      </c>
      <c r="G2553">
        <v>-220.66079999999999</v>
      </c>
      <c r="H2553" s="1">
        <v>-4.5976919999999998E-6</v>
      </c>
      <c r="I2553">
        <v>142.69749999999999</v>
      </c>
      <c r="J2553">
        <v>-205.6283</v>
      </c>
      <c r="K2553">
        <v>1.092635</v>
      </c>
      <c r="L2553">
        <v>143.0266</v>
      </c>
      <c r="M2553">
        <v>-0.92139850000000001</v>
      </c>
      <c r="N2553">
        <v>0</v>
      </c>
      <c r="O2553">
        <v>-0.38854699999999998</v>
      </c>
      <c r="P2553">
        <v>-0.97484890000000002</v>
      </c>
      <c r="Q2553">
        <v>2.6107999999999999E-2</v>
      </c>
      <c r="R2553">
        <v>-0.2213338</v>
      </c>
      <c r="S2553">
        <v>-3.070541</v>
      </c>
      <c r="T2553">
        <v>-0.21876509999999999</v>
      </c>
      <c r="U2553">
        <v>-8.9401250000000002E-2</v>
      </c>
      <c r="V2553">
        <v>0.17566470000000001</v>
      </c>
      <c r="W2553">
        <v>2.8879740000000001E-2</v>
      </c>
      <c r="X2553">
        <v>0.98402639999999997</v>
      </c>
      <c r="Y2553">
        <v>0.35972720000000002</v>
      </c>
      <c r="Z2553">
        <v>3.9833470000000003E-2</v>
      </c>
      <c r="AA2553">
        <v>0.93220689999999995</v>
      </c>
      <c r="AB2553">
        <v>30</v>
      </c>
      <c r="AC2553">
        <v>-15.032500000000001</v>
      </c>
      <c r="AD2553">
        <v>-1.092639597692</v>
      </c>
      <c r="AE2553">
        <v>-0.32910000000001099</v>
      </c>
      <c r="AF2553">
        <v>5.50866661197011</v>
      </c>
      <c r="AG2553">
        <v>-1.092639597692</v>
      </c>
      <c r="AH2553">
        <v>13.9057546815568</v>
      </c>
      <c r="AI2553">
        <v>94.178119407016098</v>
      </c>
      <c r="AJ2553">
        <v>68.389354713287204</v>
      </c>
      <c r="AK2553">
        <v>14.996975774999401</v>
      </c>
      <c r="AL2553">
        <v>88.345082753768096</v>
      </c>
      <c r="AM2553">
        <v>79.878392334999106</v>
      </c>
      <c r="AN2553">
        <v>1.0000000410527501</v>
      </c>
    </row>
    <row r="2554" spans="1:40" x14ac:dyDescent="0.3">
      <c r="A2554" t="str">
        <f>"20200111153926465"</f>
        <v>20200111153926465</v>
      </c>
      <c r="B2554" t="str">
        <f>"1578728366453429"</f>
        <v>1578728366453429</v>
      </c>
      <c r="C2554" t="s">
        <v>40</v>
      </c>
      <c r="D2554">
        <v>5.3111110000000004</v>
      </c>
      <c r="E2554">
        <v>0.57094369999999905</v>
      </c>
      <c r="F2554" t="s">
        <v>42</v>
      </c>
      <c r="G2554">
        <v>-220.47370000000001</v>
      </c>
      <c r="H2554" s="1">
        <v>-4.667706E-6</v>
      </c>
      <c r="I2554">
        <v>142.73330000000001</v>
      </c>
      <c r="J2554">
        <v>-205.91210000000001</v>
      </c>
      <c r="K2554">
        <v>1.0926610000000001</v>
      </c>
      <c r="L2554">
        <v>142.92089999999999</v>
      </c>
      <c r="M2554">
        <v>-0.92657690000000004</v>
      </c>
      <c r="N2554">
        <v>0</v>
      </c>
      <c r="O2554">
        <v>-0.37603399999999998</v>
      </c>
      <c r="P2554">
        <v>-0.97721139999999995</v>
      </c>
      <c r="Q2554">
        <v>2.5803409999999999E-2</v>
      </c>
      <c r="R2554">
        <v>-0.2106951</v>
      </c>
      <c r="S2554">
        <v>-3.0696870000000001</v>
      </c>
      <c r="T2554">
        <v>-0.2259331</v>
      </c>
      <c r="U2554">
        <v>-6.063843E-2</v>
      </c>
      <c r="V2554">
        <v>0.1730517</v>
      </c>
      <c r="W2554">
        <v>2.8502240000000002E-2</v>
      </c>
      <c r="X2554">
        <v>0.98450020000000005</v>
      </c>
      <c r="Y2554">
        <v>0.3557342</v>
      </c>
      <c r="Z2554">
        <v>4.0156940000000002E-2</v>
      </c>
      <c r="AA2554">
        <v>0.933724</v>
      </c>
      <c r="AB2554">
        <v>30</v>
      </c>
      <c r="AC2554">
        <v>-14.5616</v>
      </c>
      <c r="AD2554">
        <v>-1.092665667706</v>
      </c>
      <c r="AE2554">
        <v>-0.18759999999997401</v>
      </c>
      <c r="AF2554">
        <v>5.2722918150084297</v>
      </c>
      <c r="AG2554">
        <v>-1.092665667706</v>
      </c>
      <c r="AH2554">
        <v>13.487420238027299</v>
      </c>
      <c r="AI2554">
        <v>94.314999243205406</v>
      </c>
      <c r="AJ2554">
        <v>68.649253266509305</v>
      </c>
      <c r="AK2554">
        <v>14.522447587136799</v>
      </c>
      <c r="AL2554">
        <v>88.366720678881805</v>
      </c>
      <c r="AM2554">
        <v>80.030608946712505</v>
      </c>
      <c r="AN2554">
        <v>0.99999995617897197</v>
      </c>
    </row>
    <row r="2555" spans="1:40" x14ac:dyDescent="0.3">
      <c r="A2555" t="str">
        <f>"20200111153926487"</f>
        <v>20200111153926487</v>
      </c>
      <c r="B2555" t="str">
        <f>"1578728366483685"</f>
        <v>1578728366483685</v>
      </c>
      <c r="C2555" t="s">
        <v>40</v>
      </c>
      <c r="D2555">
        <v>5.2814019999999999</v>
      </c>
      <c r="E2555">
        <v>0.56905660000000002</v>
      </c>
      <c r="F2555" t="s">
        <v>42</v>
      </c>
      <c r="G2555">
        <v>-219.1874</v>
      </c>
      <c r="H2555" s="1">
        <v>-1.146626E-6</v>
      </c>
      <c r="I2555">
        <v>142.55549999999999</v>
      </c>
      <c r="J2555">
        <v>-206.19820000000001</v>
      </c>
      <c r="K2555">
        <v>1.0926929999999999</v>
      </c>
      <c r="L2555">
        <v>142.8184</v>
      </c>
      <c r="M2555">
        <v>-0.93153379999999997</v>
      </c>
      <c r="N2555">
        <v>0</v>
      </c>
      <c r="O2555">
        <v>-0.3635835</v>
      </c>
      <c r="P2555">
        <v>-0.97946100000000003</v>
      </c>
      <c r="Q2555">
        <v>2.4937359999999999E-2</v>
      </c>
      <c r="R2555">
        <v>-0.20008609999999999</v>
      </c>
      <c r="S2555">
        <v>-3.0584560000000001</v>
      </c>
      <c r="T2555">
        <v>-0.25173410000000002</v>
      </c>
      <c r="U2555">
        <v>-8.4167480000000003E-2</v>
      </c>
      <c r="V2555">
        <v>0.1705121</v>
      </c>
      <c r="W2555">
        <v>2.7578020000000002E-2</v>
      </c>
      <c r="X2555">
        <v>0.9849696</v>
      </c>
      <c r="Y2555">
        <v>0.33551619999999999</v>
      </c>
      <c r="Z2555">
        <v>4.308497E-2</v>
      </c>
      <c r="AA2555">
        <v>0.94104869999999996</v>
      </c>
      <c r="AB2555">
        <v>30</v>
      </c>
      <c r="AC2555">
        <v>-12.989199999999901</v>
      </c>
      <c r="AD2555">
        <v>-1.0926941466260001</v>
      </c>
      <c r="AE2555">
        <v>-0.26290000000000102</v>
      </c>
      <c r="AF2555">
        <v>4.4464213569436799</v>
      </c>
      <c r="AG2555">
        <v>-1.0926941466260001</v>
      </c>
      <c r="AH2555">
        <v>12.1101160326571</v>
      </c>
      <c r="AI2555">
        <v>94.841454473611506</v>
      </c>
      <c r="AJ2555">
        <v>69.8384878011517</v>
      </c>
      <c r="AK2555">
        <v>12.946797044287599</v>
      </c>
      <c r="AL2555">
        <v>88.419695516199994</v>
      </c>
      <c r="AM2555">
        <v>80.178632704347905</v>
      </c>
      <c r="AN2555">
        <v>1.00000001817884</v>
      </c>
    </row>
    <row r="2556" spans="1:40" x14ac:dyDescent="0.3">
      <c r="A2556" t="str">
        <f>"20200111153926509"</f>
        <v>20200111153926509</v>
      </c>
      <c r="B2556" t="str">
        <f>"1578728366503204"</f>
        <v>1578728366503204</v>
      </c>
      <c r="C2556" t="s">
        <v>40</v>
      </c>
      <c r="D2556">
        <v>5.334085</v>
      </c>
      <c r="E2556">
        <v>0.56769130000000001</v>
      </c>
      <c r="F2556" t="s">
        <v>42</v>
      </c>
      <c r="G2556">
        <v>-219.00460000000001</v>
      </c>
      <c r="H2556" s="1">
        <v>-1.230127E-6</v>
      </c>
      <c r="I2556">
        <v>142.5446</v>
      </c>
      <c r="J2556">
        <v>-206.47389999999999</v>
      </c>
      <c r="K2556">
        <v>1.09273</v>
      </c>
      <c r="L2556">
        <v>142.7235</v>
      </c>
      <c r="M2556">
        <v>-0.93606480000000003</v>
      </c>
      <c r="N2556">
        <v>0</v>
      </c>
      <c r="O2556">
        <v>-0.35175679999999998</v>
      </c>
      <c r="P2556">
        <v>-0.98151699999999997</v>
      </c>
      <c r="Q2556">
        <v>2.35327E-2</v>
      </c>
      <c r="R2556">
        <v>-0.18992400000000001</v>
      </c>
      <c r="S2556">
        <v>-3.056168</v>
      </c>
      <c r="T2556">
        <v>-0.26076439999999901</v>
      </c>
      <c r="U2556">
        <v>-6.5353389999999997E-2</v>
      </c>
      <c r="V2556">
        <v>0.16821449999999999</v>
      </c>
      <c r="W2556">
        <v>2.6128479999999999E-2</v>
      </c>
      <c r="X2556">
        <v>0.98540410000000001</v>
      </c>
      <c r="Y2556">
        <v>0.32924599999999998</v>
      </c>
      <c r="Z2556">
        <v>4.34521E-2</v>
      </c>
      <c r="AA2556">
        <v>0.94324390000000002</v>
      </c>
      <c r="AB2556">
        <v>30</v>
      </c>
      <c r="AC2556">
        <v>-12.5307</v>
      </c>
      <c r="AD2556">
        <v>-1.092731230127</v>
      </c>
      <c r="AE2556">
        <v>-0.17889999999999801</v>
      </c>
      <c r="AF2556">
        <v>4.2084059238848397</v>
      </c>
      <c r="AG2556">
        <v>-1.092731230127</v>
      </c>
      <c r="AH2556">
        <v>11.7037859776009</v>
      </c>
      <c r="AI2556">
        <v>95.021022135188304</v>
      </c>
      <c r="AJ2556">
        <v>70.222609446967496</v>
      </c>
      <c r="AK2556">
        <v>12.485325312981301</v>
      </c>
      <c r="AL2556">
        <v>88.502778021426295</v>
      </c>
      <c r="AM2556">
        <v>80.312638562795598</v>
      </c>
      <c r="AN2556">
        <v>1.00000002788708</v>
      </c>
    </row>
    <row r="2557" spans="1:40" x14ac:dyDescent="0.3">
      <c r="A2557" t="str">
        <f>"20200111153926531"</f>
        <v>20200111153926531</v>
      </c>
      <c r="B2557" t="str">
        <f>"1578728366523701"</f>
        <v>1578728366523701</v>
      </c>
      <c r="C2557" t="s">
        <v>40</v>
      </c>
      <c r="D2557">
        <v>5.124536</v>
      </c>
      <c r="E2557">
        <v>0.56742219999999999</v>
      </c>
      <c r="F2557" t="s">
        <v>42</v>
      </c>
      <c r="G2557">
        <v>-219.13589999999999</v>
      </c>
      <c r="H2557" s="1">
        <v>-1.167398E-6</v>
      </c>
      <c r="I2557">
        <v>142.542</v>
      </c>
      <c r="J2557">
        <v>-206.77610000000001</v>
      </c>
      <c r="K2557">
        <v>1.092776</v>
      </c>
      <c r="L2557">
        <v>142.62360000000001</v>
      </c>
      <c r="M2557">
        <v>-0.94076820000000005</v>
      </c>
      <c r="N2557">
        <v>0</v>
      </c>
      <c r="O2557">
        <v>-0.33897969999999999</v>
      </c>
      <c r="P2557">
        <v>-0.98363409999999996</v>
      </c>
      <c r="Q2557">
        <v>2.202438E-2</v>
      </c>
      <c r="R2557">
        <v>-0.17882609999999999</v>
      </c>
      <c r="S2557">
        <v>-3.0543369999999999</v>
      </c>
      <c r="T2557">
        <v>-0.26358939999999997</v>
      </c>
      <c r="U2557">
        <v>-4.3777469999999999E-2</v>
      </c>
      <c r="V2557">
        <v>0.16589229999999899</v>
      </c>
      <c r="W2557">
        <v>2.4581639999999998E-2</v>
      </c>
      <c r="X2557">
        <v>0.98583750000000003</v>
      </c>
      <c r="Y2557">
        <v>0.32305139999999999</v>
      </c>
      <c r="Z2557">
        <v>4.2648159999999997E-2</v>
      </c>
      <c r="AA2557">
        <v>0.94542000000000004</v>
      </c>
      <c r="AB2557">
        <v>30</v>
      </c>
      <c r="AC2557">
        <v>-12.3597999999999</v>
      </c>
      <c r="AD2557">
        <v>-1.092777167398</v>
      </c>
      <c r="AE2557">
        <v>-8.1600000000008693E-2</v>
      </c>
      <c r="AF2557">
        <v>4.0811522434588401</v>
      </c>
      <c r="AG2557">
        <v>-1.092777167398</v>
      </c>
      <c r="AH2557">
        <v>11.5652453993431</v>
      </c>
      <c r="AI2557">
        <v>95.091778104061703</v>
      </c>
      <c r="AJ2557">
        <v>70.563044908772298</v>
      </c>
      <c r="AK2557">
        <v>12.3127928074382</v>
      </c>
      <c r="AL2557">
        <v>88.591433956635299</v>
      </c>
      <c r="AM2557">
        <v>80.448013132093095</v>
      </c>
      <c r="AN2557">
        <v>1.0000000443153101</v>
      </c>
    </row>
    <row r="2558" spans="1:40" x14ac:dyDescent="0.3">
      <c r="A2558" t="str">
        <f>"20200111153926554"</f>
        <v>20200111153926554</v>
      </c>
      <c r="B2558" t="str">
        <f>"1578728366543220"</f>
        <v>1578728366543220</v>
      </c>
      <c r="C2558" t="s">
        <v>40</v>
      </c>
      <c r="D2558">
        <v>5.1285920000000003</v>
      </c>
      <c r="E2558">
        <v>0.56677180000000005</v>
      </c>
      <c r="F2558" t="s">
        <v>42</v>
      </c>
      <c r="G2558">
        <v>-219.22980000000001</v>
      </c>
      <c r="H2558" s="1">
        <v>-1.13273E-6</v>
      </c>
      <c r="I2558">
        <v>142.57859999999999</v>
      </c>
      <c r="J2558">
        <v>-207.0806</v>
      </c>
      <c r="K2558">
        <v>1.0928310000000001</v>
      </c>
      <c r="L2558">
        <v>142.52709999999999</v>
      </c>
      <c r="M2558">
        <v>-0.94523820000000003</v>
      </c>
      <c r="N2558">
        <v>0</v>
      </c>
      <c r="O2558">
        <v>-0.3263103</v>
      </c>
      <c r="P2558">
        <v>-0.98547410000000002</v>
      </c>
      <c r="Q2558">
        <v>2.1028310000000001E-2</v>
      </c>
      <c r="R2558">
        <v>-0.168518899999999</v>
      </c>
      <c r="S2558">
        <v>-3.053925</v>
      </c>
      <c r="T2558">
        <v>-0.26797349999999998</v>
      </c>
      <c r="U2558">
        <v>-1.10321E-2</v>
      </c>
      <c r="V2558">
        <v>0.16294159999999999</v>
      </c>
      <c r="W2558">
        <v>2.3573899999999998E-2</v>
      </c>
      <c r="X2558">
        <v>0.98635410000000001</v>
      </c>
      <c r="Y2558">
        <v>0.32045210000000002</v>
      </c>
      <c r="Z2558">
        <v>4.2203850000000001E-2</v>
      </c>
      <c r="AA2558">
        <v>0.9463241</v>
      </c>
      <c r="AB2558">
        <v>30</v>
      </c>
      <c r="AC2558">
        <v>-12.1492</v>
      </c>
      <c r="AD2558">
        <v>-1.0928321327299999</v>
      </c>
      <c r="AE2558">
        <v>5.1500000000004299E-2</v>
      </c>
      <c r="AF2558">
        <v>3.9809716808441702</v>
      </c>
      <c r="AG2558">
        <v>-1.0928321327299999</v>
      </c>
      <c r="AH2558">
        <v>11.375310656701</v>
      </c>
      <c r="AI2558">
        <v>95.181292951163002</v>
      </c>
      <c r="AJ2558">
        <v>70.711690555876103</v>
      </c>
      <c r="AK2558">
        <v>12.1012441563033</v>
      </c>
      <c r="AL2558">
        <v>88.649189960123394</v>
      </c>
      <c r="AM2558">
        <v>80.619691497424498</v>
      </c>
      <c r="AN2558">
        <v>1.00000005217928</v>
      </c>
    </row>
    <row r="2559" spans="1:40" x14ac:dyDescent="0.3">
      <c r="A2559" t="str">
        <f>"20200111153926579"</f>
        <v>20200111153926579</v>
      </c>
      <c r="B2559" t="str">
        <f>"1578728366573476"</f>
        <v>1578728366573476</v>
      </c>
      <c r="C2559" t="s">
        <v>40</v>
      </c>
      <c r="D2559">
        <v>4.9730629999999998</v>
      </c>
      <c r="E2559">
        <v>0.56889829999999997</v>
      </c>
      <c r="F2559" t="s">
        <v>42</v>
      </c>
      <c r="G2559">
        <v>-222.92509999999999</v>
      </c>
      <c r="H2559" s="1">
        <v>-3.8122889999999998E-6</v>
      </c>
      <c r="I2559">
        <v>142.6138</v>
      </c>
      <c r="J2559">
        <v>-207.3972</v>
      </c>
      <c r="K2559">
        <v>1.092908</v>
      </c>
      <c r="L2559">
        <v>142.43170000000001</v>
      </c>
      <c r="M2559">
        <v>-0.94960250000000002</v>
      </c>
      <c r="N2559">
        <v>0</v>
      </c>
      <c r="O2559">
        <v>-0.31338569999999999</v>
      </c>
      <c r="P2559">
        <v>-0.98717650000000001</v>
      </c>
      <c r="Q2559">
        <v>2.1703320000000002E-2</v>
      </c>
      <c r="R2559">
        <v>-0.15815070000000001</v>
      </c>
      <c r="S2559">
        <v>-3.0515590000000001</v>
      </c>
      <c r="T2559">
        <v>-0.21047370000000001</v>
      </c>
      <c r="U2559">
        <v>1.6693119999999999E-2</v>
      </c>
      <c r="V2559">
        <v>0.15985869999999999</v>
      </c>
      <c r="W2559">
        <v>2.4249389999999999E-2</v>
      </c>
      <c r="X2559">
        <v>0.986842</v>
      </c>
      <c r="Y2559">
        <v>0.31710339999999998</v>
      </c>
      <c r="Z2559">
        <v>3.2237689999999999E-2</v>
      </c>
      <c r="AA2559">
        <v>0.94784290000000004</v>
      </c>
      <c r="AB2559">
        <v>30</v>
      </c>
      <c r="AC2559">
        <v>-15.527899999999899</v>
      </c>
      <c r="AD2559">
        <v>-1.092911812289</v>
      </c>
      <c r="AE2559">
        <v>0.18209999999999099</v>
      </c>
      <c r="AF2559">
        <v>5.01441916318735</v>
      </c>
      <c r="AG2559">
        <v>-1.092911812289</v>
      </c>
      <c r="AH2559">
        <v>14.616195107753899</v>
      </c>
      <c r="AI2559">
        <v>94.045650804709993</v>
      </c>
      <c r="AJ2559">
        <v>71.0642991395504</v>
      </c>
      <c r="AK2559">
        <v>15.491030153011399</v>
      </c>
      <c r="AL2559">
        <v>88.610476072617104</v>
      </c>
      <c r="AM2559">
        <v>80.798575836459705</v>
      </c>
      <c r="AN2559">
        <v>0.99999998492253095</v>
      </c>
    </row>
    <row r="2560" spans="1:40" x14ac:dyDescent="0.3">
      <c r="A2560" t="str">
        <f>"20200111153926598"</f>
        <v>20200111153926598</v>
      </c>
      <c r="B2560" t="str">
        <f>"1578728366592997"</f>
        <v>1578728366592997</v>
      </c>
      <c r="C2560" t="s">
        <v>40</v>
      </c>
      <c r="D2560">
        <v>5.1398440000000001</v>
      </c>
      <c r="E2560">
        <v>0.56807419999999997</v>
      </c>
      <c r="F2560" t="s">
        <v>42</v>
      </c>
      <c r="G2560">
        <v>-223.0599</v>
      </c>
      <c r="H2560" s="1">
        <v>-3.7935339999999999E-6</v>
      </c>
      <c r="I2560">
        <v>142.76669999999999</v>
      </c>
      <c r="J2560">
        <v>-207.6677</v>
      </c>
      <c r="K2560">
        <v>1.092978</v>
      </c>
      <c r="L2560">
        <v>142.3535</v>
      </c>
      <c r="M2560">
        <v>-0.95312399999999997</v>
      </c>
      <c r="N2560">
        <v>0</v>
      </c>
      <c r="O2560">
        <v>-0.30250850000000001</v>
      </c>
      <c r="P2560">
        <v>-0.98851869999999997</v>
      </c>
      <c r="Q2560">
        <v>2.297366E-2</v>
      </c>
      <c r="R2560">
        <v>-0.14934310000000001</v>
      </c>
      <c r="S2560">
        <v>-3.0541230000000001</v>
      </c>
      <c r="T2560">
        <v>-0.21310999999999999</v>
      </c>
      <c r="U2560">
        <v>6.532288E-2</v>
      </c>
      <c r="V2560">
        <v>0.1573908</v>
      </c>
      <c r="W2560">
        <v>2.5524060000000001E-2</v>
      </c>
      <c r="X2560">
        <v>0.98720649999999999</v>
      </c>
      <c r="Y2560">
        <v>0.32132650000000001</v>
      </c>
      <c r="Z2560">
        <v>3.2040529999999998E-2</v>
      </c>
      <c r="AA2560">
        <v>0.94642630000000005</v>
      </c>
      <c r="AB2560">
        <v>31</v>
      </c>
      <c r="AC2560">
        <v>-15.392200000000001</v>
      </c>
      <c r="AD2560">
        <v>-1.092981793534</v>
      </c>
      <c r="AE2560">
        <v>0.41319999999998902</v>
      </c>
      <c r="AF2560">
        <v>5.0248928522059702</v>
      </c>
      <c r="AG2560">
        <v>-1.092981793534</v>
      </c>
      <c r="AH2560">
        <v>14.473068972858201</v>
      </c>
      <c r="AI2560">
        <v>94.080618740473199</v>
      </c>
      <c r="AJ2560">
        <v>70.853552390009796</v>
      </c>
      <c r="AK2560">
        <v>15.3594883661618</v>
      </c>
      <c r="AL2560">
        <v>88.537420261426703</v>
      </c>
      <c r="AM2560">
        <v>80.941542839043294</v>
      </c>
      <c r="AN2560">
        <v>1.0000000076028801</v>
      </c>
    </row>
    <row r="2561" spans="1:40" x14ac:dyDescent="0.3">
      <c r="A2561" t="str">
        <f>"20200111153926621"</f>
        <v>20200111153926621</v>
      </c>
      <c r="B2561" t="str">
        <f>"1578728366613497"</f>
        <v>1578728366613497</v>
      </c>
      <c r="C2561" t="s">
        <v>40</v>
      </c>
      <c r="D2561">
        <v>5.1551349999999996</v>
      </c>
      <c r="E2561">
        <v>0.56655919999999904</v>
      </c>
      <c r="F2561" t="s">
        <v>42</v>
      </c>
      <c r="G2561">
        <v>-224.50149999999999</v>
      </c>
      <c r="H2561" s="1">
        <v>-3.1955339999999998E-6</v>
      </c>
      <c r="I2561">
        <v>142.82730000000001</v>
      </c>
      <c r="J2561">
        <v>-207.9684</v>
      </c>
      <c r="K2561">
        <v>1.093035</v>
      </c>
      <c r="L2561">
        <v>142.2704</v>
      </c>
      <c r="M2561">
        <v>-0.95682699999999998</v>
      </c>
      <c r="N2561">
        <v>0</v>
      </c>
      <c r="O2561">
        <v>-0.29058529999999999</v>
      </c>
      <c r="P2561">
        <v>-0.98996150000000005</v>
      </c>
      <c r="Q2561">
        <v>2.331952E-2</v>
      </c>
      <c r="R2561">
        <v>-0.13940069999999999</v>
      </c>
      <c r="S2561">
        <v>-3.0524439999999999</v>
      </c>
      <c r="T2561">
        <v>-0.1981887</v>
      </c>
      <c r="U2561">
        <v>8.5922239999999997E-2</v>
      </c>
      <c r="V2561">
        <v>0.1549866</v>
      </c>
      <c r="W2561">
        <v>2.5870130000000002E-2</v>
      </c>
      <c r="X2561">
        <v>0.98757779999999995</v>
      </c>
      <c r="Y2561">
        <v>0.31613409999999997</v>
      </c>
      <c r="Z2561">
        <v>2.8905340000000002E-2</v>
      </c>
      <c r="AA2561">
        <v>0.94827410000000001</v>
      </c>
      <c r="AB2561">
        <v>31</v>
      </c>
      <c r="AC2561">
        <v>-16.533099999999902</v>
      </c>
      <c r="AD2561">
        <v>-1.0930381955340001</v>
      </c>
      <c r="AE2561">
        <v>0.55690000000001205</v>
      </c>
      <c r="AF2561">
        <v>5.31404523081269</v>
      </c>
      <c r="AG2561">
        <v>-1.0930381955340001</v>
      </c>
      <c r="AH2561">
        <v>15.5897578240793</v>
      </c>
      <c r="AI2561">
        <v>93.796759095729399</v>
      </c>
      <c r="AJ2561">
        <v>71.177413501411806</v>
      </c>
      <c r="AK2561">
        <v>16.506797333991301</v>
      </c>
      <c r="AL2561">
        <v>88.517585365275707</v>
      </c>
      <c r="AM2561">
        <v>81.080971570361996</v>
      </c>
      <c r="AN2561">
        <v>1.0000000104293001</v>
      </c>
    </row>
    <row r="2562" spans="1:40" x14ac:dyDescent="0.3">
      <c r="A2562" t="str">
        <f>"20200111153926643"</f>
        <v>20200111153926643</v>
      </c>
      <c r="B2562" t="str">
        <f>"1578728366633016"</f>
        <v>1578728366633016</v>
      </c>
      <c r="C2562" t="s">
        <v>40</v>
      </c>
      <c r="D2562">
        <v>5.1552509999999998</v>
      </c>
      <c r="E2562">
        <v>0.54781309999999905</v>
      </c>
      <c r="F2562" t="s">
        <v>42</v>
      </c>
      <c r="G2562">
        <v>-224.8081</v>
      </c>
      <c r="H2562" s="1">
        <v>-3.069146E-6</v>
      </c>
      <c r="I2562">
        <v>142.8467</v>
      </c>
      <c r="J2562">
        <v>-208.27809999999999</v>
      </c>
      <c r="K2562">
        <v>1.093086</v>
      </c>
      <c r="L2562">
        <v>142.18860000000001</v>
      </c>
      <c r="M2562">
        <v>-0.96042070000000002</v>
      </c>
      <c r="N2562">
        <v>0</v>
      </c>
      <c r="O2562">
        <v>-0.27847959999999999</v>
      </c>
      <c r="P2562">
        <v>-0.99134109999999998</v>
      </c>
      <c r="Q2562">
        <v>2.320152E-2</v>
      </c>
      <c r="R2562">
        <v>-0.12924829999999901</v>
      </c>
      <c r="S2562">
        <v>-3.0498050000000001</v>
      </c>
      <c r="T2562">
        <v>-0.1979581</v>
      </c>
      <c r="U2562">
        <v>0.1043854</v>
      </c>
      <c r="V2562">
        <v>0.15262819999999999</v>
      </c>
      <c r="W2562">
        <v>2.5754289999999999E-2</v>
      </c>
      <c r="X2562">
        <v>0.9879481</v>
      </c>
      <c r="Y2562">
        <v>0.3099481</v>
      </c>
      <c r="Z2562">
        <v>2.7936610000000001E-2</v>
      </c>
      <c r="AA2562">
        <v>0.95034300000000005</v>
      </c>
      <c r="AB2562">
        <v>31</v>
      </c>
      <c r="AC2562">
        <v>-16.53</v>
      </c>
      <c r="AD2562">
        <v>-1.093089069146</v>
      </c>
      <c r="AE2562">
        <v>0.65809999999999003</v>
      </c>
      <c r="AF2562">
        <v>5.2126702835048002</v>
      </c>
      <c r="AG2562">
        <v>-1.093089069146</v>
      </c>
      <c r="AH2562">
        <v>15.624593944584801</v>
      </c>
      <c r="AI2562">
        <v>93.796794059511697</v>
      </c>
      <c r="AJ2562">
        <v>71.550292405158601</v>
      </c>
      <c r="AK2562">
        <v>16.5074138232122</v>
      </c>
      <c r="AL2562">
        <v>88.524224778286595</v>
      </c>
      <c r="AM2562">
        <v>81.217798949140104</v>
      </c>
      <c r="AN2562">
        <v>1.0000000495911201</v>
      </c>
    </row>
    <row r="2563" spans="1:40" x14ac:dyDescent="0.3">
      <c r="A2563" t="str">
        <f>"20200111153926665"</f>
        <v>20200111153926665</v>
      </c>
      <c r="B2563" t="str">
        <f>"1578728366653511"</f>
        <v>1578728366653511</v>
      </c>
      <c r="C2563" t="s">
        <v>40</v>
      </c>
      <c r="D2563">
        <v>5.1838170000000003</v>
      </c>
      <c r="E2563">
        <v>0.54671559999999997</v>
      </c>
      <c r="F2563" t="s">
        <v>42</v>
      </c>
      <c r="G2563">
        <v>-223.76509999999999</v>
      </c>
      <c r="H2563" s="1">
        <v>-3.3242939999999999E-6</v>
      </c>
      <c r="I2563">
        <v>142.124</v>
      </c>
      <c r="J2563">
        <v>-208.57329999999999</v>
      </c>
      <c r="K2563">
        <v>1.0931299999999999</v>
      </c>
      <c r="L2563">
        <v>142.11429999999999</v>
      </c>
      <c r="M2563">
        <v>-0.96364680000000003</v>
      </c>
      <c r="N2563">
        <v>0</v>
      </c>
      <c r="O2563">
        <v>-0.26710410000000001</v>
      </c>
      <c r="P2563">
        <v>-0.99247010000000002</v>
      </c>
      <c r="Q2563">
        <v>2.3157560000000001E-2</v>
      </c>
      <c r="R2563">
        <v>-0.1202791</v>
      </c>
      <c r="S2563">
        <v>-3.0295719999999999</v>
      </c>
      <c r="T2563">
        <v>-0.21383060000000001</v>
      </c>
      <c r="U2563">
        <v>-1.2634279999999999E-2</v>
      </c>
      <c r="V2563">
        <v>0.14987310000000001</v>
      </c>
      <c r="W2563">
        <v>2.5729510000000001E-2</v>
      </c>
      <c r="X2563">
        <v>0.98837039999999998</v>
      </c>
      <c r="Y2563">
        <v>0.2617854</v>
      </c>
      <c r="Z2563">
        <v>2.7879399999999999E-2</v>
      </c>
      <c r="AA2563">
        <v>0.96472329999999995</v>
      </c>
      <c r="AB2563">
        <v>31</v>
      </c>
      <c r="AC2563">
        <v>-15.191800000000001</v>
      </c>
      <c r="AD2563">
        <v>-1.093133324294</v>
      </c>
      <c r="AE2563">
        <v>9.7000000000093695E-3</v>
      </c>
      <c r="AF2563">
        <v>4.0462713506126402</v>
      </c>
      <c r="AG2563">
        <v>-1.093133324294</v>
      </c>
      <c r="AH2563">
        <v>14.561837864184</v>
      </c>
      <c r="AI2563">
        <v>94.136886806055102</v>
      </c>
      <c r="AJ2563">
        <v>74.471080610582803</v>
      </c>
      <c r="AK2563">
        <v>15.1530318514234</v>
      </c>
      <c r="AL2563">
        <v>88.525644966164705</v>
      </c>
      <c r="AM2563">
        <v>81.377551142346107</v>
      </c>
      <c r="AN2563">
        <v>1.0000000006923</v>
      </c>
    </row>
    <row r="2564" spans="1:40" x14ac:dyDescent="0.3">
      <c r="A2564" t="str">
        <f>"20200111153926688"</f>
        <v>20200111153926688</v>
      </c>
      <c r="B2564" t="str">
        <f>"1578728366683768"</f>
        <v>1578728366683768</v>
      </c>
      <c r="C2564" t="s">
        <v>40</v>
      </c>
      <c r="D2564">
        <v>5.194712</v>
      </c>
      <c r="E2564">
        <v>0.54533140000000002</v>
      </c>
      <c r="F2564" t="s">
        <v>42</v>
      </c>
      <c r="G2564">
        <v>-224.1979</v>
      </c>
      <c r="H2564" s="1">
        <v>-3.1447999999999999E-6</v>
      </c>
      <c r="I2564">
        <v>142.1472</v>
      </c>
      <c r="J2564">
        <v>-208.89830000000001</v>
      </c>
      <c r="K2564">
        <v>1.09317999999999</v>
      </c>
      <c r="L2564">
        <v>142.03659999999999</v>
      </c>
      <c r="M2564">
        <v>-0.96698390000000001</v>
      </c>
      <c r="N2564">
        <v>0</v>
      </c>
      <c r="O2564">
        <v>-0.2547603</v>
      </c>
      <c r="P2564">
        <v>-0.99370499999999995</v>
      </c>
      <c r="Q2564">
        <v>2.2903409999999999E-2</v>
      </c>
      <c r="R2564">
        <v>-0.1096621</v>
      </c>
      <c r="S2564">
        <v>-3.028473</v>
      </c>
      <c r="T2564">
        <v>-0.2118787</v>
      </c>
      <c r="U2564">
        <v>6.3781740000000003E-3</v>
      </c>
      <c r="V2564">
        <v>0.14779059999999999</v>
      </c>
      <c r="W2564">
        <v>2.5477340000000001E-2</v>
      </c>
      <c r="X2564">
        <v>0.98869050000000003</v>
      </c>
      <c r="Y2564">
        <v>0.25556420000000002</v>
      </c>
      <c r="Z2564">
        <v>2.6582870000000001E-2</v>
      </c>
      <c r="AA2564">
        <v>0.96642660000000002</v>
      </c>
      <c r="AB2564">
        <v>31</v>
      </c>
      <c r="AC2564">
        <v>-15.2995999999999</v>
      </c>
      <c r="AD2564">
        <v>-1.09318314479999</v>
      </c>
      <c r="AE2564">
        <v>0.110600000000005</v>
      </c>
      <c r="AF2564">
        <v>3.98441706379477</v>
      </c>
      <c r="AG2564">
        <v>-1.09318314479999</v>
      </c>
      <c r="AH2564">
        <v>14.691578986005901</v>
      </c>
      <c r="AI2564">
        <v>94.107623854445393</v>
      </c>
      <c r="AJ2564">
        <v>74.826139960665003</v>
      </c>
      <c r="AK2564">
        <v>15.261491468018001</v>
      </c>
      <c r="AL2564">
        <v>88.540098024513696</v>
      </c>
      <c r="AM2564">
        <v>81.498309955838906</v>
      </c>
      <c r="AN2564">
        <v>1.0000000305460399</v>
      </c>
    </row>
    <row r="2565" spans="1:40" x14ac:dyDescent="0.3">
      <c r="A2565" t="str">
        <f>"20200111153926712"</f>
        <v>20200111153926712</v>
      </c>
      <c r="B2565" t="str">
        <f>"1578728366703288"</f>
        <v>1578728366703288</v>
      </c>
      <c r="C2565" t="s">
        <v>40</v>
      </c>
      <c r="D2565">
        <v>5.1701350000000001</v>
      </c>
      <c r="E2565">
        <v>0.53906799999999999</v>
      </c>
      <c r="F2565" t="s">
        <v>42</v>
      </c>
      <c r="G2565">
        <v>-224.43510000000001</v>
      </c>
      <c r="H2565" s="1">
        <v>-3.052047E-6</v>
      </c>
      <c r="I2565">
        <v>142.18100000000001</v>
      </c>
      <c r="J2565">
        <v>-209.22380000000001</v>
      </c>
      <c r="K2565">
        <v>1.093232</v>
      </c>
      <c r="L2565">
        <v>141.96279999999999</v>
      </c>
      <c r="M2565">
        <v>-0.97011179999999997</v>
      </c>
      <c r="N2565">
        <v>0</v>
      </c>
      <c r="O2565">
        <v>-0.2425793</v>
      </c>
      <c r="P2565">
        <v>-0.99485089999999998</v>
      </c>
      <c r="Q2565">
        <v>2.199883E-2</v>
      </c>
      <c r="R2565">
        <v>-9.8934980000000006E-2</v>
      </c>
      <c r="S2565">
        <v>-3.0270389999999998</v>
      </c>
      <c r="T2565">
        <v>-0.2129848</v>
      </c>
      <c r="U2565">
        <v>2.8152469999999999E-2</v>
      </c>
      <c r="V2565">
        <v>0.1460004</v>
      </c>
      <c r="W2565">
        <v>2.4573069999999999E-2</v>
      </c>
      <c r="X2565">
        <v>0.98897930000000001</v>
      </c>
      <c r="Y2565">
        <v>0.25038529999999998</v>
      </c>
      <c r="Z2565">
        <v>2.571996E-2</v>
      </c>
      <c r="AA2565">
        <v>0.96780460000000001</v>
      </c>
      <c r="AB2565">
        <v>31</v>
      </c>
      <c r="AC2565">
        <v>-15.2112999999999</v>
      </c>
      <c r="AD2565">
        <v>-1.093235052047</v>
      </c>
      <c r="AE2565">
        <v>0.21820000000002401</v>
      </c>
      <c r="AF2565">
        <v>3.8816540414241598</v>
      </c>
      <c r="AG2565">
        <v>-1.093235052047</v>
      </c>
      <c r="AH2565">
        <v>14.628468295181801</v>
      </c>
      <c r="AI2565">
        <v>94.131507609995495</v>
      </c>
      <c r="AJ2565">
        <v>75.139073563222098</v>
      </c>
      <c r="AK2565">
        <v>15.174138711619401</v>
      </c>
      <c r="AL2565">
        <v>88.591925073313902</v>
      </c>
      <c r="AM2565">
        <v>81.602231485452194</v>
      </c>
      <c r="AN2565">
        <v>1.0000000041989301</v>
      </c>
    </row>
    <row r="2566" spans="1:40" x14ac:dyDescent="0.3">
      <c r="A2566" t="str">
        <f>"20200111153926757"</f>
        <v>20200111153926757</v>
      </c>
      <c r="B2566" t="str">
        <f>"1578728366743304"</f>
        <v>1578728366743304</v>
      </c>
      <c r="C2566" t="s">
        <v>40</v>
      </c>
      <c r="D2566">
        <v>5.2257009999999999</v>
      </c>
      <c r="E2566">
        <v>0.53784200000000004</v>
      </c>
      <c r="F2566" t="s">
        <v>42</v>
      </c>
      <c r="G2566">
        <v>-225.96950000000001</v>
      </c>
      <c r="H2566" s="1">
        <v>-2.3524280000000001E-6</v>
      </c>
      <c r="I2566">
        <v>142.02549999999999</v>
      </c>
      <c r="J2566">
        <v>-209.84299999999999</v>
      </c>
      <c r="K2566">
        <v>1.093337</v>
      </c>
      <c r="L2566">
        <v>141.83359999999999</v>
      </c>
      <c r="M2566">
        <v>-0.97549549999999996</v>
      </c>
      <c r="N2566">
        <v>0</v>
      </c>
      <c r="O2566">
        <v>-0.21993560000000001</v>
      </c>
      <c r="P2566">
        <v>-0.99680299999999999</v>
      </c>
      <c r="Q2566">
        <v>2.0390430000000001E-2</v>
      </c>
      <c r="R2566">
        <v>-7.7255509999999999E-2</v>
      </c>
      <c r="S2566">
        <v>-3.0210270000000001</v>
      </c>
      <c r="T2566">
        <v>-0.1972264</v>
      </c>
      <c r="U2566">
        <v>1.132202E-2</v>
      </c>
      <c r="V2566">
        <v>0.1444685</v>
      </c>
      <c r="W2566">
        <v>2.2933680000000001E-2</v>
      </c>
      <c r="X2566">
        <v>0.9892436</v>
      </c>
      <c r="Y2566">
        <v>0.22265750000000001</v>
      </c>
      <c r="Z2566">
        <v>2.151614E-2</v>
      </c>
      <c r="AA2566">
        <v>0.97465930000000001</v>
      </c>
      <c r="AB2566">
        <v>31</v>
      </c>
      <c r="AC2566">
        <v>-16.1265</v>
      </c>
      <c r="AD2566">
        <v>-1.093339352428</v>
      </c>
      <c r="AE2566">
        <v>0.19190000000000401</v>
      </c>
      <c r="AF2566">
        <v>3.7169751080073898</v>
      </c>
      <c r="AG2566">
        <v>-1.093339352428</v>
      </c>
      <c r="AH2566">
        <v>15.617635006955499</v>
      </c>
      <c r="AI2566">
        <v>93.896081479810405</v>
      </c>
      <c r="AJ2566">
        <v>76.612742820294201</v>
      </c>
      <c r="AK2566">
        <v>16.091047762765299</v>
      </c>
      <c r="AL2566">
        <v>88.685881716763205</v>
      </c>
      <c r="AM2566">
        <v>81.691296859952203</v>
      </c>
      <c r="AN2566">
        <v>1.0000000006557701</v>
      </c>
    </row>
    <row r="2567" spans="1:40" x14ac:dyDescent="0.3">
      <c r="A2567" t="str">
        <f>"20200111153926780"</f>
        <v>20200111153926780</v>
      </c>
      <c r="B2567" t="str">
        <f>"1578728366773561"</f>
        <v>1578728366773561</v>
      </c>
      <c r="C2567" t="s">
        <v>40</v>
      </c>
      <c r="D2567">
        <v>5.2226330000000001</v>
      </c>
      <c r="E2567">
        <v>0.53667089999999995</v>
      </c>
      <c r="F2567" t="s">
        <v>42</v>
      </c>
      <c r="G2567">
        <v>-225.3877</v>
      </c>
      <c r="H2567" s="1">
        <v>-2.6432119999999999E-6</v>
      </c>
      <c r="I2567">
        <v>142.18039999999999</v>
      </c>
      <c r="J2567">
        <v>-210.17400000000001</v>
      </c>
      <c r="K2567">
        <v>1.0933809999999999</v>
      </c>
      <c r="L2567">
        <v>141.7706</v>
      </c>
      <c r="M2567">
        <v>-0.97809080000000004</v>
      </c>
      <c r="N2567">
        <v>0</v>
      </c>
      <c r="O2567">
        <v>-0.20809169999999999</v>
      </c>
      <c r="P2567">
        <v>-0.99761</v>
      </c>
      <c r="Q2567">
        <v>1.9406449999999999E-2</v>
      </c>
      <c r="R2567">
        <v>-6.6316199999999895E-2</v>
      </c>
      <c r="S2567">
        <v>-3.019196</v>
      </c>
      <c r="T2567">
        <v>-0.21235580000000001</v>
      </c>
      <c r="U2567">
        <v>6.7367549999999998E-2</v>
      </c>
      <c r="V2567">
        <v>0.1433016</v>
      </c>
      <c r="W2567">
        <v>2.1946879999999998E-2</v>
      </c>
      <c r="X2567">
        <v>0.98943570000000003</v>
      </c>
      <c r="Y2567">
        <v>0.22878860000000001</v>
      </c>
      <c r="Z2567">
        <v>2.2579100000000001E-2</v>
      </c>
      <c r="AA2567">
        <v>0.97321429999999998</v>
      </c>
      <c r="AB2567">
        <v>32</v>
      </c>
      <c r="AC2567">
        <v>-15.2136999999999</v>
      </c>
      <c r="AD2567">
        <v>-1.0933836432120001</v>
      </c>
      <c r="AE2567">
        <v>0.40979999999999001</v>
      </c>
      <c r="AF2567">
        <v>3.5484164217190099</v>
      </c>
      <c r="AG2567">
        <v>-1.0933836432120001</v>
      </c>
      <c r="AH2567">
        <v>14.719400576999799</v>
      </c>
      <c r="AI2567">
        <v>94.130336330219194</v>
      </c>
      <c r="AJ2567">
        <v>76.446274540456997</v>
      </c>
      <c r="AK2567">
        <v>15.1804973646897</v>
      </c>
      <c r="AL2567">
        <v>88.742435446144796</v>
      </c>
      <c r="AM2567">
        <v>81.759060399268506</v>
      </c>
      <c r="AN2567">
        <v>1.0000000092693899</v>
      </c>
    </row>
    <row r="2568" spans="1:40" x14ac:dyDescent="0.3">
      <c r="A2568" t="str">
        <f>"20200111153926800"</f>
        <v>20200111153926800</v>
      </c>
      <c r="B2568" t="str">
        <f>"1578728366793080"</f>
        <v>1578728366793080</v>
      </c>
      <c r="C2568" t="s">
        <v>40</v>
      </c>
      <c r="D2568">
        <v>5.2216250000000004</v>
      </c>
      <c r="E2568">
        <v>0.53596619999999995</v>
      </c>
      <c r="F2568" t="s">
        <v>42</v>
      </c>
      <c r="G2568">
        <v>-225.28989999999999</v>
      </c>
      <c r="H2568" s="1">
        <v>-2.697721E-6</v>
      </c>
      <c r="I2568">
        <v>142.2276</v>
      </c>
      <c r="J2568">
        <v>-210.47319999999999</v>
      </c>
      <c r="K2568">
        <v>1.0934159999999999</v>
      </c>
      <c r="L2568">
        <v>141.71690000000001</v>
      </c>
      <c r="M2568">
        <v>-0.98028340000000003</v>
      </c>
      <c r="N2568">
        <v>0</v>
      </c>
      <c r="O2568">
        <v>-0.19750609999999999</v>
      </c>
      <c r="P2568">
        <v>-0.99822259999999996</v>
      </c>
      <c r="Q2568">
        <v>1.863977E-2</v>
      </c>
      <c r="R2568">
        <v>-5.6605959999999997E-2</v>
      </c>
      <c r="S2568">
        <v>-3.0175019999999999</v>
      </c>
      <c r="T2568">
        <v>-0.21826619999999999</v>
      </c>
      <c r="U2568">
        <v>9.1247560000000005E-2</v>
      </c>
      <c r="V2568">
        <v>0.142213899999999</v>
      </c>
      <c r="W2568">
        <v>2.117983E-2</v>
      </c>
      <c r="X2568">
        <v>0.98960930000000003</v>
      </c>
      <c r="Y2568">
        <v>0.2259478</v>
      </c>
      <c r="Z2568">
        <v>2.2363540000000001E-2</v>
      </c>
      <c r="AA2568">
        <v>0.97388269999999999</v>
      </c>
      <c r="AB2568">
        <v>32</v>
      </c>
      <c r="AC2568">
        <v>-14.8166999999999</v>
      </c>
      <c r="AD2568">
        <v>-1.0934186977210001</v>
      </c>
      <c r="AE2568">
        <v>0.51069999999998505</v>
      </c>
      <c r="AF2568">
        <v>3.4085401458069899</v>
      </c>
      <c r="AG2568">
        <v>-1.0934186977210001</v>
      </c>
      <c r="AH2568">
        <v>14.3459230316199</v>
      </c>
      <c r="AI2568">
        <v>94.240934790028902</v>
      </c>
      <c r="AJ2568">
        <v>76.634551459636398</v>
      </c>
      <c r="AK2568">
        <v>14.785777558291199</v>
      </c>
      <c r="AL2568">
        <v>88.786394351149099</v>
      </c>
      <c r="AM2568">
        <v>81.822177372289602</v>
      </c>
      <c r="AN2568">
        <v>0.99999997259926399</v>
      </c>
    </row>
    <row r="2569" spans="1:40" x14ac:dyDescent="0.3">
      <c r="A2569" t="str">
        <f>"20200111153926822"</f>
        <v>20200111153926822</v>
      </c>
      <c r="B2569" t="str">
        <f>"1578728366813577"</f>
        <v>1578728366813577</v>
      </c>
      <c r="C2569" t="s">
        <v>40</v>
      </c>
      <c r="D2569">
        <v>5.2812809999999999</v>
      </c>
      <c r="E2569">
        <v>0.53522409999999998</v>
      </c>
      <c r="F2569" t="s">
        <v>42</v>
      </c>
      <c r="G2569">
        <v>-225.2465</v>
      </c>
      <c r="H2569" s="1">
        <v>-2.7302999999999999E-6</v>
      </c>
      <c r="I2569">
        <v>142.2801</v>
      </c>
      <c r="J2569">
        <v>-210.7826</v>
      </c>
      <c r="K2569">
        <v>1.0934710000000001</v>
      </c>
      <c r="L2569">
        <v>141.66470000000001</v>
      </c>
      <c r="M2569">
        <v>-0.98239509999999997</v>
      </c>
      <c r="N2569">
        <v>0</v>
      </c>
      <c r="O2569">
        <v>-0.18672069999999999</v>
      </c>
      <c r="P2569">
        <v>-0.99872989999999995</v>
      </c>
      <c r="Q2569">
        <v>1.8314449999999999E-2</v>
      </c>
      <c r="R2569">
        <v>-4.69399E-2</v>
      </c>
      <c r="S2569">
        <v>-3.0160369999999999</v>
      </c>
      <c r="T2569">
        <v>-0.22322690000000001</v>
      </c>
      <c r="U2569">
        <v>0.1149902</v>
      </c>
      <c r="V2569">
        <v>0.14090749999999999</v>
      </c>
      <c r="W2569">
        <v>2.086232E-2</v>
      </c>
      <c r="X2569">
        <v>0.98980299999999999</v>
      </c>
      <c r="Y2569">
        <v>0.22290070000000001</v>
      </c>
      <c r="Z2569">
        <v>2.1981759999999999E-2</v>
      </c>
      <c r="AA2569">
        <v>0.9745933</v>
      </c>
      <c r="AB2569">
        <v>32</v>
      </c>
      <c r="AC2569">
        <v>-14.463899999999899</v>
      </c>
      <c r="AD2569">
        <v>-1.0934737302999999</v>
      </c>
      <c r="AE2569">
        <v>0.61539999999999395</v>
      </c>
      <c r="AF2569">
        <v>3.2865835658421401</v>
      </c>
      <c r="AG2569">
        <v>-1.0934737302999999</v>
      </c>
      <c r="AH2569">
        <v>14.0146505144344</v>
      </c>
      <c r="AI2569">
        <v>94.344003937485596</v>
      </c>
      <c r="AJ2569">
        <v>76.802026833346801</v>
      </c>
      <c r="AK2569">
        <v>14.4363342083736</v>
      </c>
      <c r="AL2569">
        <v>88.8045904711079</v>
      </c>
      <c r="AM2569">
        <v>81.897862604399705</v>
      </c>
      <c r="AN2569">
        <v>1.00000006938051</v>
      </c>
    </row>
    <row r="2570" spans="1:40" x14ac:dyDescent="0.3">
      <c r="A2570" t="str">
        <f>"20200111153926846"</f>
        <v>20200111153926846</v>
      </c>
      <c r="B2570" t="str">
        <f>"1578728366843832"</f>
        <v>1578728366843832</v>
      </c>
      <c r="C2570" t="s">
        <v>40</v>
      </c>
      <c r="D2570">
        <v>5.2617019999999997</v>
      </c>
      <c r="E2570">
        <v>0.52609910000000004</v>
      </c>
      <c r="F2570" t="s">
        <v>42</v>
      </c>
      <c r="G2570">
        <v>-225.1473</v>
      </c>
      <c r="H2570" s="1">
        <v>-2.7841390000000002E-6</v>
      </c>
      <c r="I2570">
        <v>142.32239999999999</v>
      </c>
      <c r="J2570">
        <v>-211.1165</v>
      </c>
      <c r="K2570">
        <v>1.093542</v>
      </c>
      <c r="L2570">
        <v>141.61199999999999</v>
      </c>
      <c r="M2570">
        <v>-0.98450099999999996</v>
      </c>
      <c r="N2570">
        <v>0</v>
      </c>
      <c r="O2570">
        <v>-0.17528060000000001</v>
      </c>
      <c r="P2570">
        <v>-0.99915580000000004</v>
      </c>
      <c r="Q2570">
        <v>1.832628E-2</v>
      </c>
      <c r="R2570">
        <v>-3.6775849999999999E-2</v>
      </c>
      <c r="S2570">
        <v>-3.014526</v>
      </c>
      <c r="T2570">
        <v>-0.22947290000000001</v>
      </c>
      <c r="U2570">
        <v>0.13804629999999901</v>
      </c>
      <c r="V2570">
        <v>0.1394599</v>
      </c>
      <c r="W2570">
        <v>2.0886160000000001E-2</v>
      </c>
      <c r="X2570">
        <v>0.99000739999999998</v>
      </c>
      <c r="Y2570">
        <v>0.219001</v>
      </c>
      <c r="Z2570">
        <v>2.1597180000000001E-2</v>
      </c>
      <c r="AA2570">
        <v>0.97548559999999995</v>
      </c>
      <c r="AB2570">
        <v>32</v>
      </c>
      <c r="AC2570">
        <v>-14.030799999999999</v>
      </c>
      <c r="AD2570">
        <v>-1.093544784139</v>
      </c>
      <c r="AE2570">
        <v>0.71039999999999204</v>
      </c>
      <c r="AF2570">
        <v>3.1397475005659499</v>
      </c>
      <c r="AG2570">
        <v>-1.093544784139</v>
      </c>
      <c r="AH2570">
        <v>13.606611786939901</v>
      </c>
      <c r="AI2570">
        <v>94.477739340780005</v>
      </c>
      <c r="AJ2570">
        <v>77.006342064028502</v>
      </c>
      <c r="AK2570">
        <v>14.0069175368002</v>
      </c>
      <c r="AL2570">
        <v>88.803224127630997</v>
      </c>
      <c r="AM2570">
        <v>81.981644958718604</v>
      </c>
      <c r="AN2570">
        <v>0.99999997372115701</v>
      </c>
    </row>
    <row r="2571" spans="1:40" x14ac:dyDescent="0.3">
      <c r="A2571" t="str">
        <f>"20200111153926889"</f>
        <v>20200111153926889</v>
      </c>
      <c r="B2571" t="str">
        <f>"1578728366883849"</f>
        <v>1578728366883849</v>
      </c>
      <c r="C2571" t="s">
        <v>40</v>
      </c>
      <c r="D2571">
        <v>5.2897850000000002</v>
      </c>
      <c r="E2571">
        <v>0.52421809999999902</v>
      </c>
      <c r="F2571" t="s">
        <v>41</v>
      </c>
      <c r="G2571">
        <v>-211.9853</v>
      </c>
      <c r="H2571">
        <v>1.0141439999999999</v>
      </c>
      <c r="I2571">
        <v>141.63980000000001</v>
      </c>
      <c r="J2571">
        <v>-211.74459999999999</v>
      </c>
      <c r="K2571">
        <v>1.0937220000000001</v>
      </c>
      <c r="L2571">
        <v>141.52279999999999</v>
      </c>
      <c r="M2571">
        <v>-0.9879964</v>
      </c>
      <c r="N2571">
        <v>0</v>
      </c>
      <c r="O2571">
        <v>-0.154367899999999</v>
      </c>
      <c r="P2571">
        <v>-0.99962379999999995</v>
      </c>
      <c r="Q2571">
        <v>1.8696870000000001E-2</v>
      </c>
      <c r="R2571">
        <v>-2.0071760000000001E-2</v>
      </c>
      <c r="S2571">
        <v>-3.0111080000000001</v>
      </c>
      <c r="T2571">
        <v>-0.27473779999999998</v>
      </c>
      <c r="U2571">
        <v>9.5626829999999996E-2</v>
      </c>
      <c r="V2571">
        <v>0.13500999999999999</v>
      </c>
      <c r="W2571">
        <v>2.1337149999999999E-2</v>
      </c>
      <c r="X2571">
        <v>0.99061449999999995</v>
      </c>
      <c r="Y2571">
        <v>0.1842512</v>
      </c>
      <c r="Z2571">
        <v>2.240458E-2</v>
      </c>
      <c r="AA2571">
        <v>0.98262380000000005</v>
      </c>
      <c r="AB2571">
        <v>32</v>
      </c>
      <c r="AC2571">
        <v>-0.24070000000000299</v>
      </c>
      <c r="AD2571">
        <v>-7.9577999999999705E-2</v>
      </c>
      <c r="AE2571">
        <v>0.11700000000001801</v>
      </c>
      <c r="AF2571">
        <v>0.140346024611613</v>
      </c>
      <c r="AG2571">
        <v>-7.9577999999999705E-2</v>
      </c>
      <c r="AH2571">
        <v>0.20190248866652</v>
      </c>
      <c r="AI2571">
        <v>107.93330497696699</v>
      </c>
      <c r="AJ2571">
        <v>55.196146528376197</v>
      </c>
      <c r="AK2571">
        <v>0.25844589305697602</v>
      </c>
      <c r="AL2571">
        <v>88.777378612619202</v>
      </c>
      <c r="AM2571">
        <v>82.239024331938197</v>
      </c>
      <c r="AN2571">
        <v>1.00000003084018</v>
      </c>
    </row>
    <row r="2572" spans="1:40" x14ac:dyDescent="0.3">
      <c r="A2572" t="str">
        <f>"20200111153926910"</f>
        <v>20200111153926910</v>
      </c>
      <c r="B2572" t="str">
        <f>"1578728366903368"</f>
        <v>1578728366903368</v>
      </c>
      <c r="C2572" t="s">
        <v>40</v>
      </c>
      <c r="D2572">
        <v>5.2810410000000001</v>
      </c>
      <c r="E2572">
        <v>0.52311390000000002</v>
      </c>
      <c r="F2572" t="s">
        <v>41</v>
      </c>
      <c r="G2572">
        <v>-212.5643</v>
      </c>
      <c r="H2572">
        <v>1.0184420000000001</v>
      </c>
      <c r="I2572">
        <v>141.55850000000001</v>
      </c>
      <c r="J2572">
        <v>-212.0609</v>
      </c>
      <c r="K2572">
        <v>1.093826</v>
      </c>
      <c r="L2572">
        <v>141.48269999999999</v>
      </c>
      <c r="M2572">
        <v>-0.98954019999999998</v>
      </c>
      <c r="N2572">
        <v>0</v>
      </c>
      <c r="O2572">
        <v>-0.1441432</v>
      </c>
      <c r="P2572">
        <v>-0.99974580000000002</v>
      </c>
      <c r="Q2572">
        <v>1.9172829999999998E-2</v>
      </c>
      <c r="R2572">
        <v>-1.1872809999999999E-2</v>
      </c>
      <c r="S2572">
        <v>-3.0089109999999999</v>
      </c>
      <c r="T2572">
        <v>-0.27618870000000001</v>
      </c>
      <c r="U2572">
        <v>0.13064580000000001</v>
      </c>
      <c r="V2572">
        <v>0.13289339999999999</v>
      </c>
      <c r="W2572">
        <v>2.1855349999999999E-2</v>
      </c>
      <c r="X2572">
        <v>0.99088940000000003</v>
      </c>
      <c r="Y2572">
        <v>0.1855533</v>
      </c>
      <c r="Z2572">
        <v>2.1666979999999999E-2</v>
      </c>
      <c r="AA2572">
        <v>0.98239529999999997</v>
      </c>
      <c r="AB2572">
        <v>32</v>
      </c>
      <c r="AC2572">
        <v>-0.50339999999999896</v>
      </c>
      <c r="AD2572">
        <v>-7.5383999999999896E-2</v>
      </c>
      <c r="AE2572">
        <v>7.5800000000015105E-2</v>
      </c>
      <c r="AF2572">
        <v>0.144404784507703</v>
      </c>
      <c r="AG2572">
        <v>-7.5383999999999896E-2</v>
      </c>
      <c r="AH2572">
        <v>0.47676215868037303</v>
      </c>
      <c r="AI2572">
        <v>98.605135490667095</v>
      </c>
      <c r="AJ2572">
        <v>73.149151959418305</v>
      </c>
      <c r="AK2572">
        <v>0.50382302963866699</v>
      </c>
      <c r="AL2572">
        <v>88.747681047467395</v>
      </c>
      <c r="AM2572">
        <v>82.361342007005206</v>
      </c>
      <c r="AN2572">
        <v>1.0000000575597601</v>
      </c>
    </row>
    <row r="2573" spans="1:40" x14ac:dyDescent="0.3">
      <c r="A2573" t="str">
        <f>"20200111153926933"</f>
        <v>20200111153926933</v>
      </c>
      <c r="B2573" t="str">
        <f>"1578728366923864"</f>
        <v>1578728366923864</v>
      </c>
      <c r="C2573" t="s">
        <v>40</v>
      </c>
      <c r="D2573">
        <v>5.293552</v>
      </c>
      <c r="E2573">
        <v>0.52221079999999998</v>
      </c>
      <c r="F2573" t="s">
        <v>41</v>
      </c>
      <c r="G2573">
        <v>-212.85669999999999</v>
      </c>
      <c r="H2573">
        <v>1.020621</v>
      </c>
      <c r="I2573">
        <v>141.5214</v>
      </c>
      <c r="J2573">
        <v>-212.40620000000001</v>
      </c>
      <c r="K2573">
        <v>1.093953</v>
      </c>
      <c r="L2573">
        <v>141.44220000000001</v>
      </c>
      <c r="M2573">
        <v>-0.99106899999999998</v>
      </c>
      <c r="N2573">
        <v>0</v>
      </c>
      <c r="O2573">
        <v>-0.1332275</v>
      </c>
      <c r="P2573">
        <v>-0.99981030000000004</v>
      </c>
      <c r="Q2573">
        <v>1.9130689999999999E-2</v>
      </c>
      <c r="R2573">
        <v>-3.6757140000000001E-3</v>
      </c>
      <c r="S2573">
        <v>-3.0078279999999999</v>
      </c>
      <c r="T2573">
        <v>-0.27656170000000002</v>
      </c>
      <c r="U2573">
        <v>0.146286</v>
      </c>
      <c r="V2573">
        <v>0.1300866</v>
      </c>
      <c r="W2573">
        <v>2.1873940000000001E-2</v>
      </c>
      <c r="X2573">
        <v>0.99126130000000001</v>
      </c>
      <c r="Y2573">
        <v>0.17989959999999999</v>
      </c>
      <c r="Z2573">
        <v>2.0448029999999999E-2</v>
      </c>
      <c r="AA2573">
        <v>0.98347240000000002</v>
      </c>
      <c r="AB2573">
        <v>32</v>
      </c>
      <c r="AC2573">
        <v>-0.45049999999997598</v>
      </c>
      <c r="AD2573">
        <v>-7.3332000000000105E-2</v>
      </c>
      <c r="AE2573">
        <v>7.9199999999985907E-2</v>
      </c>
      <c r="AF2573">
        <v>0.13504295474206701</v>
      </c>
      <c r="AG2573">
        <v>-7.3332000000000105E-2</v>
      </c>
      <c r="AH2573">
        <v>0.42500825030401401</v>
      </c>
      <c r="AI2573">
        <v>99.338209132406703</v>
      </c>
      <c r="AJ2573">
        <v>72.372763788072803</v>
      </c>
      <c r="AK2573">
        <v>0.45193605153378402</v>
      </c>
      <c r="AL2573">
        <v>88.7466155655829</v>
      </c>
      <c r="AM2573">
        <v>82.523604169231106</v>
      </c>
      <c r="AN2573">
        <v>0.99999997881418601</v>
      </c>
    </row>
    <row r="2574" spans="1:40" x14ac:dyDescent="0.3">
      <c r="A2574" t="str">
        <f>"20200111153926956"</f>
        <v>20200111153926956</v>
      </c>
      <c r="B2574" t="str">
        <f>"1578728366953144"</f>
        <v>1578728366953144</v>
      </c>
      <c r="C2574" t="s">
        <v>40</v>
      </c>
      <c r="D2574">
        <v>5.2654290000000001</v>
      </c>
      <c r="E2574">
        <v>0.52142089999999996</v>
      </c>
      <c r="F2574" t="s">
        <v>41</v>
      </c>
      <c r="G2574">
        <v>-213.15110000000001</v>
      </c>
      <c r="H2574">
        <v>1.0252330000000001</v>
      </c>
      <c r="I2574">
        <v>141.4829</v>
      </c>
      <c r="J2574">
        <v>-212.73249999999999</v>
      </c>
      <c r="K2574">
        <v>1.0940829999999999</v>
      </c>
      <c r="L2574">
        <v>141.4074</v>
      </c>
      <c r="M2574">
        <v>-0.9923651</v>
      </c>
      <c r="N2574">
        <v>0</v>
      </c>
      <c r="O2574">
        <v>-0.1232053</v>
      </c>
      <c r="P2574">
        <v>-0.99982170000000004</v>
      </c>
      <c r="Q2574">
        <v>1.8435179999999999E-2</v>
      </c>
      <c r="R2574">
        <v>4.112765E-3</v>
      </c>
      <c r="S2574">
        <v>-3.0064540000000002</v>
      </c>
      <c r="T2574">
        <v>-0.27721489999999999</v>
      </c>
      <c r="U2574">
        <v>0.16378779999999901</v>
      </c>
      <c r="V2574">
        <v>0.1277684</v>
      </c>
      <c r="W2574">
        <v>2.1226539999999999E-2</v>
      </c>
      <c r="X2574">
        <v>0.99157689999999998</v>
      </c>
      <c r="Y2574">
        <v>0.17574389999999901</v>
      </c>
      <c r="Z2574">
        <v>1.939519E-2</v>
      </c>
      <c r="AA2574">
        <v>0.98424480000000003</v>
      </c>
      <c r="AB2574">
        <v>33</v>
      </c>
      <c r="AC2574">
        <v>-0.41860000000002601</v>
      </c>
      <c r="AD2574">
        <v>-6.88499999999998E-2</v>
      </c>
      <c r="AE2574">
        <v>7.5500000000005202E-2</v>
      </c>
      <c r="AF2574">
        <v>0.12326962311213099</v>
      </c>
      <c r="AG2574">
        <v>-6.88499999999998E-2</v>
      </c>
      <c r="AH2574">
        <v>0.39574001053110502</v>
      </c>
      <c r="AI2574">
        <v>99.431064225449006</v>
      </c>
      <c r="AJ2574">
        <v>72.698635924678001</v>
      </c>
      <c r="AK2574">
        <v>0.42017362889330101</v>
      </c>
      <c r="AL2574">
        <v>88.783717544586906</v>
      </c>
      <c r="AM2574">
        <v>82.657681242529605</v>
      </c>
      <c r="AN2574">
        <v>1.00000003932627</v>
      </c>
    </row>
    <row r="2575" spans="1:40" x14ac:dyDescent="0.3">
      <c r="A2575" t="str">
        <f>"20200111153926978"</f>
        <v>20200111153926978</v>
      </c>
      <c r="B2575" t="str">
        <f>"1578728366973639"</f>
        <v>1578728366973639</v>
      </c>
      <c r="C2575" t="s">
        <v>40</v>
      </c>
      <c r="D2575">
        <v>5.2627370000000004</v>
      </c>
      <c r="E2575">
        <v>0.52084390000000003</v>
      </c>
      <c r="F2575" t="s">
        <v>41</v>
      </c>
      <c r="G2575">
        <v>-213.73609999999999</v>
      </c>
      <c r="H2575">
        <v>1.001207</v>
      </c>
      <c r="I2575">
        <v>141.46799999999999</v>
      </c>
      <c r="J2575">
        <v>-213.06880000000001</v>
      </c>
      <c r="K2575">
        <v>1.094233</v>
      </c>
      <c r="L2575">
        <v>141.37479999999999</v>
      </c>
      <c r="M2575">
        <v>-0.99355769999999999</v>
      </c>
      <c r="N2575">
        <v>0</v>
      </c>
      <c r="O2575">
        <v>-0.1131887</v>
      </c>
      <c r="P2575">
        <v>-0.99976900000000002</v>
      </c>
      <c r="Q2575">
        <v>1.8321750000000001E-2</v>
      </c>
      <c r="R2575">
        <v>1.125379E-2</v>
      </c>
      <c r="S2575">
        <v>-3.0049130000000002</v>
      </c>
      <c r="T2575">
        <v>-0.27776650000000003</v>
      </c>
      <c r="U2575">
        <v>0.18098449999999999</v>
      </c>
      <c r="V2575">
        <v>0.1248363</v>
      </c>
      <c r="W2575">
        <v>2.117554E-2</v>
      </c>
      <c r="X2575">
        <v>0.99195129999999998</v>
      </c>
      <c r="Y2575">
        <v>0.17151</v>
      </c>
      <c r="Z2575">
        <v>1.8326410000000001E-2</v>
      </c>
      <c r="AA2575">
        <v>0.98501190000000005</v>
      </c>
      <c r="AB2575">
        <v>33</v>
      </c>
      <c r="AC2575">
        <v>-0.66729999999998302</v>
      </c>
      <c r="AD2575">
        <v>-9.3025999999999998E-2</v>
      </c>
      <c r="AE2575">
        <v>9.3199999999995897E-2</v>
      </c>
      <c r="AF2575">
        <v>0.16498798085007399</v>
      </c>
      <c r="AG2575">
        <v>-9.3025999999999998E-2</v>
      </c>
      <c r="AH2575">
        <v>0.64025731134276298</v>
      </c>
      <c r="AI2575">
        <v>98.008847664948803</v>
      </c>
      <c r="AJ2575">
        <v>75.549819853018903</v>
      </c>
      <c r="AK2575">
        <v>0.66768577581737298</v>
      </c>
      <c r="AL2575">
        <v>88.786640169792307</v>
      </c>
      <c r="AM2575">
        <v>82.8270803633376</v>
      </c>
      <c r="AN2575">
        <v>0.99999994343183396</v>
      </c>
    </row>
    <row r="2576" spans="1:40" x14ac:dyDescent="0.3">
      <c r="A2576" t="str">
        <f>"20200111153927000"</f>
        <v>20200111153927000</v>
      </c>
      <c r="B2576" t="str">
        <f>"1578728366993160"</f>
        <v>1578728366993160</v>
      </c>
      <c r="C2576" t="s">
        <v>40</v>
      </c>
      <c r="D2576">
        <v>5.267277</v>
      </c>
      <c r="E2576">
        <v>0.52048149999999904</v>
      </c>
      <c r="F2576" t="s">
        <v>41</v>
      </c>
      <c r="G2576">
        <v>-214.0342</v>
      </c>
      <c r="H2576">
        <v>1.0048979999999901</v>
      </c>
      <c r="I2576">
        <v>141.43860000000001</v>
      </c>
      <c r="J2576">
        <v>-213.40119999999999</v>
      </c>
      <c r="K2576">
        <v>1.0943830000000001</v>
      </c>
      <c r="L2576">
        <v>141.34569999999999</v>
      </c>
      <c r="M2576">
        <v>-0.99460979999999999</v>
      </c>
      <c r="N2576">
        <v>0</v>
      </c>
      <c r="O2576">
        <v>-0.10354090000000001</v>
      </c>
      <c r="P2576">
        <v>-0.99965950000000003</v>
      </c>
      <c r="Q2576">
        <v>1.8657079999999999E-2</v>
      </c>
      <c r="R2576">
        <v>1.8256270000000002E-2</v>
      </c>
      <c r="S2576">
        <v>-3.0035400000000001</v>
      </c>
      <c r="T2576">
        <v>-0.27778140000000001</v>
      </c>
      <c r="U2576">
        <v>0.19792180000000001</v>
      </c>
      <c r="V2576">
        <v>0.1221547</v>
      </c>
      <c r="W2576">
        <v>2.1567409999999999E-2</v>
      </c>
      <c r="X2576">
        <v>0.99227670000000001</v>
      </c>
      <c r="Y2576">
        <v>0.16756570000000001</v>
      </c>
      <c r="Z2576">
        <v>1.7264459999999999E-2</v>
      </c>
      <c r="AA2576">
        <v>0.98570970000000002</v>
      </c>
      <c r="AB2576">
        <v>33</v>
      </c>
      <c r="AC2576">
        <v>-0.633000000000009</v>
      </c>
      <c r="AD2576">
        <v>-8.9484999999999995E-2</v>
      </c>
      <c r="AE2576">
        <v>9.2900000000014402E-2</v>
      </c>
      <c r="AF2576">
        <v>0.15491248710080599</v>
      </c>
      <c r="AG2576">
        <v>-8.9484999999999995E-2</v>
      </c>
      <c r="AH2576">
        <v>0.60808255541553202</v>
      </c>
      <c r="AI2576">
        <v>98.115915264031202</v>
      </c>
      <c r="AJ2576">
        <v>75.707592554906896</v>
      </c>
      <c r="AK2576">
        <v>0.63385316760701005</v>
      </c>
      <c r="AL2576">
        <v>88.764182595425297</v>
      </c>
      <c r="AM2576">
        <v>82.981886453266199</v>
      </c>
      <c r="AN2576">
        <v>0.99999998663454404</v>
      </c>
    </row>
    <row r="2577" spans="1:40" x14ac:dyDescent="0.3">
      <c r="A2577" t="str">
        <f>"20200111153927023"</f>
        <v>20200111153927023</v>
      </c>
      <c r="B2577" t="str">
        <f>"1578728367013659"</f>
        <v>1578728367013659</v>
      </c>
      <c r="C2577" t="s">
        <v>40</v>
      </c>
      <c r="D2577">
        <v>5.3315279999999996</v>
      </c>
      <c r="E2577">
        <v>0.52015319999999998</v>
      </c>
      <c r="F2577" t="s">
        <v>41</v>
      </c>
      <c r="G2577">
        <v>-214.3339</v>
      </c>
      <c r="H2577">
        <v>1.0086889999999999</v>
      </c>
      <c r="I2577">
        <v>141.41309999999999</v>
      </c>
      <c r="J2577">
        <v>-213.74109999999999</v>
      </c>
      <c r="K2577">
        <v>1.0945210000000001</v>
      </c>
      <c r="L2577">
        <v>141.31890000000001</v>
      </c>
      <c r="M2577">
        <v>-0.99556279999999997</v>
      </c>
      <c r="N2577">
        <v>0</v>
      </c>
      <c r="O2577">
        <v>-9.3938640000000004E-2</v>
      </c>
      <c r="P2577">
        <v>-0.99950300000000003</v>
      </c>
      <c r="Q2577">
        <v>1.8448260000000001E-2</v>
      </c>
      <c r="R2577">
        <v>2.55686E-2</v>
      </c>
      <c r="S2577">
        <v>-3.0022129999999998</v>
      </c>
      <c r="T2577">
        <v>-0.27551409999999998</v>
      </c>
      <c r="U2577">
        <v>0.21647640000000001</v>
      </c>
      <c r="V2577">
        <v>0.119825399999999</v>
      </c>
      <c r="W2577">
        <v>2.1407229999999999E-2</v>
      </c>
      <c r="X2577">
        <v>0.99256409999999995</v>
      </c>
      <c r="Y2577">
        <v>0.16421749999999999</v>
      </c>
      <c r="Z2577">
        <v>1.609915E-2</v>
      </c>
      <c r="AA2577">
        <v>0.98629279999999997</v>
      </c>
      <c r="AB2577">
        <v>33</v>
      </c>
      <c r="AC2577">
        <v>-0.59280000000001098</v>
      </c>
      <c r="AD2577">
        <v>-8.5831999999999894E-2</v>
      </c>
      <c r="AE2577">
        <v>9.4199999999972306E-2</v>
      </c>
      <c r="AF2577">
        <v>0.14647595548325901</v>
      </c>
      <c r="AG2577">
        <v>-8.5831999999999894E-2</v>
      </c>
      <c r="AH2577">
        <v>0.569680547515798</v>
      </c>
      <c r="AI2577">
        <v>98.302043472238907</v>
      </c>
      <c r="AJ2577">
        <v>75.580484224618203</v>
      </c>
      <c r="AK2577">
        <v>0.59443945358348504</v>
      </c>
      <c r="AL2577">
        <v>88.773362300991494</v>
      </c>
      <c r="AM2577">
        <v>83.116388499895194</v>
      </c>
      <c r="AN2577">
        <v>0.99999994429511996</v>
      </c>
    </row>
    <row r="2578" spans="1:40" x14ac:dyDescent="0.3">
      <c r="A2578" t="str">
        <f>"20200111153927046"</f>
        <v>20200111153927046</v>
      </c>
      <c r="B2578" t="str">
        <f>"1578728367042939"</f>
        <v>1578728367042939</v>
      </c>
      <c r="C2578" t="s">
        <v>40</v>
      </c>
      <c r="D2578">
        <v>5.2715139999999998</v>
      </c>
      <c r="E2578">
        <v>0.51189180000000001</v>
      </c>
      <c r="F2578" t="s">
        <v>41</v>
      </c>
      <c r="G2578">
        <v>-214.63509999999999</v>
      </c>
      <c r="H2578">
        <v>1.0128379999999999</v>
      </c>
      <c r="I2578">
        <v>141.38919999999999</v>
      </c>
      <c r="J2578">
        <v>-214.0856</v>
      </c>
      <c r="K2578">
        <v>1.094673</v>
      </c>
      <c r="L2578">
        <v>141.29480000000001</v>
      </c>
      <c r="M2578">
        <v>-0.99640969999999995</v>
      </c>
      <c r="N2578">
        <v>0</v>
      </c>
      <c r="O2578">
        <v>-8.4487179999999995E-2</v>
      </c>
      <c r="P2578">
        <v>-0.99926040000000005</v>
      </c>
      <c r="Q2578">
        <v>1.8077619999999999E-2</v>
      </c>
      <c r="R2578">
        <v>3.3940480000000002E-2</v>
      </c>
      <c r="S2578">
        <v>-3.000534</v>
      </c>
      <c r="T2578">
        <v>-0.27408130000000003</v>
      </c>
      <c r="U2578">
        <v>0.23593140000000001</v>
      </c>
      <c r="V2578">
        <v>0.1187049</v>
      </c>
      <c r="W2578">
        <v>2.1058739999999999E-2</v>
      </c>
      <c r="X2578">
        <v>0.99270619999999998</v>
      </c>
      <c r="Y2578">
        <v>0.16131789999999999</v>
      </c>
      <c r="Z2578">
        <v>1.503034E-2</v>
      </c>
      <c r="AA2578">
        <v>0.986788</v>
      </c>
      <c r="AB2578">
        <v>33</v>
      </c>
      <c r="AC2578">
        <v>-0.54949999999999399</v>
      </c>
      <c r="AD2578">
        <v>-8.1835000000000102E-2</v>
      </c>
      <c r="AE2578">
        <v>9.4399999999978904E-2</v>
      </c>
      <c r="AF2578">
        <v>0.13752610389376199</v>
      </c>
      <c r="AG2578">
        <v>-8.1835000000000102E-2</v>
      </c>
      <c r="AH2578">
        <v>0.52818080547940305</v>
      </c>
      <c r="AI2578">
        <v>98.527302682649406</v>
      </c>
      <c r="AJ2578">
        <v>75.405555903550507</v>
      </c>
      <c r="AK2578">
        <v>0.55189252554647705</v>
      </c>
      <c r="AL2578">
        <v>88.793333831854198</v>
      </c>
      <c r="AM2578">
        <v>83.1811158261944</v>
      </c>
      <c r="AN2578">
        <v>0.99999996166641802</v>
      </c>
    </row>
    <row r="2579" spans="1:40" x14ac:dyDescent="0.3">
      <c r="A2579" t="str">
        <f>"20200111153927069"</f>
        <v>20200111153927069</v>
      </c>
      <c r="B2579" t="str">
        <f>"1578728367063435"</f>
        <v>1578728367063435</v>
      </c>
      <c r="C2579" t="s">
        <v>40</v>
      </c>
      <c r="D2579">
        <v>5.3632960000000001</v>
      </c>
      <c r="E2579">
        <v>0.51357730000000001</v>
      </c>
      <c r="F2579" t="s">
        <v>41</v>
      </c>
      <c r="G2579">
        <v>-214.9374</v>
      </c>
      <c r="H2579">
        <v>1.020162</v>
      </c>
      <c r="I2579">
        <v>141.3503</v>
      </c>
      <c r="J2579">
        <v>-214.43199999999999</v>
      </c>
      <c r="K2579">
        <v>1.0948260000000001</v>
      </c>
      <c r="L2579">
        <v>141.27359999999999</v>
      </c>
      <c r="M2579">
        <v>-0.99714800000000003</v>
      </c>
      <c r="N2579">
        <v>0</v>
      </c>
      <c r="O2579">
        <v>-7.5275990000000001E-2</v>
      </c>
      <c r="P2579">
        <v>-0.99890829999999997</v>
      </c>
      <c r="Q2579">
        <v>1.7163020000000001E-2</v>
      </c>
      <c r="R2579">
        <v>4.3449330000000001E-2</v>
      </c>
      <c r="S2579">
        <v>-3.0003510000000002</v>
      </c>
      <c r="T2579">
        <v>-0.26232539999999999</v>
      </c>
      <c r="U2579">
        <v>0.1952209</v>
      </c>
      <c r="V2579">
        <v>0.118953</v>
      </c>
      <c r="W2579">
        <v>2.0139589999999999E-2</v>
      </c>
      <c r="X2579">
        <v>0.99269560000000001</v>
      </c>
      <c r="Y2579">
        <v>0.139048</v>
      </c>
      <c r="Z2579">
        <v>1.262216E-2</v>
      </c>
      <c r="AA2579">
        <v>0.99020520000000001</v>
      </c>
      <c r="AB2579">
        <v>33</v>
      </c>
      <c r="AC2579">
        <v>-0.50539999999997998</v>
      </c>
      <c r="AD2579">
        <v>-7.4663999999999994E-2</v>
      </c>
      <c r="AE2579">
        <v>7.6700000000016602E-2</v>
      </c>
      <c r="AF2579">
        <v>0.112135178912626</v>
      </c>
      <c r="AG2579">
        <v>-7.4663999999999994E-2</v>
      </c>
      <c r="AH2579">
        <v>0.48778604558958499</v>
      </c>
      <c r="AI2579">
        <v>98.484590546346297</v>
      </c>
      <c r="AJ2579">
        <v>77.053439634323595</v>
      </c>
      <c r="AK2579">
        <v>0.506047663286465</v>
      </c>
      <c r="AL2579">
        <v>88.8460084572271</v>
      </c>
      <c r="AM2579">
        <v>83.166926306744799</v>
      </c>
      <c r="AN2579">
        <v>0.99999998677686397</v>
      </c>
    </row>
    <row r="2580" spans="1:40" x14ac:dyDescent="0.3">
      <c r="A2580" t="str">
        <f>"20200111153927089"</f>
        <v>20200111153927089</v>
      </c>
      <c r="B2580" t="str">
        <f>"1578728367082956"</f>
        <v>1578728367082956</v>
      </c>
      <c r="C2580" t="s">
        <v>40</v>
      </c>
      <c r="D2580">
        <v>5.3233119999999996</v>
      </c>
      <c r="E2580">
        <v>0.51313189999999997</v>
      </c>
      <c r="F2580" t="s">
        <v>41</v>
      </c>
      <c r="G2580">
        <v>-215.24160000000001</v>
      </c>
      <c r="H2580">
        <v>1.0235570000000001</v>
      </c>
      <c r="I2580">
        <v>141.33779999999999</v>
      </c>
      <c r="J2580">
        <v>-214.74340000000001</v>
      </c>
      <c r="K2580">
        <v>1.094973</v>
      </c>
      <c r="L2580">
        <v>141.25700000000001</v>
      </c>
      <c r="M2580">
        <v>-0.99772059999999996</v>
      </c>
      <c r="N2580">
        <v>0</v>
      </c>
      <c r="O2580">
        <v>-6.7267690000000005E-2</v>
      </c>
      <c r="P2580">
        <v>-0.99850550000000005</v>
      </c>
      <c r="Q2580">
        <v>1.51012E-2</v>
      </c>
      <c r="R2580">
        <v>5.2526839999999998E-2</v>
      </c>
      <c r="S2580">
        <v>-2.9974669999999999</v>
      </c>
      <c r="T2580">
        <v>-0.26385259999999999</v>
      </c>
      <c r="U2580">
        <v>0.23767089999999999</v>
      </c>
      <c r="V2580">
        <v>0.119958</v>
      </c>
      <c r="W2580">
        <v>1.806191E-2</v>
      </c>
      <c r="X2580">
        <v>0.99261460000000001</v>
      </c>
      <c r="Y2580">
        <v>0.14510479999999901</v>
      </c>
      <c r="Z2580">
        <v>1.2265460000000001E-2</v>
      </c>
      <c r="AA2580">
        <v>0.9893402</v>
      </c>
      <c r="AB2580">
        <v>33</v>
      </c>
      <c r="AC2580">
        <v>-0.49819999999999698</v>
      </c>
      <c r="AD2580">
        <v>-7.1415999999999896E-2</v>
      </c>
      <c r="AE2580">
        <v>8.0799999999982206E-2</v>
      </c>
      <c r="AF2580">
        <v>0.111889960989903</v>
      </c>
      <c r="AG2580">
        <v>-7.1415999999999896E-2</v>
      </c>
      <c r="AH2580">
        <v>0.48198589144473702</v>
      </c>
      <c r="AI2580">
        <v>98.212912891636194</v>
      </c>
      <c r="AJ2580">
        <v>76.930639348776495</v>
      </c>
      <c r="AK2580">
        <v>0.49993000307853103</v>
      </c>
      <c r="AL2580">
        <v>88.965072458139502</v>
      </c>
      <c r="AM2580">
        <v>83.109191456571097</v>
      </c>
      <c r="AN2580">
        <v>0.99999994924500202</v>
      </c>
    </row>
    <row r="2581" spans="1:40" x14ac:dyDescent="0.3">
      <c r="A2581" t="str">
        <f>"20200111153927112"</f>
        <v>20200111153927112</v>
      </c>
      <c r="B2581" t="str">
        <f>"1578728367103451"</f>
        <v>1578728367103451</v>
      </c>
      <c r="C2581" t="s">
        <v>40</v>
      </c>
      <c r="D2581">
        <v>5.3344630000000004</v>
      </c>
      <c r="E2581">
        <v>0.51233519999999999</v>
      </c>
      <c r="F2581" t="s">
        <v>41</v>
      </c>
      <c r="G2581">
        <v>-215.54480000000001</v>
      </c>
      <c r="H2581">
        <v>1.0224249999999999</v>
      </c>
      <c r="I2581">
        <v>141.32730000000001</v>
      </c>
      <c r="J2581">
        <v>-215.10210000000001</v>
      </c>
      <c r="K2581">
        <v>1.0951660000000001</v>
      </c>
      <c r="L2581">
        <v>141.2407</v>
      </c>
      <c r="M2581">
        <v>-0.99828170000000005</v>
      </c>
      <c r="N2581">
        <v>0</v>
      </c>
      <c r="O2581">
        <v>-5.8354950000000003E-2</v>
      </c>
      <c r="P2581">
        <v>-0.99791149999999995</v>
      </c>
      <c r="Q2581">
        <v>1.3501259999999999E-2</v>
      </c>
      <c r="R2581">
        <v>6.3168420000000003E-2</v>
      </c>
      <c r="S2581">
        <v>-2.9948269999999999</v>
      </c>
      <c r="T2581">
        <v>-0.27085690000000001</v>
      </c>
      <c r="U2581">
        <v>0.26188660000000002</v>
      </c>
      <c r="V2581">
        <v>0.1216353</v>
      </c>
      <c r="W2581">
        <v>1.6438999999999999E-2</v>
      </c>
      <c r="X2581">
        <v>0.99243870000000001</v>
      </c>
      <c r="Y2581">
        <v>0.14427770000000001</v>
      </c>
      <c r="Z2581">
        <v>1.1756910000000001E-2</v>
      </c>
      <c r="AA2581">
        <v>0.9894674</v>
      </c>
      <c r="AB2581">
        <v>34</v>
      </c>
      <c r="AC2581">
        <v>-0.44270000000000198</v>
      </c>
      <c r="AD2581">
        <v>-7.2741000000000097E-2</v>
      </c>
      <c r="AE2581">
        <v>8.6600000000004201E-2</v>
      </c>
      <c r="AF2581">
        <v>0.10944068924516299</v>
      </c>
      <c r="AG2581">
        <v>-7.2741000000000097E-2</v>
      </c>
      <c r="AH2581">
        <v>0.42581920037286902</v>
      </c>
      <c r="AI2581">
        <v>99.394427899084505</v>
      </c>
      <c r="AJ2581">
        <v>75.586253977307905</v>
      </c>
      <c r="AK2581">
        <v>0.44563495032329498</v>
      </c>
      <c r="AL2581">
        <v>89.058072234043394</v>
      </c>
      <c r="AM2581">
        <v>83.012561151478707</v>
      </c>
      <c r="AN2581">
        <v>0.999999980092389</v>
      </c>
    </row>
    <row r="2582" spans="1:40" x14ac:dyDescent="0.3">
      <c r="A2582" t="str">
        <f>"20200111153927137"</f>
        <v>20200111153927137</v>
      </c>
      <c r="B2582" t="str">
        <f>"1578728367133239"</f>
        <v>1578728367133239</v>
      </c>
      <c r="C2582" t="s">
        <v>40</v>
      </c>
      <c r="D2582">
        <v>5.3388730000000004</v>
      </c>
      <c r="E2582">
        <v>0.5113354</v>
      </c>
      <c r="F2582" t="s">
        <v>41</v>
      </c>
      <c r="G2582">
        <v>-215.85050000000001</v>
      </c>
      <c r="H2582">
        <v>1.0251589999999999</v>
      </c>
      <c r="I2582">
        <v>141.3125</v>
      </c>
      <c r="J2582">
        <v>-215.4605</v>
      </c>
      <c r="K2582">
        <v>1.0953900000000001</v>
      </c>
      <c r="L2582">
        <v>141.22730000000001</v>
      </c>
      <c r="M2582">
        <v>-0.99874370000000001</v>
      </c>
      <c r="N2582">
        <v>0</v>
      </c>
      <c r="O2582">
        <v>-4.9832580000000001E-2</v>
      </c>
      <c r="P2582">
        <v>-0.99724199999999996</v>
      </c>
      <c r="Q2582">
        <v>1.3766189999999999E-2</v>
      </c>
      <c r="R2582">
        <v>7.2932759999999999E-2</v>
      </c>
      <c r="S2582">
        <v>-2.9918819999999999</v>
      </c>
      <c r="T2582">
        <v>-0.27991779999999999</v>
      </c>
      <c r="U2582">
        <v>0.28726200000000002</v>
      </c>
      <c r="V2582">
        <v>0.12287339999999999</v>
      </c>
      <c r="W2582">
        <v>1.669884E-2</v>
      </c>
      <c r="X2582">
        <v>0.99228190000000005</v>
      </c>
      <c r="Y2582">
        <v>0.14422009999999999</v>
      </c>
      <c r="Z2582">
        <v>1.135943E-2</v>
      </c>
      <c r="AA2582">
        <v>0.98948040000000004</v>
      </c>
      <c r="AB2582">
        <v>34</v>
      </c>
      <c r="AC2582">
        <v>-0.390000000000014</v>
      </c>
      <c r="AD2582">
        <v>-7.0230999999999905E-2</v>
      </c>
      <c r="AE2582">
        <v>8.5199999999986106E-2</v>
      </c>
      <c r="AF2582">
        <v>0.10139092295923301</v>
      </c>
      <c r="AG2582">
        <v>-7.0230999999999905E-2</v>
      </c>
      <c r="AH2582">
        <v>0.37370300034350101</v>
      </c>
      <c r="AI2582">
        <v>100.280294506207</v>
      </c>
      <c r="AJ2582">
        <v>74.820267347462106</v>
      </c>
      <c r="AK2582">
        <v>0.39353074223656198</v>
      </c>
      <c r="AL2582">
        <v>89.043182517804595</v>
      </c>
      <c r="AM2582">
        <v>82.941047210218002</v>
      </c>
      <c r="AN2582">
        <v>1.00000004637625</v>
      </c>
    </row>
    <row r="2583" spans="1:40" x14ac:dyDescent="0.3">
      <c r="A2583" t="str">
        <f>"20200111153927158"</f>
        <v>20200111153927158</v>
      </c>
      <c r="B2583" t="str">
        <f>"1578728367153735"</f>
        <v>1578728367153735</v>
      </c>
      <c r="C2583" t="s">
        <v>40</v>
      </c>
      <c r="D2583">
        <v>5.3356440000000003</v>
      </c>
      <c r="E2583">
        <v>0.50305900000000003</v>
      </c>
      <c r="F2583" t="s">
        <v>41</v>
      </c>
      <c r="G2583">
        <v>-216.45400000000001</v>
      </c>
      <c r="H2583">
        <v>1.0017400000000001</v>
      </c>
      <c r="I2583">
        <v>141.32990000000001</v>
      </c>
      <c r="J2583">
        <v>-215.7998</v>
      </c>
      <c r="K2583">
        <v>1.095626</v>
      </c>
      <c r="L2583">
        <v>141.21719999999999</v>
      </c>
      <c r="M2583">
        <v>-0.99909879999999995</v>
      </c>
      <c r="N2583">
        <v>0</v>
      </c>
      <c r="O2583">
        <v>-4.2121289999999999E-2</v>
      </c>
      <c r="P2583">
        <v>-0.99659450000000005</v>
      </c>
      <c r="Q2583">
        <v>1.316968E-2</v>
      </c>
      <c r="R2583">
        <v>8.1399340000000001E-2</v>
      </c>
      <c r="S2583">
        <v>-2.989655</v>
      </c>
      <c r="T2583">
        <v>-0.28176299999999999</v>
      </c>
      <c r="U2583">
        <v>0.308197</v>
      </c>
      <c r="V2583">
        <v>0.1236197</v>
      </c>
      <c r="W2583">
        <v>1.611193E-2</v>
      </c>
      <c r="X2583">
        <v>0.99219889999999999</v>
      </c>
      <c r="Y2583">
        <v>0.14353829999999901</v>
      </c>
      <c r="Z2583">
        <v>1.068319E-2</v>
      </c>
      <c r="AA2583">
        <v>0.98958710000000005</v>
      </c>
      <c r="AB2583">
        <v>34</v>
      </c>
      <c r="AC2583">
        <v>-0.654200000000002</v>
      </c>
      <c r="AD2583">
        <v>-9.3886000000000094E-2</v>
      </c>
      <c r="AE2583">
        <v>0.11270000000001799</v>
      </c>
      <c r="AF2583">
        <v>0.13740763647668899</v>
      </c>
      <c r="AG2583">
        <v>-9.3886000000000094E-2</v>
      </c>
      <c r="AH2583">
        <v>0.63614784629777599</v>
      </c>
      <c r="AI2583">
        <v>98.208762096793905</v>
      </c>
      <c r="AJ2583">
        <v>77.811392469393994</v>
      </c>
      <c r="AK2583">
        <v>0.65755571772086996</v>
      </c>
      <c r="AL2583">
        <v>89.076814503674598</v>
      </c>
      <c r="AM2583">
        <v>82.898021480331394</v>
      </c>
      <c r="AN2583">
        <v>1.0000000408388099</v>
      </c>
    </row>
    <row r="2584" spans="1:40" x14ac:dyDescent="0.3">
      <c r="A2584" t="str">
        <f>"20200111153927181"</f>
        <v>20200111153927181</v>
      </c>
      <c r="B2584" t="str">
        <f>"1578728367173255"</f>
        <v>1578728367173255</v>
      </c>
      <c r="C2584" t="s">
        <v>40</v>
      </c>
      <c r="D2584">
        <v>5.3764390000000004</v>
      </c>
      <c r="E2584">
        <v>0.50197049999999999</v>
      </c>
      <c r="F2584" t="s">
        <v>41</v>
      </c>
      <c r="G2584">
        <v>-216.76169999999999</v>
      </c>
      <c r="H2584">
        <v>1.003824</v>
      </c>
      <c r="I2584">
        <v>141.30340000000001</v>
      </c>
      <c r="J2584">
        <v>-216.142</v>
      </c>
      <c r="K2584">
        <v>1.095852</v>
      </c>
      <c r="L2584">
        <v>141.20939999999999</v>
      </c>
      <c r="M2584">
        <v>-0.99938629999999995</v>
      </c>
      <c r="N2584">
        <v>0</v>
      </c>
      <c r="O2584">
        <v>-3.4642720000000002E-2</v>
      </c>
      <c r="P2584">
        <v>-0.99595929999999999</v>
      </c>
      <c r="Q2584">
        <v>1.3970170000000001E-2</v>
      </c>
      <c r="R2584">
        <v>8.8713710000000001E-2</v>
      </c>
      <c r="S2584">
        <v>-2.9921880000000001</v>
      </c>
      <c r="T2584">
        <v>-0.28542719999999999</v>
      </c>
      <c r="U2584">
        <v>0.26748660000000002</v>
      </c>
      <c r="V2584">
        <v>0.1234825</v>
      </c>
      <c r="W2584">
        <v>1.6940090000000001E-2</v>
      </c>
      <c r="X2584">
        <v>0.99220220000000003</v>
      </c>
      <c r="Y2584">
        <v>0.12278260000000001</v>
      </c>
      <c r="Z2584">
        <v>9.1227700000000005E-3</v>
      </c>
      <c r="AA2584">
        <v>0.99239160000000004</v>
      </c>
      <c r="AB2584">
        <v>34</v>
      </c>
      <c r="AC2584">
        <v>-0.61969999999999403</v>
      </c>
      <c r="AD2584">
        <v>-9.2027999999999999E-2</v>
      </c>
      <c r="AE2584">
        <v>9.4000000000022496E-2</v>
      </c>
      <c r="AF2584">
        <v>0.112976472356135</v>
      </c>
      <c r="AG2584">
        <v>-9.2027999999999999E-2</v>
      </c>
      <c r="AH2584">
        <v>0.60307088447050505</v>
      </c>
      <c r="AI2584">
        <v>98.530191952922195</v>
      </c>
      <c r="AJ2584">
        <v>79.389460452456703</v>
      </c>
      <c r="AK2584">
        <v>0.62042511859697702</v>
      </c>
      <c r="AL2584">
        <v>89.0293579596066</v>
      </c>
      <c r="AM2584">
        <v>82.905846648288701</v>
      </c>
      <c r="AN2584">
        <v>1.00000005007014</v>
      </c>
    </row>
    <row r="2585" spans="1:40" x14ac:dyDescent="0.3">
      <c r="A2585" t="str">
        <f>"20200111153927202"</f>
        <v>20200111153927202</v>
      </c>
      <c r="B2585" t="str">
        <f>"1578728367193751"</f>
        <v>1578728367193751</v>
      </c>
      <c r="C2585" t="s">
        <v>40</v>
      </c>
      <c r="D2585">
        <v>5.3632099999999996</v>
      </c>
      <c r="E2585">
        <v>0.5011873</v>
      </c>
      <c r="F2585" t="s">
        <v>41</v>
      </c>
      <c r="G2585">
        <v>-217.0729</v>
      </c>
      <c r="H2585">
        <v>1.0083759999999999</v>
      </c>
      <c r="I2585">
        <v>141.29650000000001</v>
      </c>
      <c r="J2585">
        <v>-216.48660000000001</v>
      </c>
      <c r="K2585">
        <v>1.096085</v>
      </c>
      <c r="L2585">
        <v>141.2037</v>
      </c>
      <c r="M2585">
        <v>-0.99961049999999996</v>
      </c>
      <c r="N2585">
        <v>0</v>
      </c>
      <c r="O2585">
        <v>-2.7428279999999999E-2</v>
      </c>
      <c r="P2585">
        <v>-0.99530730000000001</v>
      </c>
      <c r="Q2585">
        <v>1.538453E-2</v>
      </c>
      <c r="R2585">
        <v>9.5534209999999994E-2</v>
      </c>
      <c r="S2585">
        <v>-2.991196</v>
      </c>
      <c r="T2585">
        <v>-0.28103650000000002</v>
      </c>
      <c r="U2585">
        <v>0.27995300000000001</v>
      </c>
      <c r="V2585">
        <v>0.12313159999999999</v>
      </c>
      <c r="W2585">
        <v>1.8387540000000001E-2</v>
      </c>
      <c r="X2585">
        <v>0.99221999999999999</v>
      </c>
      <c r="Y2585">
        <v>0.11981609999999999</v>
      </c>
      <c r="Z2585">
        <v>8.1704969999999901E-3</v>
      </c>
      <c r="AA2585">
        <v>0.99276249999999999</v>
      </c>
      <c r="AB2585">
        <v>34</v>
      </c>
      <c r="AC2585">
        <v>-0.58629999999999405</v>
      </c>
      <c r="AD2585">
        <v>-8.7708999999999995E-2</v>
      </c>
      <c r="AE2585">
        <v>9.2800000000011096E-2</v>
      </c>
      <c r="AF2585">
        <v>0.106520888226965</v>
      </c>
      <c r="AG2585">
        <v>-8.7708999999999995E-2</v>
      </c>
      <c r="AH2585">
        <v>0.57106626408754502</v>
      </c>
      <c r="AI2585">
        <v>98.585894277593198</v>
      </c>
      <c r="AJ2585">
        <v>79.434053422442403</v>
      </c>
      <c r="AK2585">
        <v>0.58749999684133403</v>
      </c>
      <c r="AL2585">
        <v>88.946412197759997</v>
      </c>
      <c r="AM2585">
        <v>82.925927172372198</v>
      </c>
      <c r="AN2585">
        <v>1.0000000104729001</v>
      </c>
    </row>
    <row r="2586" spans="1:40" x14ac:dyDescent="0.3">
      <c r="A2586" t="str">
        <f>"20200111153927224"</f>
        <v>20200111153927224</v>
      </c>
      <c r="B2586" t="str">
        <f>"1578728367213778"</f>
        <v>1578728367213778</v>
      </c>
      <c r="C2586" t="s">
        <v>40</v>
      </c>
      <c r="D2586">
        <v>5.357907</v>
      </c>
      <c r="E2586">
        <v>0.50018530000000005</v>
      </c>
      <c r="F2586" t="s">
        <v>41</v>
      </c>
      <c r="G2586">
        <v>-217.38509999999999</v>
      </c>
      <c r="H2586">
        <v>1.012664</v>
      </c>
      <c r="I2586">
        <v>141.29220000000001</v>
      </c>
      <c r="J2586">
        <v>-216.82759999999999</v>
      </c>
      <c r="K2586">
        <v>1.0963229999999999</v>
      </c>
      <c r="L2586">
        <v>141.2003</v>
      </c>
      <c r="M2586">
        <v>-0.99977419999999995</v>
      </c>
      <c r="N2586">
        <v>0</v>
      </c>
      <c r="O2586">
        <v>-2.0623329999999999E-2</v>
      </c>
      <c r="P2586">
        <v>-0.99467510000000003</v>
      </c>
      <c r="Q2586">
        <v>1.5993739999999999E-2</v>
      </c>
      <c r="R2586">
        <v>0.1018111</v>
      </c>
      <c r="S2586">
        <v>-2.9902340000000001</v>
      </c>
      <c r="T2586">
        <v>-0.27745039999999999</v>
      </c>
      <c r="U2586">
        <v>0.29379270000000002</v>
      </c>
      <c r="V2586">
        <v>0.1226358</v>
      </c>
      <c r="W2586">
        <v>1.9034490000000001E-2</v>
      </c>
      <c r="X2586">
        <v>0.99226919999999996</v>
      </c>
      <c r="Y2586">
        <v>0.1176952</v>
      </c>
      <c r="Z2586">
        <v>7.3407899999999998E-3</v>
      </c>
      <c r="AA2586">
        <v>0.99302259999999998</v>
      </c>
      <c r="AB2586">
        <v>34</v>
      </c>
      <c r="AC2586">
        <v>-0.55750000000000399</v>
      </c>
      <c r="AD2586">
        <v>-8.36589999999999E-2</v>
      </c>
      <c r="AE2586">
        <v>9.1900000000009599E-2</v>
      </c>
      <c r="AF2586">
        <v>0.10116041267055199</v>
      </c>
      <c r="AG2586">
        <v>-8.36589999999999E-2</v>
      </c>
      <c r="AH2586">
        <v>0.54356966104610405</v>
      </c>
      <c r="AI2586">
        <v>98.604085490073402</v>
      </c>
      <c r="AJ2586">
        <v>79.457640354375101</v>
      </c>
      <c r="AK2586">
        <v>0.55919606023509505</v>
      </c>
      <c r="AL2586">
        <v>88.909338200121496</v>
      </c>
      <c r="AM2586">
        <v>82.954470510299103</v>
      </c>
      <c r="AN2586">
        <v>1.0000000082599201</v>
      </c>
    </row>
    <row r="2587" spans="1:40" x14ac:dyDescent="0.3">
      <c r="A2587" t="str">
        <f>"20200111153927246"</f>
        <v>20200111153927246</v>
      </c>
      <c r="B2587" t="str">
        <f>"1578728367243057"</f>
        <v>1578728367243057</v>
      </c>
      <c r="C2587" t="s">
        <v>40</v>
      </c>
      <c r="D2587">
        <v>5.5966440000000004</v>
      </c>
      <c r="E2587">
        <v>0.49536540000000001</v>
      </c>
      <c r="F2587" t="s">
        <v>41</v>
      </c>
      <c r="G2587">
        <v>-217.69759999999999</v>
      </c>
      <c r="H2587">
        <v>1.0152669999999999</v>
      </c>
      <c r="I2587">
        <v>141.28899999999999</v>
      </c>
      <c r="J2587">
        <v>-217.1788</v>
      </c>
      <c r="K2587">
        <v>1.096579</v>
      </c>
      <c r="L2587">
        <v>141.19890000000001</v>
      </c>
      <c r="M2587">
        <v>-0.99988949999999999</v>
      </c>
      <c r="N2587">
        <v>0</v>
      </c>
      <c r="O2587">
        <v>-1.397526E-2</v>
      </c>
      <c r="P2587">
        <v>-0.99405869999999996</v>
      </c>
      <c r="Q2587">
        <v>1.6614400000000001E-2</v>
      </c>
      <c r="R2587">
        <v>0.10757129999999999</v>
      </c>
      <c r="S2587">
        <v>-2.9893800000000001</v>
      </c>
      <c r="T2587">
        <v>-0.27850150000000001</v>
      </c>
      <c r="U2587">
        <v>0.30459589999999998</v>
      </c>
      <c r="V2587">
        <v>0.1217835</v>
      </c>
      <c r="W2587">
        <v>1.9703849999999998E-2</v>
      </c>
      <c r="X2587">
        <v>0.9923611</v>
      </c>
      <c r="Y2587">
        <v>0.1147097</v>
      </c>
      <c r="Z2587">
        <v>6.6142179999999998E-3</v>
      </c>
      <c r="AA2587">
        <v>0.99337699999999995</v>
      </c>
      <c r="AB2587">
        <v>34</v>
      </c>
      <c r="AC2587">
        <v>-0.51879999999999804</v>
      </c>
      <c r="AD2587">
        <v>-8.1312000000000204E-2</v>
      </c>
      <c r="AE2587">
        <v>9.0099999999978295E-2</v>
      </c>
      <c r="AF2587">
        <v>9.5074570054771407E-2</v>
      </c>
      <c r="AG2587">
        <v>-8.1312000000000204E-2</v>
      </c>
      <c r="AH2587">
        <v>0.50543779319835103</v>
      </c>
      <c r="AI2587">
        <v>98.984193867196296</v>
      </c>
      <c r="AJ2587">
        <v>79.346949964950198</v>
      </c>
      <c r="AK2587">
        <v>0.52069009785890796</v>
      </c>
      <c r="AL2587">
        <v>88.870979500006598</v>
      </c>
      <c r="AM2587">
        <v>83.003590358918004</v>
      </c>
      <c r="AN2587">
        <v>1.0000000076851401</v>
      </c>
    </row>
    <row r="2588" spans="1:40" x14ac:dyDescent="0.3">
      <c r="A2588" t="str">
        <f>"20200111153927271"</f>
        <v>20200111153927271</v>
      </c>
      <c r="B2588" t="str">
        <f>"1578728367263555"</f>
        <v>1578728367263555</v>
      </c>
      <c r="C2588" t="s">
        <v>40</v>
      </c>
      <c r="D2588">
        <v>5.3155849999999996</v>
      </c>
      <c r="E2588">
        <v>0.49514590000000003</v>
      </c>
      <c r="F2588" t="s">
        <v>41</v>
      </c>
      <c r="G2588">
        <v>-218.01159999999999</v>
      </c>
      <c r="H2588">
        <v>1.0189330000000001</v>
      </c>
      <c r="I2588">
        <v>141.27799999999999</v>
      </c>
      <c r="J2588">
        <v>-217.54669999999999</v>
      </c>
      <c r="K2588">
        <v>1.0968639999999901</v>
      </c>
      <c r="L2588">
        <v>141.1995</v>
      </c>
      <c r="M2588">
        <v>-0.99995990000000001</v>
      </c>
      <c r="N2588">
        <v>0</v>
      </c>
      <c r="O2588">
        <v>-7.4067819999999998E-3</v>
      </c>
      <c r="P2588">
        <v>-0.99347569999999996</v>
      </c>
      <c r="Q2588">
        <v>1.6964690000000001E-2</v>
      </c>
      <c r="R2588">
        <v>0.1127751</v>
      </c>
      <c r="S2588">
        <v>-2.9918819999999999</v>
      </c>
      <c r="T2588">
        <v>-0.27878819999999999</v>
      </c>
      <c r="U2588">
        <v>0.28366089999999999</v>
      </c>
      <c r="V2588">
        <v>0.1204519</v>
      </c>
      <c r="W2588">
        <v>2.0117179999999998E-2</v>
      </c>
      <c r="X2588">
        <v>0.99251529999999999</v>
      </c>
      <c r="Y2588">
        <v>0.1012913</v>
      </c>
      <c r="Z2588">
        <v>5.3857920000000004E-3</v>
      </c>
      <c r="AA2588">
        <v>0.99484220000000001</v>
      </c>
      <c r="AB2588">
        <v>35</v>
      </c>
      <c r="AC2588">
        <v>-0.46489999999999998</v>
      </c>
      <c r="AD2588">
        <v>-7.7930999999999695E-2</v>
      </c>
      <c r="AE2588">
        <v>7.8499999999991105E-2</v>
      </c>
      <c r="AF2588">
        <v>7.9762143485319306E-2</v>
      </c>
      <c r="AG2588">
        <v>-7.7930999999999695E-2</v>
      </c>
      <c r="AH2588">
        <v>0.45195798673434101</v>
      </c>
      <c r="AI2588">
        <v>99.637223148412403</v>
      </c>
      <c r="AJ2588">
        <v>79.991423712822396</v>
      </c>
      <c r="AK2588">
        <v>0.46551182806383301</v>
      </c>
      <c r="AL2588">
        <v>88.847292720648099</v>
      </c>
      <c r="AM2588">
        <v>83.080409046446903</v>
      </c>
      <c r="AN2588">
        <v>0.99999999093942604</v>
      </c>
    </row>
    <row r="2589" spans="1:40" x14ac:dyDescent="0.3">
      <c r="A2589" t="str">
        <f>"20200111153927292"</f>
        <v>20200111153927292</v>
      </c>
      <c r="B2589" t="str">
        <f>"1578728367283074"</f>
        <v>1578728367283074</v>
      </c>
      <c r="C2589" t="s">
        <v>40</v>
      </c>
      <c r="D2589">
        <v>5.5432810000000003</v>
      </c>
      <c r="E2589">
        <v>0.49461480000000002</v>
      </c>
      <c r="F2589" t="s">
        <v>41</v>
      </c>
      <c r="G2589">
        <v>-218.32919999999999</v>
      </c>
      <c r="H2589">
        <v>1.027361</v>
      </c>
      <c r="I2589">
        <v>141.2774</v>
      </c>
      <c r="J2589">
        <v>-217.89840000000001</v>
      </c>
      <c r="K2589">
        <v>1.097153</v>
      </c>
      <c r="L2589">
        <v>141.202</v>
      </c>
      <c r="M2589">
        <v>-0.9999865</v>
      </c>
      <c r="N2589">
        <v>0</v>
      </c>
      <c r="O2589">
        <v>-1.5168600000000001E-3</v>
      </c>
      <c r="P2589">
        <v>-0.99291960000000001</v>
      </c>
      <c r="Q2589">
        <v>1.729727E-2</v>
      </c>
      <c r="R2589">
        <v>0.11752369999999999</v>
      </c>
      <c r="S2589">
        <v>-2.9904630000000001</v>
      </c>
      <c r="T2589">
        <v>-0.265573</v>
      </c>
      <c r="U2589">
        <v>0.29760740000000002</v>
      </c>
      <c r="V2589">
        <v>0.1193415</v>
      </c>
      <c r="W2589">
        <v>2.05124E-2</v>
      </c>
      <c r="X2589">
        <v>0.99264129999999995</v>
      </c>
      <c r="Y2589">
        <v>0.1001428</v>
      </c>
      <c r="Z2589">
        <v>4.5611849999999997E-3</v>
      </c>
      <c r="AA2589">
        <v>0.99496260000000003</v>
      </c>
      <c r="AB2589">
        <v>35</v>
      </c>
      <c r="AC2589">
        <v>-0.43079999999997598</v>
      </c>
      <c r="AD2589">
        <v>-6.9792000000000007E-2</v>
      </c>
      <c r="AE2589">
        <v>7.5400000000001896E-2</v>
      </c>
      <c r="AF2589">
        <v>7.4164727124823193E-2</v>
      </c>
      <c r="AG2589">
        <v>-6.9792000000000007E-2</v>
      </c>
      <c r="AH2589">
        <v>0.41998979313673701</v>
      </c>
      <c r="AI2589">
        <v>99.293712799718307</v>
      </c>
      <c r="AJ2589">
        <v>79.985553250580693</v>
      </c>
      <c r="AK2589">
        <v>0.43216056778995798</v>
      </c>
      <c r="AL2589">
        <v>88.824643561722297</v>
      </c>
      <c r="AM2589">
        <v>83.144450117428406</v>
      </c>
      <c r="AN2589">
        <v>0.99999995132084796</v>
      </c>
    </row>
    <row r="2590" spans="1:40" x14ac:dyDescent="0.3">
      <c r="A2590" t="str">
        <f>"20200111153927314"</f>
        <v>20200111153927314</v>
      </c>
      <c r="B2590" t="str">
        <f>"1578728367303569"</f>
        <v>1578728367303569</v>
      </c>
      <c r="C2590" t="s">
        <v>40</v>
      </c>
      <c r="D2590">
        <v>5.3765489999999998</v>
      </c>
      <c r="E2590">
        <v>0.49360399999999999</v>
      </c>
      <c r="F2590" t="s">
        <v>41</v>
      </c>
      <c r="G2590">
        <v>-218.64570000000001</v>
      </c>
      <c r="H2590">
        <v>1.0314139999999901</v>
      </c>
      <c r="I2590">
        <v>141.279</v>
      </c>
      <c r="J2590">
        <v>-218.23830000000001</v>
      </c>
      <c r="K2590">
        <v>1.0974360000000001</v>
      </c>
      <c r="L2590">
        <v>141.20599999999999</v>
      </c>
      <c r="M2590">
        <v>-0.99998050000000005</v>
      </c>
      <c r="N2590">
        <v>0</v>
      </c>
      <c r="O2590">
        <v>3.8017160000000001E-3</v>
      </c>
      <c r="P2590">
        <v>-0.99245899999999998</v>
      </c>
      <c r="Q2590">
        <v>1.669081E-2</v>
      </c>
      <c r="R2590">
        <v>0.1214358</v>
      </c>
      <c r="S2590">
        <v>-2.9895779999999998</v>
      </c>
      <c r="T2590">
        <v>-0.26287880000000002</v>
      </c>
      <c r="U2590">
        <v>0.30746459999999998</v>
      </c>
      <c r="V2590">
        <v>0.11795020000000001</v>
      </c>
      <c r="W2590">
        <v>1.9974160000000001E-2</v>
      </c>
      <c r="X2590">
        <v>0.9928186</v>
      </c>
      <c r="Y2590">
        <v>9.8163029999999998E-2</v>
      </c>
      <c r="Z2590">
        <v>3.9634830000000003E-3</v>
      </c>
      <c r="AA2590">
        <v>0.9951624</v>
      </c>
      <c r="AB2590">
        <v>35</v>
      </c>
      <c r="AC2590">
        <v>-0.40739999999999499</v>
      </c>
      <c r="AD2590">
        <v>-6.6022000000000206E-2</v>
      </c>
      <c r="AE2590">
        <v>7.2999999999978998E-2</v>
      </c>
      <c r="AF2590">
        <v>6.9677653774505494E-2</v>
      </c>
      <c r="AG2590">
        <v>-6.6022000000000206E-2</v>
      </c>
      <c r="AH2590">
        <v>0.39755852154171101</v>
      </c>
      <c r="AI2590">
        <v>99.289902660928007</v>
      </c>
      <c r="AJ2590">
        <v>80.059084541819601</v>
      </c>
      <c r="AK2590">
        <v>0.40898246658011</v>
      </c>
      <c r="AL2590">
        <v>88.855488814214397</v>
      </c>
      <c r="AM2590">
        <v>83.224824440896896</v>
      </c>
      <c r="AN2590">
        <v>0.99999999462685196</v>
      </c>
    </row>
    <row r="2591" spans="1:40" x14ac:dyDescent="0.3">
      <c r="A2591" t="str">
        <f>"20200111153927337"</f>
        <v>20200111153927337</v>
      </c>
      <c r="B2591" t="str">
        <f>"1578728367333358"</f>
        <v>1578728367333358</v>
      </c>
      <c r="C2591" t="s">
        <v>40</v>
      </c>
      <c r="D2591">
        <v>5.4096520000000003</v>
      </c>
      <c r="E2591">
        <v>0.49229830000000002</v>
      </c>
      <c r="F2591" t="s">
        <v>41</v>
      </c>
      <c r="G2591">
        <v>-218.9624</v>
      </c>
      <c r="H2591">
        <v>1.033461</v>
      </c>
      <c r="I2591">
        <v>141.28139999999999</v>
      </c>
      <c r="J2591">
        <v>-218.58260000000001</v>
      </c>
      <c r="K2591">
        <v>1.0977250000000001</v>
      </c>
      <c r="L2591">
        <v>141.21170000000001</v>
      </c>
      <c r="M2591">
        <v>-0.99994919999999998</v>
      </c>
      <c r="N2591">
        <v>0</v>
      </c>
      <c r="O2591">
        <v>8.7962749999999992E-3</v>
      </c>
      <c r="P2591">
        <v>-0.99201680000000003</v>
      </c>
      <c r="Q2591">
        <v>1.61507E-2</v>
      </c>
      <c r="R2591">
        <v>0.1250677</v>
      </c>
      <c r="S2591">
        <v>-2.989166</v>
      </c>
      <c r="T2591">
        <v>-0.2640362</v>
      </c>
      <c r="U2591">
        <v>0.3110657</v>
      </c>
      <c r="V2591">
        <v>0.116603</v>
      </c>
      <c r="W2591">
        <v>1.9503139999999999E-2</v>
      </c>
      <c r="X2591">
        <v>0.99298710000000001</v>
      </c>
      <c r="Y2591">
        <v>9.4422519999999996E-2</v>
      </c>
      <c r="Z2591">
        <v>3.3776629999999999E-3</v>
      </c>
      <c r="AA2591">
        <v>0.99552649999999998</v>
      </c>
      <c r="AB2591">
        <v>35</v>
      </c>
      <c r="AC2591">
        <v>-0.37979999999998798</v>
      </c>
      <c r="AD2591">
        <v>-6.4264000000000099E-2</v>
      </c>
      <c r="AE2591">
        <v>6.9699999999983206E-2</v>
      </c>
      <c r="AF2591">
        <v>6.4568065979495007E-2</v>
      </c>
      <c r="AG2591">
        <v>-6.4264000000000099E-2</v>
      </c>
      <c r="AH2591">
        <v>0.37014629985925601</v>
      </c>
      <c r="AI2591">
        <v>99.705677435620203</v>
      </c>
      <c r="AJ2591">
        <v>80.104927904871005</v>
      </c>
      <c r="AK2591">
        <v>0.38119178918207403</v>
      </c>
      <c r="AL2591">
        <v>88.8824815447459</v>
      </c>
      <c r="AM2591">
        <v>83.302628063617405</v>
      </c>
      <c r="AN2591">
        <v>1.00000000642263</v>
      </c>
    </row>
    <row r="2592" spans="1:40" x14ac:dyDescent="0.3">
      <c r="A2592" t="str">
        <f>"20200111153927382"</f>
        <v>20200111153927382</v>
      </c>
      <c r="B2592" t="str">
        <f>"1578728367373374"</f>
        <v>1578728367373374</v>
      </c>
      <c r="C2592" t="s">
        <v>40</v>
      </c>
      <c r="D2592">
        <v>5.4600109999999997</v>
      </c>
      <c r="E2592">
        <v>0.49114839999999998</v>
      </c>
      <c r="F2592" t="s">
        <v>41</v>
      </c>
      <c r="G2592">
        <v>-219.58439999999999</v>
      </c>
      <c r="H2592">
        <v>1.008346</v>
      </c>
      <c r="I2592">
        <v>141.31610000000001</v>
      </c>
      <c r="J2592">
        <v>-219.31290000000001</v>
      </c>
      <c r="K2592">
        <v>1.0983270000000001</v>
      </c>
      <c r="L2592">
        <v>141.22829999999999</v>
      </c>
      <c r="M2592">
        <v>-0.99982159999999998</v>
      </c>
      <c r="N2592">
        <v>0</v>
      </c>
      <c r="O2592">
        <v>1.8258759999999999E-2</v>
      </c>
      <c r="P2592">
        <v>-0.99094190000000004</v>
      </c>
      <c r="Q2592">
        <v>1.5827069999999999E-2</v>
      </c>
      <c r="R2592">
        <v>0.13335749999999999</v>
      </c>
      <c r="S2592">
        <v>-2.989258</v>
      </c>
      <c r="T2592">
        <v>-0.26663019999999998</v>
      </c>
      <c r="U2592">
        <v>0.31118770000000001</v>
      </c>
      <c r="V2592">
        <v>0.11547499999999999</v>
      </c>
      <c r="W2592">
        <v>1.9297660000000001E-2</v>
      </c>
      <c r="X2592">
        <v>0.99312290000000003</v>
      </c>
      <c r="Y2592">
        <v>8.5101949999999996E-2</v>
      </c>
      <c r="Z2592">
        <v>2.157118E-3</v>
      </c>
      <c r="AA2592">
        <v>0.99636990000000003</v>
      </c>
      <c r="AB2592">
        <v>35</v>
      </c>
      <c r="AC2592">
        <v>-0.27149999999997398</v>
      </c>
      <c r="AD2592">
        <v>-8.9981000000000005E-2</v>
      </c>
      <c r="AE2592">
        <v>8.7800000000015602E-2</v>
      </c>
      <c r="AF2592">
        <v>7.5336525409701205E-2</v>
      </c>
      <c r="AG2592">
        <v>-8.9981000000000005E-2</v>
      </c>
      <c r="AH2592">
        <v>0.248360684983542</v>
      </c>
      <c r="AI2592">
        <v>109.12144666876399</v>
      </c>
      <c r="AJ2592">
        <v>73.125605191541993</v>
      </c>
      <c r="AK2592">
        <v>0.27469110336394398</v>
      </c>
      <c r="AL2592">
        <v>88.894256873855696</v>
      </c>
      <c r="AM2592">
        <v>83.367736242852899</v>
      </c>
      <c r="AN2592">
        <v>0.99999998490544195</v>
      </c>
    </row>
    <row r="2593" spans="1:40" x14ac:dyDescent="0.3">
      <c r="A2593" t="str">
        <f>"20200111153927402"</f>
        <v>20200111153927402</v>
      </c>
      <c r="B2593" t="str">
        <f>"1578728367393871"</f>
        <v>1578728367393871</v>
      </c>
      <c r="C2593" t="s">
        <v>40</v>
      </c>
      <c r="D2593">
        <v>5.3619159999999999</v>
      </c>
      <c r="E2593">
        <v>0.49009340000000001</v>
      </c>
      <c r="F2593" t="s">
        <v>41</v>
      </c>
      <c r="G2593">
        <v>-220.22730000000001</v>
      </c>
      <c r="H2593">
        <v>1.0172730000000001</v>
      </c>
      <c r="I2593">
        <v>141.32810000000001</v>
      </c>
      <c r="J2593">
        <v>-219.65219999999999</v>
      </c>
      <c r="K2593">
        <v>1.0985720000000001</v>
      </c>
      <c r="L2593">
        <v>141.2379</v>
      </c>
      <c r="M2593">
        <v>-0.99974130000000005</v>
      </c>
      <c r="N2593">
        <v>0</v>
      </c>
      <c r="O2593">
        <v>2.2233329999999999E-2</v>
      </c>
      <c r="P2593">
        <v>-0.99038809999999999</v>
      </c>
      <c r="Q2593">
        <v>1.6247359999999999E-2</v>
      </c>
      <c r="R2593">
        <v>0.13735899999999901</v>
      </c>
      <c r="S2593">
        <v>-2.9877929999999999</v>
      </c>
      <c r="T2593">
        <v>-0.26484530000000001</v>
      </c>
      <c r="U2593">
        <v>0.32598880000000002</v>
      </c>
      <c r="V2593">
        <v>0.11553139999999899</v>
      </c>
      <c r="W2593">
        <v>1.9758189999999998E-2</v>
      </c>
      <c r="X2593">
        <v>0.99310730000000003</v>
      </c>
      <c r="Y2593">
        <v>8.6086709999999997E-2</v>
      </c>
      <c r="Z2593">
        <v>1.8363170000000001E-3</v>
      </c>
      <c r="AA2593">
        <v>0.996286</v>
      </c>
      <c r="AB2593">
        <v>36</v>
      </c>
      <c r="AC2593">
        <v>-0.57510000000002004</v>
      </c>
      <c r="AD2593">
        <v>-8.1298999999999996E-2</v>
      </c>
      <c r="AE2593">
        <v>9.0200000000009994E-2</v>
      </c>
      <c r="AF2593">
        <v>7.5910587629002504E-2</v>
      </c>
      <c r="AG2593">
        <v>-8.1298999999999996E-2</v>
      </c>
      <c r="AH2593">
        <v>0.56592535007821498</v>
      </c>
      <c r="AI2593">
        <v>98.103397851708095</v>
      </c>
      <c r="AJ2593">
        <v>82.360212595683194</v>
      </c>
      <c r="AK2593">
        <v>0.57675250027748504</v>
      </c>
      <c r="AL2593">
        <v>88.867865432309102</v>
      </c>
      <c r="AM2593">
        <v>83.364422507035201</v>
      </c>
      <c r="AN2593">
        <v>0.99999999988566302</v>
      </c>
    </row>
    <row r="2594" spans="1:40" x14ac:dyDescent="0.3">
      <c r="A2594" t="str">
        <f>"20200111153927425"</f>
        <v>20200111153927425</v>
      </c>
      <c r="B2594" t="str">
        <f>"1578728367412924"</f>
        <v>1578728367412924</v>
      </c>
      <c r="C2594" t="s">
        <v>40</v>
      </c>
      <c r="D2594">
        <v>5.3588110000000002</v>
      </c>
      <c r="E2594">
        <v>0.48968640000000002</v>
      </c>
      <c r="F2594" t="s">
        <v>41</v>
      </c>
      <c r="G2594">
        <v>-220.54939999999999</v>
      </c>
      <c r="H2594">
        <v>1.0198020000000001</v>
      </c>
      <c r="I2594">
        <v>141.3372</v>
      </c>
      <c r="J2594">
        <v>-220.00880000000001</v>
      </c>
      <c r="K2594">
        <v>1.0988150000000001</v>
      </c>
      <c r="L2594">
        <v>141.24930000000001</v>
      </c>
      <c r="M2594">
        <v>-0.99964679999999995</v>
      </c>
      <c r="N2594">
        <v>0</v>
      </c>
      <c r="O2594">
        <v>2.614112E-2</v>
      </c>
      <c r="P2594">
        <v>-0.98990020000000001</v>
      </c>
      <c r="Q2594">
        <v>1.6812000000000001E-2</v>
      </c>
      <c r="R2594">
        <v>0.14076669999999999</v>
      </c>
      <c r="S2594">
        <v>-2.9877319999999998</v>
      </c>
      <c r="T2594">
        <v>-0.26227689999999998</v>
      </c>
      <c r="U2594">
        <v>0.32946779999999998</v>
      </c>
      <c r="V2594">
        <v>0.11506180000000001</v>
      </c>
      <c r="W2594">
        <v>2.0369379999999999E-2</v>
      </c>
      <c r="X2594">
        <v>0.99314950000000002</v>
      </c>
      <c r="Y2594">
        <v>8.3370440000000004E-2</v>
      </c>
      <c r="Z2594">
        <v>1.35881E-3</v>
      </c>
      <c r="AA2594">
        <v>0.99651769999999995</v>
      </c>
      <c r="AB2594">
        <v>36</v>
      </c>
      <c r="AC2594">
        <v>-0.54059999999998298</v>
      </c>
      <c r="AD2594">
        <v>-7.9012999999999695E-2</v>
      </c>
      <c r="AE2594">
        <v>8.78999999999905E-2</v>
      </c>
      <c r="AF2594">
        <v>7.2234568341105601E-2</v>
      </c>
      <c r="AG2594">
        <v>-7.9012999999999695E-2</v>
      </c>
      <c r="AH2594">
        <v>0.53164845244027803</v>
      </c>
      <c r="AI2594">
        <v>98.377494066064202</v>
      </c>
      <c r="AJ2594">
        <v>82.262656404717603</v>
      </c>
      <c r="AK2594">
        <v>0.54231998304927698</v>
      </c>
      <c r="AL2594">
        <v>88.832839808142893</v>
      </c>
      <c r="AM2594">
        <v>83.391433366815605</v>
      </c>
      <c r="AN2594">
        <v>1.00000002940553</v>
      </c>
    </row>
    <row r="2595" spans="1:40" x14ac:dyDescent="0.3">
      <c r="A2595" t="str">
        <f>"20200111153927448"</f>
        <v>20200111153927448</v>
      </c>
      <c r="B2595" t="str">
        <f>"1578728367443177"</f>
        <v>1578728367443177</v>
      </c>
      <c r="C2595" t="s">
        <v>40</v>
      </c>
      <c r="D2595">
        <v>5.4086420000000004</v>
      </c>
      <c r="E2595">
        <v>0.48445290000000002</v>
      </c>
      <c r="F2595" t="s">
        <v>41</v>
      </c>
      <c r="G2595">
        <v>-220.8725</v>
      </c>
      <c r="H2595">
        <v>1.0221549999999999</v>
      </c>
      <c r="I2595">
        <v>141.3467</v>
      </c>
      <c r="J2595">
        <v>-220.37870000000001</v>
      </c>
      <c r="K2595">
        <v>1.099075</v>
      </c>
      <c r="L2595">
        <v>141.26230000000001</v>
      </c>
      <c r="M2595">
        <v>-0.9995425</v>
      </c>
      <c r="N2595">
        <v>0</v>
      </c>
      <c r="O2595">
        <v>2.9864000000000002E-2</v>
      </c>
      <c r="P2595">
        <v>-0.98953279999999999</v>
      </c>
      <c r="Q2595">
        <v>1.7636240000000001E-2</v>
      </c>
      <c r="R2595">
        <v>0.143226399999999</v>
      </c>
      <c r="S2595">
        <v>-2.9872130000000001</v>
      </c>
      <c r="T2595">
        <v>-0.26512409999999997</v>
      </c>
      <c r="U2595">
        <v>0.33659359999999999</v>
      </c>
      <c r="V2595">
        <v>0.1138265</v>
      </c>
      <c r="W2595">
        <v>2.125324E-2</v>
      </c>
      <c r="X2595">
        <v>0.99327330000000003</v>
      </c>
      <c r="Y2595">
        <v>8.2040730000000006E-2</v>
      </c>
      <c r="Z2595">
        <v>9.864874E-4</v>
      </c>
      <c r="AA2595">
        <v>0.99662850000000003</v>
      </c>
      <c r="AB2595">
        <v>36</v>
      </c>
      <c r="AC2595">
        <v>-0.49379999999999302</v>
      </c>
      <c r="AD2595">
        <v>-7.6920000000000099E-2</v>
      </c>
      <c r="AE2595">
        <v>8.4399999999987999E-2</v>
      </c>
      <c r="AF2595">
        <v>6.8011890703804603E-2</v>
      </c>
      <c r="AG2595">
        <v>-7.6920000000000099E-2</v>
      </c>
      <c r="AH2595">
        <v>0.48467361018387101</v>
      </c>
      <c r="AI2595">
        <v>98.931822980182403</v>
      </c>
      <c r="AJ2595">
        <v>82.012119558393096</v>
      </c>
      <c r="AK2595">
        <v>0.495429926514106</v>
      </c>
      <c r="AL2595">
        <v>88.782187366917597</v>
      </c>
      <c r="AM2595">
        <v>83.462572981186696</v>
      </c>
      <c r="AN2595">
        <v>1.0000000104028099</v>
      </c>
    </row>
    <row r="2596" spans="1:40" x14ac:dyDescent="0.3">
      <c r="A2596" t="str">
        <f>"20200111153927471"</f>
        <v>20200111153927471</v>
      </c>
      <c r="B2596" t="str">
        <f>"1578728367463673"</f>
        <v>1578728367463673</v>
      </c>
      <c r="C2596" t="s">
        <v>40</v>
      </c>
      <c r="D2596">
        <v>5.3672409999999999</v>
      </c>
      <c r="E2596">
        <v>0.48332989999999998</v>
      </c>
      <c r="F2596" t="s">
        <v>41</v>
      </c>
      <c r="G2596">
        <v>-221.18899999999999</v>
      </c>
      <c r="H2596">
        <v>1.007619</v>
      </c>
      <c r="I2596">
        <v>141.34399999999999</v>
      </c>
      <c r="J2596">
        <v>-220.75360000000001</v>
      </c>
      <c r="K2596">
        <v>1.0993729999999999</v>
      </c>
      <c r="L2596">
        <v>141.2766</v>
      </c>
      <c r="M2596">
        <v>-0.99943419999999905</v>
      </c>
      <c r="N2596">
        <v>0</v>
      </c>
      <c r="O2596">
        <v>3.3297420000000001E-2</v>
      </c>
      <c r="P2596">
        <v>-0.9892495</v>
      </c>
      <c r="Q2596">
        <v>1.7644900000000002E-2</v>
      </c>
      <c r="R2596">
        <v>0.14516989999999999</v>
      </c>
      <c r="S2596">
        <v>-2.9941249999999999</v>
      </c>
      <c r="T2596">
        <v>-0.33788030000000002</v>
      </c>
      <c r="U2596">
        <v>0.3014984</v>
      </c>
      <c r="V2596">
        <v>0.11235009999999999</v>
      </c>
      <c r="W2596">
        <v>2.1329520000000001E-2</v>
      </c>
      <c r="X2596">
        <v>0.99343970000000004</v>
      </c>
      <c r="Y2596">
        <v>6.6793809999999995E-2</v>
      </c>
      <c r="Z2596" s="1">
        <v>1.319638E-5</v>
      </c>
      <c r="AA2596">
        <v>0.99776679999999995</v>
      </c>
      <c r="AB2596">
        <v>36</v>
      </c>
      <c r="AC2596">
        <v>-0.435400000000015</v>
      </c>
      <c r="AD2596">
        <v>-9.1753999999999794E-2</v>
      </c>
      <c r="AE2596">
        <v>6.7399999999992105E-2</v>
      </c>
      <c r="AF2596">
        <v>5.0667325712517398E-2</v>
      </c>
      <c r="AG2596">
        <v>-9.1753999999999794E-2</v>
      </c>
      <c r="AH2596">
        <v>0.41922122996076999</v>
      </c>
      <c r="AI2596">
        <v>102.259039909389</v>
      </c>
      <c r="AJ2596">
        <v>83.108623260598705</v>
      </c>
      <c r="AK2596">
        <v>0.43212546101876398</v>
      </c>
      <c r="AL2596">
        <v>88.777815799004202</v>
      </c>
      <c r="AM2596">
        <v>83.547719304638306</v>
      </c>
      <c r="AN2596">
        <v>0.999999965464764</v>
      </c>
    </row>
    <row r="2597" spans="1:40" x14ac:dyDescent="0.3">
      <c r="A2597" t="str">
        <f>"20200111153927514"</f>
        <v>20200111153927514</v>
      </c>
      <c r="B2597" t="str">
        <f>"1578728367503689"</f>
        <v>1578728367503689</v>
      </c>
      <c r="C2597" t="s">
        <v>40</v>
      </c>
      <c r="D2597">
        <v>5.3953600000000002</v>
      </c>
      <c r="E2597">
        <v>0.48307699999999998</v>
      </c>
      <c r="F2597" t="s">
        <v>41</v>
      </c>
      <c r="G2597">
        <v>-221.51580000000001</v>
      </c>
      <c r="H2597">
        <v>1.012964</v>
      </c>
      <c r="I2597">
        <v>141.35249999999999</v>
      </c>
      <c r="J2597">
        <v>-221.45609999999999</v>
      </c>
      <c r="K2597">
        <v>1.0999509999999999</v>
      </c>
      <c r="L2597">
        <v>141.3058</v>
      </c>
      <c r="M2597">
        <v>-0.99923600000000001</v>
      </c>
      <c r="N2597">
        <v>0</v>
      </c>
      <c r="O2597">
        <v>3.8799599999999997E-2</v>
      </c>
      <c r="P2597">
        <v>-0.9889481</v>
      </c>
      <c r="Q2597">
        <v>1.9200760000000001E-2</v>
      </c>
      <c r="R2597">
        <v>0.14701449999999999</v>
      </c>
      <c r="S2597">
        <v>-2.9949949999999999</v>
      </c>
      <c r="T2597">
        <v>-0.33953830000000002</v>
      </c>
      <c r="U2597">
        <v>0.29780580000000001</v>
      </c>
      <c r="V2597">
        <v>0.1087151</v>
      </c>
      <c r="W2597">
        <v>2.3028070000000001E-2</v>
      </c>
      <c r="X2597">
        <v>0.99380619999999997</v>
      </c>
      <c r="Y2597">
        <v>6.0127159999999999E-2</v>
      </c>
      <c r="Z2597">
        <v>-9.8194899999999997E-4</v>
      </c>
      <c r="AA2597">
        <v>0.99819020000000003</v>
      </c>
      <c r="AB2597">
        <v>36</v>
      </c>
      <c r="AC2597">
        <v>-5.9700000000020702E-2</v>
      </c>
      <c r="AD2597">
        <v>-8.6987000000000106E-2</v>
      </c>
      <c r="AE2597">
        <v>4.6699999999987002E-2</v>
      </c>
      <c r="AF2597">
        <v>1.9139609750838799E-2</v>
      </c>
      <c r="AG2597">
        <v>-8.6987000000000106E-2</v>
      </c>
      <c r="AH2597">
        <v>2.6527509126906799E-2</v>
      </c>
      <c r="AI2597">
        <v>159.39128506930899</v>
      </c>
      <c r="AJ2597">
        <v>54.189534600758101</v>
      </c>
      <c r="AK2597">
        <v>9.2934232502843397E-2</v>
      </c>
      <c r="AL2597">
        <v>88.680472157192995</v>
      </c>
      <c r="AM2597">
        <v>83.757085985720096</v>
      </c>
      <c r="AN2597">
        <v>1.0000000140671801</v>
      </c>
    </row>
    <row r="2598" spans="1:40" x14ac:dyDescent="0.3">
      <c r="A2598" t="str">
        <f>"20200111153927537"</f>
        <v>20200111153927537</v>
      </c>
      <c r="B2598" t="str">
        <f>"1578728367533477"</f>
        <v>1578728367533477</v>
      </c>
      <c r="C2598" t="s">
        <v>40</v>
      </c>
      <c r="D2598">
        <v>5.3842639999999999</v>
      </c>
      <c r="E2598">
        <v>0.48255290000000001</v>
      </c>
      <c r="F2598" t="s">
        <v>41</v>
      </c>
      <c r="G2598">
        <v>-222.172</v>
      </c>
      <c r="H2598">
        <v>1.023242</v>
      </c>
      <c r="I2598">
        <v>141.37790000000001</v>
      </c>
      <c r="J2598">
        <v>-221.82689999999999</v>
      </c>
      <c r="K2598">
        <v>1.1002379999999901</v>
      </c>
      <c r="L2598">
        <v>141.32239999999999</v>
      </c>
      <c r="M2598">
        <v>-0.99913810000000003</v>
      </c>
      <c r="N2598">
        <v>0</v>
      </c>
      <c r="O2598">
        <v>4.1246369999999997E-2</v>
      </c>
      <c r="P2598">
        <v>-0.98879240000000002</v>
      </c>
      <c r="Q2598">
        <v>1.916002E-2</v>
      </c>
      <c r="R2598">
        <v>0.14806359999999999</v>
      </c>
      <c r="S2598">
        <v>-2.9949189999999999</v>
      </c>
      <c r="T2598">
        <v>-0.32092670000000001</v>
      </c>
      <c r="U2598">
        <v>0.30160520000000002</v>
      </c>
      <c r="V2598">
        <v>0.10731930000000001</v>
      </c>
      <c r="W2598">
        <v>2.3051909999999998E-2</v>
      </c>
      <c r="X2598">
        <v>0.99395730000000004</v>
      </c>
      <c r="Y2598">
        <v>5.8973869999999998E-2</v>
      </c>
      <c r="Z2598">
        <v>-1.250209E-3</v>
      </c>
      <c r="AA2598">
        <v>0.9982588</v>
      </c>
      <c r="AB2598">
        <v>36</v>
      </c>
      <c r="AC2598">
        <v>-0.34510000000000202</v>
      </c>
      <c r="AD2598">
        <v>-7.6995999999999801E-2</v>
      </c>
      <c r="AE2598">
        <v>5.5500000000023399E-2</v>
      </c>
      <c r="AF2598">
        <v>3.9310966037242399E-2</v>
      </c>
      <c r="AG2598">
        <v>-7.6995999999999801E-2</v>
      </c>
      <c r="AH2598">
        <v>0.33103249288982001</v>
      </c>
      <c r="AI2598">
        <v>103.00556994796</v>
      </c>
      <c r="AJ2598">
        <v>83.227693678778706</v>
      </c>
      <c r="AK2598">
        <v>0.342134838061882</v>
      </c>
      <c r="AL2598">
        <v>88.679105802891897</v>
      </c>
      <c r="AM2598">
        <v>83.837548024894105</v>
      </c>
      <c r="AN2598">
        <v>0.999999968465213</v>
      </c>
    </row>
    <row r="2599" spans="1:40" x14ac:dyDescent="0.3">
      <c r="A2599" t="str">
        <f>"20200111153927582"</f>
        <v>20200111153927582</v>
      </c>
      <c r="B2599" t="str">
        <f>"1578728367573494"</f>
        <v>1578728367573494</v>
      </c>
      <c r="C2599" t="s">
        <v>40</v>
      </c>
      <c r="D2599">
        <v>6.2649280000000003</v>
      </c>
      <c r="E2599">
        <v>0.48231669999999999</v>
      </c>
      <c r="F2599" t="s">
        <v>41</v>
      </c>
      <c r="G2599">
        <v>-222.81309999999999</v>
      </c>
      <c r="H2599">
        <v>0.99500980000000006</v>
      </c>
      <c r="I2599">
        <v>141.42140000000001</v>
      </c>
      <c r="J2599">
        <v>-222.56139999999999</v>
      </c>
      <c r="K2599">
        <v>1.1007420000000001</v>
      </c>
      <c r="L2599">
        <v>141.3571</v>
      </c>
      <c r="M2599">
        <v>-0.9989652</v>
      </c>
      <c r="N2599">
        <v>0</v>
      </c>
      <c r="O2599">
        <v>4.5242730000000002E-2</v>
      </c>
      <c r="P2599">
        <v>-0.98857320000000004</v>
      </c>
      <c r="Q2599">
        <v>1.9986799999999999E-2</v>
      </c>
      <c r="R2599">
        <v>0.1494115</v>
      </c>
      <c r="S2599">
        <v>-2.995193</v>
      </c>
      <c r="T2599">
        <v>-0.31961060000000002</v>
      </c>
      <c r="U2599">
        <v>0.30043029999999998</v>
      </c>
      <c r="V2599">
        <v>0.1046745</v>
      </c>
      <c r="W2599">
        <v>2.3994350000000001E-2</v>
      </c>
      <c r="X2599">
        <v>0.99421700000000002</v>
      </c>
      <c r="Y2599">
        <v>5.4630959999999999E-2</v>
      </c>
      <c r="Z2599">
        <v>-1.898942E-3</v>
      </c>
      <c r="AA2599">
        <v>0.99850479999999997</v>
      </c>
      <c r="AB2599">
        <v>37</v>
      </c>
      <c r="AC2599">
        <v>-0.25169999999999898</v>
      </c>
      <c r="AD2599">
        <v>-0.1057322</v>
      </c>
      <c r="AE2599">
        <v>6.4300000000002897E-2</v>
      </c>
      <c r="AF2599">
        <v>4.5336447015301297E-2</v>
      </c>
      <c r="AG2599">
        <v>-0.1057322</v>
      </c>
      <c r="AH2599">
        <v>0.21820559728654601</v>
      </c>
      <c r="AI2599">
        <v>115.38066133586599</v>
      </c>
      <c r="AJ2599">
        <v>78.262681251248907</v>
      </c>
      <c r="AK2599">
        <v>0.246674632323612</v>
      </c>
      <c r="AL2599">
        <v>88.625093009352994</v>
      </c>
      <c r="AM2599">
        <v>83.989849595167797</v>
      </c>
      <c r="AN2599">
        <v>0.99999996143558501</v>
      </c>
    </row>
    <row r="2600" spans="1:40" x14ac:dyDescent="0.3">
      <c r="A2600" t="str">
        <f>"20200111153927604"</f>
        <v>20200111153927604</v>
      </c>
      <c r="B2600" t="str">
        <f>"1578728367593013"</f>
        <v>1578728367593013</v>
      </c>
      <c r="C2600" t="s">
        <v>40</v>
      </c>
      <c r="D2600">
        <v>5.3942839999999999</v>
      </c>
      <c r="E2600">
        <v>0.48194169999999997</v>
      </c>
      <c r="F2600" t="s">
        <v>41</v>
      </c>
      <c r="G2600">
        <v>-223.477</v>
      </c>
      <c r="H2600">
        <v>1.003501</v>
      </c>
      <c r="I2600">
        <v>141.44980000000001</v>
      </c>
      <c r="J2600">
        <v>-222.94290000000001</v>
      </c>
      <c r="K2600">
        <v>1.1009789999999999</v>
      </c>
      <c r="L2600">
        <v>141.376</v>
      </c>
      <c r="M2600">
        <v>-0.99888739999999998</v>
      </c>
      <c r="N2600">
        <v>0</v>
      </c>
      <c r="O2600">
        <v>4.6934620000000003E-2</v>
      </c>
      <c r="P2600">
        <v>-0.98843199999999998</v>
      </c>
      <c r="Q2600">
        <v>2.0230950000000001E-2</v>
      </c>
      <c r="R2600">
        <v>0.15031050000000001</v>
      </c>
      <c r="S2600">
        <v>-2.9953460000000001</v>
      </c>
      <c r="T2600">
        <v>-0.31810280000000002</v>
      </c>
      <c r="U2600">
        <v>0.30284119999999998</v>
      </c>
      <c r="V2600">
        <v>0.1038821</v>
      </c>
      <c r="W2600">
        <v>2.4288480000000001E-2</v>
      </c>
      <c r="X2600">
        <v>0.99429299999999998</v>
      </c>
      <c r="Y2600">
        <v>5.3745170000000002E-2</v>
      </c>
      <c r="Z2600">
        <v>-2.1149979999999999E-3</v>
      </c>
      <c r="AA2600">
        <v>0.99855240000000001</v>
      </c>
      <c r="AB2600">
        <v>37</v>
      </c>
      <c r="AC2600">
        <v>-0.53409999999999502</v>
      </c>
      <c r="AD2600">
        <v>-9.7478000000000106E-2</v>
      </c>
      <c r="AE2600">
        <v>7.3800000000005597E-2</v>
      </c>
      <c r="AF2600">
        <v>4.7110786041804499E-2</v>
      </c>
      <c r="AG2600">
        <v>-9.7478000000000106E-2</v>
      </c>
      <c r="AH2600">
        <v>0.51997944316518696</v>
      </c>
      <c r="AI2600">
        <v>100.575390895742</v>
      </c>
      <c r="AJ2600">
        <v>84.823065150598893</v>
      </c>
      <c r="AK2600">
        <v>0.53113087648888802</v>
      </c>
      <c r="AL2600">
        <v>88.608235735294301</v>
      </c>
      <c r="AM2600">
        <v>84.035470614858497</v>
      </c>
      <c r="AN2600">
        <v>0.99999999540506002</v>
      </c>
    </row>
    <row r="2601" spans="1:40" x14ac:dyDescent="0.3">
      <c r="A2601" t="str">
        <f>"20200111153927650"</f>
        <v>20200111153927650</v>
      </c>
      <c r="B2601" t="str">
        <f>"1578728367643296"</f>
        <v>1578728367643296</v>
      </c>
      <c r="C2601" t="s">
        <v>40</v>
      </c>
      <c r="D2601">
        <v>5.4328500000000002</v>
      </c>
      <c r="E2601">
        <v>0.4813443</v>
      </c>
      <c r="F2601" t="s">
        <v>41</v>
      </c>
      <c r="G2601">
        <v>-223.81120000000001</v>
      </c>
      <c r="H2601">
        <v>1.0088619999999999</v>
      </c>
      <c r="I2601">
        <v>141.46379999999999</v>
      </c>
      <c r="J2601">
        <v>-223.6816</v>
      </c>
      <c r="K2601">
        <v>1.101423</v>
      </c>
      <c r="L2601">
        <v>141.4136</v>
      </c>
      <c r="M2601">
        <v>-0.99876279999999995</v>
      </c>
      <c r="N2601">
        <v>0</v>
      </c>
      <c r="O2601">
        <v>4.9515139999999999E-2</v>
      </c>
      <c r="P2601">
        <v>-0.98840320000000004</v>
      </c>
      <c r="Q2601">
        <v>2.1768280000000001E-2</v>
      </c>
      <c r="R2601">
        <v>0.15028469999999999</v>
      </c>
      <c r="S2601">
        <v>-2.9956209999999999</v>
      </c>
      <c r="T2601">
        <v>-0.3178028</v>
      </c>
      <c r="U2601">
        <v>0.30244450000000001</v>
      </c>
      <c r="V2601">
        <v>0.10126789999999999</v>
      </c>
      <c r="W2601">
        <v>2.5926370000000001E-2</v>
      </c>
      <c r="X2601">
        <v>0.99452130000000005</v>
      </c>
      <c r="Y2601">
        <v>5.10544E-2</v>
      </c>
      <c r="Z2601">
        <v>-2.5265610000000001E-3</v>
      </c>
      <c r="AA2601">
        <v>0.99869269999999999</v>
      </c>
      <c r="AB2601">
        <v>37</v>
      </c>
      <c r="AC2601">
        <v>-0.12960000000001001</v>
      </c>
      <c r="AD2601">
        <v>-9.2560999999999893E-2</v>
      </c>
      <c r="AE2601">
        <v>5.0199999999989503E-2</v>
      </c>
      <c r="AF2601">
        <v>3.02874481672314E-2</v>
      </c>
      <c r="AG2601">
        <v>-9.2560999999999893E-2</v>
      </c>
      <c r="AH2601">
        <v>9.1390999655178898E-2</v>
      </c>
      <c r="AI2601">
        <v>133.872072921778</v>
      </c>
      <c r="AJ2601">
        <v>71.664537592988296</v>
      </c>
      <c r="AK2601">
        <v>0.13355591733598099</v>
      </c>
      <c r="AL2601">
        <v>88.514361939419899</v>
      </c>
      <c r="AM2601">
        <v>84.1858523489134</v>
      </c>
      <c r="AN2601">
        <v>0.999999990192738</v>
      </c>
    </row>
    <row r="2602" spans="1:40" x14ac:dyDescent="0.3">
      <c r="A2602" t="str">
        <f>"20200111153927670"</f>
        <v>20200111153927670</v>
      </c>
      <c r="B2602" t="str">
        <f>"1578728367663793"</f>
        <v>1578728367663793</v>
      </c>
      <c r="C2602" t="s">
        <v>40</v>
      </c>
      <c r="D2602">
        <v>5.3896269999999999</v>
      </c>
      <c r="E2602">
        <v>0.48113850000000002</v>
      </c>
      <c r="F2602" t="s">
        <v>41</v>
      </c>
      <c r="G2602">
        <v>-224.4813</v>
      </c>
      <c r="H2602">
        <v>1.0167299999999999</v>
      </c>
      <c r="I2602">
        <v>141.4933</v>
      </c>
      <c r="J2602">
        <v>-224.03280000000001</v>
      </c>
      <c r="K2602">
        <v>1.101613</v>
      </c>
      <c r="L2602">
        <v>141.43190000000001</v>
      </c>
      <c r="M2602">
        <v>-0.99871600000000005</v>
      </c>
      <c r="N2602">
        <v>0</v>
      </c>
      <c r="O2602">
        <v>5.0452329999999997E-2</v>
      </c>
      <c r="P2602">
        <v>-0.98843970000000003</v>
      </c>
      <c r="Q2602">
        <v>2.1162239999999999E-2</v>
      </c>
      <c r="R2602">
        <v>0.1501314</v>
      </c>
      <c r="S2602">
        <v>-2.996826</v>
      </c>
      <c r="T2602">
        <v>-0.31740859999999999</v>
      </c>
      <c r="U2602">
        <v>0.29840090000000002</v>
      </c>
      <c r="V2602">
        <v>0.1001645</v>
      </c>
      <c r="W2602">
        <v>2.5364359999999999E-2</v>
      </c>
      <c r="X2602">
        <v>0.99464759999999997</v>
      </c>
      <c r="Y2602">
        <v>4.8760730000000002E-2</v>
      </c>
      <c r="Z2602">
        <v>-2.7420140000000001E-3</v>
      </c>
      <c r="AA2602">
        <v>0.99880670000000005</v>
      </c>
      <c r="AB2602">
        <v>37</v>
      </c>
      <c r="AC2602">
        <v>-0.44849999999999501</v>
      </c>
      <c r="AD2602">
        <v>-8.4883E-2</v>
      </c>
      <c r="AE2602">
        <v>6.1399999999991899E-2</v>
      </c>
      <c r="AF2602">
        <v>3.7379425682191499E-2</v>
      </c>
      <c r="AG2602">
        <v>-8.4883E-2</v>
      </c>
      <c r="AH2602">
        <v>0.43570703120654303</v>
      </c>
      <c r="AI2602">
        <v>100.98472751895901</v>
      </c>
      <c r="AJ2602">
        <v>85.096585508056904</v>
      </c>
      <c r="AK2602">
        <v>0.44546937290474797</v>
      </c>
      <c r="AL2602">
        <v>88.546573441264798</v>
      </c>
      <c r="AM2602">
        <v>84.249500843892804</v>
      </c>
      <c r="AN2602">
        <v>1.0000000630021</v>
      </c>
    </row>
    <row r="2603" spans="1:40" x14ac:dyDescent="0.3">
      <c r="A2603" t="str">
        <f>"20200111153927694"</f>
        <v>20200111153927694</v>
      </c>
      <c r="B2603" t="str">
        <f>"1578728367683313"</f>
        <v>1578728367683313</v>
      </c>
      <c r="C2603" t="s">
        <v>40</v>
      </c>
      <c r="D2603">
        <v>5.4212730000000002</v>
      </c>
      <c r="E2603">
        <v>0.48111470000000001</v>
      </c>
      <c r="F2603" t="s">
        <v>41</v>
      </c>
      <c r="G2603">
        <v>-224.81659999999999</v>
      </c>
      <c r="H2603">
        <v>1.0177929999999999</v>
      </c>
      <c r="I2603">
        <v>141.50919999999999</v>
      </c>
      <c r="J2603">
        <v>-224.42670000000001</v>
      </c>
      <c r="K2603">
        <v>1.1018289999999999</v>
      </c>
      <c r="L2603">
        <v>141.45259999999999</v>
      </c>
      <c r="M2603">
        <v>-0.99867329999999999</v>
      </c>
      <c r="N2603">
        <v>0</v>
      </c>
      <c r="O2603">
        <v>5.1288630000000002E-2</v>
      </c>
      <c r="P2603">
        <v>-0.98838409999999999</v>
      </c>
      <c r="Q2603">
        <v>2.0389910000000001E-2</v>
      </c>
      <c r="R2603">
        <v>0.15060279999999901</v>
      </c>
      <c r="S2603">
        <v>-2.9970249999999998</v>
      </c>
      <c r="T2603">
        <v>-0.32047490000000001</v>
      </c>
      <c r="U2603">
        <v>0.29582209999999998</v>
      </c>
      <c r="V2603">
        <v>9.9788379999999996E-2</v>
      </c>
      <c r="W2603">
        <v>2.4639319999999999E-2</v>
      </c>
      <c r="X2603">
        <v>0.99470360000000002</v>
      </c>
      <c r="Y2603">
        <v>4.7081060000000001E-2</v>
      </c>
      <c r="Z2603">
        <v>-2.9464140000000001E-3</v>
      </c>
      <c r="AA2603">
        <v>0.99888670000000002</v>
      </c>
      <c r="AB2603">
        <v>37</v>
      </c>
      <c r="AC2603">
        <v>-0.38989999999998298</v>
      </c>
      <c r="AD2603">
        <v>-8.4036000000000194E-2</v>
      </c>
      <c r="AE2603">
        <v>5.6600000000003002E-2</v>
      </c>
      <c r="AF2603">
        <v>3.4938324582255299E-2</v>
      </c>
      <c r="AG2603">
        <v>-8.4036000000000194E-2</v>
      </c>
      <c r="AH2603">
        <v>0.37521905715644499</v>
      </c>
      <c r="AI2603">
        <v>102.571295123768</v>
      </c>
      <c r="AJ2603">
        <v>84.680272879201496</v>
      </c>
      <c r="AK2603">
        <v>0.38609853233855601</v>
      </c>
      <c r="AL2603">
        <v>88.588128120885301</v>
      </c>
      <c r="AM2603">
        <v>84.271270581320294</v>
      </c>
      <c r="AN2603">
        <v>1.00000003436302</v>
      </c>
    </row>
    <row r="2604" spans="1:40" x14ac:dyDescent="0.3">
      <c r="A2604" t="str">
        <f>"20200111153927717"</f>
        <v>20200111153927717</v>
      </c>
      <c r="B2604" t="str">
        <f>"1578728367713102"</f>
        <v>1578728367713102</v>
      </c>
      <c r="C2604" t="s">
        <v>40</v>
      </c>
      <c r="D2604">
        <v>5.383337</v>
      </c>
      <c r="E2604">
        <v>0.47750939999999997</v>
      </c>
      <c r="F2604" t="s">
        <v>41</v>
      </c>
      <c r="G2604">
        <v>-225.1551</v>
      </c>
      <c r="H2604">
        <v>1.0232760000000001</v>
      </c>
      <c r="I2604">
        <v>141.5248</v>
      </c>
      <c r="J2604">
        <v>-224.80959999999999</v>
      </c>
      <c r="K2604">
        <v>1.1020509999999999</v>
      </c>
      <c r="L2604">
        <v>141.47290000000001</v>
      </c>
      <c r="M2604">
        <v>-0.99864470000000005</v>
      </c>
      <c r="N2604">
        <v>0</v>
      </c>
      <c r="O2604">
        <v>5.184714E-2</v>
      </c>
      <c r="P2604">
        <v>-0.98857209999999995</v>
      </c>
      <c r="Q2604">
        <v>1.984913E-2</v>
      </c>
      <c r="R2604">
        <v>0.1494375</v>
      </c>
      <c r="S2604">
        <v>-2.9967959999999998</v>
      </c>
      <c r="T2604">
        <v>-0.32332430000000001</v>
      </c>
      <c r="U2604">
        <v>0.296402</v>
      </c>
      <c r="V2604">
        <v>9.8043630000000007E-2</v>
      </c>
      <c r="W2604">
        <v>2.4151189999999999E-2</v>
      </c>
      <c r="X2604">
        <v>0.99488900000000002</v>
      </c>
      <c r="Y2604">
        <v>4.672693E-2</v>
      </c>
      <c r="Z2604">
        <v>-3.0514560000000001E-3</v>
      </c>
      <c r="AA2604">
        <v>0.99890299999999999</v>
      </c>
      <c r="AB2604">
        <v>37</v>
      </c>
      <c r="AC2604">
        <v>-0.34550000000001502</v>
      </c>
      <c r="AD2604">
        <v>-7.8774999999999998E-2</v>
      </c>
      <c r="AE2604">
        <v>5.1899999999989101E-2</v>
      </c>
      <c r="AF2604">
        <v>3.2275972364743402E-2</v>
      </c>
      <c r="AG2604">
        <v>-7.8774999999999998E-2</v>
      </c>
      <c r="AH2604">
        <v>0.33090366868433901</v>
      </c>
      <c r="AI2604">
        <v>103.329614535242</v>
      </c>
      <c r="AJ2604">
        <v>84.429056396320306</v>
      </c>
      <c r="AK2604">
        <v>0.34167890916157601</v>
      </c>
      <c r="AL2604">
        <v>88.616104156750495</v>
      </c>
      <c r="AM2604">
        <v>84.371827845048202</v>
      </c>
      <c r="AN2604">
        <v>0.99999997784149597</v>
      </c>
    </row>
    <row r="2605" spans="1:40" x14ac:dyDescent="0.3">
      <c r="A2605" t="str">
        <f>"20200111153927740"</f>
        <v>20200111153927740</v>
      </c>
      <c r="B2605" t="str">
        <f>"1578728367733597"</f>
        <v>1578728367733597</v>
      </c>
      <c r="C2605" t="s">
        <v>40</v>
      </c>
      <c r="D2605">
        <v>5.6016450000000004</v>
      </c>
      <c r="E2605">
        <v>0.47739219999999999</v>
      </c>
      <c r="F2605" t="s">
        <v>41</v>
      </c>
      <c r="G2605">
        <v>-225.80690000000001</v>
      </c>
      <c r="H2605">
        <v>0.97566940000000002</v>
      </c>
      <c r="I2605">
        <v>141.5607</v>
      </c>
      <c r="J2605">
        <v>-225.20779999999999</v>
      </c>
      <c r="K2605">
        <v>1.102268</v>
      </c>
      <c r="L2605">
        <v>141.4939</v>
      </c>
      <c r="M2605">
        <v>-0.99862609999999996</v>
      </c>
      <c r="N2605">
        <v>0</v>
      </c>
      <c r="O2605">
        <v>5.2200240000000002E-2</v>
      </c>
      <c r="P2605">
        <v>-0.9888266</v>
      </c>
      <c r="Q2605">
        <v>1.9670110000000001E-2</v>
      </c>
      <c r="R2605">
        <v>0.14776719999999999</v>
      </c>
      <c r="S2605">
        <v>-3.0024570000000002</v>
      </c>
      <c r="T2605">
        <v>-0.38055430000000001</v>
      </c>
      <c r="U2605">
        <v>0.2637024</v>
      </c>
      <c r="V2605">
        <v>9.5996709999999999E-2</v>
      </c>
      <c r="W2605">
        <v>2.402439E-2</v>
      </c>
      <c r="X2605">
        <v>0.99509170000000002</v>
      </c>
      <c r="Y2605">
        <v>3.5504309999999997E-2</v>
      </c>
      <c r="Z2605">
        <v>-4.3346359999999898E-3</v>
      </c>
      <c r="AA2605">
        <v>0.99936009999999997</v>
      </c>
      <c r="AB2605">
        <v>38</v>
      </c>
      <c r="AC2605">
        <v>-0.59910000000002095</v>
      </c>
      <c r="AD2605">
        <v>-0.12659860000000001</v>
      </c>
      <c r="AE2605">
        <v>6.6800000000000595E-2</v>
      </c>
      <c r="AF2605">
        <v>3.3938554353898497E-2</v>
      </c>
      <c r="AG2605">
        <v>-0.12659860000000001</v>
      </c>
      <c r="AH2605">
        <v>0.57634997857180303</v>
      </c>
      <c r="AI2605">
        <v>102.367841832327</v>
      </c>
      <c r="AJ2605">
        <v>86.630011075469199</v>
      </c>
      <c r="AK2605">
        <v>0.59106541837034399</v>
      </c>
      <c r="AL2605">
        <v>88.623371422251196</v>
      </c>
      <c r="AM2605">
        <v>84.489715454378299</v>
      </c>
      <c r="AN2605">
        <v>1.0000000155272899</v>
      </c>
    </row>
    <row r="2606" spans="1:40" x14ac:dyDescent="0.3">
      <c r="A2606" t="str">
        <f>"20200111153927783"</f>
        <v>20200111153927783</v>
      </c>
      <c r="B2606" t="str">
        <f>"1578728367773615"</f>
        <v>1578728367773615</v>
      </c>
      <c r="C2606" t="s">
        <v>40</v>
      </c>
      <c r="D2606">
        <v>5.435422</v>
      </c>
      <c r="E2606">
        <v>0.4778944</v>
      </c>
      <c r="F2606" t="s">
        <v>41</v>
      </c>
      <c r="G2606">
        <v>-226.1508</v>
      </c>
      <c r="H2606">
        <v>0.98523099999999997</v>
      </c>
      <c r="I2606">
        <v>141.57499999999999</v>
      </c>
      <c r="J2606">
        <v>-225.9299</v>
      </c>
      <c r="K2606">
        <v>1.102633</v>
      </c>
      <c r="L2606">
        <v>141.53210000000001</v>
      </c>
      <c r="M2606">
        <v>-0.99861650000000002</v>
      </c>
      <c r="N2606">
        <v>0</v>
      </c>
      <c r="O2606">
        <v>5.2386200000000001E-2</v>
      </c>
      <c r="P2606">
        <v>-0.98922109999999996</v>
      </c>
      <c r="Q2606">
        <v>2.1863190000000001E-2</v>
      </c>
      <c r="R2606">
        <v>0.14478940000000001</v>
      </c>
      <c r="S2606">
        <v>-3.002777</v>
      </c>
      <c r="T2606">
        <v>-0.37266519999999997</v>
      </c>
      <c r="U2606">
        <v>0.25794980000000001</v>
      </c>
      <c r="V2606">
        <v>9.2798779999999997E-2</v>
      </c>
      <c r="W2606">
        <v>2.629532E-2</v>
      </c>
      <c r="X2606">
        <v>0.99533760000000004</v>
      </c>
      <c r="Y2606">
        <v>3.342051E-2</v>
      </c>
      <c r="Z2606">
        <v>-4.3969209999999998E-3</v>
      </c>
      <c r="AA2606">
        <v>0.99943170000000003</v>
      </c>
      <c r="AB2606">
        <v>38</v>
      </c>
      <c r="AC2606">
        <v>-0.22090000000000001</v>
      </c>
      <c r="AD2606">
        <v>-0.11740199999999899</v>
      </c>
      <c r="AE2606">
        <v>4.2899999999974597E-2</v>
      </c>
      <c r="AF2606">
        <v>2.4578657939261998E-2</v>
      </c>
      <c r="AG2606">
        <v>-0.11740199999999899</v>
      </c>
      <c r="AH2606">
        <v>0.17516493801001801</v>
      </c>
      <c r="AI2606">
        <v>123.573606252606</v>
      </c>
      <c r="AJ2606">
        <v>82.012564149246302</v>
      </c>
      <c r="AK2606">
        <v>0.212297186835221</v>
      </c>
      <c r="AL2606">
        <v>88.493215462737695</v>
      </c>
      <c r="AM2606">
        <v>84.673513407163298</v>
      </c>
      <c r="AN2606">
        <v>0.99999999769857495</v>
      </c>
    </row>
    <row r="2607" spans="1:40" x14ac:dyDescent="0.3">
      <c r="A2607" t="str">
        <f>"20200111153927805"</f>
        <v>20200111153927805</v>
      </c>
      <c r="B2607" t="str">
        <f>"1578728367793133"</f>
        <v>1578728367793133</v>
      </c>
      <c r="C2607" t="s">
        <v>40</v>
      </c>
      <c r="D2607">
        <v>5.4049040000000002</v>
      </c>
      <c r="E2607">
        <v>0.47770190000000001</v>
      </c>
      <c r="F2607" t="s">
        <v>41</v>
      </c>
      <c r="G2607">
        <v>-226.83750000000001</v>
      </c>
      <c r="H2607">
        <v>0.99600840000000002</v>
      </c>
      <c r="I2607">
        <v>141.60830000000001</v>
      </c>
      <c r="J2607">
        <v>-226.32570000000001</v>
      </c>
      <c r="K2607">
        <v>1.1028209999999901</v>
      </c>
      <c r="L2607">
        <v>141.55279999999999</v>
      </c>
      <c r="M2607">
        <v>-0.99862379999999995</v>
      </c>
      <c r="N2607">
        <v>0</v>
      </c>
      <c r="O2607">
        <v>5.2246069999999999E-2</v>
      </c>
      <c r="P2607">
        <v>-0.98951809999999996</v>
      </c>
      <c r="Q2607">
        <v>2.4218480000000001E-2</v>
      </c>
      <c r="R2607">
        <v>0.1423624</v>
      </c>
      <c r="S2607">
        <v>-3.0036160000000001</v>
      </c>
      <c r="T2607">
        <v>-0.35293020000000003</v>
      </c>
      <c r="U2607">
        <v>0.2519073</v>
      </c>
      <c r="V2607">
        <v>9.0489440000000004E-2</v>
      </c>
      <c r="W2607">
        <v>2.868861E-2</v>
      </c>
      <c r="X2607">
        <v>0.99548409999999998</v>
      </c>
      <c r="Y2607">
        <v>3.1537719999999998E-2</v>
      </c>
      <c r="Z2607">
        <v>-4.2586799999999999E-3</v>
      </c>
      <c r="AA2607">
        <v>0.99949350000000003</v>
      </c>
      <c r="AB2607">
        <v>38</v>
      </c>
      <c r="AC2607">
        <v>-0.51179999999999304</v>
      </c>
      <c r="AD2607">
        <v>-0.10681259999999899</v>
      </c>
      <c r="AE2607">
        <v>5.5500000000023399E-2</v>
      </c>
      <c r="AF2607">
        <v>2.7500501143014101E-2</v>
      </c>
      <c r="AG2607">
        <v>-0.10681259999999899</v>
      </c>
      <c r="AH2607">
        <v>0.492786510914483</v>
      </c>
      <c r="AI2607">
        <v>102.21137910013201</v>
      </c>
      <c r="AJ2607">
        <v>86.805858201139799</v>
      </c>
      <c r="AK2607">
        <v>0.50497896433529499</v>
      </c>
      <c r="AL2607">
        <v>88.356038141629298</v>
      </c>
      <c r="AM2607">
        <v>84.806091386744598</v>
      </c>
      <c r="AN2607">
        <v>0.99999998422402703</v>
      </c>
    </row>
    <row r="2608" spans="1:40" x14ac:dyDescent="0.3">
      <c r="A2608" t="str">
        <f>"20200111153927827"</f>
        <v>20200111153927827</v>
      </c>
      <c r="B2608" t="str">
        <f>"1578728367822920"</f>
        <v>1578728367822920</v>
      </c>
      <c r="C2608" t="s">
        <v>40</v>
      </c>
      <c r="D2608">
        <v>5.4379439999999999</v>
      </c>
      <c r="E2608">
        <v>0.47753089999999998</v>
      </c>
      <c r="F2608" t="s">
        <v>41</v>
      </c>
      <c r="G2608">
        <v>-227.18430000000001</v>
      </c>
      <c r="H2608">
        <v>1.0047520000000001</v>
      </c>
      <c r="I2608">
        <v>141.62260000000001</v>
      </c>
      <c r="J2608">
        <v>-226.7</v>
      </c>
      <c r="K2608">
        <v>1.1029789999999999</v>
      </c>
      <c r="L2608">
        <v>141.57230000000001</v>
      </c>
      <c r="M2608">
        <v>-0.99863820000000003</v>
      </c>
      <c r="N2608">
        <v>0</v>
      </c>
      <c r="O2608">
        <v>5.1972850000000001E-2</v>
      </c>
      <c r="P2608">
        <v>-0.989873</v>
      </c>
      <c r="Q2608">
        <v>2.5616090000000001E-2</v>
      </c>
      <c r="R2608">
        <v>0.13962639999999901</v>
      </c>
      <c r="S2608">
        <v>-3.0051730000000001</v>
      </c>
      <c r="T2608">
        <v>-0.34341120000000003</v>
      </c>
      <c r="U2608">
        <v>0.2433167</v>
      </c>
      <c r="V2608">
        <v>8.8000709999999996E-2</v>
      </c>
      <c r="W2608">
        <v>3.011993E-2</v>
      </c>
      <c r="X2608">
        <v>0.99566500000000002</v>
      </c>
      <c r="Y2608">
        <v>2.893749E-2</v>
      </c>
      <c r="Z2608">
        <v>-4.2598749999999998E-3</v>
      </c>
      <c r="AA2608">
        <v>0.99957220000000002</v>
      </c>
      <c r="AB2608">
        <v>38</v>
      </c>
      <c r="AC2608">
        <v>-0.48430000000001799</v>
      </c>
      <c r="AD2608">
        <v>-9.8226999999999995E-2</v>
      </c>
      <c r="AE2608">
        <v>5.0299999999992899E-2</v>
      </c>
      <c r="AF2608">
        <v>2.40812491735048E-2</v>
      </c>
      <c r="AG2608">
        <v>-9.8226999999999995E-2</v>
      </c>
      <c r="AH2608">
        <v>0.467243824526686</v>
      </c>
      <c r="AI2608">
        <v>101.856913165248</v>
      </c>
      <c r="AJ2608">
        <v>87.049646990611393</v>
      </c>
      <c r="AK2608">
        <v>0.478064056010365</v>
      </c>
      <c r="AL2608">
        <v>88.273994199587193</v>
      </c>
      <c r="AM2608">
        <v>84.949102942892296</v>
      </c>
      <c r="AN2608">
        <v>1.00000006368435</v>
      </c>
    </row>
    <row r="2609" spans="1:40" x14ac:dyDescent="0.3">
      <c r="A2609" t="str">
        <f>"20200111153927851"</f>
        <v>20200111153927851</v>
      </c>
      <c r="B2609" t="str">
        <f>"1578728367843417"</f>
        <v>1578728367843417</v>
      </c>
      <c r="C2609" t="s">
        <v>40</v>
      </c>
      <c r="D2609">
        <v>5.4668970000000003</v>
      </c>
      <c r="E2609">
        <v>0.47754370000000002</v>
      </c>
      <c r="F2609" t="s">
        <v>41</v>
      </c>
      <c r="G2609">
        <v>-227.52930000000001</v>
      </c>
      <c r="H2609">
        <v>1.007485</v>
      </c>
      <c r="I2609">
        <v>141.63679999999999</v>
      </c>
      <c r="J2609">
        <v>-227.09630000000001</v>
      </c>
      <c r="K2609">
        <v>1.1031439999999999</v>
      </c>
      <c r="L2609">
        <v>141.59270000000001</v>
      </c>
      <c r="M2609">
        <v>-0.99866089999999996</v>
      </c>
      <c r="N2609">
        <v>0</v>
      </c>
      <c r="O2609">
        <v>5.1534469999999999E-2</v>
      </c>
      <c r="P2609">
        <v>-0.99014199999999997</v>
      </c>
      <c r="Q2609">
        <v>2.5971609999999999E-2</v>
      </c>
      <c r="R2609">
        <v>0.13763839999999999</v>
      </c>
      <c r="S2609">
        <v>-3.0067140000000001</v>
      </c>
      <c r="T2609">
        <v>-0.34625719999999999</v>
      </c>
      <c r="U2609">
        <v>0.23352049999999999</v>
      </c>
      <c r="V2609">
        <v>8.6426219999999998E-2</v>
      </c>
      <c r="W2609">
        <v>3.0509809999999998E-2</v>
      </c>
      <c r="X2609">
        <v>0.99579099999999998</v>
      </c>
      <c r="Y2609">
        <v>2.61166E-2</v>
      </c>
      <c r="Z2609">
        <v>-4.4049500000000004E-3</v>
      </c>
      <c r="AA2609">
        <v>0.99964920000000002</v>
      </c>
      <c r="AB2609">
        <v>38</v>
      </c>
      <c r="AC2609">
        <v>-0.432999999999992</v>
      </c>
      <c r="AD2609">
        <v>-9.5659000000000105E-2</v>
      </c>
      <c r="AE2609">
        <v>4.4099999999985998E-2</v>
      </c>
      <c r="AF2609">
        <v>2.0725589594198599E-2</v>
      </c>
      <c r="AG2609">
        <v>-9.5659000000000105E-2</v>
      </c>
      <c r="AH2609">
        <v>0.41466674475049597</v>
      </c>
      <c r="AI2609">
        <v>102.974597816678</v>
      </c>
      <c r="AJ2609">
        <v>87.138662620975794</v>
      </c>
      <c r="AK2609">
        <v>0.42606185413270697</v>
      </c>
      <c r="AL2609">
        <v>88.2516453881601</v>
      </c>
      <c r="AM2609">
        <v>85.039642045539495</v>
      </c>
      <c r="AN2609">
        <v>1.00000002784536</v>
      </c>
    </row>
    <row r="2610" spans="1:40" x14ac:dyDescent="0.3">
      <c r="A2610" t="str">
        <f>"20200111153927872"</f>
        <v>20200111153927872</v>
      </c>
      <c r="B2610" t="str">
        <f>"1578728367862936"</f>
        <v>1578728367862936</v>
      </c>
      <c r="C2610" t="s">
        <v>40</v>
      </c>
      <c r="D2610">
        <v>5.3455779999999997</v>
      </c>
      <c r="E2610">
        <v>0.47573939999999998</v>
      </c>
      <c r="F2610" t="s">
        <v>41</v>
      </c>
      <c r="G2610">
        <v>-227.8767</v>
      </c>
      <c r="H2610">
        <v>1.0127889999999999</v>
      </c>
      <c r="I2610">
        <v>141.65199999999999</v>
      </c>
      <c r="J2610">
        <v>-227.47989999999999</v>
      </c>
      <c r="K2610">
        <v>1.1033059999999999</v>
      </c>
      <c r="L2610">
        <v>141.6122</v>
      </c>
      <c r="M2610">
        <v>-0.99868979999999996</v>
      </c>
      <c r="N2610">
        <v>0</v>
      </c>
      <c r="O2610">
        <v>5.0972249999999997E-2</v>
      </c>
      <c r="P2610">
        <v>-0.99030149999999995</v>
      </c>
      <c r="Q2610">
        <v>2.6805789999999999E-2</v>
      </c>
      <c r="R2610">
        <v>0.13632559999999999</v>
      </c>
      <c r="S2610">
        <v>-3.0073240000000001</v>
      </c>
      <c r="T2610">
        <v>-0.3483156</v>
      </c>
      <c r="U2610">
        <v>0.22772220000000001</v>
      </c>
      <c r="V2610">
        <v>8.5655659999999995E-2</v>
      </c>
      <c r="W2610">
        <v>3.1376759999999997E-2</v>
      </c>
      <c r="X2610">
        <v>0.99583060000000001</v>
      </c>
      <c r="Y2610">
        <v>2.4754829999999999E-2</v>
      </c>
      <c r="Z2610">
        <v>-4.4442750000000001E-3</v>
      </c>
      <c r="AA2610">
        <v>0.99968369999999995</v>
      </c>
      <c r="AB2610">
        <v>38</v>
      </c>
      <c r="AC2610">
        <v>-0.39680000000001298</v>
      </c>
      <c r="AD2610">
        <v>-9.0516999999999903E-2</v>
      </c>
      <c r="AE2610">
        <v>3.9800000000013797E-2</v>
      </c>
      <c r="AF2610">
        <v>1.8565770829771001E-2</v>
      </c>
      <c r="AG2610">
        <v>-9.0516999999999903E-2</v>
      </c>
      <c r="AH2610">
        <v>0.378797527895673</v>
      </c>
      <c r="AI2610">
        <v>103.42378278291901</v>
      </c>
      <c r="AJ2610">
        <v>87.194042510925797</v>
      </c>
      <c r="AK2610">
        <v>0.38990458098793401</v>
      </c>
      <c r="AL2610">
        <v>88.201948943704096</v>
      </c>
      <c r="AM2610">
        <v>85.083844483537902</v>
      </c>
      <c r="AN2610">
        <v>0.99999998852724603</v>
      </c>
    </row>
    <row r="2611" spans="1:40" x14ac:dyDescent="0.3">
      <c r="A2611" t="str">
        <f>"20200111153927895"</f>
        <v>20200111153927895</v>
      </c>
      <c r="B2611" t="str">
        <f>"1578728367883433"</f>
        <v>1578728367883433</v>
      </c>
      <c r="C2611" t="s">
        <v>40</v>
      </c>
      <c r="D2611">
        <v>5.4532119999999997</v>
      </c>
      <c r="E2611">
        <v>0.45022630000000002</v>
      </c>
      <c r="F2611" t="s">
        <v>41</v>
      </c>
      <c r="G2611">
        <v>-228.2242</v>
      </c>
      <c r="H2611">
        <v>1.0158400000000001</v>
      </c>
      <c r="I2611">
        <v>141.66409999999999</v>
      </c>
      <c r="J2611">
        <v>-227.86699999999999</v>
      </c>
      <c r="K2611">
        <v>1.1034550000000001</v>
      </c>
      <c r="L2611">
        <v>141.63149999999999</v>
      </c>
      <c r="M2611">
        <v>-0.99872470000000002</v>
      </c>
      <c r="N2611">
        <v>0</v>
      </c>
      <c r="O2611">
        <v>5.0282390000000003E-2</v>
      </c>
      <c r="P2611">
        <v>-0.99058880000000005</v>
      </c>
      <c r="Q2611">
        <v>2.6952589999999998E-2</v>
      </c>
      <c r="R2611">
        <v>0.13419210000000001</v>
      </c>
      <c r="S2611">
        <v>-3.0100859999999998</v>
      </c>
      <c r="T2611">
        <v>-0.35369820000000002</v>
      </c>
      <c r="U2611">
        <v>0.209671</v>
      </c>
      <c r="V2611">
        <v>8.4186609999999995E-2</v>
      </c>
      <c r="W2611">
        <v>3.1554529999999997E-2</v>
      </c>
      <c r="X2611">
        <v>0.99595029999999996</v>
      </c>
      <c r="Y2611">
        <v>1.9449230000000001E-2</v>
      </c>
      <c r="Z2611">
        <v>-4.7393210000000003E-3</v>
      </c>
      <c r="AA2611">
        <v>0.99979960000000001</v>
      </c>
      <c r="AB2611">
        <v>39</v>
      </c>
      <c r="AC2611">
        <v>-0.35719999999997698</v>
      </c>
      <c r="AD2611">
        <v>-8.7614999999999998E-2</v>
      </c>
      <c r="AE2611">
        <v>3.26000000000021E-2</v>
      </c>
      <c r="AF2611">
        <v>1.37757533007469E-2</v>
      </c>
      <c r="AG2611">
        <v>-8.7614999999999998E-2</v>
      </c>
      <c r="AH2611">
        <v>0.338207654268675</v>
      </c>
      <c r="AI2611">
        <v>104.51206167522101</v>
      </c>
      <c r="AJ2611">
        <v>87.667538119067899</v>
      </c>
      <c r="AK2611">
        <v>0.349643499882269</v>
      </c>
      <c r="AL2611">
        <v>88.191758514293696</v>
      </c>
      <c r="AM2611">
        <v>85.168335043240603</v>
      </c>
      <c r="AN2611">
        <v>1.0000000368684501</v>
      </c>
    </row>
    <row r="2612" spans="1:40" x14ac:dyDescent="0.3">
      <c r="A2612" t="str">
        <f>"20200111153927918"</f>
        <v>20200111153927918</v>
      </c>
      <c r="B2612" t="str">
        <f>"1578728367913220"</f>
        <v>1578728367913220</v>
      </c>
      <c r="C2612" t="s">
        <v>40</v>
      </c>
      <c r="D2612">
        <v>5.4458970000000004</v>
      </c>
      <c r="E2612">
        <v>0.44974350000000002</v>
      </c>
      <c r="F2612" t="s">
        <v>41</v>
      </c>
      <c r="G2612">
        <v>-228.91759999999999</v>
      </c>
      <c r="H2612">
        <v>1.0022679999999999</v>
      </c>
      <c r="I2612">
        <v>141.6326</v>
      </c>
      <c r="J2612">
        <v>-228.2595</v>
      </c>
      <c r="K2612">
        <v>1.1035870000000001</v>
      </c>
      <c r="L2612">
        <v>141.6507</v>
      </c>
      <c r="M2612">
        <v>-0.99876560000000003</v>
      </c>
      <c r="N2612">
        <v>0</v>
      </c>
      <c r="O2612">
        <v>4.9462230000000003E-2</v>
      </c>
      <c r="P2612">
        <v>-0.99087139999999996</v>
      </c>
      <c r="Q2612">
        <v>2.5961069999999999E-2</v>
      </c>
      <c r="R2612">
        <v>0.13228719999999999</v>
      </c>
      <c r="S2612">
        <v>-3.036057</v>
      </c>
      <c r="T2612">
        <v>-0.29246840000000002</v>
      </c>
      <c r="U2612">
        <v>3.0364989999999998E-3</v>
      </c>
      <c r="V2612">
        <v>8.3078059999999995E-2</v>
      </c>
      <c r="W2612">
        <v>3.0591790000000001E-2</v>
      </c>
      <c r="X2612">
        <v>0.9960734</v>
      </c>
      <c r="Y2612">
        <v>-4.8012720000000002E-2</v>
      </c>
      <c r="Z2612">
        <v>-7.0595679999999996E-3</v>
      </c>
      <c r="AA2612">
        <v>0.99882179999999998</v>
      </c>
      <c r="AB2612">
        <v>39</v>
      </c>
      <c r="AC2612">
        <v>-0.65809999999999003</v>
      </c>
      <c r="AD2612">
        <v>-0.10131900000000001</v>
      </c>
      <c r="AE2612">
        <v>-1.8100000000003998E-2</v>
      </c>
      <c r="AF2612">
        <v>-4.9457876924581798E-2</v>
      </c>
      <c r="AG2612">
        <v>-0.10131900000000001</v>
      </c>
      <c r="AH2612">
        <v>0.64121221055218602</v>
      </c>
      <c r="AI2612">
        <v>98.953002244012595</v>
      </c>
      <c r="AJ2612">
        <v>94.410595985278604</v>
      </c>
      <c r="AK2612">
        <v>0.65104893849242096</v>
      </c>
      <c r="AL2612">
        <v>88.246946072839904</v>
      </c>
      <c r="AM2612">
        <v>85.232248575029899</v>
      </c>
      <c r="AN2612">
        <v>1.00000001992816</v>
      </c>
    </row>
    <row r="2613" spans="1:40" x14ac:dyDescent="0.3">
      <c r="A2613" t="str">
        <f>"20200111153927938"</f>
        <v>20200111153927938</v>
      </c>
      <c r="B2613" t="str">
        <f>"1578728367933716"</f>
        <v>1578728367933716</v>
      </c>
      <c r="C2613" t="s">
        <v>40</v>
      </c>
      <c r="D2613">
        <v>5.4445370000000004</v>
      </c>
      <c r="E2613">
        <v>0.45027010000000001</v>
      </c>
      <c r="F2613" t="s">
        <v>41</v>
      </c>
      <c r="G2613">
        <v>-229.27330000000001</v>
      </c>
      <c r="H2613">
        <v>1.011576</v>
      </c>
      <c r="I2613">
        <v>141.6489</v>
      </c>
      <c r="J2613">
        <v>-228.61930000000001</v>
      </c>
      <c r="K2613">
        <v>1.1036760000000001</v>
      </c>
      <c r="L2613">
        <v>141.6679</v>
      </c>
      <c r="M2613">
        <v>-0.99880639999999998</v>
      </c>
      <c r="N2613">
        <v>0</v>
      </c>
      <c r="O2613">
        <v>4.8633339999999997E-2</v>
      </c>
      <c r="P2613">
        <v>-0.99106879999999997</v>
      </c>
      <c r="Q2613">
        <v>2.4464530000000002E-2</v>
      </c>
      <c r="R2613">
        <v>0.13108989999999901</v>
      </c>
      <c r="S2613">
        <v>-3.0356290000000001</v>
      </c>
      <c r="T2613">
        <v>-0.27558149999999998</v>
      </c>
      <c r="U2613">
        <v>-5.8288569999999998E-3</v>
      </c>
      <c r="V2613">
        <v>8.2693320000000001E-2</v>
      </c>
      <c r="W2613">
        <v>2.9119490000000001E-2</v>
      </c>
      <c r="X2613">
        <v>0.99614950000000002</v>
      </c>
      <c r="Y2613">
        <v>-5.0145530000000001E-2</v>
      </c>
      <c r="Z2613">
        <v>-6.6762660000000001E-3</v>
      </c>
      <c r="AA2613">
        <v>0.99871960000000004</v>
      </c>
      <c r="AB2613">
        <v>39</v>
      </c>
      <c r="AC2613">
        <v>-0.65399999999999603</v>
      </c>
      <c r="AD2613">
        <v>-9.2100000000000001E-2</v>
      </c>
      <c r="AE2613">
        <v>-1.9000000000005401E-2</v>
      </c>
      <c r="AF2613">
        <v>-4.9797307250359003E-2</v>
      </c>
      <c r="AG2613">
        <v>-9.2100000000000001E-2</v>
      </c>
      <c r="AH2613">
        <v>0.63962774254939003</v>
      </c>
      <c r="AI2613">
        <v>98.169316856617499</v>
      </c>
      <c r="AJ2613">
        <v>94.451701645403205</v>
      </c>
      <c r="AK2613">
        <v>0.64814028639501797</v>
      </c>
      <c r="AL2613">
        <v>88.3313402063431</v>
      </c>
      <c r="AM2613">
        <v>85.254588158376094</v>
      </c>
      <c r="AN2613">
        <v>0.99999997811036601</v>
      </c>
    </row>
    <row r="2614" spans="1:40" x14ac:dyDescent="0.3">
      <c r="A2614" t="str">
        <f>"20200111153927962"</f>
        <v>20200111153927962</v>
      </c>
      <c r="B2614" t="str">
        <f>"1578728367953237"</f>
        <v>1578728367953237</v>
      </c>
      <c r="C2614" t="s">
        <v>40</v>
      </c>
      <c r="D2614">
        <v>5.4071059999999997</v>
      </c>
      <c r="E2614">
        <v>0.45071290000000003</v>
      </c>
      <c r="F2614" t="s">
        <v>41</v>
      </c>
      <c r="G2614">
        <v>-229.6234</v>
      </c>
      <c r="H2614">
        <v>1.0122679999999999</v>
      </c>
      <c r="I2614">
        <v>141.66650000000001</v>
      </c>
      <c r="J2614">
        <v>-229.05850000000001</v>
      </c>
      <c r="K2614">
        <v>1.1037809999999999</v>
      </c>
      <c r="L2614">
        <v>141.6885</v>
      </c>
      <c r="M2614">
        <v>-0.99885990000000002</v>
      </c>
      <c r="N2614">
        <v>0</v>
      </c>
      <c r="O2614">
        <v>4.7522809999999999E-2</v>
      </c>
      <c r="P2614">
        <v>-0.9913071</v>
      </c>
      <c r="Q2614">
        <v>2.2004510000000001E-2</v>
      </c>
      <c r="R2614">
        <v>0.12971549999999901</v>
      </c>
      <c r="S2614">
        <v>-3.0344090000000001</v>
      </c>
      <c r="T2614">
        <v>-0.27624579999999999</v>
      </c>
      <c r="U2614">
        <v>-4.3029790000000002E-3</v>
      </c>
      <c r="V2614">
        <v>8.2411860000000003E-2</v>
      </c>
      <c r="W2614">
        <v>2.6686669999999999E-2</v>
      </c>
      <c r="X2614">
        <v>0.99624100000000004</v>
      </c>
      <c r="Y2614">
        <v>-4.8542540000000002E-2</v>
      </c>
      <c r="Z2614">
        <v>-6.5213419999999899E-3</v>
      </c>
      <c r="AA2614">
        <v>0.99879980000000002</v>
      </c>
      <c r="AB2614">
        <v>39</v>
      </c>
      <c r="AC2614">
        <v>-0.56489999999999396</v>
      </c>
      <c r="AD2614">
        <v>-9.15129999999999E-2</v>
      </c>
      <c r="AE2614">
        <v>-2.1999999999991301E-2</v>
      </c>
      <c r="AF2614">
        <v>-4.75744226223834E-2</v>
      </c>
      <c r="AG2614">
        <v>-9.15129999999999E-2</v>
      </c>
      <c r="AH2614">
        <v>0.54883467115976303</v>
      </c>
      <c r="AI2614">
        <v>99.431712405821401</v>
      </c>
      <c r="AJ2614">
        <v>94.954164242083706</v>
      </c>
      <c r="AK2614">
        <v>0.558441985459455</v>
      </c>
      <c r="AL2614">
        <v>88.470784908455599</v>
      </c>
      <c r="AM2614">
        <v>85.271098938374195</v>
      </c>
      <c r="AN2614">
        <v>1.0000000115526699</v>
      </c>
    </row>
    <row r="2615" spans="1:40" x14ac:dyDescent="0.3">
      <c r="A2615" t="str">
        <f>"20200111153927984"</f>
        <v>20200111153927984</v>
      </c>
      <c r="B2615" t="str">
        <f>"1578728367973732"</f>
        <v>1578728367973732</v>
      </c>
      <c r="C2615" t="s">
        <v>40</v>
      </c>
      <c r="D2615">
        <v>5.5543480000000001</v>
      </c>
      <c r="E2615">
        <v>0.45148129999999997</v>
      </c>
      <c r="F2615" t="s">
        <v>41</v>
      </c>
      <c r="G2615">
        <v>-229.97710000000001</v>
      </c>
      <c r="H2615">
        <v>1.0177259999999999</v>
      </c>
      <c r="I2615">
        <v>141.6874</v>
      </c>
      <c r="J2615">
        <v>-229.42779999999999</v>
      </c>
      <c r="K2615">
        <v>1.1038650000000001</v>
      </c>
      <c r="L2615">
        <v>141.7054</v>
      </c>
      <c r="M2615">
        <v>-0.9989074</v>
      </c>
      <c r="N2615">
        <v>0</v>
      </c>
      <c r="O2615">
        <v>4.6508569999999999E-2</v>
      </c>
      <c r="P2615">
        <v>-0.99163440000000003</v>
      </c>
      <c r="Q2615">
        <v>1.927829E-2</v>
      </c>
      <c r="R2615">
        <v>0.12763060000000001</v>
      </c>
      <c r="S2615">
        <v>-3.0331730000000001</v>
      </c>
      <c r="T2615">
        <v>-0.28427259999999999</v>
      </c>
      <c r="U2615">
        <v>-4.1046140000000004E-3</v>
      </c>
      <c r="V2615">
        <v>8.1324549999999995E-2</v>
      </c>
      <c r="W2615">
        <v>2.3981479999999999E-2</v>
      </c>
      <c r="X2615">
        <v>0.99639909999999998</v>
      </c>
      <c r="Y2615">
        <v>-4.7449150000000002E-2</v>
      </c>
      <c r="Z2615">
        <v>-6.5668389999999997E-3</v>
      </c>
      <c r="AA2615">
        <v>0.99885210000000002</v>
      </c>
      <c r="AB2615">
        <v>39</v>
      </c>
      <c r="AC2615">
        <v>-0.549300000000016</v>
      </c>
      <c r="AD2615">
        <v>-8.6138999999999702E-2</v>
      </c>
      <c r="AE2615">
        <v>-1.8000000000000599E-2</v>
      </c>
      <c r="AF2615">
        <v>-4.24843252073435E-2</v>
      </c>
      <c r="AG2615">
        <v>-8.6138999999999702E-2</v>
      </c>
      <c r="AH2615">
        <v>0.53473278415617798</v>
      </c>
      <c r="AI2615">
        <v>99.122783072178194</v>
      </c>
      <c r="AJ2615">
        <v>94.542586904848605</v>
      </c>
      <c r="AK2615">
        <v>0.54328997382681499</v>
      </c>
      <c r="AL2615">
        <v>88.625830644031097</v>
      </c>
      <c r="AM2615">
        <v>85.333950024993101</v>
      </c>
      <c r="AN2615">
        <v>0.99999998014825098</v>
      </c>
    </row>
    <row r="2616" spans="1:40" x14ac:dyDescent="0.3">
      <c r="A2616" t="str">
        <f>"20200111153928007"</f>
        <v>20200111153928007</v>
      </c>
      <c r="B2616" t="str">
        <f>"1578728368003988"</f>
        <v>1578728368003988</v>
      </c>
      <c r="C2616" t="s">
        <v>40</v>
      </c>
      <c r="D2616">
        <v>5.3892300000000004</v>
      </c>
      <c r="E2616">
        <v>0.45196799999999998</v>
      </c>
      <c r="F2616" t="s">
        <v>41</v>
      </c>
      <c r="G2616">
        <v>-230.32849999999999</v>
      </c>
      <c r="H2616">
        <v>1.0168980000000001</v>
      </c>
      <c r="I2616">
        <v>141.70410000000001</v>
      </c>
      <c r="J2616">
        <v>-229.83090000000001</v>
      </c>
      <c r="K2616">
        <v>1.1039669999999999</v>
      </c>
      <c r="L2616">
        <v>141.72329999999999</v>
      </c>
      <c r="M2616">
        <v>-0.99896240000000003</v>
      </c>
      <c r="N2616">
        <v>0</v>
      </c>
      <c r="O2616">
        <v>4.5315279999999999E-2</v>
      </c>
      <c r="P2616">
        <v>-0.99197639999999998</v>
      </c>
      <c r="Q2616">
        <v>1.7519400000000001E-2</v>
      </c>
      <c r="R2616">
        <v>0.1252035</v>
      </c>
      <c r="S2616">
        <v>-3.0315249999999998</v>
      </c>
      <c r="T2616">
        <v>-0.29269050000000002</v>
      </c>
      <c r="U2616">
        <v>-4.0740969999999996E-3</v>
      </c>
      <c r="V2616">
        <v>8.0072290000000004E-2</v>
      </c>
      <c r="W2616">
        <v>2.224626E-2</v>
      </c>
      <c r="X2616">
        <v>0.9965408</v>
      </c>
      <c r="Y2616">
        <v>-4.6232639999999998E-2</v>
      </c>
      <c r="Z2616">
        <v>-6.5906239999999998E-3</v>
      </c>
      <c r="AA2616">
        <v>0.99890889999999999</v>
      </c>
      <c r="AB2616">
        <v>39</v>
      </c>
      <c r="AC2616">
        <v>-0.49759999999997701</v>
      </c>
      <c r="AD2616">
        <v>-8.7068999999999994E-2</v>
      </c>
      <c r="AE2616">
        <v>-1.9199999999983602E-2</v>
      </c>
      <c r="AF2616">
        <v>-4.0491496433080497E-2</v>
      </c>
      <c r="AG2616">
        <v>-8.7068999999999994E-2</v>
      </c>
      <c r="AH2616">
        <v>0.48149850916922199</v>
      </c>
      <c r="AI2616">
        <v>100.21469474839699</v>
      </c>
      <c r="AJ2616">
        <v>94.806964007400296</v>
      </c>
      <c r="AK2616">
        <v>0.49098002645380001</v>
      </c>
      <c r="AL2616">
        <v>88.725278056347705</v>
      </c>
      <c r="AM2616">
        <v>85.406139775982695</v>
      </c>
      <c r="AN2616">
        <v>1.0000000168872301</v>
      </c>
    </row>
    <row r="2617" spans="1:40" x14ac:dyDescent="0.3">
      <c r="A2617" t="str">
        <f>"20200111153928051"</f>
        <v>20200111153928051</v>
      </c>
      <c r="B2617" t="str">
        <f>"1578728368043535"</f>
        <v>1578728368043535</v>
      </c>
      <c r="C2617" t="s">
        <v>40</v>
      </c>
      <c r="D2617">
        <v>5.4271209999999996</v>
      </c>
      <c r="E2617">
        <v>0.45268190000000003</v>
      </c>
      <c r="F2617" t="s">
        <v>41</v>
      </c>
      <c r="G2617">
        <v>-230.68430000000001</v>
      </c>
      <c r="H2617">
        <v>1.0203880000000001</v>
      </c>
      <c r="I2617">
        <v>141.72130000000001</v>
      </c>
      <c r="J2617">
        <v>-230.6052</v>
      </c>
      <c r="K2617">
        <v>1.104169</v>
      </c>
      <c r="L2617">
        <v>141.75620000000001</v>
      </c>
      <c r="M2617">
        <v>-0.99907440000000003</v>
      </c>
      <c r="N2617">
        <v>0</v>
      </c>
      <c r="O2617">
        <v>4.2774039999999999E-2</v>
      </c>
      <c r="P2617">
        <v>-0.99261410000000005</v>
      </c>
      <c r="Q2617">
        <v>1.722125E-2</v>
      </c>
      <c r="R2617">
        <v>0.12008729999999999</v>
      </c>
      <c r="S2617">
        <v>-3.0305019999999998</v>
      </c>
      <c r="T2617">
        <v>-0.29693439999999999</v>
      </c>
      <c r="U2617">
        <v>-7.7819819999999998E-3</v>
      </c>
      <c r="V2617">
        <v>7.7457609999999996E-2</v>
      </c>
      <c r="W2617">
        <v>2.199216E-2</v>
      </c>
      <c r="X2617">
        <v>0.996753</v>
      </c>
      <c r="Y2617">
        <v>-4.4920010000000003E-2</v>
      </c>
      <c r="Z2617">
        <v>-6.3756209999999997E-3</v>
      </c>
      <c r="AA2617">
        <v>0.99897029999999998</v>
      </c>
      <c r="AB2617">
        <v>40</v>
      </c>
      <c r="AC2617">
        <v>-7.9100000000010995E-2</v>
      </c>
      <c r="AD2617">
        <v>-8.3781000000000105E-2</v>
      </c>
      <c r="AE2617">
        <v>-3.48999999999932E-2</v>
      </c>
      <c r="AF2617">
        <v>-1.97269024793621E-2</v>
      </c>
      <c r="AG2617">
        <v>-8.3781000000000105E-2</v>
      </c>
      <c r="AH2617">
        <v>3.9985886967681898E-2</v>
      </c>
      <c r="AI2617">
        <v>151.97863004887799</v>
      </c>
      <c r="AJ2617">
        <v>116.259272152425</v>
      </c>
      <c r="AK2617">
        <v>9.4906679422591206E-2</v>
      </c>
      <c r="AL2617">
        <v>88.739840379304098</v>
      </c>
      <c r="AM2617">
        <v>85.556478949870097</v>
      </c>
      <c r="AN2617">
        <v>0.99999993972868695</v>
      </c>
    </row>
    <row r="2618" spans="1:40" x14ac:dyDescent="0.3">
      <c r="A2618" t="str">
        <f>"20200111153928073"</f>
        <v>20200111153928073</v>
      </c>
      <c r="B2618" t="str">
        <f>"1578728368064031"</f>
        <v>1578728368064031</v>
      </c>
      <c r="C2618" t="s">
        <v>40</v>
      </c>
      <c r="D2618">
        <v>5.4279500000000001</v>
      </c>
      <c r="E2618">
        <v>0.45304709999999998</v>
      </c>
      <c r="F2618" t="s">
        <v>41</v>
      </c>
      <c r="G2618">
        <v>-231.39930000000001</v>
      </c>
      <c r="H2618">
        <v>1.026497</v>
      </c>
      <c r="I2618">
        <v>141.7516</v>
      </c>
      <c r="J2618">
        <v>-231.01089999999999</v>
      </c>
      <c r="K2618">
        <v>1.1042719999999999</v>
      </c>
      <c r="L2618">
        <v>141.77260000000001</v>
      </c>
      <c r="M2618">
        <v>-0.99913510000000005</v>
      </c>
      <c r="N2618">
        <v>0</v>
      </c>
      <c r="O2618">
        <v>4.1329169999999998E-2</v>
      </c>
      <c r="P2618">
        <v>-0.99303390000000002</v>
      </c>
      <c r="Q2618">
        <v>1.7892539999999998E-2</v>
      </c>
      <c r="R2618">
        <v>0.1164631</v>
      </c>
      <c r="S2618">
        <v>-3.0297550000000002</v>
      </c>
      <c r="T2618">
        <v>-0.29650510000000002</v>
      </c>
      <c r="U2618">
        <v>-1.875305E-2</v>
      </c>
      <c r="V2618">
        <v>7.5253239999999999E-2</v>
      </c>
      <c r="W2618">
        <v>2.268293E-2</v>
      </c>
      <c r="X2618">
        <v>0.99690650000000003</v>
      </c>
      <c r="Y2618">
        <v>-4.7090680000000003E-2</v>
      </c>
      <c r="Z2618">
        <v>-6.3330210000000003E-3</v>
      </c>
      <c r="AA2618">
        <v>0.99887060000000005</v>
      </c>
      <c r="AB2618">
        <v>40</v>
      </c>
      <c r="AC2618">
        <v>-0.38840000000001801</v>
      </c>
      <c r="AD2618">
        <v>-7.77749999999999E-2</v>
      </c>
      <c r="AE2618">
        <v>-2.1000000000015E-2</v>
      </c>
      <c r="AF2618">
        <v>-3.5610721761466402E-2</v>
      </c>
      <c r="AG2618">
        <v>-7.77749999999999E-2</v>
      </c>
      <c r="AH2618">
        <v>0.37231469569500902</v>
      </c>
      <c r="AI2618">
        <v>101.74706442614701</v>
      </c>
      <c r="AJ2618">
        <v>95.463539612156296</v>
      </c>
      <c r="AK2618">
        <v>0.38201479913720499</v>
      </c>
      <c r="AL2618">
        <v>88.700252458949393</v>
      </c>
      <c r="AM2618">
        <v>85.683114483853601</v>
      </c>
      <c r="AN2618">
        <v>1.00000006759306</v>
      </c>
    </row>
    <row r="2619" spans="1:40" x14ac:dyDescent="0.3">
      <c r="A2619" t="str">
        <f>"20200111153928094"</f>
        <v>20200111153928094</v>
      </c>
      <c r="B2619" t="str">
        <f>"1578728368083550"</f>
        <v>1578728368083550</v>
      </c>
      <c r="C2619" t="s">
        <v>40</v>
      </c>
      <c r="D2619">
        <v>5.3993679999999999</v>
      </c>
      <c r="E2619">
        <v>0.4532081</v>
      </c>
      <c r="F2619" t="s">
        <v>42</v>
      </c>
      <c r="G2619">
        <v>-242.3732</v>
      </c>
      <c r="H2619" s="1">
        <v>-3.800925E-6</v>
      </c>
      <c r="I2619">
        <v>141.67099999999999</v>
      </c>
      <c r="J2619">
        <v>-231.392</v>
      </c>
      <c r="K2619">
        <v>1.104368</v>
      </c>
      <c r="L2619">
        <v>141.78739999999999</v>
      </c>
      <c r="M2619">
        <v>-0.9991932</v>
      </c>
      <c r="N2619">
        <v>0</v>
      </c>
      <c r="O2619">
        <v>3.9900570000000003E-2</v>
      </c>
      <c r="P2619">
        <v>-0.99338660000000001</v>
      </c>
      <c r="Q2619">
        <v>1.8838400000000002E-2</v>
      </c>
      <c r="R2619">
        <v>0.11326269999999999</v>
      </c>
      <c r="S2619">
        <v>-3.0295100000000001</v>
      </c>
      <c r="T2619">
        <v>-0.29443259999999899</v>
      </c>
      <c r="U2619">
        <v>-2.7069090000000001E-2</v>
      </c>
      <c r="V2619">
        <v>7.3458369999999995E-2</v>
      </c>
      <c r="W2619">
        <v>2.3645880000000001E-2</v>
      </c>
      <c r="X2619">
        <v>0.99701790000000001</v>
      </c>
      <c r="Y2619">
        <v>-4.8411040000000002E-2</v>
      </c>
      <c r="Z2619">
        <v>-6.2150299999999999E-3</v>
      </c>
      <c r="AA2619">
        <v>0.99880809999999998</v>
      </c>
      <c r="AB2619">
        <v>40</v>
      </c>
      <c r="AC2619">
        <v>-10.981199999999999</v>
      </c>
      <c r="AD2619">
        <v>-1.1043718009250001</v>
      </c>
      <c r="AE2619">
        <v>-0.11639999999999801</v>
      </c>
      <c r="AF2619">
        <v>-0.54891679635112101</v>
      </c>
      <c r="AG2619">
        <v>-1.1043718009250001</v>
      </c>
      <c r="AH2619">
        <v>10.858002976750001</v>
      </c>
      <c r="AI2619">
        <v>95.800248328447296</v>
      </c>
      <c r="AJ2619">
        <v>92.894073968489906</v>
      </c>
      <c r="AK2619">
        <v>10.9278165873658</v>
      </c>
      <c r="AL2619">
        <v>88.645064557418095</v>
      </c>
      <c r="AM2619">
        <v>85.786170525141202</v>
      </c>
      <c r="AN2619">
        <v>0.99999997634222004</v>
      </c>
    </row>
    <row r="2620" spans="1:40" x14ac:dyDescent="0.3">
      <c r="A2620" t="str">
        <f>"20200111153928119"</f>
        <v>20200111153928119</v>
      </c>
      <c r="B2620" t="str">
        <f>"1578728368113338"</f>
        <v>1578728368113338</v>
      </c>
      <c r="C2620" t="s">
        <v>40</v>
      </c>
      <c r="D2620">
        <v>5.3920810000000001</v>
      </c>
      <c r="E2620">
        <v>0.45359690000000003</v>
      </c>
      <c r="F2620" t="s">
        <v>42</v>
      </c>
      <c r="G2620">
        <v>-242.91249999999999</v>
      </c>
      <c r="H2620" s="1">
        <v>-3.5645360000000001E-6</v>
      </c>
      <c r="I2620">
        <v>141.65219999999999</v>
      </c>
      <c r="J2620">
        <v>-231.81989999999999</v>
      </c>
      <c r="K2620">
        <v>1.1044750000000001</v>
      </c>
      <c r="L2620">
        <v>141.80330000000001</v>
      </c>
      <c r="M2620">
        <v>-0.99925929999999996</v>
      </c>
      <c r="N2620">
        <v>0</v>
      </c>
      <c r="O2620">
        <v>3.8207829999999998E-2</v>
      </c>
      <c r="P2620">
        <v>-0.99366739999999998</v>
      </c>
      <c r="Q2620">
        <v>2.035698E-2</v>
      </c>
      <c r="R2620">
        <v>0.1105023</v>
      </c>
      <c r="S2620">
        <v>-3.0295100000000001</v>
      </c>
      <c r="T2620">
        <v>-0.29041240000000001</v>
      </c>
      <c r="U2620">
        <v>-3.5537720000000002E-2</v>
      </c>
      <c r="V2620">
        <v>7.2367130000000002E-2</v>
      </c>
      <c r="W2620">
        <v>2.518513E-2</v>
      </c>
      <c r="X2620">
        <v>0.9970601</v>
      </c>
      <c r="Y2620">
        <v>-4.9524640000000002E-2</v>
      </c>
      <c r="Z2620">
        <v>-6.0219560000000002E-3</v>
      </c>
      <c r="AA2620">
        <v>0.9987547</v>
      </c>
      <c r="AB2620">
        <v>40</v>
      </c>
      <c r="AC2620">
        <v>-11.092599999999999</v>
      </c>
      <c r="AD2620">
        <v>-1.104478564536</v>
      </c>
      <c r="AE2620">
        <v>-0.151100000000013</v>
      </c>
      <c r="AF2620">
        <v>-0.56917653876718399</v>
      </c>
      <c r="AG2620">
        <v>-1.104478564536</v>
      </c>
      <c r="AH2620">
        <v>10.9699908540951</v>
      </c>
      <c r="AI2620">
        <v>95.741597322731906</v>
      </c>
      <c r="AJ2620">
        <v>92.970120699293702</v>
      </c>
      <c r="AK2620">
        <v>11.0401328873675</v>
      </c>
      <c r="AL2620">
        <v>88.556845851490095</v>
      </c>
      <c r="AM2620">
        <v>85.848722469102199</v>
      </c>
      <c r="AN2620">
        <v>1.00000006764477</v>
      </c>
    </row>
    <row r="2621" spans="1:40" x14ac:dyDescent="0.3">
      <c r="A2621" t="str">
        <f>"20200111153928139"</f>
        <v>20200111153928139</v>
      </c>
      <c r="B2621" t="str">
        <f>"1578728368133834"</f>
        <v>1578728368133834</v>
      </c>
      <c r="C2621" t="s">
        <v>40</v>
      </c>
      <c r="D2621">
        <v>5.4016109999999999</v>
      </c>
      <c r="E2621">
        <v>0.45390399999999997</v>
      </c>
      <c r="F2621" t="s">
        <v>41</v>
      </c>
      <c r="G2621">
        <v>-232.82490000000001</v>
      </c>
      <c r="H2621">
        <v>1.0096780000000001</v>
      </c>
      <c r="I2621">
        <v>141.78980000000001</v>
      </c>
      <c r="J2621">
        <v>-232.20240000000001</v>
      </c>
      <c r="K2621">
        <v>1.104562</v>
      </c>
      <c r="L2621">
        <v>141.8168</v>
      </c>
      <c r="M2621">
        <v>-0.99931840000000005</v>
      </c>
      <c r="N2621">
        <v>0</v>
      </c>
      <c r="O2621">
        <v>3.6631669999999998E-2</v>
      </c>
      <c r="P2621">
        <v>-0.99389490000000003</v>
      </c>
      <c r="Q2621">
        <v>2.1531950000000001E-2</v>
      </c>
      <c r="R2621">
        <v>0.1082105</v>
      </c>
      <c r="S2621">
        <v>-3.0295869999999998</v>
      </c>
      <c r="T2621">
        <v>-0.2859604</v>
      </c>
      <c r="U2621">
        <v>-4.1244509999999998E-2</v>
      </c>
      <c r="V2621">
        <v>7.1631669999999995E-2</v>
      </c>
      <c r="W2621">
        <v>2.6378740000000001E-2</v>
      </c>
      <c r="X2621">
        <v>0.99708229999999998</v>
      </c>
      <c r="Y2621">
        <v>-4.9847860000000001E-2</v>
      </c>
      <c r="Z2621">
        <v>-5.7967050000000001E-3</v>
      </c>
      <c r="AA2621">
        <v>0.99873999999999996</v>
      </c>
      <c r="AB2621">
        <v>40</v>
      </c>
      <c r="AC2621">
        <v>-0.62250000000000205</v>
      </c>
      <c r="AD2621">
        <v>-9.4883999999999899E-2</v>
      </c>
      <c r="AE2621">
        <v>-2.6999999999986798E-2</v>
      </c>
      <c r="AF2621">
        <v>-4.8657000028133002E-2</v>
      </c>
      <c r="AG2621">
        <v>-9.4883999999999899E-2</v>
      </c>
      <c r="AH2621">
        <v>0.60701672375262705</v>
      </c>
      <c r="AI2621">
        <v>98.856173420098003</v>
      </c>
      <c r="AJ2621">
        <v>94.582893191233694</v>
      </c>
      <c r="AK2621">
        <v>0.61631143103394603</v>
      </c>
      <c r="AL2621">
        <v>88.488434229314805</v>
      </c>
      <c r="AM2621">
        <v>85.890857410352197</v>
      </c>
      <c r="AN2621">
        <v>1.00000002352213</v>
      </c>
    </row>
    <row r="2622" spans="1:40" x14ac:dyDescent="0.3">
      <c r="A2622" t="str">
        <f>"20200111153928162"</f>
        <v>20200111153928162</v>
      </c>
      <c r="B2622" t="str">
        <f>"1578728368153355"</f>
        <v>1578728368153355</v>
      </c>
      <c r="C2622" t="s">
        <v>40</v>
      </c>
      <c r="D2622">
        <v>5.420426</v>
      </c>
      <c r="E2622">
        <v>0.45424110000000001</v>
      </c>
      <c r="F2622" t="s">
        <v>41</v>
      </c>
      <c r="G2622">
        <v>-233.1883</v>
      </c>
      <c r="H2622">
        <v>1.0125489999999999</v>
      </c>
      <c r="I2622">
        <v>141.80189999999999</v>
      </c>
      <c r="J2622">
        <v>-232.60400000000001</v>
      </c>
      <c r="K2622">
        <v>1.104643</v>
      </c>
      <c r="L2622">
        <v>141.83029999999999</v>
      </c>
      <c r="M2622">
        <v>-0.99937949999999998</v>
      </c>
      <c r="N2622">
        <v>0</v>
      </c>
      <c r="O2622">
        <v>3.4923919999999997E-2</v>
      </c>
      <c r="P2622">
        <v>-0.99422339999999998</v>
      </c>
      <c r="Q2622">
        <v>2.197004E-2</v>
      </c>
      <c r="R2622">
        <v>0.105058399999999</v>
      </c>
      <c r="S2622">
        <v>-3.029541</v>
      </c>
      <c r="T2622">
        <v>-0.2827616</v>
      </c>
      <c r="U2622">
        <v>-4.58374E-2</v>
      </c>
      <c r="V2622">
        <v>7.0166870000000006E-2</v>
      </c>
      <c r="W2622">
        <v>2.6832999999999999E-2</v>
      </c>
      <c r="X2622">
        <v>0.99717429999999996</v>
      </c>
      <c r="Y2622">
        <v>-4.9671880000000002E-2</v>
      </c>
      <c r="Z2622">
        <v>-5.5650150000000004E-3</v>
      </c>
      <c r="AA2622">
        <v>0.99875009999999997</v>
      </c>
      <c r="AB2622">
        <v>40</v>
      </c>
      <c r="AC2622">
        <v>-0.58429999999998405</v>
      </c>
      <c r="AD2622">
        <v>-9.2094000000000106E-2</v>
      </c>
      <c r="AE2622">
        <v>-2.84000000000048E-2</v>
      </c>
      <c r="AF2622">
        <v>-4.7609007689629099E-2</v>
      </c>
      <c r="AG2622">
        <v>-9.2094000000000106E-2</v>
      </c>
      <c r="AH2622">
        <v>0.56885341341371598</v>
      </c>
      <c r="AI2622">
        <v>99.164565380044095</v>
      </c>
      <c r="AJ2622">
        <v>94.784102238091293</v>
      </c>
      <c r="AK2622">
        <v>0.57822325134988095</v>
      </c>
      <c r="AL2622">
        <v>88.462397783656002</v>
      </c>
      <c r="AM2622">
        <v>85.974976559338302</v>
      </c>
      <c r="AN2622">
        <v>0.99999999205754297</v>
      </c>
    </row>
    <row r="2623" spans="1:40" x14ac:dyDescent="0.3">
      <c r="A2623" t="str">
        <f>"20200111153928183"</f>
        <v>20200111153928183</v>
      </c>
      <c r="B2623" t="str">
        <f>"1578728368173850"</f>
        <v>1578728368173850</v>
      </c>
      <c r="C2623" t="s">
        <v>40</v>
      </c>
      <c r="D2623">
        <v>5.4107609999999999</v>
      </c>
      <c r="E2623">
        <v>0.45436749999999998</v>
      </c>
      <c r="F2623" t="s">
        <v>41</v>
      </c>
      <c r="G2623">
        <v>-233.55369999999999</v>
      </c>
      <c r="H2623">
        <v>1.01657999999999</v>
      </c>
      <c r="I2623">
        <v>141.81399999999999</v>
      </c>
      <c r="J2623">
        <v>-233.00649999999999</v>
      </c>
      <c r="K2623">
        <v>1.104727</v>
      </c>
      <c r="L2623">
        <v>141.8432</v>
      </c>
      <c r="M2623">
        <v>-0.99943939999999998</v>
      </c>
      <c r="N2623">
        <v>0</v>
      </c>
      <c r="O2623">
        <v>3.3164649999999997E-2</v>
      </c>
      <c r="P2623">
        <v>-0.99438459999999995</v>
      </c>
      <c r="Q2623">
        <v>2.2643949999999999E-2</v>
      </c>
      <c r="R2623">
        <v>0.1033763</v>
      </c>
      <c r="S2623">
        <v>-3.0292509999999999</v>
      </c>
      <c r="T2623">
        <v>-0.28103549999999999</v>
      </c>
      <c r="U2623">
        <v>-5.2749629999999999E-2</v>
      </c>
      <c r="V2623">
        <v>7.0227910000000004E-2</v>
      </c>
      <c r="W2623">
        <v>2.7526539999999999E-2</v>
      </c>
      <c r="X2623">
        <v>0.99715109999999996</v>
      </c>
      <c r="Y2623">
        <v>-5.0203280000000003E-2</v>
      </c>
      <c r="Z2623">
        <v>-5.3934339999999999E-3</v>
      </c>
      <c r="AA2623">
        <v>0.99872450000000002</v>
      </c>
      <c r="AB2623">
        <v>41</v>
      </c>
      <c r="AC2623">
        <v>-0.54720000000000302</v>
      </c>
      <c r="AD2623">
        <v>-8.8147000000000197E-2</v>
      </c>
      <c r="AE2623">
        <v>-2.9200000000002901E-2</v>
      </c>
      <c r="AF2623">
        <v>-4.6137982527472102E-2</v>
      </c>
      <c r="AG2623">
        <v>-8.8147000000000197E-2</v>
      </c>
      <c r="AH2623">
        <v>0.53216066341854895</v>
      </c>
      <c r="AI2623">
        <v>99.3705438948123</v>
      </c>
      <c r="AJ2623">
        <v>94.955116012995802</v>
      </c>
      <c r="AK2623">
        <v>0.54138117692691801</v>
      </c>
      <c r="AL2623">
        <v>88.422646183328098</v>
      </c>
      <c r="AM2623">
        <v>85.971393189549005</v>
      </c>
      <c r="AN2623">
        <v>0.999999992989274</v>
      </c>
    </row>
    <row r="2624" spans="1:40" x14ac:dyDescent="0.3">
      <c r="A2624" t="str">
        <f>"20200111153928208"</f>
        <v>20200111153928208</v>
      </c>
      <c r="B2624" t="str">
        <f>"1578728368203129"</f>
        <v>1578728368203129</v>
      </c>
      <c r="C2624" t="s">
        <v>40</v>
      </c>
      <c r="D2624">
        <v>5.3861150000000002</v>
      </c>
      <c r="E2624">
        <v>0.45447979999999999</v>
      </c>
      <c r="F2624" t="s">
        <v>41</v>
      </c>
      <c r="G2624">
        <v>-233.92099999999999</v>
      </c>
      <c r="H2624">
        <v>1.021396</v>
      </c>
      <c r="I2624">
        <v>141.82589999999999</v>
      </c>
      <c r="J2624">
        <v>-233.4349</v>
      </c>
      <c r="K2624">
        <v>1.1047979999999999</v>
      </c>
      <c r="L2624">
        <v>141.8561</v>
      </c>
      <c r="M2624">
        <v>-0.99950090000000003</v>
      </c>
      <c r="N2624">
        <v>0</v>
      </c>
      <c r="O2624">
        <v>3.125174E-2</v>
      </c>
      <c r="P2624">
        <v>-0.99449529999999997</v>
      </c>
      <c r="Q2624">
        <v>2.4552339999999999E-2</v>
      </c>
      <c r="R2624">
        <v>0.10186439999999999</v>
      </c>
      <c r="S2624">
        <v>-3.0292050000000001</v>
      </c>
      <c r="T2624">
        <v>-0.27602979999999999</v>
      </c>
      <c r="U2624">
        <v>-5.7418820000000002E-2</v>
      </c>
      <c r="V2624">
        <v>7.0608950000000004E-2</v>
      </c>
      <c r="W2624">
        <v>2.9456E-2</v>
      </c>
      <c r="X2624">
        <v>0.99706910000000004</v>
      </c>
      <c r="Y2624">
        <v>-4.9852960000000002E-2</v>
      </c>
      <c r="Z2624">
        <v>-5.1079719999999997E-3</v>
      </c>
      <c r="AA2624">
        <v>0.99874350000000001</v>
      </c>
      <c r="AB2624">
        <v>41</v>
      </c>
      <c r="AC2624">
        <v>-0.48609999999999298</v>
      </c>
      <c r="AD2624">
        <v>-8.3401999999999907E-2</v>
      </c>
      <c r="AE2624">
        <v>-3.02000000000077E-2</v>
      </c>
      <c r="AF2624">
        <v>-4.4084141297682698E-2</v>
      </c>
      <c r="AG2624">
        <v>-8.3401999999999907E-2</v>
      </c>
      <c r="AH2624">
        <v>0.47110392055737399</v>
      </c>
      <c r="AI2624">
        <v>99.996566751218694</v>
      </c>
      <c r="AJ2624">
        <v>95.345956843882504</v>
      </c>
      <c r="AK2624">
        <v>0.48045625095577899</v>
      </c>
      <c r="AL2624">
        <v>88.312051424557197</v>
      </c>
      <c r="AM2624">
        <v>85.949275479654005</v>
      </c>
      <c r="AN2624">
        <v>1.0000000349654501</v>
      </c>
    </row>
    <row r="2625" spans="1:40" x14ac:dyDescent="0.3">
      <c r="A2625" t="str">
        <f>"20200111153928228"</f>
        <v>20200111153928228</v>
      </c>
      <c r="B2625" t="str">
        <f>"1578728368223972"</f>
        <v>1578728368223972</v>
      </c>
      <c r="C2625" t="s">
        <v>40</v>
      </c>
      <c r="D2625">
        <v>5.4181359999999996</v>
      </c>
      <c r="E2625">
        <v>0.45447569999999998</v>
      </c>
      <c r="F2625" t="s">
        <v>42</v>
      </c>
      <c r="G2625">
        <v>-246.01320000000001</v>
      </c>
      <c r="H2625" s="1">
        <v>-2.220526E-6</v>
      </c>
      <c r="I2625">
        <v>141.6003</v>
      </c>
      <c r="J2625">
        <v>-233.83009999999999</v>
      </c>
      <c r="K2625">
        <v>1.1048500000000001</v>
      </c>
      <c r="L2625">
        <v>141.8672</v>
      </c>
      <c r="M2625">
        <v>-0.99955530000000004</v>
      </c>
      <c r="N2625">
        <v>0</v>
      </c>
      <c r="O2625">
        <v>2.9459530000000001E-2</v>
      </c>
      <c r="P2625">
        <v>-0.99458190000000002</v>
      </c>
      <c r="Q2625">
        <v>2.5189650000000001E-2</v>
      </c>
      <c r="R2625">
        <v>0.1008597</v>
      </c>
      <c r="S2625">
        <v>-3.0294490000000001</v>
      </c>
      <c r="T2625">
        <v>-0.26608880000000001</v>
      </c>
      <c r="U2625">
        <v>-6.1599729999999998E-2</v>
      </c>
      <c r="V2625">
        <v>7.1383020000000005E-2</v>
      </c>
      <c r="W2625">
        <v>3.0114209999999999E-2</v>
      </c>
      <c r="X2625">
        <v>0.9969943</v>
      </c>
      <c r="Y2625">
        <v>-4.9470600000000003E-2</v>
      </c>
      <c r="Z2625">
        <v>-4.7504569999999996E-3</v>
      </c>
      <c r="AA2625">
        <v>0.99876430000000005</v>
      </c>
      <c r="AB2625">
        <v>41</v>
      </c>
      <c r="AC2625">
        <v>-12.1831</v>
      </c>
      <c r="AD2625">
        <v>-1.1048522205260001</v>
      </c>
      <c r="AE2625">
        <v>-0.26689999999999198</v>
      </c>
      <c r="AF2625">
        <v>-0.62059494711962004</v>
      </c>
      <c r="AG2625">
        <v>-1.1048522205260001</v>
      </c>
      <c r="AH2625">
        <v>12.0707250396592</v>
      </c>
      <c r="AI2625">
        <v>95.222938926173597</v>
      </c>
      <c r="AJ2625">
        <v>92.943169595013501</v>
      </c>
      <c r="AK2625">
        <v>12.137060579096</v>
      </c>
      <c r="AL2625">
        <v>88.274322000798605</v>
      </c>
      <c r="AM2625">
        <v>85.904712372046703</v>
      </c>
      <c r="AN2625">
        <v>1.0000000177103601</v>
      </c>
    </row>
    <row r="2626" spans="1:40" x14ac:dyDescent="0.3">
      <c r="A2626" t="str">
        <f>"20200111153928250"</f>
        <v>20200111153928250</v>
      </c>
      <c r="B2626" t="str">
        <f>"1578728368243492"</f>
        <v>1578728368243492</v>
      </c>
      <c r="C2626" t="s">
        <v>40</v>
      </c>
      <c r="D2626">
        <v>5.3141499999999997</v>
      </c>
      <c r="E2626">
        <v>0.45421109999999998</v>
      </c>
      <c r="F2626" t="s">
        <v>42</v>
      </c>
      <c r="G2626">
        <v>-246.59399999999999</v>
      </c>
      <c r="H2626" s="1">
        <v>-1.9693919999999999E-6</v>
      </c>
      <c r="I2626">
        <v>141.59270000000001</v>
      </c>
      <c r="J2626">
        <v>-234.2243</v>
      </c>
      <c r="K2626">
        <v>1.1048789999999999</v>
      </c>
      <c r="L2626">
        <v>141.8777</v>
      </c>
      <c r="M2626">
        <v>-0.99960700000000002</v>
      </c>
      <c r="N2626">
        <v>0</v>
      </c>
      <c r="O2626">
        <v>2.765196E-2</v>
      </c>
      <c r="P2626">
        <v>-0.99475389999999997</v>
      </c>
      <c r="Q2626">
        <v>2.3903089999999998E-2</v>
      </c>
      <c r="R2626">
        <v>9.9467710000000001E-2</v>
      </c>
      <c r="S2626">
        <v>-3.0295869999999998</v>
      </c>
      <c r="T2626">
        <v>-0.26224520000000001</v>
      </c>
      <c r="U2626">
        <v>-6.513977E-2</v>
      </c>
      <c r="V2626">
        <v>7.1791800000000003E-2</v>
      </c>
      <c r="W2626">
        <v>2.8845429999999998E-2</v>
      </c>
      <c r="X2626">
        <v>0.99700239999999996</v>
      </c>
      <c r="Y2626">
        <v>-4.8847929999999998E-2</v>
      </c>
      <c r="Z2626">
        <v>-4.4988090000000003E-3</v>
      </c>
      <c r="AA2626">
        <v>0.99879609999999996</v>
      </c>
      <c r="AB2626">
        <v>41</v>
      </c>
      <c r="AC2626">
        <v>-12.3697</v>
      </c>
      <c r="AD2626">
        <v>-1.1048809693920001</v>
      </c>
      <c r="AE2626">
        <v>-0.28499999999999598</v>
      </c>
      <c r="AF2626">
        <v>-0.62198134774222902</v>
      </c>
      <c r="AG2626">
        <v>-1.1048809693920001</v>
      </c>
      <c r="AH2626">
        <v>12.2593317279883</v>
      </c>
      <c r="AI2626">
        <v>95.143329373975703</v>
      </c>
      <c r="AJ2626">
        <v>92.904430415808903</v>
      </c>
      <c r="AK2626">
        <v>12.324724628579901</v>
      </c>
      <c r="AL2626">
        <v>88.347049246432704</v>
      </c>
      <c r="AM2626">
        <v>85.881374236505494</v>
      </c>
      <c r="AN2626">
        <v>0.99999995349244097</v>
      </c>
    </row>
    <row r="2627" spans="1:40" x14ac:dyDescent="0.3">
      <c r="A2627" t="str">
        <f>"20200111153928273"</f>
        <v>20200111153928273</v>
      </c>
      <c r="B2627" t="str">
        <f>"1578728368263988"</f>
        <v>1578728368263988</v>
      </c>
      <c r="C2627" t="s">
        <v>40</v>
      </c>
      <c r="D2627">
        <v>5.3238909999999997</v>
      </c>
      <c r="E2627">
        <v>0.44908530000000002</v>
      </c>
      <c r="F2627" t="s">
        <v>42</v>
      </c>
      <c r="G2627">
        <v>-246.9151</v>
      </c>
      <c r="H2627" s="1">
        <v>-1.827411E-6</v>
      </c>
      <c r="I2627">
        <v>141.57689999999999</v>
      </c>
      <c r="J2627">
        <v>-234.65809999999999</v>
      </c>
      <c r="K2627">
        <v>1.104911</v>
      </c>
      <c r="L2627">
        <v>141.88839999999999</v>
      </c>
      <c r="M2627">
        <v>-0.99966060000000001</v>
      </c>
      <c r="N2627">
        <v>0</v>
      </c>
      <c r="O2627">
        <v>2.56411E-2</v>
      </c>
      <c r="P2627">
        <v>-0.99490599999999996</v>
      </c>
      <c r="Q2627">
        <v>2.274193E-2</v>
      </c>
      <c r="R2627">
        <v>9.8209759999999993E-2</v>
      </c>
      <c r="S2627">
        <v>-3.0293580000000002</v>
      </c>
      <c r="T2627">
        <v>-0.26374130000000001</v>
      </c>
      <c r="U2627">
        <v>-7.1777339999999995E-2</v>
      </c>
      <c r="V2627">
        <v>7.2537589999999999E-2</v>
      </c>
      <c r="W2627">
        <v>2.7705759999999999E-2</v>
      </c>
      <c r="X2627">
        <v>0.9969808</v>
      </c>
      <c r="Y2627">
        <v>-4.9031329999999998E-2</v>
      </c>
      <c r="Z2627">
        <v>-4.3578949999999997E-3</v>
      </c>
      <c r="AA2627">
        <v>0.9987878</v>
      </c>
      <c r="AB2627">
        <v>41</v>
      </c>
      <c r="AC2627">
        <v>-12.257</v>
      </c>
      <c r="AD2627">
        <v>-1.1049128274110001</v>
      </c>
      <c r="AE2627">
        <v>-0.311499999999995</v>
      </c>
      <c r="AF2627">
        <v>-0.62064365686312895</v>
      </c>
      <c r="AG2627">
        <v>-1.1049128274110001</v>
      </c>
      <c r="AH2627">
        <v>12.146342748129999</v>
      </c>
      <c r="AI2627">
        <v>95.1909679962761</v>
      </c>
      <c r="AJ2627">
        <v>92.925107821701602</v>
      </c>
      <c r="AK2627">
        <v>12.212275507047501</v>
      </c>
      <c r="AL2627">
        <v>88.412373748041801</v>
      </c>
      <c r="AM2627">
        <v>85.838648678927697</v>
      </c>
      <c r="AN2627">
        <v>1.00000001333441</v>
      </c>
    </row>
    <row r="2628" spans="1:40" x14ac:dyDescent="0.3">
      <c r="A2628" t="str">
        <f>"20200111153928296"</f>
        <v>20200111153928296</v>
      </c>
      <c r="B2628" t="str">
        <f>"1578728368293267"</f>
        <v>1578728368293267</v>
      </c>
      <c r="C2628" t="s">
        <v>40</v>
      </c>
      <c r="D2628">
        <v>5.3217470000000002</v>
      </c>
      <c r="E2628">
        <v>0.44971030000000001</v>
      </c>
      <c r="F2628" t="s">
        <v>42</v>
      </c>
      <c r="G2628">
        <v>-248.90270000000001</v>
      </c>
      <c r="H2628" s="1">
        <v>-9.1243669999999998E-7</v>
      </c>
      <c r="I2628">
        <v>141.34270000000001</v>
      </c>
      <c r="J2628">
        <v>-235.06379999999999</v>
      </c>
      <c r="K2628">
        <v>1.104949</v>
      </c>
      <c r="L2628">
        <v>141.89750000000001</v>
      </c>
      <c r="M2628">
        <v>-0.99970760000000003</v>
      </c>
      <c r="N2628">
        <v>0</v>
      </c>
      <c r="O2628">
        <v>2.3733199999999999E-2</v>
      </c>
      <c r="P2628">
        <v>-0.99509150000000002</v>
      </c>
      <c r="Q2628">
        <v>2.1376659999999999E-2</v>
      </c>
      <c r="R2628">
        <v>9.6623200000000006E-2</v>
      </c>
      <c r="S2628">
        <v>-3.0321959999999999</v>
      </c>
      <c r="T2628">
        <v>-0.23519970000000001</v>
      </c>
      <c r="U2628">
        <v>-0.1161346</v>
      </c>
      <c r="V2628">
        <v>7.2852970000000003E-2</v>
      </c>
      <c r="W2628">
        <v>2.635871E-2</v>
      </c>
      <c r="X2628">
        <v>0.9969943</v>
      </c>
      <c r="Y2628">
        <v>-6.1721379999999999E-2</v>
      </c>
      <c r="Z2628">
        <v>-4.2269150000000004E-3</v>
      </c>
      <c r="AA2628">
        <v>0.99808450000000004</v>
      </c>
      <c r="AB2628">
        <v>41</v>
      </c>
      <c r="AC2628">
        <v>-13.838900000000001</v>
      </c>
      <c r="AD2628">
        <v>-1.1049499124366999</v>
      </c>
      <c r="AE2628">
        <v>-0.55479999999999996</v>
      </c>
      <c r="AF2628">
        <v>-0.87750349678265904</v>
      </c>
      <c r="AG2628">
        <v>-1.1049499124366999</v>
      </c>
      <c r="AH2628">
        <v>13.734417773783701</v>
      </c>
      <c r="AI2628">
        <v>94.590286603406895</v>
      </c>
      <c r="AJ2628">
        <v>93.655706672965906</v>
      </c>
      <c r="AK2628">
        <v>13.8067070035068</v>
      </c>
      <c r="AL2628">
        <v>88.489582205545403</v>
      </c>
      <c r="AM2628">
        <v>85.820676258399004</v>
      </c>
      <c r="AN2628">
        <v>0.99999998553158698</v>
      </c>
    </row>
    <row r="2629" spans="1:40" x14ac:dyDescent="0.3">
      <c r="A2629" t="str">
        <f>"20200111153928318"</f>
        <v>20200111153928318</v>
      </c>
      <c r="B2629" t="str">
        <f>"1578728368313764"</f>
        <v>1578728368313764</v>
      </c>
      <c r="C2629" t="s">
        <v>40</v>
      </c>
      <c r="D2629">
        <v>5.3296449999999904</v>
      </c>
      <c r="E2629">
        <v>0.44962170000000001</v>
      </c>
      <c r="F2629" t="s">
        <v>42</v>
      </c>
      <c r="G2629">
        <v>-248.86689999999999</v>
      </c>
      <c r="H2629" s="1">
        <v>-9.3449020000000004E-7</v>
      </c>
      <c r="I2629">
        <v>141.36789999999999</v>
      </c>
      <c r="J2629">
        <v>-235.47800000000001</v>
      </c>
      <c r="K2629">
        <v>1.104997</v>
      </c>
      <c r="L2629">
        <v>141.90600000000001</v>
      </c>
      <c r="M2629">
        <v>-0.9997528</v>
      </c>
      <c r="N2629">
        <v>0</v>
      </c>
      <c r="O2629">
        <v>2.1749109999999999E-2</v>
      </c>
      <c r="P2629">
        <v>-0.99533170000000004</v>
      </c>
      <c r="Q2629">
        <v>2.0544509999999998E-2</v>
      </c>
      <c r="R2629">
        <v>9.4303659999999997E-2</v>
      </c>
      <c r="S2629">
        <v>-3.0313110000000001</v>
      </c>
      <c r="T2629">
        <v>-0.24265980000000001</v>
      </c>
      <c r="U2629">
        <v>-0.11628719999999999</v>
      </c>
      <c r="V2629">
        <v>7.2508059999999999E-2</v>
      </c>
      <c r="W2629">
        <v>2.55436E-2</v>
      </c>
      <c r="X2629">
        <v>0.9970407</v>
      </c>
      <c r="Y2629">
        <v>-5.9797599999999999E-2</v>
      </c>
      <c r="Z2629">
        <v>-4.126457E-3</v>
      </c>
      <c r="AA2629">
        <v>0.99820200000000003</v>
      </c>
      <c r="AB2629">
        <v>41</v>
      </c>
      <c r="AC2629">
        <v>-13.3889</v>
      </c>
      <c r="AD2629">
        <v>-1.1049979344901999</v>
      </c>
      <c r="AE2629">
        <v>-0.53810000000001401</v>
      </c>
      <c r="AF2629">
        <v>-0.82357188823187999</v>
      </c>
      <c r="AG2629">
        <v>-1.1049979344901999</v>
      </c>
      <c r="AH2629">
        <v>13.2836956261445</v>
      </c>
      <c r="AI2629">
        <v>94.746103267294899</v>
      </c>
      <c r="AJ2629">
        <v>93.547722991603706</v>
      </c>
      <c r="AK2629">
        <v>13.3549938441904</v>
      </c>
      <c r="AL2629">
        <v>88.536300363492302</v>
      </c>
      <c r="AM2629">
        <v>85.840585840628705</v>
      </c>
      <c r="AN2629">
        <v>1.0000000258612001</v>
      </c>
    </row>
    <row r="2630" spans="1:40" x14ac:dyDescent="0.3">
      <c r="A2630" t="str">
        <f>"20200111153928341"</f>
        <v>20200111153928341</v>
      </c>
      <c r="B2630" t="str">
        <f>"1578728368333284"</f>
        <v>1578728368333284</v>
      </c>
      <c r="C2630" t="s">
        <v>40</v>
      </c>
      <c r="D2630">
        <v>5.3344529999999999</v>
      </c>
      <c r="E2630">
        <v>0.4498644</v>
      </c>
      <c r="F2630" t="s">
        <v>42</v>
      </c>
      <c r="G2630">
        <v>-249.1241</v>
      </c>
      <c r="H2630" s="1">
        <v>-8.1832169999999895E-7</v>
      </c>
      <c r="I2630">
        <v>141.3459</v>
      </c>
      <c r="J2630">
        <v>-235.89330000000001</v>
      </c>
      <c r="K2630">
        <v>1.1050549999999999</v>
      </c>
      <c r="L2630">
        <v>141.9136</v>
      </c>
      <c r="M2630">
        <v>-0.99979470000000004</v>
      </c>
      <c r="N2630">
        <v>0</v>
      </c>
      <c r="O2630">
        <v>1.9724390000000001E-2</v>
      </c>
      <c r="P2630">
        <v>-0.99562899999999999</v>
      </c>
      <c r="Q2630">
        <v>2.041248E-2</v>
      </c>
      <c r="R2630">
        <v>9.1140860000000004E-2</v>
      </c>
      <c r="S2630">
        <v>-3.0309300000000001</v>
      </c>
      <c r="T2630">
        <v>-0.24543119999999999</v>
      </c>
      <c r="U2630">
        <v>-0.1243744</v>
      </c>
      <c r="V2630">
        <v>7.1356180000000005E-2</v>
      </c>
      <c r="W2630">
        <v>2.5425860000000002E-2</v>
      </c>
      <c r="X2630">
        <v>0.99712679999999998</v>
      </c>
      <c r="Y2630">
        <v>-6.0438619999999998E-2</v>
      </c>
      <c r="Z2630">
        <v>-4.0360229999999997E-3</v>
      </c>
      <c r="AA2630">
        <v>0.99816380000000005</v>
      </c>
      <c r="AB2630">
        <v>42</v>
      </c>
      <c r="AC2630">
        <v>-13.230799999999901</v>
      </c>
      <c r="AD2630">
        <v>-1.1050558183217001</v>
      </c>
      <c r="AE2630">
        <v>-0.56770000000000198</v>
      </c>
      <c r="AF2630">
        <v>-0.82283242467716899</v>
      </c>
      <c r="AG2630">
        <v>-1.1050558183217001</v>
      </c>
      <c r="AH2630">
        <v>13.125634303008299</v>
      </c>
      <c r="AI2630">
        <v>94.803036416541403</v>
      </c>
      <c r="AJ2630">
        <v>93.587118996327405</v>
      </c>
      <c r="AK2630">
        <v>13.1977451641185</v>
      </c>
      <c r="AL2630">
        <v>88.543048547267901</v>
      </c>
      <c r="AM2630">
        <v>85.906789099239901</v>
      </c>
      <c r="AN2630">
        <v>1.00000001702958</v>
      </c>
    </row>
    <row r="2631" spans="1:40" x14ac:dyDescent="0.3">
      <c r="A2631" t="str">
        <f>"20200111153928362"</f>
        <v>20200111153928362</v>
      </c>
      <c r="B2631" t="str">
        <f>"1578728368353783"</f>
        <v>1578728368353783</v>
      </c>
      <c r="C2631" t="s">
        <v>40</v>
      </c>
      <c r="D2631">
        <v>5.4415750000000003</v>
      </c>
      <c r="E2631">
        <v>0.4506289</v>
      </c>
      <c r="F2631" t="s">
        <v>42</v>
      </c>
      <c r="G2631">
        <v>-249.50190000000001</v>
      </c>
      <c r="H2631" s="1">
        <v>-6.4903529999999999E-7</v>
      </c>
      <c r="I2631">
        <v>141.31890000000001</v>
      </c>
      <c r="J2631">
        <v>-236.30779999999999</v>
      </c>
      <c r="K2631">
        <v>1.1051230000000001</v>
      </c>
      <c r="L2631">
        <v>141.9204</v>
      </c>
      <c r="M2631">
        <v>-0.99983310000000003</v>
      </c>
      <c r="N2631">
        <v>0</v>
      </c>
      <c r="O2631">
        <v>1.766034E-2</v>
      </c>
      <c r="P2631">
        <v>-0.99586980000000003</v>
      </c>
      <c r="Q2631">
        <v>2.1476329999999998E-2</v>
      </c>
      <c r="R2631">
        <v>8.8217770000000001E-2</v>
      </c>
      <c r="S2631">
        <v>-3.0303339999999999</v>
      </c>
      <c r="T2631">
        <v>-0.2460714</v>
      </c>
      <c r="U2631">
        <v>-0.1324158</v>
      </c>
      <c r="V2631">
        <v>7.0478669999999993E-2</v>
      </c>
      <c r="W2631">
        <v>2.6505049999999999E-2</v>
      </c>
      <c r="X2631">
        <v>0.99716110000000002</v>
      </c>
      <c r="Y2631">
        <v>-6.1033410000000003E-2</v>
      </c>
      <c r="Z2631">
        <v>-3.9039230000000001E-3</v>
      </c>
      <c r="AA2631">
        <v>0.99812809999999996</v>
      </c>
      <c r="AB2631">
        <v>42</v>
      </c>
      <c r="AC2631">
        <v>-13.194100000000001</v>
      </c>
      <c r="AD2631">
        <v>-1.10512364903529</v>
      </c>
      <c r="AE2631">
        <v>-0.60149999999998705</v>
      </c>
      <c r="AF2631">
        <v>-0.82861985837651897</v>
      </c>
      <c r="AG2631">
        <v>-1.10512364903529</v>
      </c>
      <c r="AH2631">
        <v>13.089777814024901</v>
      </c>
      <c r="AI2631">
        <v>94.8162410399881</v>
      </c>
      <c r="AJ2631">
        <v>93.622151333394896</v>
      </c>
      <c r="AK2631">
        <v>13.162453888614101</v>
      </c>
      <c r="AL2631">
        <v>88.481194647694295</v>
      </c>
      <c r="AM2631">
        <v>85.957096430672394</v>
      </c>
      <c r="AN2631">
        <v>1.00000000997684</v>
      </c>
    </row>
    <row r="2632" spans="1:40" x14ac:dyDescent="0.3">
      <c r="A2632" t="str">
        <f>"20200111153928386"</f>
        <v>20200111153928386</v>
      </c>
      <c r="B2632" t="str">
        <f>"1578728368384035"</f>
        <v>1578728368384035</v>
      </c>
      <c r="C2632" t="s">
        <v>40</v>
      </c>
      <c r="D2632">
        <v>5.4642179999999998</v>
      </c>
      <c r="E2632">
        <v>0.45237159999999899</v>
      </c>
      <c r="F2632" t="s">
        <v>42</v>
      </c>
      <c r="G2632">
        <v>-250.0823</v>
      </c>
      <c r="H2632" s="1">
        <v>-4.5473789999999999E-6</v>
      </c>
      <c r="I2632">
        <v>141.3039</v>
      </c>
      <c r="J2632">
        <v>-236.75739999999999</v>
      </c>
      <c r="K2632">
        <v>1.105205</v>
      </c>
      <c r="L2632">
        <v>141.92679999999999</v>
      </c>
      <c r="M2632">
        <v>-0.99987110000000001</v>
      </c>
      <c r="N2632">
        <v>0</v>
      </c>
      <c r="O2632">
        <v>1.5364589999999999E-2</v>
      </c>
      <c r="P2632">
        <v>-0.99608450000000004</v>
      </c>
      <c r="Q2632">
        <v>2.2955920000000001E-2</v>
      </c>
      <c r="R2632">
        <v>8.5375279999999998E-2</v>
      </c>
      <c r="S2632">
        <v>-3.0296780000000001</v>
      </c>
      <c r="T2632">
        <v>-0.2430717</v>
      </c>
      <c r="U2632">
        <v>-0.13557429999999901</v>
      </c>
      <c r="V2632">
        <v>6.9910079999999999E-2</v>
      </c>
      <c r="W2632">
        <v>2.8004149999999998E-2</v>
      </c>
      <c r="X2632">
        <v>0.99716009999999999</v>
      </c>
      <c r="Y2632">
        <v>-5.9807039999999999E-2</v>
      </c>
      <c r="Z2632">
        <v>-3.6243220000000001E-3</v>
      </c>
      <c r="AA2632">
        <v>0.99820339999999996</v>
      </c>
      <c r="AB2632">
        <v>42</v>
      </c>
      <c r="AC2632">
        <v>-13.3249</v>
      </c>
      <c r="AD2632">
        <v>-1.105209547379</v>
      </c>
      <c r="AE2632">
        <v>-0.62289999999998702</v>
      </c>
      <c r="AF2632">
        <v>-0.82191820308796304</v>
      </c>
      <c r="AG2632">
        <v>-1.105209547379</v>
      </c>
      <c r="AH2632">
        <v>13.222986247196999</v>
      </c>
      <c r="AI2632">
        <v>94.768655356178996</v>
      </c>
      <c r="AJ2632">
        <v>93.5568315548078</v>
      </c>
      <c r="AK2632">
        <v>13.2945253006546</v>
      </c>
      <c r="AL2632">
        <v>88.395270535895406</v>
      </c>
      <c r="AM2632">
        <v>85.989601881217794</v>
      </c>
      <c r="AN2632">
        <v>0.99999995836741795</v>
      </c>
    </row>
    <row r="2633" spans="1:40" x14ac:dyDescent="0.3">
      <c r="A2633" t="str">
        <f>"20200111153928409"</f>
        <v>20200111153928409</v>
      </c>
      <c r="B2633" t="str">
        <f>"1578728368403557"</f>
        <v>1578728368403557</v>
      </c>
      <c r="C2633" t="s">
        <v>40</v>
      </c>
      <c r="D2633">
        <v>5.4451539999999996</v>
      </c>
      <c r="E2633">
        <v>0.45311069999999998</v>
      </c>
      <c r="F2633" t="s">
        <v>42</v>
      </c>
      <c r="G2633">
        <v>-250.5616</v>
      </c>
      <c r="H2633" s="1">
        <v>-4.3882760000000002E-6</v>
      </c>
      <c r="I2633">
        <v>141.32640000000001</v>
      </c>
      <c r="J2633">
        <v>-237.1739</v>
      </c>
      <c r="K2633">
        <v>1.105289</v>
      </c>
      <c r="L2633">
        <v>141.93170000000001</v>
      </c>
      <c r="M2633">
        <v>-0.99990210000000002</v>
      </c>
      <c r="N2633">
        <v>0</v>
      </c>
      <c r="O2633">
        <v>1.3185819999999999E-2</v>
      </c>
      <c r="P2633">
        <v>-0.99629000000000001</v>
      </c>
      <c r="Q2633">
        <v>2.636109E-2</v>
      </c>
      <c r="R2633">
        <v>8.1924490000000003E-2</v>
      </c>
      <c r="S2633">
        <v>-3.0286559999999998</v>
      </c>
      <c r="T2633">
        <v>-0.2424848</v>
      </c>
      <c r="U2633">
        <v>-0.1316986</v>
      </c>
      <c r="V2633">
        <v>6.8606379999999995E-2</v>
      </c>
      <c r="W2633">
        <v>3.142346E-2</v>
      </c>
      <c r="X2633">
        <v>0.99714879999999995</v>
      </c>
      <c r="Y2633">
        <v>-5.6390620000000002E-2</v>
      </c>
      <c r="Z2633">
        <v>-3.3063350000000001E-3</v>
      </c>
      <c r="AA2633">
        <v>0.99840329999999999</v>
      </c>
      <c r="AB2633">
        <v>42</v>
      </c>
      <c r="AC2633">
        <v>-13.387699999999899</v>
      </c>
      <c r="AD2633">
        <v>-1.1052933882760001</v>
      </c>
      <c r="AE2633">
        <v>-0.60529999999999895</v>
      </c>
      <c r="AF2633">
        <v>-0.77649515424274695</v>
      </c>
      <c r="AG2633">
        <v>-1.1052933882760001</v>
      </c>
      <c r="AH2633">
        <v>13.288164436773499</v>
      </c>
      <c r="AI2633">
        <v>94.746787414842998</v>
      </c>
      <c r="AJ2633">
        <v>93.344281263632794</v>
      </c>
      <c r="AK2633">
        <v>13.356643751237099</v>
      </c>
      <c r="AL2633">
        <v>88.199271930077501</v>
      </c>
      <c r="AM2633">
        <v>86.064107019251296</v>
      </c>
      <c r="AN2633">
        <v>0.999999999278258</v>
      </c>
    </row>
    <row r="2634" spans="1:40" x14ac:dyDescent="0.3">
      <c r="A2634" t="str">
        <f>"20200111153928431"</f>
        <v>20200111153928431</v>
      </c>
      <c r="B2634" t="str">
        <f>"1578728368423076"</f>
        <v>1578728368423076</v>
      </c>
      <c r="C2634" t="s">
        <v>40</v>
      </c>
      <c r="D2634">
        <v>5.4862789999999997</v>
      </c>
      <c r="E2634">
        <v>0.43341390000000002</v>
      </c>
      <c r="F2634" t="s">
        <v>42</v>
      </c>
      <c r="G2634">
        <v>-251.48990000000001</v>
      </c>
      <c r="H2634" s="1">
        <v>-4.0652399999999999E-6</v>
      </c>
      <c r="I2634">
        <v>141.28620000000001</v>
      </c>
      <c r="J2634">
        <v>-237.59690000000001</v>
      </c>
      <c r="K2634">
        <v>1.1053550000000001</v>
      </c>
      <c r="L2634">
        <v>141.9358</v>
      </c>
      <c r="M2634">
        <v>-0.99992910000000002</v>
      </c>
      <c r="N2634">
        <v>0</v>
      </c>
      <c r="O2634">
        <v>1.0931679999999999E-2</v>
      </c>
      <c r="P2634">
        <v>-0.99650419999999995</v>
      </c>
      <c r="Q2634">
        <v>3.0092230000000001E-2</v>
      </c>
      <c r="R2634">
        <v>7.7934589999999998E-2</v>
      </c>
      <c r="S2634">
        <v>-3.0285639999999998</v>
      </c>
      <c r="T2634">
        <v>-0.23382749999999999</v>
      </c>
      <c r="U2634">
        <v>-0.1365509</v>
      </c>
      <c r="V2634">
        <v>6.683596E-2</v>
      </c>
      <c r="W2634">
        <v>3.5165040000000002E-2</v>
      </c>
      <c r="X2634">
        <v>0.99714409999999998</v>
      </c>
      <c r="Y2634">
        <v>-5.5761819999999997E-2</v>
      </c>
      <c r="Z2634">
        <v>-2.990702E-3</v>
      </c>
      <c r="AA2634">
        <v>0.99843959999999998</v>
      </c>
      <c r="AB2634">
        <v>42</v>
      </c>
      <c r="AC2634">
        <v>-13.892999999999899</v>
      </c>
      <c r="AD2634">
        <v>-1.1053590652399901</v>
      </c>
      <c r="AE2634">
        <v>-0.64959999999999196</v>
      </c>
      <c r="AF2634">
        <v>-0.79640632526177002</v>
      </c>
      <c r="AG2634">
        <v>-1.1053590652399901</v>
      </c>
      <c r="AH2634">
        <v>13.7979160618034</v>
      </c>
      <c r="AI2634">
        <v>94.5726384790037</v>
      </c>
      <c r="AJ2634">
        <v>93.303408199038998</v>
      </c>
      <c r="AK2634">
        <v>13.8650124178307</v>
      </c>
      <c r="AL2634">
        <v>87.984776126655206</v>
      </c>
      <c r="AM2634">
        <v>86.165349556139503</v>
      </c>
      <c r="AN2634">
        <v>0.99999999087606595</v>
      </c>
    </row>
    <row r="2635" spans="1:40" x14ac:dyDescent="0.3">
      <c r="A2635" t="str">
        <f>"20200111153928453"</f>
        <v>20200111153928453</v>
      </c>
      <c r="B2635" t="str">
        <f>"1578728368443573"</f>
        <v>1578728368443573</v>
      </c>
      <c r="C2635" t="s">
        <v>40</v>
      </c>
      <c r="D2635">
        <v>5.5361770000000003</v>
      </c>
      <c r="E2635">
        <v>0.4133484</v>
      </c>
      <c r="F2635" t="s">
        <v>42</v>
      </c>
      <c r="G2635">
        <v>-253.2928</v>
      </c>
      <c r="H2635" s="1">
        <v>-3.0582300000000002E-6</v>
      </c>
      <c r="I2635">
        <v>140.36240000000001</v>
      </c>
      <c r="J2635">
        <v>-238.0136</v>
      </c>
      <c r="K2635">
        <v>1.1053999999999999</v>
      </c>
      <c r="L2635">
        <v>141.93889999999999</v>
      </c>
      <c r="M2635">
        <v>-0.99995129999999999</v>
      </c>
      <c r="N2635">
        <v>0</v>
      </c>
      <c r="O2635">
        <v>8.6791790000000004E-3</v>
      </c>
      <c r="P2635">
        <v>-0.9968458</v>
      </c>
      <c r="Q2635">
        <v>3.0682879999999999E-2</v>
      </c>
      <c r="R2635">
        <v>7.3192569999999998E-2</v>
      </c>
      <c r="S2635">
        <v>-3.0408170000000001</v>
      </c>
      <c r="T2635">
        <v>-0.2141449</v>
      </c>
      <c r="U2635">
        <v>-0.30480960000000001</v>
      </c>
      <c r="V2635">
        <v>6.4329499999999998E-2</v>
      </c>
      <c r="W2635">
        <v>3.5760229999999997E-2</v>
      </c>
      <c r="X2635">
        <v>0.99728779999999995</v>
      </c>
      <c r="Y2635">
        <v>-0.1080854</v>
      </c>
      <c r="Z2635">
        <v>-4.400709E-3</v>
      </c>
      <c r="AA2635">
        <v>0.99413189999999996</v>
      </c>
      <c r="AB2635">
        <v>42</v>
      </c>
      <c r="AC2635">
        <v>-15.279199999999999</v>
      </c>
      <c r="AD2635">
        <v>-1.1054030582299901</v>
      </c>
      <c r="AE2635">
        <v>-1.57649999999998</v>
      </c>
      <c r="AF2635">
        <v>-1.7002475124259799</v>
      </c>
      <c r="AG2635">
        <v>-1.1054030582299901</v>
      </c>
      <c r="AH2635">
        <v>15.1862926972865</v>
      </c>
      <c r="AI2635">
        <v>94.137430636140195</v>
      </c>
      <c r="AJ2635">
        <v>96.388195282784693</v>
      </c>
      <c r="AK2635">
        <v>15.3211045101949</v>
      </c>
      <c r="AL2635">
        <v>87.950652841574197</v>
      </c>
      <c r="AM2635">
        <v>86.3092804585593</v>
      </c>
      <c r="AN2635">
        <v>1.0000000173243699</v>
      </c>
    </row>
    <row r="2636" spans="1:40" x14ac:dyDescent="0.3">
      <c r="A2636" t="str">
        <f>"20200111153928477"</f>
        <v>20200111153928477</v>
      </c>
      <c r="B2636" t="str">
        <f>"1578728368473828"</f>
        <v>1578728368473828</v>
      </c>
      <c r="C2636" t="s">
        <v>40</v>
      </c>
      <c r="D2636">
        <v>5.3673900000000003</v>
      </c>
      <c r="E2636">
        <v>0.40515060000000003</v>
      </c>
      <c r="F2636" t="s">
        <v>42</v>
      </c>
      <c r="G2636">
        <v>-257.27120000000002</v>
      </c>
      <c r="H2636" s="1">
        <v>-1.276016E-6</v>
      </c>
      <c r="I2636">
        <v>138.92240000000001</v>
      </c>
      <c r="J2636">
        <v>-238.45740000000001</v>
      </c>
      <c r="K2636">
        <v>1.1054330000000001</v>
      </c>
      <c r="L2636">
        <v>141.94110000000001</v>
      </c>
      <c r="M2636">
        <v>-0.99996940000000001</v>
      </c>
      <c r="N2636">
        <v>0</v>
      </c>
      <c r="O2636">
        <v>6.2545319999999897E-3</v>
      </c>
      <c r="P2636">
        <v>-0.99716110000000002</v>
      </c>
      <c r="Q2636">
        <v>2.95985E-2</v>
      </c>
      <c r="R2636">
        <v>6.9236000000000006E-2</v>
      </c>
      <c r="S2636">
        <v>-3.049957</v>
      </c>
      <c r="T2636">
        <v>-0.17507</v>
      </c>
      <c r="U2636">
        <v>-0.47773739999999998</v>
      </c>
      <c r="V2636">
        <v>6.2791269999999996E-2</v>
      </c>
      <c r="W2636">
        <v>3.4685149999999998E-2</v>
      </c>
      <c r="X2636">
        <v>0.99742379999999997</v>
      </c>
      <c r="Y2636">
        <v>-0.16065850000000001</v>
      </c>
      <c r="Z2636">
        <v>-4.9359180000000001E-3</v>
      </c>
      <c r="AA2636">
        <v>0.98699769999999998</v>
      </c>
      <c r="AB2636">
        <v>42</v>
      </c>
      <c r="AC2636">
        <v>-18.813800000000001</v>
      </c>
      <c r="AD2636">
        <v>-1.1054342760160001</v>
      </c>
      <c r="AE2636">
        <v>-3.0186999999999902</v>
      </c>
      <c r="AF2636">
        <v>-3.1257933291239501</v>
      </c>
      <c r="AG2636">
        <v>-1.1054342760160001</v>
      </c>
      <c r="AH2636">
        <v>18.731506870247198</v>
      </c>
      <c r="AI2636">
        <v>93.331415885890905</v>
      </c>
      <c r="AJ2636">
        <v>99.473855832563203</v>
      </c>
      <c r="AK2636">
        <v>19.022668543217101</v>
      </c>
      <c r="AL2636">
        <v>88.012288641188306</v>
      </c>
      <c r="AM2636">
        <v>86.397786639822201</v>
      </c>
      <c r="AN2636">
        <v>1.00000002001258</v>
      </c>
    </row>
    <row r="2637" spans="1:40" x14ac:dyDescent="0.3">
      <c r="A2637" t="str">
        <f>"20200111153928499"</f>
        <v>20200111153928499</v>
      </c>
      <c r="B2637" t="str">
        <f>"1578728368493348"</f>
        <v>1578728368493348</v>
      </c>
      <c r="C2637" t="s">
        <v>40</v>
      </c>
      <c r="D2637">
        <v>5.3292099999999998</v>
      </c>
      <c r="E2637">
        <v>0.40344540000000001</v>
      </c>
      <c r="F2637" t="s">
        <v>42</v>
      </c>
      <c r="G2637">
        <v>-255.52690000000001</v>
      </c>
      <c r="H2637" s="1">
        <v>-2.040246E-6</v>
      </c>
      <c r="I2637">
        <v>138.83260000000001</v>
      </c>
      <c r="J2637">
        <v>-238.88630000000001</v>
      </c>
      <c r="K2637">
        <v>1.105464</v>
      </c>
      <c r="L2637">
        <v>141.94229999999999</v>
      </c>
      <c r="M2637">
        <v>-0.99998120000000001</v>
      </c>
      <c r="N2637">
        <v>0</v>
      </c>
      <c r="O2637">
        <v>3.8963880000000002E-3</v>
      </c>
      <c r="P2637">
        <v>-0.99738079999999996</v>
      </c>
      <c r="Q2637">
        <v>2.8744140000000001E-2</v>
      </c>
      <c r="R2637">
        <v>6.6375699999999996E-2</v>
      </c>
      <c r="S2637">
        <v>-3.0530240000000002</v>
      </c>
      <c r="T2637">
        <v>-0.1977167</v>
      </c>
      <c r="U2637">
        <v>-0.55598449999999999</v>
      </c>
      <c r="V2637">
        <v>6.2284350000000002E-2</v>
      </c>
      <c r="W2637">
        <v>3.384355E-2</v>
      </c>
      <c r="X2637">
        <v>0.99748440000000005</v>
      </c>
      <c r="Y2637">
        <v>-0.18261659999999999</v>
      </c>
      <c r="Z2637">
        <v>-6.1090370000000003E-3</v>
      </c>
      <c r="AA2637">
        <v>0.98316519999999996</v>
      </c>
      <c r="AB2637">
        <v>43</v>
      </c>
      <c r="AC2637">
        <v>-16.640599999999999</v>
      </c>
      <c r="AD2637">
        <v>-1.1054660402459999</v>
      </c>
      <c r="AE2637">
        <v>-3.1096999999999699</v>
      </c>
      <c r="AF2637">
        <v>-3.1610358279017401</v>
      </c>
      <c r="AG2637">
        <v>-1.1054660402459999</v>
      </c>
      <c r="AH2637">
        <v>16.557750141100399</v>
      </c>
      <c r="AI2637">
        <v>93.752077726828801</v>
      </c>
      <c r="AJ2637">
        <v>100.808267001255</v>
      </c>
      <c r="AK2637">
        <v>16.8929953651365</v>
      </c>
      <c r="AL2637">
        <v>88.060536920856293</v>
      </c>
      <c r="AM2637">
        <v>86.427008527165995</v>
      </c>
      <c r="AN2637">
        <v>0.99999992718743902</v>
      </c>
    </row>
    <row r="2638" spans="1:40" x14ac:dyDescent="0.3">
      <c r="A2638" t="str">
        <f>"20200111153928519"</f>
        <v>20200111153928519</v>
      </c>
      <c r="B2638" t="str">
        <f>"1578728368513843"</f>
        <v>1578728368513843</v>
      </c>
      <c r="C2638" t="s">
        <v>40</v>
      </c>
      <c r="D2638">
        <v>5.3481420000000002</v>
      </c>
      <c r="E2638">
        <v>0.40272960000000002</v>
      </c>
      <c r="F2638" t="s">
        <v>42</v>
      </c>
      <c r="G2638">
        <v>-255.41309999999999</v>
      </c>
      <c r="H2638" s="1">
        <v>-2.0931299999999999E-6</v>
      </c>
      <c r="I2638">
        <v>138.8098</v>
      </c>
      <c r="J2638">
        <v>-239.27289999999999</v>
      </c>
      <c r="K2638">
        <v>1.105505</v>
      </c>
      <c r="L2638">
        <v>141.9425</v>
      </c>
      <c r="M2638">
        <v>-0.99998719999999996</v>
      </c>
      <c r="N2638">
        <v>0</v>
      </c>
      <c r="O2638">
        <v>1.7634180000000001E-3</v>
      </c>
      <c r="P2638">
        <v>-0.99757220000000002</v>
      </c>
      <c r="Q2638">
        <v>2.8976780000000001E-2</v>
      </c>
      <c r="R2638">
        <v>6.3327949999999994E-2</v>
      </c>
      <c r="S2638">
        <v>-3.0522770000000001</v>
      </c>
      <c r="T2638">
        <v>-0.20416490000000001</v>
      </c>
      <c r="U2638">
        <v>-0.57852169999999903</v>
      </c>
      <c r="V2638">
        <v>6.1359799999999999E-2</v>
      </c>
      <c r="W2638">
        <v>3.4084219999999998E-2</v>
      </c>
      <c r="X2638">
        <v>0.99753360000000002</v>
      </c>
      <c r="Y2638">
        <v>-0.1875462</v>
      </c>
      <c r="Z2638">
        <v>-6.327114E-3</v>
      </c>
      <c r="AA2638">
        <v>0.98223539999999998</v>
      </c>
      <c r="AB2638">
        <v>43</v>
      </c>
      <c r="AC2638">
        <v>-16.140199999999901</v>
      </c>
      <c r="AD2638">
        <v>-1.10550709313</v>
      </c>
      <c r="AE2638">
        <v>-3.1326999999999998</v>
      </c>
      <c r="AF2638">
        <v>-3.14692975178485</v>
      </c>
      <c r="AG2638">
        <v>-1.10550709313</v>
      </c>
      <c r="AH2638">
        <v>16.062032362314898</v>
      </c>
      <c r="AI2638">
        <v>93.864071246037696</v>
      </c>
      <c r="AJ2638">
        <v>101.08517503052499</v>
      </c>
      <c r="AK2638">
        <v>16.404700436267699</v>
      </c>
      <c r="AL2638">
        <v>88.046739767882201</v>
      </c>
      <c r="AM2638">
        <v>86.480084895422806</v>
      </c>
      <c r="AN2638">
        <v>1.0000000211190001</v>
      </c>
    </row>
    <row r="2639" spans="1:40" x14ac:dyDescent="0.3">
      <c r="A2639" t="str">
        <f>"20200111153928542"</f>
        <v>20200111153928542</v>
      </c>
      <c r="B2639" t="str">
        <f>"1578728368533364"</f>
        <v>1578728368533364</v>
      </c>
      <c r="C2639" t="s">
        <v>40</v>
      </c>
      <c r="D2639">
        <v>5.37704</v>
      </c>
      <c r="E2639">
        <v>0.40244479999999999</v>
      </c>
      <c r="F2639" t="s">
        <v>42</v>
      </c>
      <c r="G2639">
        <v>-255.6788</v>
      </c>
      <c r="H2639" s="1">
        <v>-1.9895779999999998E-6</v>
      </c>
      <c r="I2639">
        <v>138.751</v>
      </c>
      <c r="J2639">
        <v>-239.70959999999999</v>
      </c>
      <c r="K2639">
        <v>1.105553</v>
      </c>
      <c r="L2639">
        <v>141.9417</v>
      </c>
      <c r="M2639">
        <v>-0.99998860000000001</v>
      </c>
      <c r="N2639">
        <v>0</v>
      </c>
      <c r="O2639">
        <v>-6.4631689999999995E-4</v>
      </c>
      <c r="P2639">
        <v>-0.99760760000000004</v>
      </c>
      <c r="Q2639">
        <v>3.1357929999999999E-2</v>
      </c>
      <c r="R2639">
        <v>6.1611390000000002E-2</v>
      </c>
      <c r="S2639">
        <v>-3.0509490000000001</v>
      </c>
      <c r="T2639">
        <v>-0.20558860000000001</v>
      </c>
      <c r="U2639">
        <v>-0.59350590000000003</v>
      </c>
      <c r="V2639">
        <v>6.2029470000000003E-2</v>
      </c>
      <c r="W2639">
        <v>3.6484089999999997E-2</v>
      </c>
      <c r="X2639">
        <v>0.9974073</v>
      </c>
      <c r="Y2639">
        <v>-0.18990399999999999</v>
      </c>
      <c r="Z2639">
        <v>-6.2888579999999996E-3</v>
      </c>
      <c r="AA2639">
        <v>0.9817825</v>
      </c>
      <c r="AB2639">
        <v>43</v>
      </c>
      <c r="AC2639">
        <v>-15.969200000000001</v>
      </c>
      <c r="AD2639">
        <v>-1.1055549895779999</v>
      </c>
      <c r="AE2639">
        <v>-3.1906999999999899</v>
      </c>
      <c r="AF2639">
        <v>-3.1657873716216001</v>
      </c>
      <c r="AG2639">
        <v>-1.1055549895779999</v>
      </c>
      <c r="AH2639">
        <v>15.897987234197799</v>
      </c>
      <c r="AI2639">
        <v>93.901616324476294</v>
      </c>
      <c r="AJ2639">
        <v>101.262067740232</v>
      </c>
      <c r="AK2639">
        <v>16.247783221597199</v>
      </c>
      <c r="AL2639">
        <v>87.909151666840501</v>
      </c>
      <c r="AM2639">
        <v>86.441317916559399</v>
      </c>
      <c r="AN2639">
        <v>1.0000000330324399</v>
      </c>
    </row>
    <row r="2640" spans="1:40" x14ac:dyDescent="0.3">
      <c r="A2640" t="str">
        <f>"20200111153928564"</f>
        <v>20200111153928564</v>
      </c>
      <c r="B2640" t="str">
        <f>"1578728368553860"</f>
        <v>1578728368553860</v>
      </c>
      <c r="C2640" t="s">
        <v>40</v>
      </c>
      <c r="D2640">
        <v>5.3181510000000003</v>
      </c>
      <c r="E2640">
        <v>0.40229589999999998</v>
      </c>
      <c r="F2640" t="s">
        <v>42</v>
      </c>
      <c r="G2640">
        <v>-256.98849999999999</v>
      </c>
      <c r="H2640" s="1">
        <v>-1.464864E-6</v>
      </c>
      <c r="I2640">
        <v>138.54150000000001</v>
      </c>
      <c r="J2640">
        <v>-240.13650000000001</v>
      </c>
      <c r="K2640">
        <v>1.1055919999999999</v>
      </c>
      <c r="L2640">
        <v>141.94</v>
      </c>
      <c r="M2640">
        <v>-0.99998430000000005</v>
      </c>
      <c r="N2640">
        <v>0</v>
      </c>
      <c r="O2640">
        <v>-2.993257E-3</v>
      </c>
      <c r="P2640">
        <v>-0.99748559999999997</v>
      </c>
      <c r="Q2640">
        <v>3.371217E-2</v>
      </c>
      <c r="R2640">
        <v>6.2340670000000001E-2</v>
      </c>
      <c r="S2640">
        <v>-3.0503999999999998</v>
      </c>
      <c r="T2640">
        <v>-0.19517390000000001</v>
      </c>
      <c r="U2640">
        <v>-0.60025019999999996</v>
      </c>
      <c r="V2640">
        <v>6.5082100000000004E-2</v>
      </c>
      <c r="W2640">
        <v>3.8869910000000001E-2</v>
      </c>
      <c r="X2640">
        <v>0.99712259999999997</v>
      </c>
      <c r="Y2640">
        <v>-0.18976950000000001</v>
      </c>
      <c r="Z2640">
        <v>-5.8178889999999997E-3</v>
      </c>
      <c r="AA2640">
        <v>0.9818114</v>
      </c>
      <c r="AB2640">
        <v>43</v>
      </c>
      <c r="AC2640">
        <v>-16.851999999999901</v>
      </c>
      <c r="AD2640">
        <v>-1.105593464864</v>
      </c>
      <c r="AE2640">
        <v>-3.3984999999999799</v>
      </c>
      <c r="AF2640">
        <v>-3.3342515504794199</v>
      </c>
      <c r="AG2640">
        <v>-1.105593464864</v>
      </c>
      <c r="AH2640">
        <v>16.792643698599701</v>
      </c>
      <c r="AI2640">
        <v>93.694877779505902</v>
      </c>
      <c r="AJ2640">
        <v>101.230263522287</v>
      </c>
      <c r="AK2640">
        <v>17.156119978000401</v>
      </c>
      <c r="AL2640">
        <v>87.772357052574705</v>
      </c>
      <c r="AM2640">
        <v>86.265606790965407</v>
      </c>
      <c r="AN2640">
        <v>1.00000001453728</v>
      </c>
    </row>
    <row r="2641" spans="1:40" x14ac:dyDescent="0.3">
      <c r="A2641" t="str">
        <f>"20200111153928587"</f>
        <v>20200111153928587</v>
      </c>
      <c r="B2641" t="str">
        <f>"1578728368583140"</f>
        <v>1578728368583140</v>
      </c>
      <c r="C2641" t="s">
        <v>40</v>
      </c>
      <c r="D2641">
        <v>5.3224850000000004</v>
      </c>
      <c r="E2641">
        <v>0.40246920000000003</v>
      </c>
      <c r="F2641" t="s">
        <v>42</v>
      </c>
      <c r="G2641">
        <v>-258.09800000000001</v>
      </c>
      <c r="H2641" s="1">
        <v>-1.012499E-6</v>
      </c>
      <c r="I2641">
        <v>138.4084</v>
      </c>
      <c r="J2641">
        <v>-240.572</v>
      </c>
      <c r="K2641">
        <v>1.1056159999999999</v>
      </c>
      <c r="L2641">
        <v>141.93719999999999</v>
      </c>
      <c r="M2641">
        <v>-0.99997429999999998</v>
      </c>
      <c r="N2641">
        <v>0</v>
      </c>
      <c r="O2641">
        <v>-5.3633209999999999E-3</v>
      </c>
      <c r="P2641">
        <v>-0.99736369999999996</v>
      </c>
      <c r="Q2641">
        <v>3.5449979999999999E-2</v>
      </c>
      <c r="R2641">
        <v>6.3315880000000005E-2</v>
      </c>
      <c r="S2641">
        <v>-3.0514070000000002</v>
      </c>
      <c r="T2641">
        <v>-0.18782550000000001</v>
      </c>
      <c r="U2641">
        <v>-0.59994510000000001</v>
      </c>
      <c r="V2641">
        <v>6.8407190000000007E-2</v>
      </c>
      <c r="W2641">
        <v>4.0639960000000003E-2</v>
      </c>
      <c r="X2641">
        <v>0.99682939999999998</v>
      </c>
      <c r="Y2641">
        <v>-0.1873223</v>
      </c>
      <c r="Z2641">
        <v>-5.3786199999999998E-3</v>
      </c>
      <c r="AA2641">
        <v>0.98228380000000004</v>
      </c>
      <c r="AB2641">
        <v>43</v>
      </c>
      <c r="AC2641">
        <v>-17.526</v>
      </c>
      <c r="AD2641">
        <v>-1.1056170124989999</v>
      </c>
      <c r="AE2641">
        <v>-3.52879999999998</v>
      </c>
      <c r="AF2641">
        <v>-3.42166415615314</v>
      </c>
      <c r="AG2641">
        <v>-1.1056170124989999</v>
      </c>
      <c r="AH2641">
        <v>17.4778287013301</v>
      </c>
      <c r="AI2641">
        <v>93.552351286341107</v>
      </c>
      <c r="AJ2641">
        <v>101.076798026156</v>
      </c>
      <c r="AK2641">
        <v>17.8438972954023</v>
      </c>
      <c r="AL2641">
        <v>87.670860378318295</v>
      </c>
      <c r="AM2641">
        <v>86.074245088128706</v>
      </c>
      <c r="AN2641">
        <v>1.00000000134842</v>
      </c>
    </row>
    <row r="2642" spans="1:40" x14ac:dyDescent="0.3">
      <c r="A2642" t="str">
        <f>"20200111153928609"</f>
        <v>20200111153928609</v>
      </c>
      <c r="B2642" t="str">
        <f>"1578728368603635"</f>
        <v>1578728368603635</v>
      </c>
      <c r="C2642" t="s">
        <v>40</v>
      </c>
      <c r="D2642">
        <v>5.3028399999999998</v>
      </c>
      <c r="E2642">
        <v>0.4024973</v>
      </c>
      <c r="F2642" t="s">
        <v>42</v>
      </c>
      <c r="G2642">
        <v>-258.9126</v>
      </c>
      <c r="H2642" s="1">
        <v>-6.9152349999999998E-7</v>
      </c>
      <c r="I2642">
        <v>138.35560000000001</v>
      </c>
      <c r="J2642">
        <v>-240.99359999999999</v>
      </c>
      <c r="K2642">
        <v>1.105618</v>
      </c>
      <c r="L2642">
        <v>141.93360000000001</v>
      </c>
      <c r="M2642">
        <v>-0.99995959999999995</v>
      </c>
      <c r="N2642">
        <v>0</v>
      </c>
      <c r="O2642">
        <v>-7.6212729999999996E-3</v>
      </c>
      <c r="P2642">
        <v>-0.99739219999999895</v>
      </c>
      <c r="Q2642">
        <v>3.6299999999999999E-2</v>
      </c>
      <c r="R2642">
        <v>6.2379080000000003E-2</v>
      </c>
      <c r="S2642">
        <v>-3.0523069999999999</v>
      </c>
      <c r="T2642">
        <v>-0.18400130000000001</v>
      </c>
      <c r="U2642">
        <v>-0.59605410000000003</v>
      </c>
      <c r="V2642">
        <v>6.9715750000000007E-2</v>
      </c>
      <c r="W2642">
        <v>4.1506590000000003E-2</v>
      </c>
      <c r="X2642">
        <v>0.99670300000000001</v>
      </c>
      <c r="Y2642">
        <v>-0.1838659</v>
      </c>
      <c r="Z2642">
        <v>-5.0306259999999998E-3</v>
      </c>
      <c r="AA2642">
        <v>0.98293850000000005</v>
      </c>
      <c r="AB2642">
        <v>43</v>
      </c>
      <c r="AC2642">
        <v>-17.919</v>
      </c>
      <c r="AD2642">
        <v>-1.1056186915235</v>
      </c>
      <c r="AE2642">
        <v>-3.5779999999999998</v>
      </c>
      <c r="AF2642">
        <v>-3.4287760727485801</v>
      </c>
      <c r="AG2642">
        <v>-1.1056186915235</v>
      </c>
      <c r="AH2642">
        <v>17.880288439823602</v>
      </c>
      <c r="AI2642">
        <v>93.475190503440501</v>
      </c>
      <c r="AJ2642">
        <v>100.855423258095</v>
      </c>
      <c r="AK2642">
        <v>18.239616573255802</v>
      </c>
      <c r="AL2642">
        <v>87.621164139533803</v>
      </c>
      <c r="AM2642">
        <v>85.9988852502307</v>
      </c>
      <c r="AN2642">
        <v>0.99999997651024497</v>
      </c>
    </row>
    <row r="2643" spans="1:40" x14ac:dyDescent="0.3">
      <c r="A2643" t="str">
        <f>"20200111153928632"</f>
        <v>20200111153928632</v>
      </c>
      <c r="B2643" t="str">
        <f>"1578728368623155"</f>
        <v>1578728368623155</v>
      </c>
      <c r="C2643" t="s">
        <v>40</v>
      </c>
      <c r="D2643">
        <v>5.3209619999999997</v>
      </c>
      <c r="E2643">
        <v>0.4024201</v>
      </c>
      <c r="F2643" t="s">
        <v>42</v>
      </c>
      <c r="G2643">
        <v>-259.178</v>
      </c>
      <c r="H2643" s="1">
        <v>-5.9812799999999997E-7</v>
      </c>
      <c r="I2643">
        <v>138.3672</v>
      </c>
      <c r="J2643">
        <v>-241.4545</v>
      </c>
      <c r="K2643">
        <v>1.1056079999999999</v>
      </c>
      <c r="L2643">
        <v>141.92869999999999</v>
      </c>
      <c r="M2643">
        <v>-0.99993810000000005</v>
      </c>
      <c r="N2643">
        <v>0</v>
      </c>
      <c r="O2643">
        <v>-1.0037000000000001E-2</v>
      </c>
      <c r="P2643">
        <v>-0.99746659999999998</v>
      </c>
      <c r="Q2643">
        <v>3.738209E-2</v>
      </c>
      <c r="R2643">
        <v>6.0524809999999998E-2</v>
      </c>
      <c r="S2643">
        <v>-3.0520320000000001</v>
      </c>
      <c r="T2643">
        <v>-0.18556510000000001</v>
      </c>
      <c r="U2643">
        <v>-0.59857179999999999</v>
      </c>
      <c r="V2643">
        <v>7.026454E-2</v>
      </c>
      <c r="W2643">
        <v>4.2599959999999999E-2</v>
      </c>
      <c r="X2643">
        <v>0.99661829999999996</v>
      </c>
      <c r="Y2643">
        <v>-0.1822906</v>
      </c>
      <c r="Z2643">
        <v>-4.8806650000000002E-3</v>
      </c>
      <c r="AA2643">
        <v>0.98323260000000001</v>
      </c>
      <c r="AB2643">
        <v>43</v>
      </c>
      <c r="AC2643">
        <v>-17.723500000000001</v>
      </c>
      <c r="AD2643">
        <v>-1.1056085981279999</v>
      </c>
      <c r="AE2643">
        <v>-3.5614999999999899</v>
      </c>
      <c r="AF2643">
        <v>-3.37081974272213</v>
      </c>
      <c r="AG2643">
        <v>-1.1056085981279999</v>
      </c>
      <c r="AH2643">
        <v>17.692179520816801</v>
      </c>
      <c r="AI2643">
        <v>93.512815032520393</v>
      </c>
      <c r="AJ2643">
        <v>100.78705038639001</v>
      </c>
      <c r="AK2643">
        <v>18.044334631872399</v>
      </c>
      <c r="AL2643">
        <v>87.558463114181706</v>
      </c>
      <c r="AM2643">
        <v>85.967151106260701</v>
      </c>
      <c r="AN2643">
        <v>0.99999994903415002</v>
      </c>
    </row>
    <row r="2644" spans="1:40" x14ac:dyDescent="0.3">
      <c r="A2644" t="str">
        <f>"20200111153928653"</f>
        <v>20200111153928653</v>
      </c>
      <c r="B2644" t="str">
        <f>"1578728368643651"</f>
        <v>1578728368643651</v>
      </c>
      <c r="C2644" t="s">
        <v>40</v>
      </c>
      <c r="D2644">
        <v>5.6303939999999999</v>
      </c>
      <c r="E2644">
        <v>0.402563</v>
      </c>
      <c r="F2644" t="s">
        <v>42</v>
      </c>
      <c r="G2644">
        <v>-259.71129999999999</v>
      </c>
      <c r="H2644" s="1">
        <v>-4.3188070000000002E-7</v>
      </c>
      <c r="I2644">
        <v>138.3099</v>
      </c>
      <c r="J2644">
        <v>-241.87559999999999</v>
      </c>
      <c r="K2644">
        <v>1.1055839999999999</v>
      </c>
      <c r="L2644">
        <v>141.92320000000001</v>
      </c>
      <c r="M2644">
        <v>-0.99991439999999998</v>
      </c>
      <c r="N2644">
        <v>0</v>
      </c>
      <c r="O2644">
        <v>-1.2182180000000001E-2</v>
      </c>
      <c r="P2644">
        <v>-0.99753890000000001</v>
      </c>
      <c r="Q2644">
        <v>3.8170179999999998E-2</v>
      </c>
      <c r="R2644">
        <v>5.88196E-2</v>
      </c>
      <c r="S2644">
        <v>-3.0512079999999999</v>
      </c>
      <c r="T2644">
        <v>-0.18477759999999999</v>
      </c>
      <c r="U2644">
        <v>-0.60478209999999999</v>
      </c>
      <c r="V2644">
        <v>7.0695729999999998E-2</v>
      </c>
      <c r="W2644">
        <v>4.3395059999999999E-2</v>
      </c>
      <c r="X2644">
        <v>0.99655349999999998</v>
      </c>
      <c r="Y2644">
        <v>-0.1821644</v>
      </c>
      <c r="Z2644">
        <v>-4.7280789999999996E-3</v>
      </c>
      <c r="AA2644">
        <v>0.98325669999999998</v>
      </c>
      <c r="AB2644">
        <v>43</v>
      </c>
      <c r="AC2644">
        <v>-17.835699999999999</v>
      </c>
      <c r="AD2644">
        <v>-1.1055844318807</v>
      </c>
      <c r="AE2644">
        <v>-3.6133000000000002</v>
      </c>
      <c r="AF2644">
        <v>-3.3832643068260402</v>
      </c>
      <c r="AG2644">
        <v>-1.1055844318807</v>
      </c>
      <c r="AH2644">
        <v>17.8126496704038</v>
      </c>
      <c r="AI2644">
        <v>93.489417007698506</v>
      </c>
      <c r="AJ2644">
        <v>100.754430609872</v>
      </c>
      <c r="AK2644">
        <v>18.164781380088101</v>
      </c>
      <c r="AL2644">
        <v>87.512865063563694</v>
      </c>
      <c r="AM2644">
        <v>85.942222314094494</v>
      </c>
      <c r="AN2644">
        <v>0.99999994791744096</v>
      </c>
    </row>
    <row r="2645" spans="1:40" x14ac:dyDescent="0.3">
      <c r="A2645" t="str">
        <f>"20200111153928677"</f>
        <v>20200111153928677</v>
      </c>
      <c r="B2645" t="str">
        <f>"1578728368673908"</f>
        <v>1578728368673908</v>
      </c>
      <c r="C2645" t="s">
        <v>40</v>
      </c>
      <c r="D2645">
        <v>5.4239699999999997</v>
      </c>
      <c r="E2645">
        <v>0.45388220000000001</v>
      </c>
      <c r="F2645" t="s">
        <v>42</v>
      </c>
      <c r="G2645">
        <v>-260.28250000000003</v>
      </c>
      <c r="H2645" s="1">
        <v>-4.3936429999999999E-6</v>
      </c>
      <c r="I2645">
        <v>138.24879999999999</v>
      </c>
      <c r="J2645">
        <v>-242.3245</v>
      </c>
      <c r="K2645">
        <v>1.1055410000000001</v>
      </c>
      <c r="L2645">
        <v>141.91640000000001</v>
      </c>
      <c r="M2645">
        <v>-0.99988500000000002</v>
      </c>
      <c r="N2645">
        <v>0</v>
      </c>
      <c r="O2645">
        <v>-1.438737E-2</v>
      </c>
      <c r="P2645">
        <v>-0.99773029999999996</v>
      </c>
      <c r="Q2645">
        <v>3.7691120000000002E-2</v>
      </c>
      <c r="R2645">
        <v>5.5801429999999999E-2</v>
      </c>
      <c r="S2645">
        <v>-3.0502929999999999</v>
      </c>
      <c r="T2645">
        <v>-0.18321299999999999</v>
      </c>
      <c r="U2645">
        <v>-0.608886699999999</v>
      </c>
      <c r="V2645">
        <v>6.9885290000000003E-2</v>
      </c>
      <c r="W2645">
        <v>4.2913430000000002E-2</v>
      </c>
      <c r="X2645">
        <v>0.99663159999999895</v>
      </c>
      <c r="Y2645">
        <v>-0.1813353</v>
      </c>
      <c r="Z2645">
        <v>-4.5332979999999998E-3</v>
      </c>
      <c r="AA2645">
        <v>0.98341089999999998</v>
      </c>
      <c r="AB2645">
        <v>44</v>
      </c>
      <c r="AC2645">
        <v>-17.957999999999998</v>
      </c>
      <c r="AD2645">
        <v>-1.105545393643</v>
      </c>
      <c r="AE2645">
        <v>-3.6676000000000202</v>
      </c>
      <c r="AF2645">
        <v>-3.3964918047671202</v>
      </c>
      <c r="AG2645">
        <v>-1.105545393643</v>
      </c>
      <c r="AH2645">
        <v>17.943625937674401</v>
      </c>
      <c r="AI2645">
        <v>93.464297503778695</v>
      </c>
      <c r="AJ2645">
        <v>100.718523188956</v>
      </c>
      <c r="AK2645">
        <v>18.295685256049801</v>
      </c>
      <c r="AL2645">
        <v>87.540486367677801</v>
      </c>
      <c r="AM2645">
        <v>85.988900354254596</v>
      </c>
      <c r="AN2645">
        <v>1.0000000311756501</v>
      </c>
    </row>
    <row r="2646" spans="1:40" x14ac:dyDescent="0.3">
      <c r="A2646" t="str">
        <f>"20200111153928699"</f>
        <v>20200111153928699</v>
      </c>
      <c r="B2646" t="str">
        <f>"1578728368693430"</f>
        <v>1578728368693430</v>
      </c>
      <c r="C2646" t="s">
        <v>40</v>
      </c>
      <c r="D2646">
        <v>5.4313379999999896</v>
      </c>
      <c r="E2646">
        <v>0.45550309999999999</v>
      </c>
      <c r="F2646" t="s">
        <v>41</v>
      </c>
      <c r="G2646">
        <v>-243.39160000000001</v>
      </c>
      <c r="H2646">
        <v>1.015002</v>
      </c>
      <c r="I2646">
        <v>141.84219999999999</v>
      </c>
      <c r="J2646">
        <v>-242.7543</v>
      </c>
      <c r="K2646">
        <v>1.1054870000000001</v>
      </c>
      <c r="L2646">
        <v>141.90899999999999</v>
      </c>
      <c r="M2646">
        <v>-0.99985360000000001</v>
      </c>
      <c r="N2646">
        <v>0</v>
      </c>
      <c r="O2646">
        <v>-1.6417190000000002E-2</v>
      </c>
      <c r="P2646">
        <v>-0.99794950000000004</v>
      </c>
      <c r="Q2646">
        <v>3.6532429999999998E-2</v>
      </c>
      <c r="R2646">
        <v>5.255282E-2</v>
      </c>
      <c r="S2646">
        <v>-3.0283359999999999</v>
      </c>
      <c r="T2646">
        <v>-0.257073</v>
      </c>
      <c r="U2646">
        <v>-0.2110291</v>
      </c>
      <c r="V2646">
        <v>6.8675669999999994E-2</v>
      </c>
      <c r="W2646">
        <v>4.1748609999999998E-2</v>
      </c>
      <c r="X2646">
        <v>0.99676509999999996</v>
      </c>
      <c r="Y2646">
        <v>-5.299831E-2</v>
      </c>
      <c r="Z2646">
        <v>-8.535134E-4</v>
      </c>
      <c r="AA2646">
        <v>0.99859419999999999</v>
      </c>
      <c r="AB2646">
        <v>44</v>
      </c>
      <c r="AC2646">
        <v>-0.63730000000000997</v>
      </c>
      <c r="AD2646">
        <v>-9.0485000000000093E-2</v>
      </c>
      <c r="AE2646">
        <v>-6.6800000000000595E-2</v>
      </c>
      <c r="AF2646">
        <v>-5.5226987365721701E-2</v>
      </c>
      <c r="AG2646">
        <v>-9.0485000000000093E-2</v>
      </c>
      <c r="AH2646">
        <v>0.62583185248048701</v>
      </c>
      <c r="AI2646">
        <v>98.195603355803897</v>
      </c>
      <c r="AJ2646">
        <v>95.043044262086696</v>
      </c>
      <c r="AK2646">
        <v>0.63474645563220899</v>
      </c>
      <c r="AL2646">
        <v>87.607285391208904</v>
      </c>
      <c r="AM2646">
        <v>86.058632570387203</v>
      </c>
      <c r="AN2646">
        <v>0.999999979332445</v>
      </c>
    </row>
    <row r="2647" spans="1:40" x14ac:dyDescent="0.3">
      <c r="A2647" t="str">
        <f>"20200111153928721"</f>
        <v>20200111153928721</v>
      </c>
      <c r="B2647" t="str">
        <f>"1578728368713924"</f>
        <v>1578728368713924</v>
      </c>
      <c r="C2647" t="s">
        <v>40</v>
      </c>
      <c r="D2647">
        <v>5.4683419999999998</v>
      </c>
      <c r="E2647">
        <v>0.45602209999999899</v>
      </c>
      <c r="F2647" t="s">
        <v>41</v>
      </c>
      <c r="G2647">
        <v>-243.78280000000001</v>
      </c>
      <c r="H2647">
        <v>1.018807</v>
      </c>
      <c r="I2647">
        <v>141.83850000000001</v>
      </c>
      <c r="J2647">
        <v>-243.20519999999999</v>
      </c>
      <c r="K2647">
        <v>1.1054280000000001</v>
      </c>
      <c r="L2647">
        <v>141.90039999999999</v>
      </c>
      <c r="M2647">
        <v>-0.99981799999999998</v>
      </c>
      <c r="N2647">
        <v>0</v>
      </c>
      <c r="O2647">
        <v>-1.846853E-2</v>
      </c>
      <c r="P2647">
        <v>-0.99816269999999996</v>
      </c>
      <c r="Q2647">
        <v>3.5346160000000001E-2</v>
      </c>
      <c r="R2647">
        <v>4.9218329999999998E-2</v>
      </c>
      <c r="S2647">
        <v>-3.0264280000000001</v>
      </c>
      <c r="T2647">
        <v>-0.2550885</v>
      </c>
      <c r="U2647">
        <v>-0.20755000000000001</v>
      </c>
      <c r="V2647">
        <v>6.7403389999999994E-2</v>
      </c>
      <c r="W2647">
        <v>4.0554670000000001E-2</v>
      </c>
      <c r="X2647">
        <v>0.99690129999999999</v>
      </c>
      <c r="Y2647">
        <v>-4.9870579999999998E-2</v>
      </c>
      <c r="Z2647">
        <v>-5.4375729999999996E-4</v>
      </c>
      <c r="AA2647">
        <v>0.99875550000000002</v>
      </c>
      <c r="AB2647">
        <v>44</v>
      </c>
      <c r="AC2647">
        <v>-0.57760000000001799</v>
      </c>
      <c r="AD2647">
        <v>-8.6621000000000004E-2</v>
      </c>
      <c r="AE2647">
        <v>-6.1899999999979999E-2</v>
      </c>
      <c r="AF2647">
        <v>-5.0107762744415203E-2</v>
      </c>
      <c r="AG2647">
        <v>-8.6621000000000004E-2</v>
      </c>
      <c r="AH2647">
        <v>0.56605851837314003</v>
      </c>
      <c r="AI2647">
        <v>98.666813214219204</v>
      </c>
      <c r="AJ2647">
        <v>95.058663475091393</v>
      </c>
      <c r="AK2647">
        <v>0.57483583026029705</v>
      </c>
      <c r="AL2647">
        <v>87.675751280721599</v>
      </c>
      <c r="AM2647">
        <v>86.131953165243701</v>
      </c>
      <c r="AN2647">
        <v>1.0000000500919899</v>
      </c>
    </row>
    <row r="2648" spans="1:40" x14ac:dyDescent="0.3">
      <c r="A2648" t="str">
        <f>"20200111153928766"</f>
        <v>20200111153928766</v>
      </c>
      <c r="B2648" t="str">
        <f>"1578728368763701"</f>
        <v>1578728368763701</v>
      </c>
      <c r="C2648" t="s">
        <v>40</v>
      </c>
      <c r="D2648">
        <v>5.4140480000000002</v>
      </c>
      <c r="E2648">
        <v>0.45706049999999998</v>
      </c>
      <c r="F2648" t="s">
        <v>42</v>
      </c>
      <c r="G2648">
        <v>-256.29000000000002</v>
      </c>
      <c r="H2648" s="1">
        <v>-1.9360600000000001E-6</v>
      </c>
      <c r="I2648">
        <v>140.97730000000001</v>
      </c>
      <c r="J2648">
        <v>-244.08090000000001</v>
      </c>
      <c r="K2648">
        <v>1.1053139999999999</v>
      </c>
      <c r="L2648">
        <v>141.88120000000001</v>
      </c>
      <c r="M2648">
        <v>-0.99974169999999996</v>
      </c>
      <c r="N2648">
        <v>0</v>
      </c>
      <c r="O2648">
        <v>-2.22148E-2</v>
      </c>
      <c r="P2648">
        <v>-0.99844010000000005</v>
      </c>
      <c r="Q2648">
        <v>3.4988180000000001E-2</v>
      </c>
      <c r="R2648">
        <v>4.351406E-2</v>
      </c>
      <c r="S2648">
        <v>-3.0251160000000001</v>
      </c>
      <c r="T2648">
        <v>-0.25556950000000001</v>
      </c>
      <c r="U2648">
        <v>-0.21339420000000001</v>
      </c>
      <c r="V2648">
        <v>6.5454750000000006E-2</v>
      </c>
      <c r="W2648">
        <v>4.0185899999999997E-2</v>
      </c>
      <c r="X2648">
        <v>0.99704599999999999</v>
      </c>
      <c r="Y2648">
        <v>-4.8096899999999998E-2</v>
      </c>
      <c r="Z2648">
        <v>-1.5490489999999999E-4</v>
      </c>
      <c r="AA2648">
        <v>0.99884269999999997</v>
      </c>
      <c r="AB2648">
        <v>44</v>
      </c>
      <c r="AC2648">
        <v>-12.209099999999999</v>
      </c>
      <c r="AD2648">
        <v>-1.10531593606</v>
      </c>
      <c r="AE2648">
        <v>-0.90389999999999204</v>
      </c>
      <c r="AF2648">
        <v>-0.62733742119717495</v>
      </c>
      <c r="AG2648">
        <v>-1.10531593606</v>
      </c>
      <c r="AH2648">
        <v>12.1273127252142</v>
      </c>
      <c r="AI2648">
        <v>95.200787722870103</v>
      </c>
      <c r="AJ2648">
        <v>92.961231218242801</v>
      </c>
      <c r="AK2648">
        <v>12.193727465122601</v>
      </c>
      <c r="AL2648">
        <v>87.696897318031603</v>
      </c>
      <c r="AM2648">
        <v>86.243997545341998</v>
      </c>
      <c r="AN2648">
        <v>0.99999997848618605</v>
      </c>
    </row>
    <row r="2649" spans="1:40" x14ac:dyDescent="0.3">
      <c r="A2649" t="str">
        <f>"20200111153928788"</f>
        <v>20200111153928788</v>
      </c>
      <c r="B2649" t="str">
        <f>"1578728368783219"</f>
        <v>1578728368783219</v>
      </c>
      <c r="C2649" t="s">
        <v>40</v>
      </c>
      <c r="D2649">
        <v>5.4318499999999998</v>
      </c>
      <c r="E2649">
        <v>0.45723439999999999</v>
      </c>
      <c r="F2649" t="s">
        <v>42</v>
      </c>
      <c r="G2649">
        <v>-257.51179999999999</v>
      </c>
      <c r="H2649" s="1">
        <v>-1.389623E-6</v>
      </c>
      <c r="I2649">
        <v>140.89359999999999</v>
      </c>
      <c r="J2649">
        <v>-244.50909999999999</v>
      </c>
      <c r="K2649">
        <v>1.105251</v>
      </c>
      <c r="L2649">
        <v>141.8708</v>
      </c>
      <c r="M2649">
        <v>-0.99970190000000003</v>
      </c>
      <c r="N2649">
        <v>0</v>
      </c>
      <c r="O2649">
        <v>-2.3931299999999999E-2</v>
      </c>
      <c r="P2649">
        <v>-0.99850490000000003</v>
      </c>
      <c r="Q2649">
        <v>3.5550619999999998E-2</v>
      </c>
      <c r="R2649">
        <v>4.1524899999999997E-2</v>
      </c>
      <c r="S2649">
        <v>-3.0231020000000002</v>
      </c>
      <c r="T2649">
        <v>-0.2487916</v>
      </c>
      <c r="U2649">
        <v>-0.22228999999999999</v>
      </c>
      <c r="V2649">
        <v>6.518243E-2</v>
      </c>
      <c r="W2649">
        <v>4.0745719999999999E-2</v>
      </c>
      <c r="X2649">
        <v>0.99704119999999996</v>
      </c>
      <c r="Y2649">
        <v>-4.9358850000000003E-2</v>
      </c>
      <c r="Z2649" s="1">
        <v>-6.1929919999999898E-5</v>
      </c>
      <c r="AA2649">
        <v>0.99878109999999998</v>
      </c>
      <c r="AB2649">
        <v>44</v>
      </c>
      <c r="AC2649">
        <v>-13.002700000000001</v>
      </c>
      <c r="AD2649">
        <v>-1.105252389623</v>
      </c>
      <c r="AE2649">
        <v>-0.97720000000000995</v>
      </c>
      <c r="AF2649">
        <v>-0.66099590262409302</v>
      </c>
      <c r="AG2649">
        <v>-1.105252389623</v>
      </c>
      <c r="AH2649">
        <v>12.9294673540692</v>
      </c>
      <c r="AI2649">
        <v>94.879607527634704</v>
      </c>
      <c r="AJ2649">
        <v>92.926596432269406</v>
      </c>
      <c r="AK2649">
        <v>12.993445443299199</v>
      </c>
      <c r="AL2649">
        <v>87.664795887348205</v>
      </c>
      <c r="AM2649">
        <v>86.259561726938401</v>
      </c>
      <c r="AN2649">
        <v>1.0000000586882201</v>
      </c>
    </row>
    <row r="2650" spans="1:40" x14ac:dyDescent="0.3">
      <c r="A2650" t="str">
        <f>"20200111153928809"</f>
        <v>20200111153928809</v>
      </c>
      <c r="B2650" t="str">
        <f>"1578728368803715"</f>
        <v>1578728368803715</v>
      </c>
      <c r="C2650" t="s">
        <v>40</v>
      </c>
      <c r="D2650">
        <v>5.4439510000000002</v>
      </c>
      <c r="E2650">
        <v>0.45738099999999998</v>
      </c>
      <c r="F2650" t="s">
        <v>42</v>
      </c>
      <c r="G2650">
        <v>-258.07319999999999</v>
      </c>
      <c r="H2650" s="1">
        <v>-1.1376389999999999E-6</v>
      </c>
      <c r="I2650">
        <v>140.85169999999999</v>
      </c>
      <c r="J2650">
        <v>-244.94579999999999</v>
      </c>
      <c r="K2650">
        <v>1.105183</v>
      </c>
      <c r="L2650">
        <v>141.85929999999999</v>
      </c>
      <c r="M2650">
        <v>-0.99966029999999995</v>
      </c>
      <c r="N2650">
        <v>0</v>
      </c>
      <c r="O2650">
        <v>-2.5607689999999999E-2</v>
      </c>
      <c r="P2650">
        <v>-0.99855349999999998</v>
      </c>
      <c r="Q2650">
        <v>3.6075540000000003E-2</v>
      </c>
      <c r="R2650">
        <v>3.9869729999999999E-2</v>
      </c>
      <c r="S2650">
        <v>-3.0227050000000002</v>
      </c>
      <c r="T2650">
        <v>-0.2463013</v>
      </c>
      <c r="U2650">
        <v>-0.22708130000000001</v>
      </c>
      <c r="V2650">
        <v>6.520476E-2</v>
      </c>
      <c r="W2650">
        <v>4.1268840000000001E-2</v>
      </c>
      <c r="X2650">
        <v>0.99701819999999997</v>
      </c>
      <c r="Y2650">
        <v>-4.92755E-2</v>
      </c>
      <c r="Z2650" s="1">
        <v>7.8148440000000002E-5</v>
      </c>
      <c r="AA2650">
        <v>0.99878520000000004</v>
      </c>
      <c r="AB2650">
        <v>45</v>
      </c>
      <c r="AC2650">
        <v>-13.1273999999999</v>
      </c>
      <c r="AD2650">
        <v>-1.1051841376389999</v>
      </c>
      <c r="AE2650">
        <v>-1.0075999999999901</v>
      </c>
      <c r="AF2650">
        <v>-0.66640752119623603</v>
      </c>
      <c r="AG2650">
        <v>-1.1051841376389999</v>
      </c>
      <c r="AH2650">
        <v>13.056894915197001</v>
      </c>
      <c r="AI2650">
        <v>94.831935758421807</v>
      </c>
      <c r="AJ2650">
        <v>92.921769376786798</v>
      </c>
      <c r="AK2650">
        <v>13.120519646298099</v>
      </c>
      <c r="AL2650">
        <v>87.6347980306426</v>
      </c>
      <c r="AM2650">
        <v>86.258197906754503</v>
      </c>
      <c r="AN2650">
        <v>1.0000000345064199</v>
      </c>
    </row>
    <row r="2651" spans="1:40" x14ac:dyDescent="0.3">
      <c r="A2651" t="str">
        <f>"20200111153928832"</f>
        <v>20200111153928832</v>
      </c>
      <c r="B2651" t="str">
        <f>"1578728368823235"</f>
        <v>1578728368823235</v>
      </c>
      <c r="C2651" t="s">
        <v>40</v>
      </c>
      <c r="D2651">
        <v>5.3679129999999997</v>
      </c>
      <c r="E2651">
        <v>0.45772350000000001</v>
      </c>
      <c r="F2651" t="s">
        <v>42</v>
      </c>
      <c r="G2651">
        <v>-258.55259999999998</v>
      </c>
      <c r="H2651" s="1">
        <v>-9.2273230000000004E-7</v>
      </c>
      <c r="I2651">
        <v>140.81700000000001</v>
      </c>
      <c r="J2651">
        <v>-245.39320000000001</v>
      </c>
      <c r="K2651">
        <v>1.1051120000000001</v>
      </c>
      <c r="L2651">
        <v>141.84700000000001</v>
      </c>
      <c r="M2651">
        <v>-0.99961690000000003</v>
      </c>
      <c r="N2651">
        <v>0</v>
      </c>
      <c r="O2651">
        <v>-2.724588E-2</v>
      </c>
      <c r="P2651">
        <v>-0.99861610000000001</v>
      </c>
      <c r="Q2651">
        <v>3.55368E-2</v>
      </c>
      <c r="R2651">
        <v>3.8769680000000001E-2</v>
      </c>
      <c r="S2651">
        <v>-3.0224760000000002</v>
      </c>
      <c r="T2651">
        <v>-0.2454952</v>
      </c>
      <c r="U2651">
        <v>-0.23152159999999999</v>
      </c>
      <c r="V2651">
        <v>6.5750569999999994E-2</v>
      </c>
      <c r="W2651">
        <v>4.0730479999999999E-2</v>
      </c>
      <c r="X2651">
        <v>0.99700440000000001</v>
      </c>
      <c r="Y2651">
        <v>-4.9109699999999999E-2</v>
      </c>
      <c r="Z2651">
        <v>2.1714459999999999E-4</v>
      </c>
      <c r="AA2651">
        <v>0.99879340000000005</v>
      </c>
      <c r="AB2651">
        <v>45</v>
      </c>
      <c r="AC2651">
        <v>-13.1593999999999</v>
      </c>
      <c r="AD2651">
        <v>-1.1051129227323</v>
      </c>
      <c r="AE2651">
        <v>-1.03</v>
      </c>
      <c r="AF2651">
        <v>-0.66640276403379195</v>
      </c>
      <c r="AG2651">
        <v>-1.1051129227323</v>
      </c>
      <c r="AH2651">
        <v>13.0908177858075</v>
      </c>
      <c r="AI2651">
        <v>94.819196834030805</v>
      </c>
      <c r="AJ2651">
        <v>92.914190355068996</v>
      </c>
      <c r="AK2651">
        <v>13.1542722154103</v>
      </c>
      <c r="AL2651">
        <v>87.665669526828594</v>
      </c>
      <c r="AM2651">
        <v>86.226914398510402</v>
      </c>
      <c r="AN2651">
        <v>0.99999994153785599</v>
      </c>
    </row>
    <row r="2652" spans="1:40" x14ac:dyDescent="0.3">
      <c r="A2652" t="str">
        <f>"20200111153928853"</f>
        <v>20200111153928853</v>
      </c>
      <c r="B2652" t="str">
        <f>"1578728368843732"</f>
        <v>1578728368843732</v>
      </c>
      <c r="C2652" t="s">
        <v>40</v>
      </c>
      <c r="D2652">
        <v>5.2754969999999997</v>
      </c>
      <c r="E2652">
        <v>0.45491520000000002</v>
      </c>
      <c r="F2652" t="s">
        <v>42</v>
      </c>
      <c r="G2652">
        <v>-258.99489999999997</v>
      </c>
      <c r="H2652" s="1">
        <v>-7.2858959999999997E-7</v>
      </c>
      <c r="I2652">
        <v>140.8004</v>
      </c>
      <c r="J2652">
        <v>-245.8398</v>
      </c>
      <c r="K2652">
        <v>1.105032</v>
      </c>
      <c r="L2652">
        <v>141.834</v>
      </c>
      <c r="M2652">
        <v>-0.99957320000000005</v>
      </c>
      <c r="N2652">
        <v>0</v>
      </c>
      <c r="O2652">
        <v>-2.8806200000000001E-2</v>
      </c>
      <c r="P2652">
        <v>-0.99868710000000005</v>
      </c>
      <c r="Q2652">
        <v>3.4221149999999999E-2</v>
      </c>
      <c r="R2652">
        <v>3.8120500000000002E-2</v>
      </c>
      <c r="S2652">
        <v>-3.0219269999999998</v>
      </c>
      <c r="T2652">
        <v>-0.2455271</v>
      </c>
      <c r="U2652">
        <v>-0.23251340000000001</v>
      </c>
      <c r="V2652">
        <v>6.6673910000000003E-2</v>
      </c>
      <c r="W2652">
        <v>3.9416899999999998E-2</v>
      </c>
      <c r="X2652">
        <v>0.99699590000000005</v>
      </c>
      <c r="Y2652">
        <v>-4.789935E-2</v>
      </c>
      <c r="Z2652">
        <v>3.9249899999999998E-4</v>
      </c>
      <c r="AA2652">
        <v>0.99885210000000002</v>
      </c>
      <c r="AB2652">
        <v>45</v>
      </c>
      <c r="AC2652">
        <v>-13.1550999999999</v>
      </c>
      <c r="AD2652">
        <v>-1.1050327285896</v>
      </c>
      <c r="AE2652">
        <v>-1.0336000000000001</v>
      </c>
      <c r="AF2652">
        <v>-0.64966221703154603</v>
      </c>
      <c r="AG2652">
        <v>-1.1050327285896</v>
      </c>
      <c r="AH2652">
        <v>13.0876346598955</v>
      </c>
      <c r="AI2652">
        <v>94.820320011672607</v>
      </c>
      <c r="AJ2652">
        <v>92.841795019778203</v>
      </c>
      <c r="AK2652">
        <v>13.1502600475576</v>
      </c>
      <c r="AL2652">
        <v>87.740992681268295</v>
      </c>
      <c r="AM2652">
        <v>86.174052443244193</v>
      </c>
      <c r="AN2652">
        <v>0.99999996344855302</v>
      </c>
    </row>
    <row r="2653" spans="1:40" x14ac:dyDescent="0.3">
      <c r="A2653" t="str">
        <f>"20200111153928877"</f>
        <v>20200111153928877</v>
      </c>
      <c r="B2653" t="str">
        <f>"1578728368873989"</f>
        <v>1578728368873989</v>
      </c>
      <c r="C2653" t="s">
        <v>40</v>
      </c>
      <c r="D2653">
        <v>5.4497090000000004</v>
      </c>
      <c r="E2653">
        <v>0.37469419999999998</v>
      </c>
      <c r="F2653" t="s">
        <v>42</v>
      </c>
      <c r="G2653">
        <v>-259.14049999999997</v>
      </c>
      <c r="H2653" s="1">
        <v>-6.3981759999999904E-7</v>
      </c>
      <c r="I2653">
        <v>140.70150000000001</v>
      </c>
      <c r="J2653">
        <v>-246.304</v>
      </c>
      <c r="K2653">
        <v>1.1049500000000001</v>
      </c>
      <c r="L2653">
        <v>141.81970000000001</v>
      </c>
      <c r="M2653">
        <v>-0.99952739999999995</v>
      </c>
      <c r="N2653">
        <v>0</v>
      </c>
      <c r="O2653">
        <v>-3.0353430000000001E-2</v>
      </c>
      <c r="P2653">
        <v>-0.99876540000000003</v>
      </c>
      <c r="Q2653">
        <v>3.253578E-2</v>
      </c>
      <c r="R2653">
        <v>3.7541449999999997E-2</v>
      </c>
      <c r="S2653">
        <v>-3.0223689999999999</v>
      </c>
      <c r="T2653">
        <v>-0.25110159999999998</v>
      </c>
      <c r="U2653">
        <v>-0.25730900000000001</v>
      </c>
      <c r="V2653">
        <v>6.7656030000000006E-2</v>
      </c>
      <c r="W2653">
        <v>3.773348E-2</v>
      </c>
      <c r="X2653">
        <v>0.99699490000000002</v>
      </c>
      <c r="Y2653">
        <v>-5.4462089999999998E-2</v>
      </c>
      <c r="Z2653">
        <v>2.5743080000000001E-4</v>
      </c>
      <c r="AA2653">
        <v>0.99851579999999995</v>
      </c>
      <c r="AB2653">
        <v>45</v>
      </c>
      <c r="AC2653">
        <v>-12.8364999999999</v>
      </c>
      <c r="AD2653">
        <v>-1.1049506398175999</v>
      </c>
      <c r="AE2653">
        <v>-1.1182000000000001</v>
      </c>
      <c r="AF2653">
        <v>-0.72273353415511599</v>
      </c>
      <c r="AG2653">
        <v>-1.1049506398175999</v>
      </c>
      <c r="AH2653">
        <v>12.770614752936901</v>
      </c>
      <c r="AI2653">
        <v>94.937220581538995</v>
      </c>
      <c r="AJ2653">
        <v>93.239112416262003</v>
      </c>
      <c r="AK2653">
        <v>12.8386861027815</v>
      </c>
      <c r="AL2653">
        <v>87.837517463066604</v>
      </c>
      <c r="AM2653">
        <v>86.117862672507599</v>
      </c>
      <c r="AN2653">
        <v>0.99999999226713998</v>
      </c>
    </row>
    <row r="2654" spans="1:40" x14ac:dyDescent="0.3">
      <c r="A2654" t="str">
        <f>"20200111153928899"</f>
        <v>20200111153928899</v>
      </c>
      <c r="B2654" t="str">
        <f>"1578728368893509"</f>
        <v>1578728368893509</v>
      </c>
      <c r="C2654" t="s">
        <v>40</v>
      </c>
      <c r="D2654">
        <v>5.3066500000000003</v>
      </c>
      <c r="E2654">
        <v>0.37304910000000002</v>
      </c>
      <c r="F2654" t="s">
        <v>42</v>
      </c>
      <c r="G2654">
        <v>-261.99860000000001</v>
      </c>
      <c r="H2654" s="1">
        <v>-3.8447970000000001E-6</v>
      </c>
      <c r="I2654">
        <v>137.1925</v>
      </c>
      <c r="J2654">
        <v>-246.74279999999999</v>
      </c>
      <c r="K2654">
        <v>1.1048770000000001</v>
      </c>
      <c r="L2654">
        <v>141.8056</v>
      </c>
      <c r="M2654">
        <v>-0.99948369999999997</v>
      </c>
      <c r="N2654">
        <v>0</v>
      </c>
      <c r="O2654">
        <v>-3.1760339999999998E-2</v>
      </c>
      <c r="P2654">
        <v>-0.99881699999999995</v>
      </c>
      <c r="Q2654">
        <v>3.1741800000000001E-2</v>
      </c>
      <c r="R2654">
        <v>3.684395E-2</v>
      </c>
      <c r="S2654">
        <v>-3.0444339999999999</v>
      </c>
      <c r="T2654">
        <v>-0.2143389</v>
      </c>
      <c r="U2654">
        <v>-0.89756769999999997</v>
      </c>
      <c r="V2654">
        <v>6.8373680000000006E-2</v>
      </c>
      <c r="W2654">
        <v>3.694153E-2</v>
      </c>
      <c r="X2654">
        <v>0.99697559999999996</v>
      </c>
      <c r="Y2654">
        <v>-0.25168190000000001</v>
      </c>
      <c r="Z2654">
        <v>-6.4808280000000001E-3</v>
      </c>
      <c r="AA2654">
        <v>0.96778830000000005</v>
      </c>
      <c r="AB2654">
        <v>45</v>
      </c>
      <c r="AC2654">
        <v>-15.255800000000001</v>
      </c>
      <c r="AD2654">
        <v>-1.104880844797</v>
      </c>
      <c r="AE2654">
        <v>-4.6131000000000002</v>
      </c>
      <c r="AF2654">
        <v>-4.1065026833223603</v>
      </c>
      <c r="AG2654">
        <v>-1.104880844797</v>
      </c>
      <c r="AH2654">
        <v>15.3209897065377</v>
      </c>
      <c r="AI2654">
        <v>93.984604274934895</v>
      </c>
      <c r="AJ2654">
        <v>105.004381846413</v>
      </c>
      <c r="AK2654">
        <v>15.9002154563128</v>
      </c>
      <c r="AL2654">
        <v>87.882924518149693</v>
      </c>
      <c r="AM2654">
        <v>86.076735761144107</v>
      </c>
      <c r="AN2654">
        <v>0.99999999187542099</v>
      </c>
    </row>
    <row r="2655" spans="1:40" x14ac:dyDescent="0.3">
      <c r="A2655" t="str">
        <f>"20200111153928921"</f>
        <v>20200111153928921</v>
      </c>
      <c r="B2655" t="str">
        <f>"1578728368913027"</f>
        <v>1578728368913027</v>
      </c>
      <c r="C2655" t="s">
        <v>40</v>
      </c>
      <c r="D2655">
        <v>5.309564</v>
      </c>
      <c r="E2655">
        <v>0.37336520000000001</v>
      </c>
      <c r="F2655" t="s">
        <v>42</v>
      </c>
      <c r="G2655">
        <v>-262.6343</v>
      </c>
      <c r="H2655" s="1">
        <v>-3.5991669999999999E-6</v>
      </c>
      <c r="I2655">
        <v>137.03980000000001</v>
      </c>
      <c r="J2655">
        <v>-247.20349999999999</v>
      </c>
      <c r="K2655">
        <v>1.1048100000000001</v>
      </c>
      <c r="L2655">
        <v>141.7901</v>
      </c>
      <c r="M2655">
        <v>-0.99943720000000003</v>
      </c>
      <c r="N2655">
        <v>0</v>
      </c>
      <c r="O2655">
        <v>-3.3191760000000001E-2</v>
      </c>
      <c r="P2655">
        <v>-0.99884059999999997</v>
      </c>
      <c r="Q2655">
        <v>3.1447530000000001E-2</v>
      </c>
      <c r="R2655">
        <v>3.6451209999999998E-2</v>
      </c>
      <c r="S2655">
        <v>-3.0439609999999999</v>
      </c>
      <c r="T2655">
        <v>-0.21163589999999999</v>
      </c>
      <c r="U2655">
        <v>-0.91285709999999998</v>
      </c>
      <c r="V2655">
        <v>6.9416210000000006E-2</v>
      </c>
      <c r="W2655">
        <v>3.6651330000000003E-2</v>
      </c>
      <c r="X2655">
        <v>0.99691430000000003</v>
      </c>
      <c r="Y2655">
        <v>-0.25481110000000001</v>
      </c>
      <c r="Z2655">
        <v>-6.4051280000000004E-3</v>
      </c>
      <c r="AA2655">
        <v>0.96696970000000004</v>
      </c>
      <c r="AB2655">
        <v>45</v>
      </c>
      <c r="AC2655">
        <v>-15.4308</v>
      </c>
      <c r="AD2655">
        <v>-1.1048135991670001</v>
      </c>
      <c r="AE2655">
        <v>-4.7502999999999798</v>
      </c>
      <c r="AF2655">
        <v>-4.2157607365431904</v>
      </c>
      <c r="AG2655">
        <v>-1.1048135991670001</v>
      </c>
      <c r="AH2655">
        <v>15.5073567746233</v>
      </c>
      <c r="AI2655">
        <v>93.932855746797301</v>
      </c>
      <c r="AJ2655">
        <v>105.208619269371</v>
      </c>
      <c r="AK2655">
        <v>16.108114905603902</v>
      </c>
      <c r="AL2655">
        <v>87.899563092893104</v>
      </c>
      <c r="AM2655">
        <v>86.016862625184203</v>
      </c>
      <c r="AN2655">
        <v>1.00000002587301</v>
      </c>
    </row>
    <row r="2656" spans="1:40" x14ac:dyDescent="0.3">
      <c r="A2656" t="str">
        <f>"20200111153928943"</f>
        <v>20200111153928943</v>
      </c>
      <c r="B2656" t="str">
        <f>"1578728368933524"</f>
        <v>1578728368933524</v>
      </c>
      <c r="C2656" t="s">
        <v>40</v>
      </c>
      <c r="D2656">
        <v>5.2520980000000002</v>
      </c>
      <c r="E2656">
        <v>0.37346220000000002</v>
      </c>
      <c r="F2656" t="s">
        <v>42</v>
      </c>
      <c r="G2656">
        <v>-262.06330000000003</v>
      </c>
      <c r="H2656" s="1">
        <v>-3.791521E-6</v>
      </c>
      <c r="I2656">
        <v>137.3364</v>
      </c>
      <c r="J2656">
        <v>-247.6542</v>
      </c>
      <c r="K2656">
        <v>1.1047499999999999</v>
      </c>
      <c r="L2656">
        <v>141.77440000000001</v>
      </c>
      <c r="M2656">
        <v>-0.99939069999999997</v>
      </c>
      <c r="N2656">
        <v>0</v>
      </c>
      <c r="O2656">
        <v>-3.4556049999999998E-2</v>
      </c>
      <c r="P2656">
        <v>-0.99886379999999997</v>
      </c>
      <c r="Q2656">
        <v>3.0956890000000001E-2</v>
      </c>
      <c r="R2656">
        <v>3.6234509999999998E-2</v>
      </c>
      <c r="S2656">
        <v>-3.0438839999999998</v>
      </c>
      <c r="T2656">
        <v>-0.22631029999999999</v>
      </c>
      <c r="U2656">
        <v>-0.91229249999999995</v>
      </c>
      <c r="V2656">
        <v>7.0568110000000003E-2</v>
      </c>
      <c r="W2656">
        <v>3.6166709999999998E-2</v>
      </c>
      <c r="X2656">
        <v>0.99685109999999999</v>
      </c>
      <c r="Y2656">
        <v>-0.2532701</v>
      </c>
      <c r="Z2656">
        <v>-6.6936570000000004E-3</v>
      </c>
      <c r="AA2656">
        <v>0.96737240000000002</v>
      </c>
      <c r="AB2656">
        <v>45</v>
      </c>
      <c r="AC2656">
        <v>-14.4091</v>
      </c>
      <c r="AD2656">
        <v>-1.104753791521</v>
      </c>
      <c r="AE2656">
        <v>-4.4380000000000104</v>
      </c>
      <c r="AF2656">
        <v>-3.9163945047783502</v>
      </c>
      <c r="AG2656">
        <v>-1.104753791521</v>
      </c>
      <c r="AH2656">
        <v>14.476132690697099</v>
      </c>
      <c r="AI2656">
        <v>94.213208455519506</v>
      </c>
      <c r="AJ2656">
        <v>105.138488209088</v>
      </c>
      <c r="AK2656">
        <v>15.0371887178291</v>
      </c>
      <c r="AL2656">
        <v>87.927348146573905</v>
      </c>
      <c r="AM2656">
        <v>85.9507282217658</v>
      </c>
      <c r="AN2656">
        <v>1.0000000023161999</v>
      </c>
    </row>
    <row r="2657" spans="1:40" x14ac:dyDescent="0.3">
      <c r="A2657" t="str">
        <f>"20200111153928965"</f>
        <v>20200111153928965</v>
      </c>
      <c r="B2657" t="str">
        <f>"1578728368953043"</f>
        <v>1578728368953043</v>
      </c>
      <c r="C2657" t="s">
        <v>40</v>
      </c>
      <c r="D2657">
        <v>5.2200949999999997</v>
      </c>
      <c r="E2657">
        <v>0.37316329999999998</v>
      </c>
      <c r="F2657" t="s">
        <v>42</v>
      </c>
      <c r="G2657">
        <v>-262.03190000000001</v>
      </c>
      <c r="H2657" s="1">
        <v>-3.7822820000000001E-6</v>
      </c>
      <c r="I2657">
        <v>137.46430000000001</v>
      </c>
      <c r="J2657">
        <v>-248.0992</v>
      </c>
      <c r="K2657">
        <v>1.1046929999999999</v>
      </c>
      <c r="L2657">
        <v>141.75829999999999</v>
      </c>
      <c r="M2657">
        <v>-0.99934420000000002</v>
      </c>
      <c r="N2657">
        <v>0</v>
      </c>
      <c r="O2657">
        <v>-3.5876209999999999E-2</v>
      </c>
      <c r="P2657">
        <v>-0.99891339999999995</v>
      </c>
      <c r="Q2657">
        <v>2.9437230000000002E-2</v>
      </c>
      <c r="R2657">
        <v>3.6136370000000001E-2</v>
      </c>
      <c r="S2657">
        <v>-3.0437470000000002</v>
      </c>
      <c r="T2657">
        <v>-0.23387620000000001</v>
      </c>
      <c r="U2657">
        <v>-0.91242979999999996</v>
      </c>
      <c r="V2657">
        <v>7.1799199999999994E-2</v>
      </c>
      <c r="W2657">
        <v>3.4654650000000002E-2</v>
      </c>
      <c r="X2657">
        <v>0.99681690000000001</v>
      </c>
      <c r="Y2657">
        <v>-0.25201370000000001</v>
      </c>
      <c r="Z2657">
        <v>-6.7710969999999898E-3</v>
      </c>
      <c r="AA2657">
        <v>0.9677</v>
      </c>
      <c r="AB2657">
        <v>46</v>
      </c>
      <c r="AC2657">
        <v>-13.932700000000001</v>
      </c>
      <c r="AD2657">
        <v>-1.104696782282</v>
      </c>
      <c r="AE2657">
        <v>-4.2939999999999801</v>
      </c>
      <c r="AF2657">
        <v>-3.7697341072212698</v>
      </c>
      <c r="AG2657">
        <v>-1.104696782282</v>
      </c>
      <c r="AH2657">
        <v>13.997421886796101</v>
      </c>
      <c r="AI2657">
        <v>94.357868184225097</v>
      </c>
      <c r="AJ2657">
        <v>105.07305830111601</v>
      </c>
      <c r="AK2657">
        <v>14.538193481202899</v>
      </c>
      <c r="AL2657">
        <v>88.014037175877604</v>
      </c>
      <c r="AM2657">
        <v>85.880187282465499</v>
      </c>
      <c r="AN2657">
        <v>1.0000000010064301</v>
      </c>
    </row>
    <row r="2658" spans="1:40" x14ac:dyDescent="0.3">
      <c r="A2658" t="str">
        <f>"20200111153928987"</f>
        <v>20200111153928987</v>
      </c>
      <c r="B2658" t="str">
        <f>"1578728368983300"</f>
        <v>1578728368983300</v>
      </c>
      <c r="C2658" t="s">
        <v>40</v>
      </c>
      <c r="D2658">
        <v>5.2322110000000004</v>
      </c>
      <c r="E2658">
        <v>0.37244240000000001</v>
      </c>
      <c r="F2658" t="s">
        <v>42</v>
      </c>
      <c r="G2658">
        <v>-262.0256</v>
      </c>
      <c r="H2658" s="1">
        <v>-3.7661880000000001E-6</v>
      </c>
      <c r="I2658">
        <v>137.5703</v>
      </c>
      <c r="J2658">
        <v>-248.54820000000001</v>
      </c>
      <c r="K2658">
        <v>1.1046450000000001</v>
      </c>
      <c r="L2658">
        <v>141.7414</v>
      </c>
      <c r="M2658">
        <v>-0.99929619999999997</v>
      </c>
      <c r="N2658">
        <v>0</v>
      </c>
      <c r="O2658">
        <v>-3.7189890000000003E-2</v>
      </c>
      <c r="P2658">
        <v>-0.99897400000000003</v>
      </c>
      <c r="Q2658">
        <v>2.8468469999999999E-2</v>
      </c>
      <c r="R2658">
        <v>3.5221919999999997E-2</v>
      </c>
      <c r="S2658">
        <v>-3.0435029999999998</v>
      </c>
      <c r="T2658">
        <v>-0.24142169999999999</v>
      </c>
      <c r="U2658">
        <v>-0.91523739999999998</v>
      </c>
      <c r="V2658">
        <v>7.2205149999999996E-2</v>
      </c>
      <c r="W2658">
        <v>3.369105E-2</v>
      </c>
      <c r="X2658">
        <v>0.99682059999999995</v>
      </c>
      <c r="Y2658">
        <v>-0.25154910000000003</v>
      </c>
      <c r="Z2658">
        <v>-6.8690829999999998E-3</v>
      </c>
      <c r="AA2658">
        <v>0.96782020000000002</v>
      </c>
      <c r="AB2658">
        <v>46</v>
      </c>
      <c r="AC2658">
        <v>-13.4773999999999</v>
      </c>
      <c r="AD2658">
        <v>-1.104648766188</v>
      </c>
      <c r="AE2658">
        <v>-4.1710999999999903</v>
      </c>
      <c r="AF2658">
        <v>-3.6446411117901398</v>
      </c>
      <c r="AG2658">
        <v>-1.104648766188</v>
      </c>
      <c r="AH2658">
        <v>13.5401898177569</v>
      </c>
      <c r="AI2658">
        <v>94.504398573637999</v>
      </c>
      <c r="AJ2658">
        <v>105.065352953323</v>
      </c>
      <c r="AK2658">
        <v>14.065574927150299</v>
      </c>
      <c r="AL2658">
        <v>88.069279634055306</v>
      </c>
      <c r="AM2658">
        <v>85.856990222831101</v>
      </c>
      <c r="AN2658">
        <v>0.99999998956049196</v>
      </c>
    </row>
    <row r="2659" spans="1:40" x14ac:dyDescent="0.3">
      <c r="A2659" t="str">
        <f>"20200111153929008"</f>
        <v>20200111153929008</v>
      </c>
      <c r="B2659" t="str">
        <f>"1578728369003795"</f>
        <v>1578728369003795</v>
      </c>
      <c r="C2659" t="s">
        <v>40</v>
      </c>
      <c r="D2659">
        <v>5.2070319999999999</v>
      </c>
      <c r="E2659">
        <v>0.37183709999999998</v>
      </c>
      <c r="F2659" t="s">
        <v>42</v>
      </c>
      <c r="G2659">
        <v>-262.2989</v>
      </c>
      <c r="H2659" s="1">
        <v>-3.6494979999999999E-6</v>
      </c>
      <c r="I2659">
        <v>137.56729999999999</v>
      </c>
      <c r="J2659">
        <v>-248.9896</v>
      </c>
      <c r="K2659">
        <v>1.1046069999999999</v>
      </c>
      <c r="L2659">
        <v>141.7243</v>
      </c>
      <c r="M2659">
        <v>-0.99924760000000001</v>
      </c>
      <c r="N2659">
        <v>0</v>
      </c>
      <c r="O2659">
        <v>-3.8468599999999999E-2</v>
      </c>
      <c r="P2659">
        <v>-0.99903640000000005</v>
      </c>
      <c r="Q2659">
        <v>2.780521E-2</v>
      </c>
      <c r="R2659">
        <v>3.3959660000000003E-2</v>
      </c>
      <c r="S2659">
        <v>-3.0426030000000002</v>
      </c>
      <c r="T2659">
        <v>-0.244426</v>
      </c>
      <c r="U2659">
        <v>-0.92358399999999996</v>
      </c>
      <c r="V2659">
        <v>7.2227269999999996E-2</v>
      </c>
      <c r="W2659">
        <v>3.3031959999999999E-2</v>
      </c>
      <c r="X2659">
        <v>0.99684110000000004</v>
      </c>
      <c r="Y2659">
        <v>-0.25280730000000001</v>
      </c>
      <c r="Z2659">
        <v>-6.902994E-3</v>
      </c>
      <c r="AA2659">
        <v>0.96749200000000002</v>
      </c>
      <c r="AB2659">
        <v>46</v>
      </c>
      <c r="AC2659">
        <v>-13.3093</v>
      </c>
      <c r="AD2659">
        <v>-1.1046106494979999</v>
      </c>
      <c r="AE2659">
        <v>-4.1570000000000098</v>
      </c>
      <c r="AF2659">
        <v>-3.61921245432324</v>
      </c>
      <c r="AG2659">
        <v>-1.1046106494979999</v>
      </c>
      <c r="AH2659">
        <v>13.3754203590305</v>
      </c>
      <c r="AI2659">
        <v>94.557882691193797</v>
      </c>
      <c r="AJ2659">
        <v>105.140908249785</v>
      </c>
      <c r="AK2659">
        <v>13.900386083029501</v>
      </c>
      <c r="AL2659">
        <v>88.107063826715006</v>
      </c>
      <c r="AM2659">
        <v>85.855810365967102</v>
      </c>
      <c r="AN2659">
        <v>1.0000000337811501</v>
      </c>
    </row>
    <row r="2660" spans="1:40" x14ac:dyDescent="0.3">
      <c r="A2660" t="str">
        <f>"20200111153929033"</f>
        <v>20200111153929033</v>
      </c>
      <c r="B2660" t="str">
        <f>"1578728369023317"</f>
        <v>1578728369023317</v>
      </c>
      <c r="C2660" t="s">
        <v>40</v>
      </c>
      <c r="D2660">
        <v>5.1950099999999999</v>
      </c>
      <c r="E2660">
        <v>0.37110009999999999</v>
      </c>
      <c r="F2660" t="s">
        <v>42</v>
      </c>
      <c r="G2660">
        <v>-262.56569999999999</v>
      </c>
      <c r="H2660" s="1">
        <v>-3.535621E-6</v>
      </c>
      <c r="I2660">
        <v>137.5641</v>
      </c>
      <c r="J2660">
        <v>-249.4761</v>
      </c>
      <c r="K2660">
        <v>1.1045780000000001</v>
      </c>
      <c r="L2660">
        <v>141.70480000000001</v>
      </c>
      <c r="M2660">
        <v>-0.99919279999999999</v>
      </c>
      <c r="N2660">
        <v>0</v>
      </c>
      <c r="O2660">
        <v>-3.9868819999999999E-2</v>
      </c>
      <c r="P2660">
        <v>-0.99909930000000002</v>
      </c>
      <c r="Q2660">
        <v>2.761483E-2</v>
      </c>
      <c r="R2660">
        <v>3.2223849999999998E-2</v>
      </c>
      <c r="S2660">
        <v>-3.0414729999999999</v>
      </c>
      <c r="T2660">
        <v>-0.24746950000000001</v>
      </c>
      <c r="U2660">
        <v>-0.93200680000000002</v>
      </c>
      <c r="V2660">
        <v>7.1895120000000007E-2</v>
      </c>
      <c r="W2660">
        <v>3.2847040000000001E-2</v>
      </c>
      <c r="X2660">
        <v>0.99687119999999996</v>
      </c>
      <c r="Y2660">
        <v>-0.25398779999999999</v>
      </c>
      <c r="Z2660">
        <v>-6.9245089999999997E-3</v>
      </c>
      <c r="AA2660">
        <v>0.9671826</v>
      </c>
      <c r="AB2660">
        <v>46</v>
      </c>
      <c r="AC2660">
        <v>-13.0895999999999</v>
      </c>
      <c r="AD2660">
        <v>-1.104581535621</v>
      </c>
      <c r="AE2660">
        <v>-4.1407000000000096</v>
      </c>
      <c r="AF2660">
        <v>-3.5922807338595901</v>
      </c>
      <c r="AG2660">
        <v>-1.104581535621</v>
      </c>
      <c r="AH2660">
        <v>13.159097015924001</v>
      </c>
      <c r="AI2660">
        <v>94.629562454969303</v>
      </c>
      <c r="AJ2660">
        <v>105.26904304553</v>
      </c>
      <c r="AK2660">
        <v>13.685262712648001</v>
      </c>
      <c r="AL2660">
        <v>88.117664675110404</v>
      </c>
      <c r="AM2660">
        <v>85.874926346793202</v>
      </c>
      <c r="AN2660">
        <v>1.000000012853</v>
      </c>
    </row>
    <row r="2661" spans="1:40" x14ac:dyDescent="0.3">
      <c r="A2661" t="str">
        <f>"20200111153929055"</f>
        <v>20200111153929055</v>
      </c>
      <c r="B2661" t="str">
        <f>"1578728369043811"</f>
        <v>1578728369043811</v>
      </c>
      <c r="C2661" t="s">
        <v>40</v>
      </c>
      <c r="D2661">
        <v>5.1669689999999999</v>
      </c>
      <c r="E2661">
        <v>0.37024689999999999</v>
      </c>
      <c r="F2661" t="s">
        <v>42</v>
      </c>
      <c r="G2661">
        <v>-263.01749999999998</v>
      </c>
      <c r="H2661" s="1">
        <v>-3.3524400000000001E-6</v>
      </c>
      <c r="I2661">
        <v>137.50409999999999</v>
      </c>
      <c r="J2661">
        <v>-249.934</v>
      </c>
      <c r="K2661">
        <v>1.1045609999999999</v>
      </c>
      <c r="L2661">
        <v>141.6858</v>
      </c>
      <c r="M2661">
        <v>-0.99913949999999996</v>
      </c>
      <c r="N2661">
        <v>0</v>
      </c>
      <c r="O2661">
        <v>-4.1180769999999998E-2</v>
      </c>
      <c r="P2661">
        <v>-0.99914820000000004</v>
      </c>
      <c r="Q2661">
        <v>2.758708E-2</v>
      </c>
      <c r="R2661">
        <v>3.0698900000000001E-2</v>
      </c>
      <c r="S2661">
        <v>-3.0399780000000001</v>
      </c>
      <c r="T2661">
        <v>-0.24797459999999999</v>
      </c>
      <c r="U2661">
        <v>-0.94300839999999997</v>
      </c>
      <c r="V2661">
        <v>7.1684330000000004E-2</v>
      </c>
      <c r="W2661">
        <v>3.2825119999999999E-2</v>
      </c>
      <c r="X2661">
        <v>0.99688710000000003</v>
      </c>
      <c r="Y2661">
        <v>-0.2560424</v>
      </c>
      <c r="Z2661">
        <v>-6.9160389999999997E-3</v>
      </c>
      <c r="AA2661">
        <v>0.96664079999999997</v>
      </c>
      <c r="AB2661">
        <v>46</v>
      </c>
      <c r="AC2661">
        <v>-13.0834999999999</v>
      </c>
      <c r="AD2661">
        <v>-1.10456435244</v>
      </c>
      <c r="AE2661">
        <v>-4.1817000000000002</v>
      </c>
      <c r="AF2661">
        <v>-3.6159735523768401</v>
      </c>
      <c r="AG2661">
        <v>-1.10456435244</v>
      </c>
      <c r="AH2661">
        <v>13.159508537808501</v>
      </c>
      <c r="AI2661">
        <v>94.627242844998307</v>
      </c>
      <c r="AJ2661">
        <v>105.36454712391701</v>
      </c>
      <c r="AK2661">
        <v>13.691895124372801</v>
      </c>
      <c r="AL2661">
        <v>88.118921272543602</v>
      </c>
      <c r="AM2661">
        <v>85.887044498814902</v>
      </c>
      <c r="AN2661">
        <v>1.0000000109084799</v>
      </c>
    </row>
    <row r="2662" spans="1:40" x14ac:dyDescent="0.3">
      <c r="A2662" t="str">
        <f>"20200111153929076"</f>
        <v>20200111153929076</v>
      </c>
      <c r="B2662" t="str">
        <f>"1578728369073091"</f>
        <v>1578728369073091</v>
      </c>
      <c r="C2662" t="s">
        <v>40</v>
      </c>
      <c r="D2662">
        <v>5.1330780000000003</v>
      </c>
      <c r="E2662">
        <v>0.3692144</v>
      </c>
      <c r="F2662" t="s">
        <v>42</v>
      </c>
      <c r="G2662">
        <v>-263.48680000000002</v>
      </c>
      <c r="H2662" s="1">
        <v>-3.164325E-6</v>
      </c>
      <c r="I2662">
        <v>137.4297</v>
      </c>
      <c r="J2662">
        <v>-250.3937</v>
      </c>
      <c r="K2662">
        <v>1.104541</v>
      </c>
      <c r="L2662">
        <v>141.666</v>
      </c>
      <c r="M2662">
        <v>-0.99908450000000004</v>
      </c>
      <c r="N2662">
        <v>0</v>
      </c>
      <c r="O2662">
        <v>-4.2491340000000002E-2</v>
      </c>
      <c r="P2662">
        <v>-0.99919619999999998</v>
      </c>
      <c r="Q2662">
        <v>2.8078860000000001E-2</v>
      </c>
      <c r="R2662">
        <v>2.8613670000000001E-2</v>
      </c>
      <c r="S2662">
        <v>-3.0387270000000002</v>
      </c>
      <c r="T2662">
        <v>-0.24766070000000001</v>
      </c>
      <c r="U2662">
        <v>-0.95426940000000005</v>
      </c>
      <c r="V2662">
        <v>7.0909899999999998E-2</v>
      </c>
      <c r="W2662">
        <v>3.3321240000000002E-2</v>
      </c>
      <c r="X2662">
        <v>0.99692599999999998</v>
      </c>
      <c r="Y2662">
        <v>-0.2581504</v>
      </c>
      <c r="Z2662">
        <v>-6.8863830000000003E-3</v>
      </c>
      <c r="AA2662">
        <v>0.96608019999999994</v>
      </c>
      <c r="AB2662">
        <v>46</v>
      </c>
      <c r="AC2662">
        <v>-13.0931</v>
      </c>
      <c r="AD2662">
        <v>-1.104544164325</v>
      </c>
      <c r="AE2662">
        <v>-4.2363</v>
      </c>
      <c r="AF2662">
        <v>-3.6525924349488599</v>
      </c>
      <c r="AG2662">
        <v>-1.104544164325</v>
      </c>
      <c r="AH2662">
        <v>13.1763961878865</v>
      </c>
      <c r="AI2662">
        <v>94.618390915141404</v>
      </c>
      <c r="AJ2662">
        <v>105.493758833981</v>
      </c>
      <c r="AK2662">
        <v>13.7178302149771</v>
      </c>
      <c r="AL2662">
        <v>88.090480080220502</v>
      </c>
      <c r="AM2662">
        <v>85.931486334988705</v>
      </c>
      <c r="AN2662">
        <v>0.99999998421457303</v>
      </c>
    </row>
    <row r="2663" spans="1:40" x14ac:dyDescent="0.3">
      <c r="A2663" t="str">
        <f>"20200111153929099"</f>
        <v>20200111153929099</v>
      </c>
      <c r="B2663" t="str">
        <f>"1578728369093587"</f>
        <v>1578728369093587</v>
      </c>
      <c r="C2663" t="s">
        <v>40</v>
      </c>
      <c r="D2663">
        <v>5.1785949999999996</v>
      </c>
      <c r="E2663">
        <v>0.36864659999999999</v>
      </c>
      <c r="F2663" t="s">
        <v>42</v>
      </c>
      <c r="G2663">
        <v>-263.93</v>
      </c>
      <c r="H2663" s="1">
        <v>-2.9883170000000001E-6</v>
      </c>
      <c r="I2663">
        <v>137.34979999999999</v>
      </c>
      <c r="J2663">
        <v>-250.84950000000001</v>
      </c>
      <c r="K2663">
        <v>1.1045240000000001</v>
      </c>
      <c r="L2663">
        <v>141.64599999999999</v>
      </c>
      <c r="M2663">
        <v>-0.99902869999999999</v>
      </c>
      <c r="N2663">
        <v>0</v>
      </c>
      <c r="O2663">
        <v>-4.3785490000000003E-2</v>
      </c>
      <c r="P2663">
        <v>-0.99924829999999998</v>
      </c>
      <c r="Q2663">
        <v>2.8342249999999999E-2</v>
      </c>
      <c r="R2663">
        <v>2.645923E-2</v>
      </c>
      <c r="S2663">
        <v>-3.0370789999999999</v>
      </c>
      <c r="T2663">
        <v>-0.24782219999999999</v>
      </c>
      <c r="U2663">
        <v>-0.96839900000000001</v>
      </c>
      <c r="V2663">
        <v>7.0051399999999903E-2</v>
      </c>
      <c r="W2663">
        <v>3.3589069999999999E-2</v>
      </c>
      <c r="X2663">
        <v>0.99697769999999997</v>
      </c>
      <c r="Y2663">
        <v>-0.26112760000000002</v>
      </c>
      <c r="Z2663">
        <v>-6.9056680000000002E-3</v>
      </c>
      <c r="AA2663">
        <v>0.96527960000000002</v>
      </c>
      <c r="AB2663">
        <v>46</v>
      </c>
      <c r="AC2663">
        <v>-13.080500000000001</v>
      </c>
      <c r="AD2663">
        <v>-1.1045269883169999</v>
      </c>
      <c r="AE2663">
        <v>-4.2962000000000202</v>
      </c>
      <c r="AF2663">
        <v>-3.6955521162715801</v>
      </c>
      <c r="AG2663">
        <v>-1.1045269883169999</v>
      </c>
      <c r="AH2663">
        <v>13.171298501313901</v>
      </c>
      <c r="AI2663">
        <v>94.616090684780701</v>
      </c>
      <c r="AJ2663">
        <v>105.67285249786801</v>
      </c>
      <c r="AK2663">
        <v>13.7244376760111</v>
      </c>
      <c r="AL2663">
        <v>88.075125946868297</v>
      </c>
      <c r="AM2663">
        <v>85.980788795615396</v>
      </c>
      <c r="AN2663">
        <v>0.99999997928135698</v>
      </c>
    </row>
    <row r="2664" spans="1:40" x14ac:dyDescent="0.3">
      <c r="A2664" t="str">
        <f>"20200111153929122"</f>
        <v>20200111153929122</v>
      </c>
      <c r="B2664" t="str">
        <f>"1578728369113107"</f>
        <v>1578728369113107</v>
      </c>
      <c r="C2664" t="s">
        <v>40</v>
      </c>
      <c r="D2664">
        <v>5.1376530000000002</v>
      </c>
      <c r="E2664">
        <v>0.36807319999999999</v>
      </c>
      <c r="F2664" t="s">
        <v>42</v>
      </c>
      <c r="G2664">
        <v>-264.37650000000002</v>
      </c>
      <c r="H2664" s="1">
        <v>-2.808895E-6</v>
      </c>
      <c r="I2664">
        <v>137.2816</v>
      </c>
      <c r="J2664">
        <v>-251.34960000000001</v>
      </c>
      <c r="K2664">
        <v>1.1045149999999999</v>
      </c>
      <c r="L2664">
        <v>141.6232</v>
      </c>
      <c r="M2664">
        <v>-0.99896560000000001</v>
      </c>
      <c r="N2664">
        <v>0</v>
      </c>
      <c r="O2664">
        <v>-4.5198149999999999E-2</v>
      </c>
      <c r="P2664">
        <v>-0.99929409999999996</v>
      </c>
      <c r="Q2664">
        <v>2.8760560000000001E-2</v>
      </c>
      <c r="R2664">
        <v>2.416832E-2</v>
      </c>
      <c r="S2664">
        <v>-3.0352169999999998</v>
      </c>
      <c r="T2664">
        <v>-0.2478368</v>
      </c>
      <c r="U2664">
        <v>-0.9792786</v>
      </c>
      <c r="V2664">
        <v>6.9173849999999995E-2</v>
      </c>
      <c r="W2664">
        <v>3.4013210000000002E-2</v>
      </c>
      <c r="X2664">
        <v>0.99702460000000004</v>
      </c>
      <c r="Y2664">
        <v>-0.26306929999999901</v>
      </c>
      <c r="Z2664">
        <v>-6.8718310000000001E-3</v>
      </c>
      <c r="AA2664">
        <v>0.96475250000000001</v>
      </c>
      <c r="AB2664">
        <v>47</v>
      </c>
      <c r="AC2664">
        <v>-13.026899999999999</v>
      </c>
      <c r="AD2664">
        <v>-1.1045178088949901</v>
      </c>
      <c r="AE2664">
        <v>-4.3415999999999997</v>
      </c>
      <c r="AF2664">
        <v>-3.7242669876905401</v>
      </c>
      <c r="AG2664">
        <v>-1.1045178088949901</v>
      </c>
      <c r="AH2664">
        <v>13.1249003046212</v>
      </c>
      <c r="AI2664">
        <v>94.628468658354606</v>
      </c>
      <c r="AJ2664">
        <v>105.84159987703001</v>
      </c>
      <c r="AK2664">
        <v>13.687700032949801</v>
      </c>
      <c r="AL2664">
        <v>88.050810634010702</v>
      </c>
      <c r="AM2664">
        <v>86.031162549466302</v>
      </c>
      <c r="AN2664">
        <v>0.99999998649174304</v>
      </c>
    </row>
    <row r="2665" spans="1:40" x14ac:dyDescent="0.3">
      <c r="A2665" t="str">
        <f>"20200111153929144"</f>
        <v>20200111153929144</v>
      </c>
      <c r="B2665" t="str">
        <f>"1578728369133603"</f>
        <v>1578728369133603</v>
      </c>
      <c r="C2665" t="s">
        <v>40</v>
      </c>
      <c r="D2665">
        <v>5.1058690000000002</v>
      </c>
      <c r="E2665">
        <v>0.36740970000000001</v>
      </c>
      <c r="F2665" t="s">
        <v>42</v>
      </c>
      <c r="G2665">
        <v>-264.9135</v>
      </c>
      <c r="H2665" s="1">
        <v>-2.5942059999999998E-6</v>
      </c>
      <c r="I2665">
        <v>137.19319999999999</v>
      </c>
      <c r="J2665">
        <v>-251.79560000000001</v>
      </c>
      <c r="K2665">
        <v>1.104506</v>
      </c>
      <c r="L2665">
        <v>141.60239999999999</v>
      </c>
      <c r="M2665">
        <v>-0.99890820000000002</v>
      </c>
      <c r="N2665">
        <v>0</v>
      </c>
      <c r="O2665">
        <v>-4.6448950000000003E-2</v>
      </c>
      <c r="P2665">
        <v>-0.99934259999999997</v>
      </c>
      <c r="Q2665">
        <v>2.8776090000000001E-2</v>
      </c>
      <c r="R2665">
        <v>2.2055149999999999E-2</v>
      </c>
      <c r="S2665">
        <v>-3.033188</v>
      </c>
      <c r="T2665">
        <v>-0.2469963</v>
      </c>
      <c r="U2665">
        <v>-0.99064640000000004</v>
      </c>
      <c r="V2665">
        <v>6.8314650000000005E-2</v>
      </c>
      <c r="W2665">
        <v>3.4034189999999999E-2</v>
      </c>
      <c r="X2665">
        <v>0.9970831</v>
      </c>
      <c r="Y2665">
        <v>-0.2653218</v>
      </c>
      <c r="Z2665">
        <v>-6.8397390000000001E-3</v>
      </c>
      <c r="AA2665">
        <v>0.96413559999999998</v>
      </c>
      <c r="AB2665">
        <v>47</v>
      </c>
      <c r="AC2665">
        <v>-13.117899999999899</v>
      </c>
      <c r="AD2665">
        <v>-1.104508594206</v>
      </c>
      <c r="AE2665">
        <v>-4.4091999999999896</v>
      </c>
      <c r="AF2665">
        <v>-3.7710995982824298</v>
      </c>
      <c r="AG2665">
        <v>-1.104508594206</v>
      </c>
      <c r="AH2665">
        <v>13.224310573568401</v>
      </c>
      <c r="AI2665">
        <v>94.5920916992619</v>
      </c>
      <c r="AJ2665">
        <v>105.916251374719</v>
      </c>
      <c r="AK2665">
        <v>13.7957791212035</v>
      </c>
      <c r="AL2665">
        <v>88.049607826140999</v>
      </c>
      <c r="AM2665">
        <v>86.080533626936003</v>
      </c>
      <c r="AN2665">
        <v>0.99999996289959303</v>
      </c>
    </row>
    <row r="2666" spans="1:40" x14ac:dyDescent="0.3">
      <c r="A2666" t="str">
        <f>"20200111153929165"</f>
        <v>20200111153929165</v>
      </c>
      <c r="B2666" t="str">
        <f>"1578728369163860"</f>
        <v>1578728369163860</v>
      </c>
      <c r="C2666" t="s">
        <v>40</v>
      </c>
      <c r="D2666">
        <v>5.1358870000000003</v>
      </c>
      <c r="E2666">
        <v>0.36651509999999998</v>
      </c>
      <c r="F2666" t="s">
        <v>42</v>
      </c>
      <c r="G2666">
        <v>-265.29160000000002</v>
      </c>
      <c r="H2666" s="1">
        <v>-2.4411179999999999E-6</v>
      </c>
      <c r="I2666">
        <v>137.14179999999999</v>
      </c>
      <c r="J2666">
        <v>-252.25139999999999</v>
      </c>
      <c r="K2666">
        <v>1.104492</v>
      </c>
      <c r="L2666">
        <v>141.5805</v>
      </c>
      <c r="M2666">
        <v>-0.99884850000000003</v>
      </c>
      <c r="N2666">
        <v>0</v>
      </c>
      <c r="O2666">
        <v>-4.7716559999999998E-2</v>
      </c>
      <c r="P2666">
        <v>-0.99940530000000005</v>
      </c>
      <c r="Q2666">
        <v>2.8329480000000001E-2</v>
      </c>
      <c r="R2666">
        <v>1.9669320000000001E-2</v>
      </c>
      <c r="S2666">
        <v>-3.0312350000000001</v>
      </c>
      <c r="T2666">
        <v>-0.2480762</v>
      </c>
      <c r="U2666">
        <v>-1.001846</v>
      </c>
      <c r="V2666">
        <v>6.7202499999999998E-2</v>
      </c>
      <c r="W2666">
        <v>3.3591450000000002E-2</v>
      </c>
      <c r="X2666">
        <v>0.99717370000000005</v>
      </c>
      <c r="Y2666">
        <v>-0.2674879</v>
      </c>
      <c r="Z2666">
        <v>-6.8557499999999999E-3</v>
      </c>
      <c r="AA2666">
        <v>0.96353679999999997</v>
      </c>
      <c r="AB2666">
        <v>47</v>
      </c>
      <c r="AC2666">
        <v>-13.0402</v>
      </c>
      <c r="AD2666">
        <v>-1.104494441118</v>
      </c>
      <c r="AE2666">
        <v>-4.4387000000000096</v>
      </c>
      <c r="AF2666">
        <v>-3.7870553926262698</v>
      </c>
      <c r="AG2666">
        <v>-1.104494441118</v>
      </c>
      <c r="AH2666">
        <v>13.152589013832699</v>
      </c>
      <c r="AI2666">
        <v>94.613597208487505</v>
      </c>
      <c r="AJ2666">
        <v>106.062819389897</v>
      </c>
      <c r="AK2666">
        <v>13.7314345311796</v>
      </c>
      <c r="AL2666">
        <v>88.074989497180198</v>
      </c>
      <c r="AM2666">
        <v>86.144497030255295</v>
      </c>
      <c r="AN2666">
        <v>0.99999997474552005</v>
      </c>
    </row>
    <row r="2667" spans="1:40" x14ac:dyDescent="0.3">
      <c r="A2667" t="str">
        <f>"20200111153929187"</f>
        <v>20200111153929187</v>
      </c>
      <c r="B2667" t="str">
        <f>"1578728369183379"</f>
        <v>1578728369183379</v>
      </c>
      <c r="C2667" t="s">
        <v>40</v>
      </c>
      <c r="D2667">
        <v>5.1190290000000003</v>
      </c>
      <c r="E2667">
        <v>0.36597449999999998</v>
      </c>
      <c r="F2667" t="s">
        <v>42</v>
      </c>
      <c r="G2667">
        <v>-265.56279999999998</v>
      </c>
      <c r="H2667" s="1">
        <v>-2.3291880000000002E-6</v>
      </c>
      <c r="I2667">
        <v>137.11699999999999</v>
      </c>
      <c r="J2667">
        <v>-252.70189999999999</v>
      </c>
      <c r="K2667">
        <v>1.1044700000000001</v>
      </c>
      <c r="L2667">
        <v>141.55840000000001</v>
      </c>
      <c r="M2667">
        <v>-0.99878840000000002</v>
      </c>
      <c r="N2667">
        <v>0</v>
      </c>
      <c r="O2667">
        <v>-4.8954119999999997E-2</v>
      </c>
      <c r="P2667">
        <v>-0.99947759999999997</v>
      </c>
      <c r="Q2667">
        <v>2.7577460000000002E-2</v>
      </c>
      <c r="R2667">
        <v>1.6852679999999998E-2</v>
      </c>
      <c r="S2667">
        <v>-3.0289000000000001</v>
      </c>
      <c r="T2667">
        <v>-0.25132080000000001</v>
      </c>
      <c r="U2667">
        <v>-1.0156400000000001</v>
      </c>
      <c r="V2667">
        <v>6.5632179999999998E-2</v>
      </c>
      <c r="W2667">
        <v>3.2842759999999999E-2</v>
      </c>
      <c r="X2667">
        <v>0.99730319999999995</v>
      </c>
      <c r="Y2667">
        <v>-0.27044190000000001</v>
      </c>
      <c r="Z2667">
        <v>-6.9652400000000001E-3</v>
      </c>
      <c r="AA2667">
        <v>0.96271110000000004</v>
      </c>
      <c r="AB2667">
        <v>47</v>
      </c>
      <c r="AC2667">
        <v>-12.8608999999999</v>
      </c>
      <c r="AD2667">
        <v>-1.1044723291879901</v>
      </c>
      <c r="AE2667">
        <v>-4.4413999999999803</v>
      </c>
      <c r="AF2667">
        <v>-3.7815551715070299</v>
      </c>
      <c r="AG2667">
        <v>-1.1044723291879901</v>
      </c>
      <c r="AH2667">
        <v>12.9773960691018</v>
      </c>
      <c r="AI2667">
        <v>94.671206506323401</v>
      </c>
      <c r="AJ2667">
        <v>106.24588648272599</v>
      </c>
      <c r="AK2667">
        <v>13.5621837244387</v>
      </c>
      <c r="AL2667">
        <v>88.117909917596407</v>
      </c>
      <c r="AM2667">
        <v>86.234813788287099</v>
      </c>
      <c r="AN2667">
        <v>0.99999995133310304</v>
      </c>
    </row>
    <row r="2668" spans="1:40" x14ac:dyDescent="0.3">
      <c r="A2668" t="str">
        <f>"20200111153929211"</f>
        <v>20200111153929211</v>
      </c>
      <c r="B2668" t="str">
        <f>"1578728369203876"</f>
        <v>1578728369203876</v>
      </c>
      <c r="C2668" t="s">
        <v>40</v>
      </c>
      <c r="D2668">
        <v>5.1201879999999997</v>
      </c>
      <c r="E2668">
        <v>0.36549559999999998</v>
      </c>
      <c r="F2668" t="s">
        <v>42</v>
      </c>
      <c r="G2668">
        <v>-265.80110000000002</v>
      </c>
      <c r="H2668" s="1">
        <v>-2.2285540000000001E-6</v>
      </c>
      <c r="I2668">
        <v>137.108</v>
      </c>
      <c r="J2668">
        <v>-253.203</v>
      </c>
      <c r="K2668">
        <v>1.1044510000000001</v>
      </c>
      <c r="L2668">
        <v>141.53309999999999</v>
      </c>
      <c r="M2668">
        <v>-0.99872099999999997</v>
      </c>
      <c r="N2668">
        <v>0</v>
      </c>
      <c r="O2668">
        <v>-5.0309439999999997E-2</v>
      </c>
      <c r="P2668">
        <v>-0.99951840000000003</v>
      </c>
      <c r="Q2668">
        <v>2.7741129999999999E-2</v>
      </c>
      <c r="R2668">
        <v>1.390801E-2</v>
      </c>
      <c r="S2668">
        <v>-3.0259399999999999</v>
      </c>
      <c r="T2668">
        <v>-0.25513659999999999</v>
      </c>
      <c r="U2668">
        <v>-1.028046</v>
      </c>
      <c r="V2668">
        <v>6.4047060000000003E-2</v>
      </c>
      <c r="W2668">
        <v>3.300956E-2</v>
      </c>
      <c r="X2668">
        <v>0.99740079999999998</v>
      </c>
      <c r="Y2668">
        <v>-0.27293689999999998</v>
      </c>
      <c r="Z2668">
        <v>-7.0645229999999996E-3</v>
      </c>
      <c r="AA2668">
        <v>0.96200600000000003</v>
      </c>
      <c r="AB2668">
        <v>47</v>
      </c>
      <c r="AC2668">
        <v>-12.598100000000001</v>
      </c>
      <c r="AD2668">
        <v>-1.1044532285539901</v>
      </c>
      <c r="AE2668">
        <v>-4.42509999999998</v>
      </c>
      <c r="AF2668">
        <v>-3.75996066188485</v>
      </c>
      <c r="AG2668">
        <v>-1.1044532285539901</v>
      </c>
      <c r="AH2668">
        <v>12.717763391698799</v>
      </c>
      <c r="AI2668">
        <v>94.760605377981605</v>
      </c>
      <c r="AJ2668">
        <v>106.470122964195</v>
      </c>
      <c r="AK2668">
        <v>13.3078408015809</v>
      </c>
      <c r="AL2668">
        <v>88.108347900583098</v>
      </c>
      <c r="AM2668">
        <v>86.325855312485004</v>
      </c>
      <c r="AN2668">
        <v>1.0000000063933301</v>
      </c>
    </row>
    <row r="2669" spans="1:40" x14ac:dyDescent="0.3">
      <c r="A2669" t="str">
        <f>"20200111153929234"</f>
        <v>20200111153929234</v>
      </c>
      <c r="B2669" t="str">
        <f>"1578728369223396"</f>
        <v>1578728369223396</v>
      </c>
      <c r="C2669" t="s">
        <v>40</v>
      </c>
      <c r="D2669">
        <v>5.0996579999999998</v>
      </c>
      <c r="E2669">
        <v>0.36504150000000002</v>
      </c>
      <c r="F2669" t="s">
        <v>42</v>
      </c>
      <c r="G2669">
        <v>-266.29300000000001</v>
      </c>
      <c r="H2669" s="1">
        <v>-2.031815E-6</v>
      </c>
      <c r="I2669">
        <v>137.0273</v>
      </c>
      <c r="J2669">
        <v>-253.67609999999999</v>
      </c>
      <c r="K2669">
        <v>1.1044309999999999</v>
      </c>
      <c r="L2669">
        <v>141.5087</v>
      </c>
      <c r="M2669">
        <v>-0.99865709999999996</v>
      </c>
      <c r="N2669">
        <v>0</v>
      </c>
      <c r="O2669">
        <v>-5.156376E-2</v>
      </c>
      <c r="P2669">
        <v>-0.99954980000000004</v>
      </c>
      <c r="Q2669">
        <v>2.7947400000000001E-2</v>
      </c>
      <c r="R2669">
        <v>1.092331E-2</v>
      </c>
      <c r="S2669">
        <v>-3.0230100000000002</v>
      </c>
      <c r="T2669">
        <v>-0.25506309999999999</v>
      </c>
      <c r="U2669">
        <v>-1.0405580000000001</v>
      </c>
      <c r="V2669">
        <v>6.2321059999999998E-2</v>
      </c>
      <c r="W2669">
        <v>3.3217820000000002E-2</v>
      </c>
      <c r="X2669">
        <v>0.99750320000000003</v>
      </c>
      <c r="Y2669">
        <v>-0.27557229999999999</v>
      </c>
      <c r="Z2669">
        <v>-7.0701990000000001E-3</v>
      </c>
      <c r="AA2669">
        <v>0.96125439999999995</v>
      </c>
      <c r="AB2669">
        <v>47</v>
      </c>
      <c r="AC2669">
        <v>-12.616899999999999</v>
      </c>
      <c r="AD2669">
        <v>-1.104433031815</v>
      </c>
      <c r="AE2669">
        <v>-4.4813999999999998</v>
      </c>
      <c r="AF2669">
        <v>-3.79900629588664</v>
      </c>
      <c r="AG2669">
        <v>-1.104433031815</v>
      </c>
      <c r="AH2669">
        <v>12.744480869017099</v>
      </c>
      <c r="AI2669">
        <v>94.747432528322605</v>
      </c>
      <c r="AJ2669">
        <v>106.598808993253</v>
      </c>
      <c r="AK2669">
        <v>13.3444375594738</v>
      </c>
      <c r="AL2669">
        <v>88.096408895420296</v>
      </c>
      <c r="AM2669">
        <v>86.424975294129297</v>
      </c>
      <c r="AN2669">
        <v>0.99999998604765705</v>
      </c>
    </row>
    <row r="2670" spans="1:40" x14ac:dyDescent="0.3">
      <c r="A2670" t="str">
        <f>"20200111153929256"</f>
        <v>20200111153929256</v>
      </c>
      <c r="B2670" t="str">
        <f>"1578728369253651"</f>
        <v>1578728369253651</v>
      </c>
      <c r="C2670" t="s">
        <v>40</v>
      </c>
      <c r="D2670">
        <v>5.2889109999999997</v>
      </c>
      <c r="E2670">
        <v>0.36472130000000003</v>
      </c>
      <c r="F2670" t="s">
        <v>42</v>
      </c>
      <c r="G2670">
        <v>-266.78730000000002</v>
      </c>
      <c r="H2670" s="1">
        <v>-1.8358259999999999E-6</v>
      </c>
      <c r="I2670">
        <v>136.93680000000001</v>
      </c>
      <c r="J2670">
        <v>-254.15459999999999</v>
      </c>
      <c r="K2670">
        <v>1.104409</v>
      </c>
      <c r="L2670">
        <v>141.48339999999999</v>
      </c>
      <c r="M2670">
        <v>-0.99859240000000005</v>
      </c>
      <c r="N2670">
        <v>0</v>
      </c>
      <c r="O2670">
        <v>-5.2800159999999999E-2</v>
      </c>
      <c r="P2670">
        <v>-0.999579</v>
      </c>
      <c r="Q2670">
        <v>2.7601210000000001E-2</v>
      </c>
      <c r="R2670">
        <v>8.9379709999999994E-3</v>
      </c>
      <c r="S2670">
        <v>-3.0199579999999999</v>
      </c>
      <c r="T2670">
        <v>-0.25438939999999999</v>
      </c>
      <c r="U2670">
        <v>-1.0530550000000001</v>
      </c>
      <c r="V2670">
        <v>6.1577930000000003E-2</v>
      </c>
      <c r="W2670">
        <v>3.2876589999999997E-2</v>
      </c>
      <c r="X2670">
        <v>0.99756069999999997</v>
      </c>
      <c r="Y2670">
        <v>-0.27823049999999999</v>
      </c>
      <c r="Z2670">
        <v>-7.0619059999999997E-3</v>
      </c>
      <c r="AA2670">
        <v>0.96048840000000002</v>
      </c>
      <c r="AB2670">
        <v>47</v>
      </c>
      <c r="AC2670">
        <v>-12.6327</v>
      </c>
      <c r="AD2670">
        <v>-1.1044108358260001</v>
      </c>
      <c r="AE2670">
        <v>-4.5465999999999802</v>
      </c>
      <c r="AF2670">
        <v>-3.8472082549993498</v>
      </c>
      <c r="AG2670">
        <v>-1.1044108358260001</v>
      </c>
      <c r="AH2670">
        <v>12.768741578434801</v>
      </c>
      <c r="AI2670">
        <v>94.734198619589193</v>
      </c>
      <c r="AJ2670">
        <v>106.767498301164</v>
      </c>
      <c r="AK2670">
        <v>13.3813861818749</v>
      </c>
      <c r="AL2670">
        <v>88.115970703953195</v>
      </c>
      <c r="AM2670">
        <v>86.467699178655906</v>
      </c>
      <c r="AN2670">
        <v>1.0000000309088</v>
      </c>
    </row>
    <row r="2671" spans="1:40" x14ac:dyDescent="0.3">
      <c r="A2671" t="str">
        <f>"20200111153929279"</f>
        <v>20200111153929279</v>
      </c>
      <c r="B2671" t="str">
        <f>"1578728369273172"</f>
        <v>1578728369273172</v>
      </c>
      <c r="C2671" t="s">
        <v>40</v>
      </c>
      <c r="D2671">
        <v>5.3093599999999999</v>
      </c>
      <c r="E2671">
        <v>0.36626439999999999</v>
      </c>
      <c r="F2671" t="s">
        <v>42</v>
      </c>
      <c r="G2671">
        <v>-267.2285</v>
      </c>
      <c r="H2671" s="1">
        <v>-1.6560610000000001E-6</v>
      </c>
      <c r="I2671">
        <v>136.8844</v>
      </c>
      <c r="J2671">
        <v>-254.6386</v>
      </c>
      <c r="K2671">
        <v>1.104379</v>
      </c>
      <c r="L2671">
        <v>141.4572</v>
      </c>
      <c r="M2671">
        <v>-0.99852730000000001</v>
      </c>
      <c r="N2671">
        <v>0</v>
      </c>
      <c r="O2671">
        <v>-5.4012900000000003E-2</v>
      </c>
      <c r="P2671">
        <v>-0.99960059999999995</v>
      </c>
      <c r="Q2671">
        <v>2.7428149999999998E-2</v>
      </c>
      <c r="R2671">
        <v>6.7959519999999897E-3</v>
      </c>
      <c r="S2671">
        <v>-3.017792</v>
      </c>
      <c r="T2671">
        <v>-0.25492550000000003</v>
      </c>
      <c r="U2671">
        <v>-1.0615540000000001</v>
      </c>
      <c r="V2671">
        <v>6.0654369999999999E-2</v>
      </c>
      <c r="W2671">
        <v>3.2707880000000002E-2</v>
      </c>
      <c r="X2671">
        <v>0.99762280000000003</v>
      </c>
      <c r="Y2671">
        <v>-0.27968379999999998</v>
      </c>
      <c r="Z2671">
        <v>-7.0391669999999998E-3</v>
      </c>
      <c r="AA2671">
        <v>0.96006639999999999</v>
      </c>
      <c r="AB2671">
        <v>48</v>
      </c>
      <c r="AC2671">
        <v>-12.5899</v>
      </c>
      <c r="AD2671">
        <v>-1.1043806560609899</v>
      </c>
      <c r="AE2671">
        <v>-4.5728</v>
      </c>
      <c r="AF2671">
        <v>-3.85985980404784</v>
      </c>
      <c r="AG2671">
        <v>-1.1043806560609899</v>
      </c>
      <c r="AH2671">
        <v>12.7319637417243</v>
      </c>
      <c r="AI2671">
        <v>94.745243369039599</v>
      </c>
      <c r="AJ2671">
        <v>106.86535990242599</v>
      </c>
      <c r="AK2671">
        <v>13.349946631390299</v>
      </c>
      <c r="AL2671">
        <v>88.125642226666002</v>
      </c>
      <c r="AM2671">
        <v>86.520762355557196</v>
      </c>
      <c r="AN2671">
        <v>1.0000000045470101</v>
      </c>
    </row>
    <row r="2672" spans="1:40" x14ac:dyDescent="0.3">
      <c r="A2672" t="str">
        <f>"20200111153929303"</f>
        <v>20200111153929303</v>
      </c>
      <c r="B2672" t="str">
        <f>"1578728369293667"</f>
        <v>1578728369293667</v>
      </c>
      <c r="C2672" t="s">
        <v>40</v>
      </c>
      <c r="D2672">
        <v>5.4859439999999999</v>
      </c>
      <c r="E2672">
        <v>0.48139179999999998</v>
      </c>
      <c r="F2672" t="s">
        <v>42</v>
      </c>
      <c r="G2672">
        <v>-267.75560000000002</v>
      </c>
      <c r="H2672" s="1">
        <v>-1.4815929999999999E-6</v>
      </c>
      <c r="I2672">
        <v>136.86600000000001</v>
      </c>
      <c r="J2672">
        <v>-255.1397</v>
      </c>
      <c r="K2672">
        <v>1.1043480000000001</v>
      </c>
      <c r="L2672">
        <v>141.42949999999999</v>
      </c>
      <c r="M2672">
        <v>-0.99846080000000004</v>
      </c>
      <c r="N2672">
        <v>0</v>
      </c>
      <c r="O2672">
        <v>-5.5231460000000003E-2</v>
      </c>
      <c r="P2672">
        <v>-0.99962589999999996</v>
      </c>
      <c r="Q2672">
        <v>2.686384E-2</v>
      </c>
      <c r="R2672">
        <v>5.1701730000000001E-3</v>
      </c>
      <c r="S2672">
        <v>-3.0153660000000002</v>
      </c>
      <c r="T2672">
        <v>-0.25387939999999998</v>
      </c>
      <c r="U2672">
        <v>-1.05542</v>
      </c>
      <c r="V2672">
        <v>6.0254349999999998E-2</v>
      </c>
      <c r="W2672">
        <v>3.2149320000000002E-2</v>
      </c>
      <c r="X2672">
        <v>0.99766520000000003</v>
      </c>
      <c r="Y2672">
        <v>-0.27703070000000002</v>
      </c>
      <c r="Z2672">
        <v>-6.8107289999999997E-3</v>
      </c>
      <c r="AA2672">
        <v>0.96083689999999999</v>
      </c>
      <c r="AB2672">
        <v>48</v>
      </c>
      <c r="AC2672">
        <v>-12.6159</v>
      </c>
      <c r="AD2672">
        <v>-1.1043494815929999</v>
      </c>
      <c r="AE2672">
        <v>-4.5634999999999701</v>
      </c>
      <c r="AF2672">
        <v>-3.8337530290063699</v>
      </c>
      <c r="AG2672">
        <v>-1.1043494815929999</v>
      </c>
      <c r="AH2672">
        <v>12.762217553549901</v>
      </c>
      <c r="AI2672">
        <v>94.737516933489403</v>
      </c>
      <c r="AJ2672">
        <v>106.720197377617</v>
      </c>
      <c r="AK2672">
        <v>13.37129189529</v>
      </c>
      <c r="AL2672">
        <v>88.157662205363806</v>
      </c>
      <c r="AM2672">
        <v>86.543798906979106</v>
      </c>
      <c r="AN2672">
        <v>1.0000000083807099</v>
      </c>
    </row>
    <row r="2673" spans="1:40" x14ac:dyDescent="0.3">
      <c r="A2673" t="str">
        <f>"20200111153929345"</f>
        <v>20200111153929345</v>
      </c>
      <c r="B2673" t="str">
        <f>"1578728369333683"</f>
        <v>1578728369333683</v>
      </c>
      <c r="C2673" t="s">
        <v>40</v>
      </c>
      <c r="D2673">
        <v>5.5370369999999998</v>
      </c>
      <c r="E2673">
        <v>0.48469000000000001</v>
      </c>
      <c r="F2673" t="s">
        <v>41</v>
      </c>
      <c r="G2673">
        <v>-256.1146</v>
      </c>
      <c r="H2673">
        <v>1.027245</v>
      </c>
      <c r="I2673">
        <v>141.3837</v>
      </c>
      <c r="J2673">
        <v>-256.05130000000003</v>
      </c>
      <c r="K2673">
        <v>1.1042809999999901</v>
      </c>
      <c r="L2673">
        <v>141.3776</v>
      </c>
      <c r="M2673">
        <v>-0.99834219999999896</v>
      </c>
      <c r="N2673">
        <v>0</v>
      </c>
      <c r="O2673">
        <v>-5.7335919999999999E-2</v>
      </c>
      <c r="P2673">
        <v>-0.99965879999999996</v>
      </c>
      <c r="Q2673">
        <v>2.5951169999999999E-2</v>
      </c>
      <c r="R2673">
        <v>3.0876940000000002E-3</v>
      </c>
      <c r="S2673">
        <v>-3.0082399999999998</v>
      </c>
      <c r="T2673">
        <v>-0.2379038</v>
      </c>
      <c r="U2673">
        <v>-0.1411896</v>
      </c>
      <c r="V2673">
        <v>6.0287970000000003E-2</v>
      </c>
      <c r="W2673">
        <v>3.124855E-2</v>
      </c>
      <c r="X2673">
        <v>0.99769180000000002</v>
      </c>
      <c r="Y2673">
        <v>1.0257759999999999E-2</v>
      </c>
      <c r="Z2673">
        <v>4.9262439999999998E-3</v>
      </c>
      <c r="AA2673">
        <v>0.99993529999999997</v>
      </c>
      <c r="AB2673">
        <v>48</v>
      </c>
      <c r="AC2673">
        <v>-6.32999999999697E-2</v>
      </c>
      <c r="AD2673">
        <v>-7.7035999999999799E-2</v>
      </c>
      <c r="AE2673">
        <v>6.1000000000035401E-3</v>
      </c>
      <c r="AF2673">
        <v>3.93902403475083E-3</v>
      </c>
      <c r="AG2673">
        <v>-7.7035999999999799E-2</v>
      </c>
      <c r="AH2673">
        <v>2.54699864268251E-2</v>
      </c>
      <c r="AI2673">
        <v>161.50207779878599</v>
      </c>
      <c r="AJ2673">
        <v>81.208651968939904</v>
      </c>
      <c r="AK2673">
        <v>8.1232883827480701E-2</v>
      </c>
      <c r="AL2673">
        <v>88.209298495067102</v>
      </c>
      <c r="AM2673">
        <v>86.541967111119504</v>
      </c>
      <c r="AN2673">
        <v>1.0000000194955301</v>
      </c>
    </row>
    <row r="2674" spans="1:40" x14ac:dyDescent="0.3">
      <c r="A2674" t="str">
        <f>"20200111153929367"</f>
        <v>20200111153929367</v>
      </c>
      <c r="B2674" t="str">
        <f>"1578728369363941"</f>
        <v>1578728369363941</v>
      </c>
      <c r="C2674" t="s">
        <v>40</v>
      </c>
      <c r="D2674">
        <v>5.3583379999999998</v>
      </c>
      <c r="E2674">
        <v>0.48455419999999999</v>
      </c>
      <c r="F2674" t="s">
        <v>41</v>
      </c>
      <c r="G2674">
        <v>-256.97579999999999</v>
      </c>
      <c r="H2674">
        <v>1.0345169999999999</v>
      </c>
      <c r="I2674">
        <v>141.34030000000001</v>
      </c>
      <c r="J2674">
        <v>-256.53230000000002</v>
      </c>
      <c r="K2674">
        <v>1.104231</v>
      </c>
      <c r="L2674">
        <v>141.34950000000001</v>
      </c>
      <c r="M2674">
        <v>-0.99828159999999999</v>
      </c>
      <c r="N2674">
        <v>0</v>
      </c>
      <c r="O2674">
        <v>-5.837697E-2</v>
      </c>
      <c r="P2674">
        <v>-0.9996737</v>
      </c>
      <c r="Q2674">
        <v>2.5467750000000001E-2</v>
      </c>
      <c r="R2674">
        <v>1.984469E-3</v>
      </c>
      <c r="S2674">
        <v>-3.007263</v>
      </c>
      <c r="T2674">
        <v>-0.22687289999999999</v>
      </c>
      <c r="U2674">
        <v>-0.1208801</v>
      </c>
      <c r="V2674">
        <v>6.0232389999999997E-2</v>
      </c>
      <c r="W2674">
        <v>3.0770510000000001E-2</v>
      </c>
      <c r="X2674">
        <v>0.99770999999999999</v>
      </c>
      <c r="Y2674">
        <v>1.801902E-2</v>
      </c>
      <c r="Z2674">
        <v>5.0713879999999996E-3</v>
      </c>
      <c r="AA2674">
        <v>0.99982479999999996</v>
      </c>
      <c r="AB2674">
        <v>48</v>
      </c>
      <c r="AC2674">
        <v>-0.44349999999997097</v>
      </c>
      <c r="AD2674">
        <v>-6.9713999999999998E-2</v>
      </c>
      <c r="AE2674">
        <v>-9.1999999999927695E-3</v>
      </c>
      <c r="AF2674">
        <v>1.63035437129933E-2</v>
      </c>
      <c r="AG2674">
        <v>-6.9713999999999998E-2</v>
      </c>
      <c r="AH2674">
        <v>0.43259634907363398</v>
      </c>
      <c r="AI2674">
        <v>99.148267946392806</v>
      </c>
      <c r="AJ2674">
        <v>87.841677674219795</v>
      </c>
      <c r="AK2674">
        <v>0.43848084173135599</v>
      </c>
      <c r="AL2674">
        <v>88.236701321287399</v>
      </c>
      <c r="AM2674">
        <v>86.545210246043197</v>
      </c>
      <c r="AN2674">
        <v>1.0000000045953801</v>
      </c>
    </row>
    <row r="2675" spans="1:40" x14ac:dyDescent="0.3">
      <c r="A2675" t="str">
        <f>"20200111153929389"</f>
        <v>20200111153929389</v>
      </c>
      <c r="B2675" t="str">
        <f>"1578728369383461"</f>
        <v>1578728369383461</v>
      </c>
      <c r="C2675" t="s">
        <v>40</v>
      </c>
      <c r="D2675">
        <v>5.3653469999999999</v>
      </c>
      <c r="E2675">
        <v>0.48402849999999997</v>
      </c>
      <c r="F2675" t="s">
        <v>41</v>
      </c>
      <c r="G2675">
        <v>-257.40859999999998</v>
      </c>
      <c r="H2675">
        <v>1.0396700000000001</v>
      </c>
      <c r="I2675">
        <v>141.3134</v>
      </c>
      <c r="J2675">
        <v>-256.99040000000002</v>
      </c>
      <c r="K2675">
        <v>1.1041829999999999</v>
      </c>
      <c r="L2675">
        <v>141.32230000000001</v>
      </c>
      <c r="M2675">
        <v>-0.99822599999999995</v>
      </c>
      <c r="N2675">
        <v>0</v>
      </c>
      <c r="O2675">
        <v>-5.9318929999999999E-2</v>
      </c>
      <c r="P2675">
        <v>-0.99969149999999996</v>
      </c>
      <c r="Q2675">
        <v>2.4805250000000001E-2</v>
      </c>
      <c r="R2675">
        <v>1.382416E-3</v>
      </c>
      <c r="S2675">
        <v>-3.0068359999999998</v>
      </c>
      <c r="T2675">
        <v>-0.2216622</v>
      </c>
      <c r="U2675">
        <v>-0.1249084</v>
      </c>
      <c r="V2675">
        <v>6.0579279999999999E-2</v>
      </c>
      <c r="W2675">
        <v>3.0113259999999999E-2</v>
      </c>
      <c r="X2675">
        <v>0.99770899999999996</v>
      </c>
      <c r="Y2675">
        <v>1.7627799999999999E-2</v>
      </c>
      <c r="Z2675">
        <v>5.0105419999999998E-3</v>
      </c>
      <c r="AA2675">
        <v>0.99983200000000005</v>
      </c>
      <c r="AB2675">
        <v>48</v>
      </c>
      <c r="AC2675">
        <v>-0.418199999999956</v>
      </c>
      <c r="AD2675">
        <v>-6.4512999999999807E-2</v>
      </c>
      <c r="AE2675">
        <v>-8.9000000000112305E-3</v>
      </c>
      <c r="AF2675">
        <v>1.5553217125993999E-2</v>
      </c>
      <c r="AG2675">
        <v>-6.4512999999999807E-2</v>
      </c>
      <c r="AH2675">
        <v>0.40827997586699599</v>
      </c>
      <c r="AI2675">
        <v>98.972760965196102</v>
      </c>
      <c r="AJ2675">
        <v>87.818401443540793</v>
      </c>
      <c r="AK2675">
        <v>0.41363796782442902</v>
      </c>
      <c r="AL2675">
        <v>88.274376345022105</v>
      </c>
      <c r="AM2675">
        <v>86.525358576446706</v>
      </c>
      <c r="AN2675">
        <v>0.99999995313707102</v>
      </c>
    </row>
    <row r="2676" spans="1:40" x14ac:dyDescent="0.3">
      <c r="A2676" t="str">
        <f>"20200111153929412"</f>
        <v>20200111153929412</v>
      </c>
      <c r="B2676" t="str">
        <f>"1578728369403957"</f>
        <v>1578728369403957</v>
      </c>
      <c r="C2676" t="s">
        <v>40</v>
      </c>
      <c r="D2676">
        <v>5.3790990000000001</v>
      </c>
      <c r="E2676">
        <v>0.48274250000000002</v>
      </c>
      <c r="F2676" t="s">
        <v>41</v>
      </c>
      <c r="G2676">
        <v>-257.8408</v>
      </c>
      <c r="H2676">
        <v>1.041288</v>
      </c>
      <c r="I2676">
        <v>141.28550000000001</v>
      </c>
      <c r="J2676">
        <v>-257.51029999999997</v>
      </c>
      <c r="K2676">
        <v>1.1041219999999901</v>
      </c>
      <c r="L2676">
        <v>141.291</v>
      </c>
      <c r="M2676">
        <v>-0.99816539999999998</v>
      </c>
      <c r="N2676">
        <v>0</v>
      </c>
      <c r="O2676">
        <v>-6.0329439999999998E-2</v>
      </c>
      <c r="P2676">
        <v>-0.99971180000000004</v>
      </c>
      <c r="Q2676">
        <v>2.4007770000000001E-2</v>
      </c>
      <c r="R2676">
        <v>4.3233280000000001E-4</v>
      </c>
      <c r="S2676">
        <v>-3.0065919999999999</v>
      </c>
      <c r="T2676">
        <v>-0.22242239999999999</v>
      </c>
      <c r="U2676">
        <v>-0.1308289</v>
      </c>
      <c r="V2676">
        <v>6.0648460000000001E-2</v>
      </c>
      <c r="W2676">
        <v>2.9319680000000001E-2</v>
      </c>
      <c r="X2676">
        <v>0.99772850000000002</v>
      </c>
      <c r="Y2676">
        <v>1.6669779999999999E-2</v>
      </c>
      <c r="Z2676">
        <v>5.0669130000000001E-3</v>
      </c>
      <c r="AA2676">
        <v>0.99984819999999996</v>
      </c>
      <c r="AB2676">
        <v>48</v>
      </c>
      <c r="AC2676">
        <v>-0.33050000000002899</v>
      </c>
      <c r="AD2676">
        <v>-6.2833999999999807E-2</v>
      </c>
      <c r="AE2676">
        <v>-5.4999999999836204E-3</v>
      </c>
      <c r="AF2676">
        <v>1.39452499666699E-2</v>
      </c>
      <c r="AG2676">
        <v>-6.2833999999999807E-2</v>
      </c>
      <c r="AH2676">
        <v>0.31871315025959202</v>
      </c>
      <c r="AI2676">
        <v>101.142389049976</v>
      </c>
      <c r="AJ2676">
        <v>87.494629082251606</v>
      </c>
      <c r="AK2676">
        <v>0.325147126238302</v>
      </c>
      <c r="AL2676">
        <v>88.319865333964501</v>
      </c>
      <c r="AM2676">
        <v>86.521468182372303</v>
      </c>
      <c r="AN2676">
        <v>1.00000001952396</v>
      </c>
    </row>
    <row r="2677" spans="1:40" x14ac:dyDescent="0.3">
      <c r="A2677" t="str">
        <f>"20200111153929436"</f>
        <v>20200111153929436</v>
      </c>
      <c r="B2677" t="str">
        <f>"1578728369433742"</f>
        <v>1578728369433742</v>
      </c>
      <c r="C2677" t="s">
        <v>40</v>
      </c>
      <c r="D2677">
        <v>5.3401940000000003</v>
      </c>
      <c r="E2677">
        <v>0.48119420000000002</v>
      </c>
      <c r="F2677" t="s">
        <v>41</v>
      </c>
      <c r="G2677">
        <v>-258.2774</v>
      </c>
      <c r="H2677">
        <v>1.045668</v>
      </c>
      <c r="I2677">
        <v>141.25460000000001</v>
      </c>
      <c r="J2677">
        <v>-258.01280000000003</v>
      </c>
      <c r="K2677">
        <v>1.1040589999999999</v>
      </c>
      <c r="L2677">
        <v>141.2603</v>
      </c>
      <c r="M2677">
        <v>-0.99810989999999999</v>
      </c>
      <c r="N2677">
        <v>0</v>
      </c>
      <c r="O2677">
        <v>-6.1241480000000001E-2</v>
      </c>
      <c r="P2677">
        <v>-0.99971429999999994</v>
      </c>
      <c r="Q2677">
        <v>2.3895909999999999E-2</v>
      </c>
      <c r="R2677">
        <v>-5.8658810000000001E-4</v>
      </c>
      <c r="S2677">
        <v>-3.0064389999999999</v>
      </c>
      <c r="T2677">
        <v>-0.2292438</v>
      </c>
      <c r="U2677">
        <v>-0.14384459999999999</v>
      </c>
      <c r="V2677">
        <v>6.0547499999999997E-2</v>
      </c>
      <c r="W2677">
        <v>2.9211480000000001E-2</v>
      </c>
      <c r="X2677">
        <v>0.99773780000000001</v>
      </c>
      <c r="Y2677">
        <v>1.325573E-2</v>
      </c>
      <c r="Z2677">
        <v>5.1608269999999998E-3</v>
      </c>
      <c r="AA2677">
        <v>0.99989879999999998</v>
      </c>
      <c r="AB2677">
        <v>48</v>
      </c>
      <c r="AC2677">
        <v>-0.26459999999997302</v>
      </c>
      <c r="AD2677">
        <v>-5.8390999999999998E-2</v>
      </c>
      <c r="AE2677">
        <v>-5.6999999999902597E-3</v>
      </c>
      <c r="AF2677">
        <v>1.00273213080663E-2</v>
      </c>
      <c r="AG2677">
        <v>-5.8390999999999998E-2</v>
      </c>
      <c r="AH2677">
        <v>0.25217753404731102</v>
      </c>
      <c r="AI2677">
        <v>103.026986912903</v>
      </c>
      <c r="AJ2677">
        <v>87.722950664224797</v>
      </c>
      <c r="AK2677">
        <v>0.25904355759562497</v>
      </c>
      <c r="AL2677">
        <v>88.326067384351504</v>
      </c>
      <c r="AM2677">
        <v>86.527276916034495</v>
      </c>
      <c r="AN2677">
        <v>1.00000001393444</v>
      </c>
    </row>
    <row r="2678" spans="1:40" x14ac:dyDescent="0.3">
      <c r="A2678" t="str">
        <f>"20200111153929456"</f>
        <v>20200111153929456</v>
      </c>
      <c r="B2678" t="str">
        <f>"1578728369453262"</f>
        <v>1578728369453262</v>
      </c>
      <c r="C2678" t="s">
        <v>40</v>
      </c>
      <c r="D2678">
        <v>5.5303870000000002</v>
      </c>
      <c r="E2678">
        <v>0.48094320000000002</v>
      </c>
      <c r="F2678" t="s">
        <v>41</v>
      </c>
      <c r="G2678">
        <v>-259.13040000000001</v>
      </c>
      <c r="H2678">
        <v>1.0176700000000001</v>
      </c>
      <c r="I2678">
        <v>141.2013</v>
      </c>
      <c r="J2678">
        <v>-258.45699999999999</v>
      </c>
      <c r="K2678">
        <v>1.104007</v>
      </c>
      <c r="L2678">
        <v>141.23269999999999</v>
      </c>
      <c r="M2678">
        <v>-0.99806309999999998</v>
      </c>
      <c r="N2678">
        <v>0</v>
      </c>
      <c r="O2678">
        <v>-6.1995599999999998E-2</v>
      </c>
      <c r="P2678">
        <v>-0.99972280000000002</v>
      </c>
      <c r="Q2678">
        <v>2.3520309999999999E-2</v>
      </c>
      <c r="R2678">
        <v>-1.108316E-3</v>
      </c>
      <c r="S2678">
        <v>-3.0062869999999999</v>
      </c>
      <c r="T2678">
        <v>-0.23245750000000001</v>
      </c>
      <c r="U2678">
        <v>-0.15925599999999901</v>
      </c>
      <c r="V2678">
        <v>6.0785949999999998E-2</v>
      </c>
      <c r="W2678">
        <v>2.883923E-2</v>
      </c>
      <c r="X2678">
        <v>0.99773409999999996</v>
      </c>
      <c r="Y2678">
        <v>8.9005479999999994E-3</v>
      </c>
      <c r="Z2678">
        <v>5.1224119999999998E-3</v>
      </c>
      <c r="AA2678">
        <v>0.99994720000000004</v>
      </c>
      <c r="AB2678">
        <v>49</v>
      </c>
      <c r="AC2678">
        <v>-0.67340000000001499</v>
      </c>
      <c r="AD2678">
        <v>-8.6336999999999803E-2</v>
      </c>
      <c r="AE2678">
        <v>-3.1399999999990699E-2</v>
      </c>
      <c r="AF2678">
        <v>1.02408212067144E-2</v>
      </c>
      <c r="AG2678">
        <v>-8.6336999999999803E-2</v>
      </c>
      <c r="AH2678">
        <v>0.66317374939311702</v>
      </c>
      <c r="AI2678">
        <v>97.416607647596393</v>
      </c>
      <c r="AJ2678">
        <v>89.115300926939</v>
      </c>
      <c r="AK2678">
        <v>0.66884854329819099</v>
      </c>
      <c r="AL2678">
        <v>88.3474046779058</v>
      </c>
      <c r="AM2678">
        <v>86.513621303162395</v>
      </c>
      <c r="AN2678">
        <v>0.99999998360360198</v>
      </c>
    </row>
    <row r="2679" spans="1:40" x14ac:dyDescent="0.3">
      <c r="A2679" t="str">
        <f>"20200111153929478"</f>
        <v>20200111153929478</v>
      </c>
      <c r="B2679" t="str">
        <f>"1578728369473758"</f>
        <v>1578728369473758</v>
      </c>
      <c r="C2679" t="s">
        <v>40</v>
      </c>
      <c r="D2679">
        <v>5.4115650000000004</v>
      </c>
      <c r="E2679">
        <v>0.48084650000000001</v>
      </c>
      <c r="F2679" t="s">
        <v>41</v>
      </c>
      <c r="G2679">
        <v>-259.56650000000002</v>
      </c>
      <c r="H2679">
        <v>1.0181439999999999</v>
      </c>
      <c r="I2679">
        <v>141.17269999999999</v>
      </c>
      <c r="J2679">
        <v>-258.9391</v>
      </c>
      <c r="K2679">
        <v>1.1039540000000001</v>
      </c>
      <c r="L2679">
        <v>141.20249999999999</v>
      </c>
      <c r="M2679">
        <v>-0.99801499999999999</v>
      </c>
      <c r="N2679">
        <v>0</v>
      </c>
      <c r="O2679">
        <v>-6.2766160000000001E-2</v>
      </c>
      <c r="P2679">
        <v>-0.99972000000000005</v>
      </c>
      <c r="Q2679">
        <v>2.3560169999999998E-2</v>
      </c>
      <c r="R2679">
        <v>-2.2181330000000002E-3</v>
      </c>
      <c r="S2679">
        <v>-3.0061339999999999</v>
      </c>
      <c r="T2679">
        <v>-0.23262620000000001</v>
      </c>
      <c r="U2679">
        <v>-0.16282650000000001</v>
      </c>
      <c r="V2679">
        <v>6.0452029999999997E-2</v>
      </c>
      <c r="W2679">
        <v>2.8881170000000001E-2</v>
      </c>
      <c r="X2679">
        <v>0.99775320000000001</v>
      </c>
      <c r="Y2679">
        <v>8.4842470000000003E-3</v>
      </c>
      <c r="Z2679">
        <v>5.1694599999999999E-3</v>
      </c>
      <c r="AA2679">
        <v>0.99995060000000002</v>
      </c>
      <c r="AB2679">
        <v>49</v>
      </c>
      <c r="AC2679">
        <v>-0.62740000000002205</v>
      </c>
      <c r="AD2679">
        <v>-8.58099999999999E-2</v>
      </c>
      <c r="AE2679">
        <v>-2.97999999999944E-2</v>
      </c>
      <c r="AF2679">
        <v>9.4621661082884608E-3</v>
      </c>
      <c r="AG2679">
        <v>-8.58099999999999E-2</v>
      </c>
      <c r="AH2679">
        <v>0.61652641586947499</v>
      </c>
      <c r="AI2679">
        <v>97.922773617119105</v>
      </c>
      <c r="AJ2679">
        <v>89.120719553217398</v>
      </c>
      <c r="AK2679">
        <v>0.62254133208351903</v>
      </c>
      <c r="AL2679">
        <v>88.345000733572206</v>
      </c>
      <c r="AM2679">
        <v>86.532792647791595</v>
      </c>
      <c r="AN2679">
        <v>1.00000000901096</v>
      </c>
    </row>
    <row r="2680" spans="1:40" x14ac:dyDescent="0.3">
      <c r="A2680" t="str">
        <f>"20200111153929502"</f>
        <v>20200111153929502</v>
      </c>
      <c r="B2680" t="str">
        <f>"1578728369493278"</f>
        <v>1578728369493278</v>
      </c>
      <c r="C2680" t="s">
        <v>40</v>
      </c>
      <c r="D2680">
        <v>5.3889750000000003</v>
      </c>
      <c r="E2680">
        <v>0.48086000000000001</v>
      </c>
      <c r="F2680" t="s">
        <v>41</v>
      </c>
      <c r="G2680">
        <v>-260.00560000000002</v>
      </c>
      <c r="H2680">
        <v>1.0225569999999999</v>
      </c>
      <c r="I2680">
        <v>141.14359999999999</v>
      </c>
      <c r="J2680">
        <v>-259.45060000000001</v>
      </c>
      <c r="K2680">
        <v>1.103898</v>
      </c>
      <c r="L2680">
        <v>141.16999999999999</v>
      </c>
      <c r="M2680">
        <v>-0.99796629999999997</v>
      </c>
      <c r="N2680">
        <v>0</v>
      </c>
      <c r="O2680">
        <v>-6.3532530000000004E-2</v>
      </c>
      <c r="P2680">
        <v>-0.99972340000000004</v>
      </c>
      <c r="Q2680">
        <v>2.3349370000000001E-2</v>
      </c>
      <c r="R2680">
        <v>-2.8442279999999999E-3</v>
      </c>
      <c r="S2680">
        <v>-3.00589</v>
      </c>
      <c r="T2680">
        <v>-0.22951460000000001</v>
      </c>
      <c r="U2680">
        <v>-0.16650390000000001</v>
      </c>
      <c r="V2680">
        <v>6.0598199999999998E-2</v>
      </c>
      <c r="W2680">
        <v>2.8674789999999999E-2</v>
      </c>
      <c r="X2680">
        <v>0.99775029999999998</v>
      </c>
      <c r="Y2680">
        <v>8.0327950000000006E-3</v>
      </c>
      <c r="Z2680">
        <v>5.1417640000000001E-3</v>
      </c>
      <c r="AA2680">
        <v>0.99995449999999997</v>
      </c>
      <c r="AB2680">
        <v>49</v>
      </c>
      <c r="AC2680">
        <v>-0.55500000000000604</v>
      </c>
      <c r="AD2680">
        <v>-8.1341000000000094E-2</v>
      </c>
      <c r="AE2680">
        <v>-2.6399999999995299E-2</v>
      </c>
      <c r="AF2680">
        <v>8.7273244570650003E-3</v>
      </c>
      <c r="AG2680">
        <v>-8.1341000000000094E-2</v>
      </c>
      <c r="AH2680">
        <v>0.54389946989864602</v>
      </c>
      <c r="AI2680">
        <v>98.504555415663305</v>
      </c>
      <c r="AJ2680">
        <v>89.080719917386403</v>
      </c>
      <c r="AK2680">
        <v>0.55001741593262898</v>
      </c>
      <c r="AL2680">
        <v>88.356830359415696</v>
      </c>
      <c r="AM2680">
        <v>86.524419561700498</v>
      </c>
      <c r="AN2680">
        <v>1.00000002328743</v>
      </c>
    </row>
    <row r="2681" spans="1:40" x14ac:dyDescent="0.3">
      <c r="A2681" t="str">
        <f>"20200111153929523"</f>
        <v>20200111153929523</v>
      </c>
      <c r="B2681" t="str">
        <f>"1578728369513774"</f>
        <v>1578728369513774</v>
      </c>
      <c r="C2681" t="s">
        <v>40</v>
      </c>
      <c r="D2681">
        <v>5.362298</v>
      </c>
      <c r="E2681">
        <v>0.48083599999999999</v>
      </c>
      <c r="F2681" t="s">
        <v>41</v>
      </c>
      <c r="G2681">
        <v>-260.44659999999999</v>
      </c>
      <c r="H2681">
        <v>1.028834</v>
      </c>
      <c r="I2681">
        <v>141.11429999999999</v>
      </c>
      <c r="J2681">
        <v>-259.92809999999997</v>
      </c>
      <c r="K2681">
        <v>1.103847</v>
      </c>
      <c r="L2681">
        <v>141.13929999999999</v>
      </c>
      <c r="M2681">
        <v>-0.99792360000000002</v>
      </c>
      <c r="N2681">
        <v>0</v>
      </c>
      <c r="O2681">
        <v>-6.4204189999999994E-2</v>
      </c>
      <c r="P2681">
        <v>-0.99972530000000004</v>
      </c>
      <c r="Q2681">
        <v>2.317147E-2</v>
      </c>
      <c r="R2681">
        <v>-3.6031269999999998E-3</v>
      </c>
      <c r="S2681">
        <v>-3.005646</v>
      </c>
      <c r="T2681">
        <v>-0.2265701</v>
      </c>
      <c r="U2681">
        <v>-0.1682739</v>
      </c>
      <c r="V2681">
        <v>6.0516639999999997E-2</v>
      </c>
      <c r="W2681">
        <v>2.8499859999999998E-2</v>
      </c>
      <c r="X2681">
        <v>0.99776019999999999</v>
      </c>
      <c r="Y2681">
        <v>8.1173859999999903E-3</v>
      </c>
      <c r="Z2681">
        <v>5.1298699999999999E-3</v>
      </c>
      <c r="AA2681">
        <v>0.99995389999999995</v>
      </c>
      <c r="AB2681">
        <v>49</v>
      </c>
      <c r="AC2681">
        <v>-0.51850000000001695</v>
      </c>
      <c r="AD2681">
        <v>-7.5012999999999996E-2</v>
      </c>
      <c r="AE2681">
        <v>-2.5000000000005601E-2</v>
      </c>
      <c r="AF2681">
        <v>8.1712619333027103E-3</v>
      </c>
      <c r="AG2681">
        <v>-7.5012999999999996E-2</v>
      </c>
      <c r="AH2681">
        <v>0.50841864386226499</v>
      </c>
      <c r="AI2681">
        <v>98.391902425361707</v>
      </c>
      <c r="AJ2681">
        <v>89.079226297537105</v>
      </c>
      <c r="AK2681">
        <v>0.51398758459453797</v>
      </c>
      <c r="AL2681">
        <v>88.366857106497406</v>
      </c>
      <c r="AM2681">
        <v>86.529120307268499</v>
      </c>
      <c r="AN2681">
        <v>0.99999996122047297</v>
      </c>
    </row>
    <row r="2682" spans="1:40" x14ac:dyDescent="0.3">
      <c r="A2682" t="str">
        <f>"20200111153929545"</f>
        <v>20200111153929545</v>
      </c>
      <c r="B2682" t="str">
        <f>"1578728369533806"</f>
        <v>1578728369533806</v>
      </c>
      <c r="C2682" t="s">
        <v>40</v>
      </c>
      <c r="D2682">
        <v>5.3792400000000002</v>
      </c>
      <c r="E2682">
        <v>0.48087770000000002</v>
      </c>
      <c r="F2682" t="s">
        <v>41</v>
      </c>
      <c r="G2682">
        <v>-260.88740000000001</v>
      </c>
      <c r="H2682">
        <v>1.032184</v>
      </c>
      <c r="I2682">
        <v>141.0849</v>
      </c>
      <c r="J2682">
        <v>-260.41000000000003</v>
      </c>
      <c r="K2682">
        <v>1.1037889999999999</v>
      </c>
      <c r="L2682">
        <v>141.108</v>
      </c>
      <c r="M2682">
        <v>-0.9978823</v>
      </c>
      <c r="N2682">
        <v>0</v>
      </c>
      <c r="O2682">
        <v>-6.4840670000000003E-2</v>
      </c>
      <c r="P2682">
        <v>-0.9997298</v>
      </c>
      <c r="Q2682">
        <v>2.287345E-2</v>
      </c>
      <c r="R2682">
        <v>-4.1936200000000003E-3</v>
      </c>
      <c r="S2682">
        <v>-3.0054319999999999</v>
      </c>
      <c r="T2682">
        <v>-0.22455629999999999</v>
      </c>
      <c r="U2682">
        <v>-0.17065429999999901</v>
      </c>
      <c r="V2682">
        <v>6.0568169999999998E-2</v>
      </c>
      <c r="W2682">
        <v>2.8206249999999999E-2</v>
      </c>
      <c r="X2682">
        <v>0.99776549999999997</v>
      </c>
      <c r="Y2682">
        <v>7.9640200000000005E-3</v>
      </c>
      <c r="Z2682">
        <v>5.1262369999999996E-3</v>
      </c>
      <c r="AA2682">
        <v>0.99995509999999999</v>
      </c>
      <c r="AB2682">
        <v>49</v>
      </c>
      <c r="AC2682">
        <v>-0.477399999999988</v>
      </c>
      <c r="AD2682">
        <v>-7.1604999999999905E-2</v>
      </c>
      <c r="AE2682">
        <v>-2.3099999999999399E-2</v>
      </c>
      <c r="AF2682">
        <v>7.7304551389759998E-3</v>
      </c>
      <c r="AG2682">
        <v>-7.1604999999999905E-2</v>
      </c>
      <c r="AH2682">
        <v>0.46740265656031799</v>
      </c>
      <c r="AI2682">
        <v>98.708689911220702</v>
      </c>
      <c r="AJ2682">
        <v>89.052461368638802</v>
      </c>
      <c r="AK2682">
        <v>0.47291889296294598</v>
      </c>
      <c r="AL2682">
        <v>88.383686621363907</v>
      </c>
      <c r="AM2682">
        <v>86.526190490280399</v>
      </c>
      <c r="AN2682">
        <v>1.00000004437322</v>
      </c>
    </row>
    <row r="2683" spans="1:40" x14ac:dyDescent="0.3">
      <c r="A2683" t="str">
        <f>"20200111153929568"</f>
        <v>20200111153929568</v>
      </c>
      <c r="B2683" t="str">
        <f>"1578728369563083"</f>
        <v>1578728369563083</v>
      </c>
      <c r="C2683" t="s">
        <v>40</v>
      </c>
      <c r="D2683">
        <v>5.3524859999999999</v>
      </c>
      <c r="E2683">
        <v>0.48103420000000002</v>
      </c>
      <c r="F2683" t="s">
        <v>41</v>
      </c>
      <c r="G2683">
        <v>-261.32929999999999</v>
      </c>
      <c r="H2683">
        <v>1.0354129999999999</v>
      </c>
      <c r="I2683">
        <v>141.0556</v>
      </c>
      <c r="J2683">
        <v>-260.91919999999999</v>
      </c>
      <c r="K2683">
        <v>1.103729</v>
      </c>
      <c r="L2683">
        <v>141.07470000000001</v>
      </c>
      <c r="M2683">
        <v>-0.99784079999999997</v>
      </c>
      <c r="N2683">
        <v>0</v>
      </c>
      <c r="O2683">
        <v>-6.5472509999999998E-2</v>
      </c>
      <c r="P2683">
        <v>-0.99973449999999997</v>
      </c>
      <c r="Q2683">
        <v>2.25892E-2</v>
      </c>
      <c r="R2683">
        <v>-4.553695E-3</v>
      </c>
      <c r="S2683">
        <v>-3.0052189999999999</v>
      </c>
      <c r="T2683">
        <v>-0.2236177</v>
      </c>
      <c r="U2683">
        <v>-0.1720276</v>
      </c>
      <c r="V2683">
        <v>6.084531E-2</v>
      </c>
      <c r="W2683">
        <v>2.792646E-2</v>
      </c>
      <c r="X2683">
        <v>0.99775650000000005</v>
      </c>
      <c r="Y2683">
        <v>8.1371519999999999E-3</v>
      </c>
      <c r="Z2683">
        <v>5.158368E-3</v>
      </c>
      <c r="AA2683">
        <v>0.9999536</v>
      </c>
      <c r="AB2683">
        <v>49</v>
      </c>
      <c r="AC2683">
        <v>-0.41009999999999902</v>
      </c>
      <c r="AD2683">
        <v>-6.8316000000000196E-2</v>
      </c>
      <c r="AE2683">
        <v>-1.91000000000087E-2</v>
      </c>
      <c r="AF2683">
        <v>7.5816850941058996E-3</v>
      </c>
      <c r="AG2683">
        <v>-6.8316000000000196E-2</v>
      </c>
      <c r="AH2683">
        <v>0.39941087524792301</v>
      </c>
      <c r="AI2683">
        <v>99.704340773630705</v>
      </c>
      <c r="AJ2683">
        <v>88.912532379263894</v>
      </c>
      <c r="AK2683">
        <v>0.40528213021447002</v>
      </c>
      <c r="AL2683">
        <v>88.399723711239105</v>
      </c>
      <c r="AM2683">
        <v>86.510303272840801</v>
      </c>
      <c r="AN2683">
        <v>1.0000000361046799</v>
      </c>
    </row>
    <row r="2684" spans="1:40" x14ac:dyDescent="0.3">
      <c r="A2684" t="str">
        <f>"20200111153929590"</f>
        <v>20200111153929590</v>
      </c>
      <c r="B2684" t="str">
        <f>"1578728369583579"</f>
        <v>1578728369583579</v>
      </c>
      <c r="C2684" t="s">
        <v>40</v>
      </c>
      <c r="D2684">
        <v>5.3329740000000001</v>
      </c>
      <c r="E2684">
        <v>0.48135919999999999</v>
      </c>
      <c r="F2684" t="s">
        <v>41</v>
      </c>
      <c r="G2684">
        <v>-261.77370000000002</v>
      </c>
      <c r="H2684">
        <v>1.0405819999999999</v>
      </c>
      <c r="I2684">
        <v>141.02610000000001</v>
      </c>
      <c r="J2684">
        <v>-261.4006</v>
      </c>
      <c r="K2684">
        <v>1.1036699999999999</v>
      </c>
      <c r="L2684">
        <v>141.0429</v>
      </c>
      <c r="M2684">
        <v>-0.99780369999999996</v>
      </c>
      <c r="N2684">
        <v>0</v>
      </c>
      <c r="O2684">
        <v>-6.6034999999999996E-2</v>
      </c>
      <c r="P2684">
        <v>-0.9997433</v>
      </c>
      <c r="Q2684">
        <v>2.2240719999999999E-2</v>
      </c>
      <c r="R2684">
        <v>-4.3530829999999998E-3</v>
      </c>
      <c r="S2684">
        <v>-3.0050349999999999</v>
      </c>
      <c r="T2684">
        <v>-0.2221495</v>
      </c>
      <c r="U2684">
        <v>-0.17153929999999901</v>
      </c>
      <c r="V2684">
        <v>6.1612430000000003E-2</v>
      </c>
      <c r="W2684">
        <v>2.7584210000000001E-2</v>
      </c>
      <c r="X2684">
        <v>0.99771889999999996</v>
      </c>
      <c r="Y2684">
        <v>8.8584649999999994E-3</v>
      </c>
      <c r="Z2684">
        <v>5.1929230000000003E-3</v>
      </c>
      <c r="AA2684">
        <v>0.99994720000000004</v>
      </c>
      <c r="AB2684">
        <v>49</v>
      </c>
      <c r="AC2684">
        <v>-0.37310000000002203</v>
      </c>
      <c r="AD2684">
        <v>-6.3088000000000199E-2</v>
      </c>
      <c r="AE2684">
        <v>-1.6799999999989199E-2</v>
      </c>
      <c r="AF2684">
        <v>7.6562008668248898E-3</v>
      </c>
      <c r="AG2684">
        <v>-6.3088000000000199E-2</v>
      </c>
      <c r="AH2684">
        <v>0.36303612847545602</v>
      </c>
      <c r="AI2684">
        <v>99.856195048968104</v>
      </c>
      <c r="AJ2684">
        <v>88.791847572337005</v>
      </c>
      <c r="AK2684">
        <v>0.368556567889057</v>
      </c>
      <c r="AL2684">
        <v>88.419340678640594</v>
      </c>
      <c r="AM2684">
        <v>86.466284147178399</v>
      </c>
      <c r="AN2684">
        <v>0.99999999179451904</v>
      </c>
    </row>
    <row r="2685" spans="1:40" x14ac:dyDescent="0.3">
      <c r="A2685" t="str">
        <f>"20200111153929612"</f>
        <v>20200111153929612</v>
      </c>
      <c r="B2685" t="str">
        <f>"1578728369603099"</f>
        <v>1578728369603099</v>
      </c>
      <c r="C2685" t="s">
        <v>40</v>
      </c>
      <c r="D2685">
        <v>5.3537860000000004</v>
      </c>
      <c r="E2685">
        <v>0.48166710000000001</v>
      </c>
      <c r="F2685" t="s">
        <v>41</v>
      </c>
      <c r="G2685">
        <v>-262.21839999999997</v>
      </c>
      <c r="H2685">
        <v>1.043299</v>
      </c>
      <c r="I2685">
        <v>140.99709999999999</v>
      </c>
      <c r="J2685">
        <v>-261.8972</v>
      </c>
      <c r="K2685">
        <v>1.1036109999999999</v>
      </c>
      <c r="L2685">
        <v>141.00980000000001</v>
      </c>
      <c r="M2685">
        <v>-0.99776719999999997</v>
      </c>
      <c r="N2685">
        <v>0</v>
      </c>
      <c r="O2685">
        <v>-6.6582730000000007E-2</v>
      </c>
      <c r="P2685">
        <v>-0.9997528</v>
      </c>
      <c r="Q2685">
        <v>2.1856830000000001E-2</v>
      </c>
      <c r="R2685">
        <v>-4.0845930000000001E-3</v>
      </c>
      <c r="S2685">
        <v>-3.0049739999999998</v>
      </c>
      <c r="T2685">
        <v>-0.22182479999999999</v>
      </c>
      <c r="U2685">
        <v>-0.1682892</v>
      </c>
      <c r="V2685">
        <v>6.243278E-2</v>
      </c>
      <c r="W2685">
        <v>2.7206230000000001E-2</v>
      </c>
      <c r="X2685">
        <v>0.99767830000000002</v>
      </c>
      <c r="Y2685">
        <v>1.047901E-2</v>
      </c>
      <c r="Z2685">
        <v>5.2855890000000003E-3</v>
      </c>
      <c r="AA2685">
        <v>0.99993109999999996</v>
      </c>
      <c r="AB2685">
        <v>49</v>
      </c>
      <c r="AC2685">
        <v>-0.321199999999976</v>
      </c>
      <c r="AD2685">
        <v>-6.0312000000000102E-2</v>
      </c>
      <c r="AE2685">
        <v>-1.27000000000236E-2</v>
      </c>
      <c r="AF2685">
        <v>8.4184935721149899E-3</v>
      </c>
      <c r="AG2685">
        <v>-6.0312000000000102E-2</v>
      </c>
      <c r="AH2685">
        <v>0.310405653198081</v>
      </c>
      <c r="AI2685">
        <v>100.991655184858</v>
      </c>
      <c r="AJ2685">
        <v>88.446465337476198</v>
      </c>
      <c r="AK2685">
        <v>0.31632274327868198</v>
      </c>
      <c r="AL2685">
        <v>88.441005498277605</v>
      </c>
      <c r="AM2685">
        <v>86.419210112867503</v>
      </c>
      <c r="AN2685">
        <v>1.0000000106301099</v>
      </c>
    </row>
    <row r="2686" spans="1:40" x14ac:dyDescent="0.3">
      <c r="A2686" t="str">
        <f>"20200111153929635"</f>
        <v>20200111153929635</v>
      </c>
      <c r="B2686" t="str">
        <f>"1578728369623129"</f>
        <v>1578728369623129</v>
      </c>
      <c r="C2686" t="s">
        <v>40</v>
      </c>
      <c r="D2686">
        <v>5.5286350000000004</v>
      </c>
      <c r="E2686">
        <v>0.48178910000000003</v>
      </c>
      <c r="F2686" t="s">
        <v>41</v>
      </c>
      <c r="G2686">
        <v>-262.66520000000003</v>
      </c>
      <c r="H2686">
        <v>1.0469630000000001</v>
      </c>
      <c r="I2686">
        <v>140.96789999999999</v>
      </c>
      <c r="J2686">
        <v>-262.39580000000001</v>
      </c>
      <c r="K2686">
        <v>1.1035649999999999</v>
      </c>
      <c r="L2686">
        <v>140.97630000000001</v>
      </c>
      <c r="M2686">
        <v>-0.99773259999999997</v>
      </c>
      <c r="N2686">
        <v>0</v>
      </c>
      <c r="O2686">
        <v>-6.710091E-2</v>
      </c>
      <c r="P2686">
        <v>-0.99977450000000001</v>
      </c>
      <c r="Q2686">
        <v>2.086851E-2</v>
      </c>
      <c r="R2686">
        <v>-3.9900819999999998E-3</v>
      </c>
      <c r="S2686">
        <v>-3.0049130000000002</v>
      </c>
      <c r="T2686">
        <v>-0.22178020000000001</v>
      </c>
      <c r="U2686">
        <v>-0.16473389999999999</v>
      </c>
      <c r="V2686">
        <v>6.3051990000000002E-2</v>
      </c>
      <c r="W2686">
        <v>2.6223340000000001E-2</v>
      </c>
      <c r="X2686">
        <v>0.99766560000000004</v>
      </c>
      <c r="Y2686">
        <v>1.217071E-2</v>
      </c>
      <c r="Z2686">
        <v>5.3852179999999998E-3</v>
      </c>
      <c r="AA2686">
        <v>0.99991140000000001</v>
      </c>
      <c r="AB2686">
        <v>50</v>
      </c>
      <c r="AC2686">
        <v>-0.26940000000001801</v>
      </c>
      <c r="AD2686">
        <v>-5.6602E-2</v>
      </c>
      <c r="AE2686">
        <v>-8.4000000000230505E-3</v>
      </c>
      <c r="AF2686">
        <v>9.2866157567172199E-3</v>
      </c>
      <c r="AG2686">
        <v>-5.6602E-2</v>
      </c>
      <c r="AH2686">
        <v>0.25797937003732901</v>
      </c>
      <c r="AI2686">
        <v>102.36714152103799</v>
      </c>
      <c r="AJ2686">
        <v>87.938384612754803</v>
      </c>
      <c r="AK2686">
        <v>0.264278987059263</v>
      </c>
      <c r="AL2686">
        <v>88.497340938680793</v>
      </c>
      <c r="AM2686">
        <v>86.383743608615205</v>
      </c>
      <c r="AN2686">
        <v>0.99999993321353497</v>
      </c>
    </row>
    <row r="2687" spans="1:40" x14ac:dyDescent="0.3">
      <c r="A2687" t="str">
        <f>"20200111153929657"</f>
        <v>20200111153929657</v>
      </c>
      <c r="B2687" t="str">
        <f>"1578728369653382"</f>
        <v>1578728369653382</v>
      </c>
      <c r="C2687" t="s">
        <v>40</v>
      </c>
      <c r="D2687">
        <v>5.3430879999999998</v>
      </c>
      <c r="E2687">
        <v>0.4818904</v>
      </c>
      <c r="F2687" t="s">
        <v>41</v>
      </c>
      <c r="G2687">
        <v>-263.5394</v>
      </c>
      <c r="H2687">
        <v>1.018567</v>
      </c>
      <c r="I2687">
        <v>140.9144</v>
      </c>
      <c r="J2687">
        <v>-262.88560000000001</v>
      </c>
      <c r="K2687">
        <v>1.103515</v>
      </c>
      <c r="L2687">
        <v>140.94319999999999</v>
      </c>
      <c r="M2687">
        <v>-0.99770020000000004</v>
      </c>
      <c r="N2687">
        <v>0</v>
      </c>
      <c r="O2687">
        <v>-6.7578830000000006E-2</v>
      </c>
      <c r="P2687">
        <v>-0.99977819999999995</v>
      </c>
      <c r="Q2687">
        <v>2.062313E-2</v>
      </c>
      <c r="R2687">
        <v>-4.3237229999999998E-3</v>
      </c>
      <c r="S2687">
        <v>-3.0047000000000001</v>
      </c>
      <c r="T2687">
        <v>-0.22340260000000001</v>
      </c>
      <c r="U2687">
        <v>-0.163269</v>
      </c>
      <c r="V2687">
        <v>6.3200469999999995E-2</v>
      </c>
      <c r="W2687">
        <v>2.5983099999999999E-2</v>
      </c>
      <c r="X2687">
        <v>0.99766250000000001</v>
      </c>
      <c r="Y2687">
        <v>1.312471E-2</v>
      </c>
      <c r="Z2687">
        <v>5.495738E-3</v>
      </c>
      <c r="AA2687">
        <v>0.99989879999999998</v>
      </c>
      <c r="AB2687">
        <v>50</v>
      </c>
      <c r="AC2687">
        <v>-0.65379999999998895</v>
      </c>
      <c r="AD2687">
        <v>-8.4947999999999996E-2</v>
      </c>
      <c r="AE2687">
        <v>-2.8799999999989698E-2</v>
      </c>
      <c r="AF2687">
        <v>1.5193489673693999E-2</v>
      </c>
      <c r="AG2687">
        <v>-8.4947999999999996E-2</v>
      </c>
      <c r="AH2687">
        <v>0.64341078870163504</v>
      </c>
      <c r="AI2687">
        <v>97.519054052643597</v>
      </c>
      <c r="AJ2687">
        <v>88.647269991773896</v>
      </c>
      <c r="AK2687">
        <v>0.649172124979289</v>
      </c>
      <c r="AL2687">
        <v>88.511110383278606</v>
      </c>
      <c r="AM2687">
        <v>86.375239195628694</v>
      </c>
      <c r="AN2687">
        <v>0.99999994240003798</v>
      </c>
    </row>
    <row r="2688" spans="1:40" x14ac:dyDescent="0.3">
      <c r="A2688" t="str">
        <f>"20200111153929680"</f>
        <v>20200111153929680</v>
      </c>
      <c r="B2688" t="str">
        <f>"1578728369673879"</f>
        <v>1578728369673879</v>
      </c>
      <c r="C2688" t="s">
        <v>40</v>
      </c>
      <c r="D2688">
        <v>5.2974350000000001</v>
      </c>
      <c r="E2688">
        <v>0.48198740000000001</v>
      </c>
      <c r="F2688" t="s">
        <v>41</v>
      </c>
      <c r="G2688">
        <v>-263.98790000000002</v>
      </c>
      <c r="H2688">
        <v>1.022135</v>
      </c>
      <c r="I2688">
        <v>140.8835</v>
      </c>
      <c r="J2688">
        <v>-263.40480000000002</v>
      </c>
      <c r="K2688">
        <v>1.1034649999999999</v>
      </c>
      <c r="L2688">
        <v>140.90780000000001</v>
      </c>
      <c r="M2688">
        <v>-0.99766739999999998</v>
      </c>
      <c r="N2688">
        <v>0</v>
      </c>
      <c r="O2688">
        <v>-6.8058779999999999E-2</v>
      </c>
      <c r="P2688">
        <v>-0.99978069999999997</v>
      </c>
      <c r="Q2688">
        <v>2.0434049999999999E-2</v>
      </c>
      <c r="R2688">
        <v>-4.594211E-3</v>
      </c>
      <c r="S2688">
        <v>-3.0045470000000001</v>
      </c>
      <c r="T2688">
        <v>-0.22183800000000001</v>
      </c>
      <c r="U2688">
        <v>-0.163269</v>
      </c>
      <c r="V2688">
        <v>6.3413709999999998E-2</v>
      </c>
      <c r="W2688">
        <v>2.5800050000000001E-2</v>
      </c>
      <c r="X2688">
        <v>0.99765380000000004</v>
      </c>
      <c r="Y2688">
        <v>1.360346E-2</v>
      </c>
      <c r="Z2688">
        <v>5.5105379999999997E-3</v>
      </c>
      <c r="AA2688">
        <v>0.99989229999999996</v>
      </c>
      <c r="AB2688">
        <v>50</v>
      </c>
      <c r="AC2688">
        <v>-0.58310000000000095</v>
      </c>
      <c r="AD2688">
        <v>-8.1329999999999902E-2</v>
      </c>
      <c r="AE2688">
        <v>-2.4300000000010799E-2</v>
      </c>
      <c r="AF2688">
        <v>1.51477924483727E-2</v>
      </c>
      <c r="AG2688">
        <v>-8.1329999999999902E-2</v>
      </c>
      <c r="AH2688">
        <v>0.57228763778138902</v>
      </c>
      <c r="AI2688">
        <v>98.0855678630802</v>
      </c>
      <c r="AJ2688">
        <v>88.483800942853705</v>
      </c>
      <c r="AK2688">
        <v>0.57823625351015595</v>
      </c>
      <c r="AL2688">
        <v>88.521602012617905</v>
      </c>
      <c r="AM2688">
        <v>86.3630103003063</v>
      </c>
      <c r="AN2688">
        <v>1.0000000229252</v>
      </c>
    </row>
    <row r="2689" spans="1:40" x14ac:dyDescent="0.3">
      <c r="A2689" t="str">
        <f>"20200111153929703"</f>
        <v>20200111153929703</v>
      </c>
      <c r="B2689" t="str">
        <f>"1578728369693398"</f>
        <v>1578728369693398</v>
      </c>
      <c r="C2689" t="s">
        <v>40</v>
      </c>
      <c r="D2689">
        <v>5.2745699999999998</v>
      </c>
      <c r="E2689">
        <v>0.48209079999999899</v>
      </c>
      <c r="F2689" t="s">
        <v>41</v>
      </c>
      <c r="G2689">
        <v>-264.4384</v>
      </c>
      <c r="H2689">
        <v>1.0274209999999999</v>
      </c>
      <c r="I2689">
        <v>140.8518</v>
      </c>
      <c r="J2689">
        <v>-263.90339999999998</v>
      </c>
      <c r="K2689">
        <v>1.103424</v>
      </c>
      <c r="L2689">
        <v>140.87360000000001</v>
      </c>
      <c r="M2689">
        <v>-0.99763749999999995</v>
      </c>
      <c r="N2689">
        <v>0</v>
      </c>
      <c r="O2689">
        <v>-6.8495390000000003E-2</v>
      </c>
      <c r="P2689">
        <v>-0.99978049999999996</v>
      </c>
      <c r="Q2689">
        <v>2.034888E-2</v>
      </c>
      <c r="R2689">
        <v>-4.9956799999999997E-3</v>
      </c>
      <c r="S2689">
        <v>-3.0044249999999999</v>
      </c>
      <c r="T2689">
        <v>-0.22108449999999999</v>
      </c>
      <c r="U2689">
        <v>-0.1631927</v>
      </c>
      <c r="V2689">
        <v>6.3452389999999997E-2</v>
      </c>
      <c r="W2689">
        <v>2.5720920000000001E-2</v>
      </c>
      <c r="X2689">
        <v>0.99765340000000002</v>
      </c>
      <c r="Y2689">
        <v>1.4063249999999999E-2</v>
      </c>
      <c r="Z2689">
        <v>5.5409539999999998E-3</v>
      </c>
      <c r="AA2689">
        <v>0.99988569999999999</v>
      </c>
      <c r="AB2689">
        <v>50</v>
      </c>
      <c r="AC2689">
        <v>-0.53500000000002501</v>
      </c>
      <c r="AD2689">
        <v>-7.6003000000000001E-2</v>
      </c>
      <c r="AE2689">
        <v>-2.1800000000013101E-2</v>
      </c>
      <c r="AF2689">
        <v>1.46025304370365E-2</v>
      </c>
      <c r="AG2689">
        <v>-7.6003000000000001E-2</v>
      </c>
      <c r="AH2689">
        <v>0.52466570150827696</v>
      </c>
      <c r="AI2689">
        <v>98.239376216404295</v>
      </c>
      <c r="AJ2689">
        <v>88.405751645181894</v>
      </c>
      <c r="AK2689">
        <v>0.530343085411073</v>
      </c>
      <c r="AL2689">
        <v>88.526137356359797</v>
      </c>
      <c r="AM2689">
        <v>86.360796376837598</v>
      </c>
      <c r="AN2689">
        <v>1.0000000390269499</v>
      </c>
    </row>
    <row r="2690" spans="1:40" x14ac:dyDescent="0.3">
      <c r="A2690" t="str">
        <f>"20200111153929728"</f>
        <v>20200111153929728</v>
      </c>
      <c r="B2690" t="str">
        <f>"1578728369723187"</f>
        <v>1578728369723187</v>
      </c>
      <c r="C2690" t="s">
        <v>40</v>
      </c>
      <c r="D2690">
        <v>5.3414699999999904</v>
      </c>
      <c r="E2690">
        <v>0.48211330000000002</v>
      </c>
      <c r="F2690" t="s">
        <v>41</v>
      </c>
      <c r="G2690">
        <v>-264.88920000000002</v>
      </c>
      <c r="H2690">
        <v>1.0311429999999999</v>
      </c>
      <c r="I2690">
        <v>140.82</v>
      </c>
      <c r="J2690">
        <v>-264.45460000000003</v>
      </c>
      <c r="K2690">
        <v>1.103375</v>
      </c>
      <c r="L2690">
        <v>140.8356</v>
      </c>
      <c r="M2690">
        <v>-0.99760629999999995</v>
      </c>
      <c r="N2690">
        <v>0</v>
      </c>
      <c r="O2690">
        <v>-6.8947460000000002E-2</v>
      </c>
      <c r="P2690">
        <v>-0.99978149999999999</v>
      </c>
      <c r="Q2690">
        <v>2.022181E-2</v>
      </c>
      <c r="R2690">
        <v>-5.3305389999999996E-3</v>
      </c>
      <c r="S2690">
        <v>-3.0043030000000002</v>
      </c>
      <c r="T2690">
        <v>-0.2203039</v>
      </c>
      <c r="U2690">
        <v>-0.1633453</v>
      </c>
      <c r="V2690">
        <v>6.3573379999999999E-2</v>
      </c>
      <c r="W2690">
        <v>2.5600319999999999E-2</v>
      </c>
      <c r="X2690">
        <v>0.9976488</v>
      </c>
      <c r="Y2690">
        <v>1.4462799999999901E-2</v>
      </c>
      <c r="Z2690">
        <v>5.569269E-3</v>
      </c>
      <c r="AA2690">
        <v>0.99987990000000004</v>
      </c>
      <c r="AB2690">
        <v>50</v>
      </c>
      <c r="AC2690">
        <v>-0.434599999999989</v>
      </c>
      <c r="AD2690">
        <v>-7.2232000000000005E-2</v>
      </c>
      <c r="AE2690">
        <v>-1.5600000000006199E-2</v>
      </c>
      <c r="AF2690">
        <v>1.40154502696228E-2</v>
      </c>
      <c r="AG2690">
        <v>-7.2232000000000005E-2</v>
      </c>
      <c r="AH2690">
        <v>0.42297237272953497</v>
      </c>
      <c r="AI2690">
        <v>99.685835942416901</v>
      </c>
      <c r="AJ2690">
        <v>88.102163416922494</v>
      </c>
      <c r="AK2690">
        <v>0.42932449588011301</v>
      </c>
      <c r="AL2690">
        <v>88.533049504008801</v>
      </c>
      <c r="AM2690">
        <v>86.353859136620599</v>
      </c>
      <c r="AN2690">
        <v>1.0000000395850801</v>
      </c>
    </row>
    <row r="2691" spans="1:40" x14ac:dyDescent="0.3">
      <c r="A2691" t="str">
        <f>"20200111153929748"</f>
        <v>20200111153929748</v>
      </c>
      <c r="B2691" t="str">
        <f>"1578728369743684"</f>
        <v>1578728369743684</v>
      </c>
      <c r="C2691" t="s">
        <v>40</v>
      </c>
      <c r="D2691">
        <v>5.4027200000000004</v>
      </c>
      <c r="E2691">
        <v>0.48209150000000001</v>
      </c>
      <c r="F2691" t="s">
        <v>41</v>
      </c>
      <c r="G2691">
        <v>-265.34269999999998</v>
      </c>
      <c r="H2691">
        <v>1.0384639999999901</v>
      </c>
      <c r="I2691">
        <v>140.78720000000001</v>
      </c>
      <c r="J2691">
        <v>-264.92899999999997</v>
      </c>
      <c r="K2691">
        <v>1.1033379999999999</v>
      </c>
      <c r="L2691">
        <v>140.80269999999999</v>
      </c>
      <c r="M2691">
        <v>-0.9975813</v>
      </c>
      <c r="N2691">
        <v>0</v>
      </c>
      <c r="O2691">
        <v>-6.9307670000000002E-2</v>
      </c>
      <c r="P2691">
        <v>-0.99978509999999998</v>
      </c>
      <c r="Q2691">
        <v>2.0081680000000001E-2</v>
      </c>
      <c r="R2691">
        <v>-5.1862189999999997E-3</v>
      </c>
      <c r="S2691">
        <v>-3.004181</v>
      </c>
      <c r="T2691">
        <v>-0.21961610000000001</v>
      </c>
      <c r="U2691">
        <v>-0.16401669999999999</v>
      </c>
      <c r="V2691">
        <v>6.4080319999999996E-2</v>
      </c>
      <c r="W2691">
        <v>2.5466849999999999E-2</v>
      </c>
      <c r="X2691">
        <v>0.9976197</v>
      </c>
      <c r="Y2691">
        <v>1.459889E-2</v>
      </c>
      <c r="Z2691">
        <v>5.583279E-3</v>
      </c>
      <c r="AA2691">
        <v>0.99987789999999999</v>
      </c>
      <c r="AB2691">
        <v>50</v>
      </c>
      <c r="AC2691">
        <v>-0.413699999999948</v>
      </c>
      <c r="AD2691">
        <v>-6.4874000000000098E-2</v>
      </c>
      <c r="AE2691">
        <v>-1.5499999999974499E-2</v>
      </c>
      <c r="AF2691">
        <v>1.2893639120974E-2</v>
      </c>
      <c r="AG2691">
        <v>-6.4874000000000098E-2</v>
      </c>
      <c r="AH2691">
        <v>0.40386212735397398</v>
      </c>
      <c r="AI2691">
        <v>99.121124706373394</v>
      </c>
      <c r="AJ2691">
        <v>88.171405005478206</v>
      </c>
      <c r="AK2691">
        <v>0.40924259274501201</v>
      </c>
      <c r="AL2691">
        <v>88.540699144724201</v>
      </c>
      <c r="AM2691">
        <v>86.324756934562302</v>
      </c>
      <c r="AN2691">
        <v>0.99999995684415599</v>
      </c>
    </row>
    <row r="2692" spans="1:40" x14ac:dyDescent="0.3">
      <c r="A2692" t="str">
        <f>"20200111153929769"</f>
        <v>20200111153929769</v>
      </c>
      <c r="B2692" t="str">
        <f>"1578728369763202"</f>
        <v>1578728369763202</v>
      </c>
      <c r="C2692" t="s">
        <v>40</v>
      </c>
      <c r="D2692">
        <v>5.3593330000000003</v>
      </c>
      <c r="E2692">
        <v>0.50677190000000005</v>
      </c>
      <c r="F2692" t="s">
        <v>41</v>
      </c>
      <c r="G2692">
        <v>-265.7946</v>
      </c>
      <c r="H2692">
        <v>1.039709</v>
      </c>
      <c r="I2692">
        <v>140.75559999999999</v>
      </c>
      <c r="J2692">
        <v>-265.39830000000001</v>
      </c>
      <c r="K2692">
        <v>1.1032999999999999</v>
      </c>
      <c r="L2692">
        <v>140.76990000000001</v>
      </c>
      <c r="M2692">
        <v>-0.99755870000000002</v>
      </c>
      <c r="N2692">
        <v>0</v>
      </c>
      <c r="O2692">
        <v>-6.9632219999999995E-2</v>
      </c>
      <c r="P2692">
        <v>-0.99977859999999996</v>
      </c>
      <c r="Q2692">
        <v>2.0450570000000001E-2</v>
      </c>
      <c r="R2692">
        <v>-4.9637750000000001E-3</v>
      </c>
      <c r="S2692">
        <v>-3.0042110000000002</v>
      </c>
      <c r="T2692">
        <v>-0.22087090000000001</v>
      </c>
      <c r="U2692">
        <v>-0.16352839999999999</v>
      </c>
      <c r="V2692">
        <v>6.4628160000000004E-2</v>
      </c>
      <c r="W2692">
        <v>2.5841050000000001E-2</v>
      </c>
      <c r="X2692">
        <v>0.99757479999999998</v>
      </c>
      <c r="Y2692">
        <v>1.5082079999999999E-2</v>
      </c>
      <c r="Z2692">
        <v>5.6565399999999998E-3</v>
      </c>
      <c r="AA2692">
        <v>0.99987020000000004</v>
      </c>
      <c r="AB2692">
        <v>50</v>
      </c>
      <c r="AC2692">
        <v>-0.39629999999999599</v>
      </c>
      <c r="AD2692">
        <v>-6.3590999999999898E-2</v>
      </c>
      <c r="AE2692">
        <v>-1.4300000000019899E-2</v>
      </c>
      <c r="AF2692">
        <v>1.29961563160832E-2</v>
      </c>
      <c r="AG2692">
        <v>-6.3590999999999898E-2</v>
      </c>
      <c r="AH2692">
        <v>0.38639777593172198</v>
      </c>
      <c r="AI2692">
        <v>99.340429831497204</v>
      </c>
      <c r="AJ2692">
        <v>88.073632001402302</v>
      </c>
      <c r="AK2692">
        <v>0.391811123636087</v>
      </c>
      <c r="AL2692">
        <v>88.519252098293904</v>
      </c>
      <c r="AM2692">
        <v>86.293257143762503</v>
      </c>
      <c r="AN2692">
        <v>1.0000000202625601</v>
      </c>
    </row>
    <row r="2693" spans="1:40" x14ac:dyDescent="0.3">
      <c r="A2693" t="str">
        <f>"20200111153929794"</f>
        <v>20200111153929794</v>
      </c>
      <c r="B2693" t="str">
        <f>"1578728369783699"</f>
        <v>1578728369783699</v>
      </c>
      <c r="C2693" t="s">
        <v>40</v>
      </c>
      <c r="D2693">
        <v>5.2852949999999996</v>
      </c>
      <c r="E2693">
        <v>0.50912079999999904</v>
      </c>
      <c r="F2693" t="s">
        <v>41</v>
      </c>
      <c r="G2693">
        <v>-266.24770000000001</v>
      </c>
      <c r="H2693">
        <v>1.034481</v>
      </c>
      <c r="I2693">
        <v>140.77979999999999</v>
      </c>
      <c r="J2693">
        <v>-265.9538</v>
      </c>
      <c r="K2693">
        <v>1.1032500000000001</v>
      </c>
      <c r="L2693">
        <v>140.73099999999999</v>
      </c>
      <c r="M2693">
        <v>-0.99753530000000001</v>
      </c>
      <c r="N2693">
        <v>0</v>
      </c>
      <c r="O2693">
        <v>-6.9966210000000001E-2</v>
      </c>
      <c r="P2693">
        <v>-0.99976759999999998</v>
      </c>
      <c r="Q2693">
        <v>2.087543E-2</v>
      </c>
      <c r="R2693">
        <v>-5.4144839999999998E-3</v>
      </c>
      <c r="S2693">
        <v>-3.0058590000000001</v>
      </c>
      <c r="T2693">
        <v>-0.2436856</v>
      </c>
      <c r="U2693">
        <v>3.3706670000000001E-2</v>
      </c>
      <c r="V2693">
        <v>6.4514559999999999E-2</v>
      </c>
      <c r="W2693">
        <v>2.627053E-2</v>
      </c>
      <c r="X2693">
        <v>0.99757090000000004</v>
      </c>
      <c r="Y2693">
        <v>8.0654379999999998E-2</v>
      </c>
      <c r="Z2693">
        <v>8.9237409999999903E-3</v>
      </c>
      <c r="AA2693">
        <v>0.99670219999999998</v>
      </c>
      <c r="AB2693">
        <v>51</v>
      </c>
      <c r="AC2693">
        <v>-0.29390000000000699</v>
      </c>
      <c r="AD2693">
        <v>-6.8768999999999997E-2</v>
      </c>
      <c r="AE2693">
        <v>4.8799999999999899E-2</v>
      </c>
      <c r="AF2693">
        <v>6.5740997905590196E-2</v>
      </c>
      <c r="AG2693">
        <v>-6.8768999999999997E-2</v>
      </c>
      <c r="AH2693">
        <v>0.27510726818476999</v>
      </c>
      <c r="AI2693">
        <v>103.664974659762</v>
      </c>
      <c r="AJ2693">
        <v>76.560353348171802</v>
      </c>
      <c r="AK2693">
        <v>0.29109287723115101</v>
      </c>
      <c r="AL2693">
        <v>88.494636296629807</v>
      </c>
      <c r="AM2693">
        <v>86.299740119380203</v>
      </c>
      <c r="AN2693">
        <v>0.99999998486264197</v>
      </c>
    </row>
    <row r="2694" spans="1:40" x14ac:dyDescent="0.3">
      <c r="A2694" t="str">
        <f>"20200111153929813"</f>
        <v>20200111153929813</v>
      </c>
      <c r="B2694" t="str">
        <f>"1578728369803219"</f>
        <v>1578728369803219</v>
      </c>
      <c r="C2694" t="s">
        <v>40</v>
      </c>
      <c r="D2694">
        <v>5.2624849999999999</v>
      </c>
      <c r="E2694">
        <v>0.50876429999999995</v>
      </c>
      <c r="F2694" t="s">
        <v>41</v>
      </c>
      <c r="G2694">
        <v>-266.70569999999998</v>
      </c>
      <c r="H2694">
        <v>1.0443209999999901</v>
      </c>
      <c r="I2694">
        <v>140.7441</v>
      </c>
      <c r="J2694">
        <v>-266.4051</v>
      </c>
      <c r="K2694">
        <v>1.103202</v>
      </c>
      <c r="L2694">
        <v>140.69929999999999</v>
      </c>
      <c r="M2694">
        <v>-0.99751999999999996</v>
      </c>
      <c r="N2694">
        <v>0</v>
      </c>
      <c r="O2694">
        <v>-7.0181590000000002E-2</v>
      </c>
      <c r="P2694">
        <v>-0.99975460000000005</v>
      </c>
      <c r="Q2694">
        <v>2.1431559999999999E-2</v>
      </c>
      <c r="R2694">
        <v>-5.6334810000000001E-3</v>
      </c>
      <c r="S2694">
        <v>-3.00589</v>
      </c>
      <c r="T2694">
        <v>-0.23565910000000001</v>
      </c>
      <c r="U2694">
        <v>5.1528930000000001E-2</v>
      </c>
      <c r="V2694">
        <v>6.4513379999999995E-2</v>
      </c>
      <c r="W2694">
        <v>2.6829189999999999E-2</v>
      </c>
      <c r="X2694">
        <v>0.99755609999999995</v>
      </c>
      <c r="Y2694">
        <v>8.6788740000000003E-2</v>
      </c>
      <c r="Z2694">
        <v>8.88747199999999E-3</v>
      </c>
      <c r="AA2694">
        <v>0.99618709999999999</v>
      </c>
      <c r="AB2694">
        <v>51</v>
      </c>
      <c r="AC2694">
        <v>-0.300599999999974</v>
      </c>
      <c r="AD2694">
        <v>-5.88810000000001E-2</v>
      </c>
      <c r="AE2694">
        <v>4.4800000000009201E-2</v>
      </c>
      <c r="AF2694">
        <v>6.3406479928473605E-2</v>
      </c>
      <c r="AG2694">
        <v>-5.88810000000001E-2</v>
      </c>
      <c r="AH2694">
        <v>0.28598043200871198</v>
      </c>
      <c r="AI2694">
        <v>101.36558345348701</v>
      </c>
      <c r="AJ2694">
        <v>77.498826626794795</v>
      </c>
      <c r="AK2694">
        <v>0.29878447307349998</v>
      </c>
      <c r="AL2694">
        <v>88.4626161362592</v>
      </c>
      <c r="AM2694">
        <v>86.299752866259993</v>
      </c>
      <c r="AN2694">
        <v>0.99999997714114397</v>
      </c>
    </row>
    <row r="2695" spans="1:40" x14ac:dyDescent="0.3">
      <c r="A2695" t="str">
        <f>"20200111153929835"</f>
        <v>20200111153929835</v>
      </c>
      <c r="B2695" t="str">
        <f>"1578728369833008"</f>
        <v>1578728369833008</v>
      </c>
      <c r="C2695" t="s">
        <v>40</v>
      </c>
      <c r="D2695">
        <v>5.2772209999999999</v>
      </c>
      <c r="E2695">
        <v>0.50818240000000003</v>
      </c>
      <c r="F2695" t="s">
        <v>41</v>
      </c>
      <c r="G2695">
        <v>-267.16090000000003</v>
      </c>
      <c r="H2695">
        <v>1.0457890000000001</v>
      </c>
      <c r="I2695">
        <v>140.71170000000001</v>
      </c>
      <c r="J2695">
        <v>-266.91030000000001</v>
      </c>
      <c r="K2695">
        <v>1.103135</v>
      </c>
      <c r="L2695">
        <v>140.66370000000001</v>
      </c>
      <c r="M2695">
        <v>-0.99750689999999997</v>
      </c>
      <c r="N2695">
        <v>0</v>
      </c>
      <c r="O2695">
        <v>-7.0366620000000005E-2</v>
      </c>
      <c r="P2695">
        <v>-0.99972700000000003</v>
      </c>
      <c r="Q2695">
        <v>2.2602569999999999E-2</v>
      </c>
      <c r="R2695">
        <v>-5.9268169999999896E-3</v>
      </c>
      <c r="S2695">
        <v>-3.0059200000000001</v>
      </c>
      <c r="T2695">
        <v>-0.22843949999999999</v>
      </c>
      <c r="U2695">
        <v>4.8416140000000003E-2</v>
      </c>
      <c r="V2695">
        <v>6.4406649999999996E-2</v>
      </c>
      <c r="W2695">
        <v>2.8002240000000001E-2</v>
      </c>
      <c r="X2695">
        <v>0.99753080000000005</v>
      </c>
      <c r="Y2695">
        <v>8.5972839999999995E-2</v>
      </c>
      <c r="Z2695">
        <v>8.5989910000000003E-3</v>
      </c>
      <c r="AA2695">
        <v>0.99626029999999999</v>
      </c>
      <c r="AB2695">
        <v>51</v>
      </c>
      <c r="AC2695">
        <v>-0.25060000000001897</v>
      </c>
      <c r="AD2695">
        <v>-5.7346000000000098E-2</v>
      </c>
      <c r="AE2695">
        <v>4.8000000000001798E-2</v>
      </c>
      <c r="AF2695">
        <v>6.2364950389865899E-2</v>
      </c>
      <c r="AG2695">
        <v>-5.7346000000000098E-2</v>
      </c>
      <c r="AH2695">
        <v>0.23474372881656599</v>
      </c>
      <c r="AI2695">
        <v>103.284357951746</v>
      </c>
      <c r="AJ2695">
        <v>75.121776508706404</v>
      </c>
      <c r="AK2695">
        <v>0.249564759074346</v>
      </c>
      <c r="AL2695">
        <v>88.395380111858799</v>
      </c>
      <c r="AM2695">
        <v>86.305764102685899</v>
      </c>
      <c r="AN2695">
        <v>1.00000001947894</v>
      </c>
    </row>
    <row r="2696" spans="1:40" x14ac:dyDescent="0.3">
      <c r="A2696" t="str">
        <f>"20200111153929858"</f>
        <v>20200111153929858</v>
      </c>
      <c r="B2696" t="str">
        <f>"1578728369853503"</f>
        <v>1578728369853503</v>
      </c>
      <c r="C2696" t="s">
        <v>40</v>
      </c>
      <c r="D2696">
        <v>5.2319870000000002</v>
      </c>
      <c r="E2696">
        <v>0.50781860000000001</v>
      </c>
      <c r="F2696" t="s">
        <v>41</v>
      </c>
      <c r="G2696">
        <v>-268.06279999999998</v>
      </c>
      <c r="H2696">
        <v>1.0190950000000001</v>
      </c>
      <c r="I2696">
        <v>140.68049999999999</v>
      </c>
      <c r="J2696">
        <v>-267.41419999999999</v>
      </c>
      <c r="K2696">
        <v>1.10307</v>
      </c>
      <c r="L2696">
        <v>140.62819999999999</v>
      </c>
      <c r="M2696">
        <v>-0.99749860000000001</v>
      </c>
      <c r="N2696">
        <v>0</v>
      </c>
      <c r="O2696">
        <v>-7.0485110000000004E-2</v>
      </c>
      <c r="P2696">
        <v>-0.99970099999999995</v>
      </c>
      <c r="Q2696">
        <v>2.3564660000000001E-2</v>
      </c>
      <c r="R2696">
        <v>-6.5604390000000004E-3</v>
      </c>
      <c r="S2696">
        <v>-3.0060419999999999</v>
      </c>
      <c r="T2696">
        <v>-0.21925249999999999</v>
      </c>
      <c r="U2696">
        <v>4.3350220000000002E-2</v>
      </c>
      <c r="V2696">
        <v>6.3894880000000001E-2</v>
      </c>
      <c r="W2696">
        <v>2.8965540000000001E-2</v>
      </c>
      <c r="X2696">
        <v>0.99753619999999998</v>
      </c>
      <c r="Y2696">
        <v>8.4451090000000006E-2</v>
      </c>
      <c r="Z2696">
        <v>8.2069989999999995E-3</v>
      </c>
      <c r="AA2696">
        <v>0.9963938</v>
      </c>
      <c r="AB2696">
        <v>51</v>
      </c>
      <c r="AC2696">
        <v>-0.64859999999998696</v>
      </c>
      <c r="AD2696">
        <v>-8.3974999999999897E-2</v>
      </c>
      <c r="AE2696">
        <v>5.23000000000024E-2</v>
      </c>
      <c r="AF2696">
        <v>9.6283653101991398E-2</v>
      </c>
      <c r="AG2696">
        <v>-8.3974999999999897E-2</v>
      </c>
      <c r="AH2696">
        <v>0.63276202100714096</v>
      </c>
      <c r="AI2696">
        <v>97.474604016370407</v>
      </c>
      <c r="AJ2696">
        <v>81.348008645439506</v>
      </c>
      <c r="AK2696">
        <v>0.64553088052292695</v>
      </c>
      <c r="AL2696">
        <v>88.340164674147005</v>
      </c>
      <c r="AM2696">
        <v>86.335057662373799</v>
      </c>
      <c r="AN2696">
        <v>1.0000000142540699</v>
      </c>
    </row>
    <row r="2697" spans="1:40" x14ac:dyDescent="0.3">
      <c r="A2697" t="str">
        <f>"20200111153929880"</f>
        <v>20200111153929880</v>
      </c>
      <c r="B2697" t="str">
        <f>"1578728369873023"</f>
        <v>1578728369873023</v>
      </c>
      <c r="C2697" t="s">
        <v>40</v>
      </c>
      <c r="D2697">
        <v>5.2329429999999997</v>
      </c>
      <c r="E2697">
        <v>0.50775839999999905</v>
      </c>
      <c r="F2697" t="s">
        <v>41</v>
      </c>
      <c r="G2697">
        <v>-268.52229999999997</v>
      </c>
      <c r="H2697">
        <v>1.023517</v>
      </c>
      <c r="I2697">
        <v>140.64269999999999</v>
      </c>
      <c r="J2697">
        <v>-267.94510000000002</v>
      </c>
      <c r="K2697">
        <v>1.1029990000000001</v>
      </c>
      <c r="L2697">
        <v>140.5907</v>
      </c>
      <c r="M2697">
        <v>-0.9974944</v>
      </c>
      <c r="N2697">
        <v>0</v>
      </c>
      <c r="O2697">
        <v>-7.0541699999999902E-2</v>
      </c>
      <c r="P2697">
        <v>-0.99967269999999997</v>
      </c>
      <c r="Q2697">
        <v>2.4291799999999999E-2</v>
      </c>
      <c r="R2697">
        <v>-8.0369109999999903E-3</v>
      </c>
      <c r="S2697">
        <v>-3.006256</v>
      </c>
      <c r="T2697">
        <v>-0.21586569999999999</v>
      </c>
      <c r="U2697">
        <v>3.8940429999999998E-2</v>
      </c>
      <c r="V2697">
        <v>6.2481160000000001E-2</v>
      </c>
      <c r="W2697">
        <v>2.9693830000000001E-2</v>
      </c>
      <c r="X2697">
        <v>0.9976043</v>
      </c>
      <c r="Y2697">
        <v>8.3061300000000005E-2</v>
      </c>
      <c r="Z2697">
        <v>8.0342209999999994E-3</v>
      </c>
      <c r="AA2697">
        <v>0.99651210000000001</v>
      </c>
      <c r="AB2697">
        <v>51</v>
      </c>
      <c r="AC2697">
        <v>-0.57719999999994798</v>
      </c>
      <c r="AD2697">
        <v>-7.9481999999999997E-2</v>
      </c>
      <c r="AE2697">
        <v>5.1999999999992497E-2</v>
      </c>
      <c r="AF2697">
        <v>9.0878346142282601E-2</v>
      </c>
      <c r="AG2697">
        <v>-7.9481999999999997E-2</v>
      </c>
      <c r="AH2697">
        <v>0.56153177405777099</v>
      </c>
      <c r="AI2697">
        <v>97.954264406552497</v>
      </c>
      <c r="AJ2697">
        <v>80.8069555896369</v>
      </c>
      <c r="AK2697">
        <v>0.57436416618555097</v>
      </c>
      <c r="AL2697">
        <v>88.298418711371795</v>
      </c>
      <c r="AM2697">
        <v>86.416177411348897</v>
      </c>
      <c r="AN2697">
        <v>0.99999997913675198</v>
      </c>
    </row>
    <row r="2698" spans="1:40" x14ac:dyDescent="0.3">
      <c r="A2698" t="str">
        <f>"20200111153929903"</f>
        <v>20200111153929903</v>
      </c>
      <c r="B2698" t="str">
        <f>"1578728369893519"</f>
        <v>1578728369893519</v>
      </c>
      <c r="C2698" t="s">
        <v>40</v>
      </c>
      <c r="D2698">
        <v>5.2178760000000004</v>
      </c>
      <c r="E2698">
        <v>0.50756219999999996</v>
      </c>
      <c r="F2698" t="s">
        <v>41</v>
      </c>
      <c r="G2698">
        <v>-268.98410000000001</v>
      </c>
      <c r="H2698">
        <v>1.030594</v>
      </c>
      <c r="I2698">
        <v>140.60290000000001</v>
      </c>
      <c r="J2698">
        <v>-268.44839999999999</v>
      </c>
      <c r="K2698">
        <v>1.10292099999999</v>
      </c>
      <c r="L2698">
        <v>140.55510000000001</v>
      </c>
      <c r="M2698">
        <v>-0.99749679999999996</v>
      </c>
      <c r="N2698">
        <v>0</v>
      </c>
      <c r="O2698">
        <v>-7.0508130000000002E-2</v>
      </c>
      <c r="P2698">
        <v>-0.9996313</v>
      </c>
      <c r="Q2698">
        <v>2.553242E-2</v>
      </c>
      <c r="R2698">
        <v>-9.2603819999999993E-3</v>
      </c>
      <c r="S2698">
        <v>-3.006348</v>
      </c>
      <c r="T2698">
        <v>-0.20957700000000001</v>
      </c>
      <c r="U2698">
        <v>3.4515379999999998E-2</v>
      </c>
      <c r="V2698">
        <v>6.1229430000000001E-2</v>
      </c>
      <c r="W2698">
        <v>3.0933990000000001E-2</v>
      </c>
      <c r="X2698">
        <v>0.99764419999999998</v>
      </c>
      <c r="Y2698">
        <v>8.1587090000000001E-2</v>
      </c>
      <c r="Z2698">
        <v>7.7468559999999999E-3</v>
      </c>
      <c r="AA2698">
        <v>0.99663610000000002</v>
      </c>
      <c r="AB2698">
        <v>51</v>
      </c>
      <c r="AC2698">
        <v>-0.53570000000001905</v>
      </c>
      <c r="AD2698">
        <v>-7.2326999999999794E-2</v>
      </c>
      <c r="AE2698">
        <v>4.7799999999995103E-2</v>
      </c>
      <c r="AF2698">
        <v>8.3934836059300702E-2</v>
      </c>
      <c r="AG2698">
        <v>-7.2326999999999794E-2</v>
      </c>
      <c r="AH2698">
        <v>0.521564000317712</v>
      </c>
      <c r="AI2698">
        <v>97.7959949060903</v>
      </c>
      <c r="AJ2698">
        <v>80.857824701691698</v>
      </c>
      <c r="AK2698">
        <v>0.53320283013194503</v>
      </c>
      <c r="AL2698">
        <v>88.227330053487506</v>
      </c>
      <c r="AM2698">
        <v>86.487933269014704</v>
      </c>
      <c r="AN2698">
        <v>0.99999995231454097</v>
      </c>
    </row>
    <row r="2699" spans="1:40" x14ac:dyDescent="0.3">
      <c r="A2699" t="str">
        <f>"20200111153929926"</f>
        <v>20200111153929926</v>
      </c>
      <c r="B2699" t="str">
        <f>"1578728369923307"</f>
        <v>1578728369923307</v>
      </c>
      <c r="C2699" t="s">
        <v>40</v>
      </c>
      <c r="D2699">
        <v>5.21462</v>
      </c>
      <c r="E2699">
        <v>0.50771429999999995</v>
      </c>
      <c r="F2699" t="s">
        <v>41</v>
      </c>
      <c r="G2699">
        <v>-269.44560000000001</v>
      </c>
      <c r="H2699">
        <v>1.03434</v>
      </c>
      <c r="I2699">
        <v>140.5652</v>
      </c>
      <c r="J2699">
        <v>-268.98039999999997</v>
      </c>
      <c r="K2699">
        <v>1.1028169999999999</v>
      </c>
      <c r="L2699">
        <v>140.51759999999999</v>
      </c>
      <c r="M2699">
        <v>-0.99750830000000001</v>
      </c>
      <c r="N2699">
        <v>0</v>
      </c>
      <c r="O2699">
        <v>-7.0343610000000001E-2</v>
      </c>
      <c r="P2699">
        <v>-0.99960640000000001</v>
      </c>
      <c r="Q2699">
        <v>2.59781E-2</v>
      </c>
      <c r="R2699">
        <v>-1.0600979999999999E-2</v>
      </c>
      <c r="S2699">
        <v>-3.0066830000000002</v>
      </c>
      <c r="T2699">
        <v>-0.20685310000000001</v>
      </c>
      <c r="U2699">
        <v>2.992249E-2</v>
      </c>
      <c r="V2699">
        <v>5.9733670000000003E-2</v>
      </c>
      <c r="W2699">
        <v>3.1376759999999997E-2</v>
      </c>
      <c r="X2699">
        <v>0.99772110000000003</v>
      </c>
      <c r="Y2699">
        <v>7.9912990000000003E-2</v>
      </c>
      <c r="Z2699">
        <v>7.5767469999999896E-3</v>
      </c>
      <c r="AA2699">
        <v>0.99677309999999997</v>
      </c>
      <c r="AB2699">
        <v>51</v>
      </c>
      <c r="AC2699">
        <v>-0.46520000000003803</v>
      </c>
      <c r="AD2699">
        <v>-6.8476999999999899E-2</v>
      </c>
      <c r="AE2699">
        <v>4.76000000000169E-2</v>
      </c>
      <c r="AF2699">
        <v>7.8522638594621802E-2</v>
      </c>
      <c r="AG2699">
        <v>-6.8476999999999899E-2</v>
      </c>
      <c r="AH2699">
        <v>0.451027763184566</v>
      </c>
      <c r="AI2699">
        <v>98.506920700328607</v>
      </c>
      <c r="AJ2699">
        <v>80.123955707138705</v>
      </c>
      <c r="AK2699">
        <v>0.46290490110187299</v>
      </c>
      <c r="AL2699">
        <v>88.201948969542002</v>
      </c>
      <c r="AM2699">
        <v>86.573785263067094</v>
      </c>
      <c r="AN2699">
        <v>1.00000000289248</v>
      </c>
    </row>
    <row r="2700" spans="1:40" x14ac:dyDescent="0.3">
      <c r="A2700" t="str">
        <f>"20200111153929947"</f>
        <v>20200111153929947</v>
      </c>
      <c r="B2700" t="str">
        <f>"1578728369943802"</f>
        <v>1578728369943802</v>
      </c>
      <c r="C2700" t="s">
        <v>40</v>
      </c>
      <c r="D2700">
        <v>5.2251659999999998</v>
      </c>
      <c r="E2700">
        <v>0.50799719999999904</v>
      </c>
      <c r="F2700" t="s">
        <v>41</v>
      </c>
      <c r="G2700">
        <v>-269.90879999999999</v>
      </c>
      <c r="H2700">
        <v>1.0394239999999999</v>
      </c>
      <c r="I2700">
        <v>140.5265</v>
      </c>
      <c r="J2700">
        <v>-269.46280000000002</v>
      </c>
      <c r="K2700">
        <v>1.1026819999999999</v>
      </c>
      <c r="L2700">
        <v>140.4838</v>
      </c>
      <c r="M2700">
        <v>-0.99752909999999995</v>
      </c>
      <c r="N2700">
        <v>0</v>
      </c>
      <c r="O2700">
        <v>-7.0048470000000002E-2</v>
      </c>
      <c r="P2700">
        <v>-0.99958190000000002</v>
      </c>
      <c r="Q2700">
        <v>2.6424670000000001E-2</v>
      </c>
      <c r="R2700">
        <v>-1.1752490000000001E-2</v>
      </c>
      <c r="S2700">
        <v>-3.0068049999999999</v>
      </c>
      <c r="T2700">
        <v>-0.20541119999999999</v>
      </c>
      <c r="U2700">
        <v>2.752686E-2</v>
      </c>
      <c r="V2700">
        <v>5.8297839999999997E-2</v>
      </c>
      <c r="W2700">
        <v>3.1818099999999898E-2</v>
      </c>
      <c r="X2700">
        <v>0.99779209999999996</v>
      </c>
      <c r="Y2700">
        <v>7.8831709999999999E-2</v>
      </c>
      <c r="Z2700">
        <v>7.4667519999999897E-3</v>
      </c>
      <c r="AA2700">
        <v>0.99685999999999997</v>
      </c>
      <c r="AB2700">
        <v>52</v>
      </c>
      <c r="AC2700">
        <v>-0.44599999999996898</v>
      </c>
      <c r="AD2700">
        <v>-6.3257999999999995E-2</v>
      </c>
      <c r="AE2700">
        <v>4.2699999999996401E-2</v>
      </c>
      <c r="AF2700">
        <v>7.2394060635815299E-2</v>
      </c>
      <c r="AG2700">
        <v>-6.3257999999999995E-2</v>
      </c>
      <c r="AH2700">
        <v>0.43327628552227798</v>
      </c>
      <c r="AI2700">
        <v>98.194429391162302</v>
      </c>
      <c r="AJ2700">
        <v>80.514346548503397</v>
      </c>
      <c r="AK2700">
        <v>0.443813940942964</v>
      </c>
      <c r="AL2700">
        <v>88.176649507407902</v>
      </c>
      <c r="AM2700">
        <v>86.656190081121807</v>
      </c>
      <c r="AN2700">
        <v>1.00000005222934</v>
      </c>
    </row>
    <row r="2701" spans="1:40" x14ac:dyDescent="0.3">
      <c r="A2701" t="str">
        <f>"20200111153929970"</f>
        <v>20200111153929970</v>
      </c>
      <c r="B2701" t="str">
        <f>"1578728369963322"</f>
        <v>1578728369963322</v>
      </c>
      <c r="C2701" t="s">
        <v>40</v>
      </c>
      <c r="D2701">
        <v>5.2039910000000003</v>
      </c>
      <c r="E2701">
        <v>0.50812469999999998</v>
      </c>
      <c r="F2701" t="s">
        <v>41</v>
      </c>
      <c r="G2701">
        <v>-270.3716</v>
      </c>
      <c r="H2701">
        <v>1.0408500000000001</v>
      </c>
      <c r="I2701">
        <v>140.49209999999999</v>
      </c>
      <c r="J2701">
        <v>-269.9871</v>
      </c>
      <c r="K2701">
        <v>1.1025149999999999</v>
      </c>
      <c r="L2701">
        <v>140.44730000000001</v>
      </c>
      <c r="M2701">
        <v>-0.99756440000000002</v>
      </c>
      <c r="N2701">
        <v>0</v>
      </c>
      <c r="O2701">
        <v>-6.9539489999999995E-2</v>
      </c>
      <c r="P2701">
        <v>-0.99956129999999999</v>
      </c>
      <c r="Q2701">
        <v>2.6545280000000001E-2</v>
      </c>
      <c r="R2701">
        <v>-1.314831E-2</v>
      </c>
      <c r="S2701">
        <v>-3.0069889999999999</v>
      </c>
      <c r="T2701">
        <v>-0.2046617</v>
      </c>
      <c r="U2701">
        <v>2.6641850000000002E-2</v>
      </c>
      <c r="V2701">
        <v>5.6407949999999998E-2</v>
      </c>
      <c r="W2701">
        <v>3.1930090000000001E-2</v>
      </c>
      <c r="X2701">
        <v>0.99789709999999998</v>
      </c>
      <c r="Y2701">
        <v>7.8034709999999993E-2</v>
      </c>
      <c r="Z2701">
        <v>7.3774829999999998E-3</v>
      </c>
      <c r="AA2701">
        <v>0.99692329999999996</v>
      </c>
      <c r="AB2701">
        <v>52</v>
      </c>
      <c r="AC2701">
        <v>-0.38450000000000201</v>
      </c>
      <c r="AD2701">
        <v>-6.1664999999999803E-2</v>
      </c>
      <c r="AE2701">
        <v>4.47999999999808E-2</v>
      </c>
      <c r="AF2701">
        <v>6.9662105960540704E-2</v>
      </c>
      <c r="AG2701">
        <v>-6.1664999999999803E-2</v>
      </c>
      <c r="AH2701">
        <v>0.37103817741081802</v>
      </c>
      <c r="AI2701">
        <v>99.276875625523004</v>
      </c>
      <c r="AJ2701">
        <v>79.366554395399703</v>
      </c>
      <c r="AK2701">
        <v>0.38252413038682898</v>
      </c>
      <c r="AL2701">
        <v>88.170229604671903</v>
      </c>
      <c r="AM2701">
        <v>86.764694742677506</v>
      </c>
      <c r="AN2701">
        <v>1.0000000048295099</v>
      </c>
    </row>
    <row r="2702" spans="1:40" x14ac:dyDescent="0.3">
      <c r="A2702" t="str">
        <f>"20200111153929991"</f>
        <v>20200111153929991</v>
      </c>
      <c r="B2702" t="str">
        <f>"1578728369983818"</f>
        <v>1578728369983818</v>
      </c>
      <c r="C2702" t="s">
        <v>40</v>
      </c>
      <c r="D2702">
        <v>5.1972069999999997</v>
      </c>
      <c r="E2702">
        <v>0.50820710000000002</v>
      </c>
      <c r="F2702" t="s">
        <v>41</v>
      </c>
      <c r="G2702">
        <v>-270.83679999999998</v>
      </c>
      <c r="H2702">
        <v>1.04498</v>
      </c>
      <c r="I2702">
        <v>140.45439999999999</v>
      </c>
      <c r="J2702">
        <v>-270.49770000000001</v>
      </c>
      <c r="K2702">
        <v>1.1023160000000001</v>
      </c>
      <c r="L2702">
        <v>140.41200000000001</v>
      </c>
      <c r="M2702">
        <v>-0.99761350000000004</v>
      </c>
      <c r="N2702">
        <v>0</v>
      </c>
      <c r="O2702">
        <v>-6.8830310000000006E-2</v>
      </c>
      <c r="P2702">
        <v>-0.9995695</v>
      </c>
      <c r="Q2702">
        <v>2.5843040000000001E-2</v>
      </c>
      <c r="R2702">
        <v>-1.3896540000000001E-2</v>
      </c>
      <c r="S2702">
        <v>-3.0070190000000001</v>
      </c>
      <c r="T2702">
        <v>-0.2037021</v>
      </c>
      <c r="U2702">
        <v>2.4093630000000001E-2</v>
      </c>
      <c r="V2702">
        <v>5.4967160000000001E-2</v>
      </c>
      <c r="W2702">
        <v>3.1218050000000001E-2</v>
      </c>
      <c r="X2702">
        <v>0.998</v>
      </c>
      <c r="Y2702">
        <v>7.6489429999999997E-2</v>
      </c>
      <c r="Z2702">
        <v>7.2427019999999898E-3</v>
      </c>
      <c r="AA2702">
        <v>0.99704409999999999</v>
      </c>
      <c r="AB2702">
        <v>52</v>
      </c>
      <c r="AC2702">
        <v>-0.33909999999997298</v>
      </c>
      <c r="AD2702">
        <v>-5.7335999999999998E-2</v>
      </c>
      <c r="AE2702">
        <v>4.23999999999864E-2</v>
      </c>
      <c r="AF2702">
        <v>6.3843032063536406E-2</v>
      </c>
      <c r="AG2702">
        <v>-5.7335999999999998E-2</v>
      </c>
      <c r="AH2702">
        <v>0.326195264507881</v>
      </c>
      <c r="AI2702">
        <v>99.787156544785802</v>
      </c>
      <c r="AJ2702">
        <v>78.926038544596096</v>
      </c>
      <c r="AK2702">
        <v>0.33729319623501502</v>
      </c>
      <c r="AL2702">
        <v>88.211046794440094</v>
      </c>
      <c r="AM2702">
        <v>86.847487476955905</v>
      </c>
      <c r="AN2702">
        <v>0.999999977662133</v>
      </c>
    </row>
    <row r="2703" spans="1:40" x14ac:dyDescent="0.3">
      <c r="A2703" t="str">
        <f>"20200111153930016"</f>
        <v>20200111153930016</v>
      </c>
      <c r="B2703" t="str">
        <f>"1578728370003340"</f>
        <v>1578728370003340</v>
      </c>
      <c r="C2703" t="s">
        <v>40</v>
      </c>
      <c r="D2703">
        <v>5.2315120000000004</v>
      </c>
      <c r="E2703">
        <v>0.50844250000000002</v>
      </c>
      <c r="F2703" t="s">
        <v>41</v>
      </c>
      <c r="G2703">
        <v>-271.3021</v>
      </c>
      <c r="H2703">
        <v>1.0468930000000001</v>
      </c>
      <c r="I2703">
        <v>140.41810000000001</v>
      </c>
      <c r="J2703">
        <v>-271.041</v>
      </c>
      <c r="K2703">
        <v>1.102071</v>
      </c>
      <c r="L2703">
        <v>140.3751</v>
      </c>
      <c r="M2703">
        <v>-0.99768219999999996</v>
      </c>
      <c r="N2703">
        <v>0</v>
      </c>
      <c r="O2703">
        <v>-6.7827440000000003E-2</v>
      </c>
      <c r="P2703">
        <v>-0.99959299999999995</v>
      </c>
      <c r="Q2703">
        <v>2.4968879999999999E-2</v>
      </c>
      <c r="R2703">
        <v>-1.380282E-2</v>
      </c>
      <c r="S2703">
        <v>-3.006958</v>
      </c>
      <c r="T2703">
        <v>-0.20716519999999999</v>
      </c>
      <c r="U2703">
        <v>2.259827E-2</v>
      </c>
      <c r="V2703">
        <v>5.4075650000000003E-2</v>
      </c>
      <c r="W2703">
        <v>3.033108E-2</v>
      </c>
      <c r="X2703">
        <v>0.99807610000000002</v>
      </c>
      <c r="Y2703">
        <v>7.4985969999999999E-2</v>
      </c>
      <c r="Z2703">
        <v>7.2450609999999997E-3</v>
      </c>
      <c r="AA2703">
        <v>0.99715830000000005</v>
      </c>
      <c r="AB2703">
        <v>52</v>
      </c>
      <c r="AC2703">
        <v>-0.261099999999999</v>
      </c>
      <c r="AD2703">
        <v>-5.5177999999999901E-2</v>
      </c>
      <c r="AE2703">
        <v>4.3000000000006297E-2</v>
      </c>
      <c r="AF2703">
        <v>5.8085387440399303E-2</v>
      </c>
      <c r="AG2703">
        <v>-5.5177999999999901E-2</v>
      </c>
      <c r="AH2703">
        <v>0.24684891049899099</v>
      </c>
      <c r="AI2703">
        <v>102.275466323553</v>
      </c>
      <c r="AJ2703">
        <v>76.758756321551303</v>
      </c>
      <c r="AK2703">
        <v>0.25952438909019698</v>
      </c>
      <c r="AL2703">
        <v>88.261890600692396</v>
      </c>
      <c r="AM2703">
        <v>86.898753315415107</v>
      </c>
      <c r="AN2703">
        <v>1.00000002586404</v>
      </c>
    </row>
    <row r="2704" spans="1:40" x14ac:dyDescent="0.3">
      <c r="A2704" t="str">
        <f>"20200111153930037"</f>
        <v>20200111153930037</v>
      </c>
      <c r="B2704" t="str">
        <f>"1578728370033126"</f>
        <v>1578728370033126</v>
      </c>
      <c r="C2704" t="s">
        <v>40</v>
      </c>
      <c r="D2704">
        <v>5.0647169999999999</v>
      </c>
      <c r="E2704">
        <v>0.50869920000000002</v>
      </c>
      <c r="F2704" t="s">
        <v>41</v>
      </c>
      <c r="G2704">
        <v>-272.22359999999998</v>
      </c>
      <c r="H2704">
        <v>1.019252</v>
      </c>
      <c r="I2704">
        <v>140.3853</v>
      </c>
      <c r="J2704">
        <v>-271.54640000000001</v>
      </c>
      <c r="K2704">
        <v>1.10182</v>
      </c>
      <c r="L2704">
        <v>140.34129999999999</v>
      </c>
      <c r="M2704">
        <v>-0.99776319999999996</v>
      </c>
      <c r="N2704">
        <v>0</v>
      </c>
      <c r="O2704">
        <v>-6.6625519999999994E-2</v>
      </c>
      <c r="P2704">
        <v>-0.99961840000000002</v>
      </c>
      <c r="Q2704">
        <v>2.4440779999999999E-2</v>
      </c>
      <c r="R2704">
        <v>-1.2891929999999999E-2</v>
      </c>
      <c r="S2704">
        <v>-3.0068049999999999</v>
      </c>
      <c r="T2704">
        <v>-0.21057329999999999</v>
      </c>
      <c r="U2704">
        <v>2.5100709999999998E-2</v>
      </c>
      <c r="V2704">
        <v>5.3800580000000001E-2</v>
      </c>
      <c r="W2704">
        <v>2.9788209999999999E-2</v>
      </c>
      <c r="X2704">
        <v>0.99810730000000003</v>
      </c>
      <c r="Y2704">
        <v>7.4607549999999995E-2</v>
      </c>
      <c r="Z2704">
        <v>7.2671699999999999E-3</v>
      </c>
      <c r="AA2704">
        <v>0.99718649999999998</v>
      </c>
      <c r="AB2704">
        <v>52</v>
      </c>
      <c r="AC2704">
        <v>-0.67719999999997005</v>
      </c>
      <c r="AD2704">
        <v>-8.2567999999999905E-2</v>
      </c>
      <c r="AE2704">
        <v>4.40000000000111E-2</v>
      </c>
      <c r="AF2704">
        <v>8.7723106006056706E-2</v>
      </c>
      <c r="AG2704">
        <v>-8.2567999999999905E-2</v>
      </c>
      <c r="AH2704">
        <v>0.66294980550452998</v>
      </c>
      <c r="AI2704">
        <v>97.038694188593993</v>
      </c>
      <c r="AJ2704">
        <v>82.462274905878502</v>
      </c>
      <c r="AK2704">
        <v>0.67380654684400598</v>
      </c>
      <c r="AL2704">
        <v>88.293008796978995</v>
      </c>
      <c r="AM2704">
        <v>86.914594325753001</v>
      </c>
      <c r="AN2704">
        <v>1.00000001108831</v>
      </c>
    </row>
    <row r="2705" spans="1:40" x14ac:dyDescent="0.3">
      <c r="A2705" t="str">
        <f>"20200111153930057"</f>
        <v>20200111153930057</v>
      </c>
      <c r="B2705" t="str">
        <f>"1578728370053622"</f>
        <v>1578728370053622</v>
      </c>
      <c r="C2705" t="s">
        <v>40</v>
      </c>
      <c r="D2705">
        <v>5.1132580000000001</v>
      </c>
      <c r="E2705">
        <v>0.4909983</v>
      </c>
      <c r="F2705" t="s">
        <v>41</v>
      </c>
      <c r="G2705">
        <v>-272.69279999999998</v>
      </c>
      <c r="H2705">
        <v>1.0217210000000001</v>
      </c>
      <c r="I2705">
        <v>140.35310000000001</v>
      </c>
      <c r="J2705">
        <v>-272.04930000000002</v>
      </c>
      <c r="K2705">
        <v>1.1015699999999999</v>
      </c>
      <c r="L2705">
        <v>140.30840000000001</v>
      </c>
      <c r="M2705">
        <v>-0.99785579999999996</v>
      </c>
      <c r="N2705">
        <v>0</v>
      </c>
      <c r="O2705">
        <v>-6.5222189999999999E-2</v>
      </c>
      <c r="P2705">
        <v>-0.99961739999999999</v>
      </c>
      <c r="Q2705">
        <v>2.5091169999999999E-2</v>
      </c>
      <c r="R2705">
        <v>-1.164716E-2</v>
      </c>
      <c r="S2705">
        <v>-3.0066830000000002</v>
      </c>
      <c r="T2705">
        <v>-0.2100687</v>
      </c>
      <c r="U2705">
        <v>3.041077E-2</v>
      </c>
      <c r="V2705">
        <v>5.3657860000000002E-2</v>
      </c>
      <c r="W2705">
        <v>3.042402E-2</v>
      </c>
      <c r="X2705">
        <v>0.99809579999999998</v>
      </c>
      <c r="Y2705">
        <v>7.4970560000000006E-2</v>
      </c>
      <c r="Z2705">
        <v>7.1649849999999996E-3</v>
      </c>
      <c r="AA2705">
        <v>0.99716000000000005</v>
      </c>
      <c r="AB2705">
        <v>52</v>
      </c>
      <c r="AC2705">
        <v>-0.64349999999995999</v>
      </c>
      <c r="AD2705">
        <v>-7.9849000000000198E-2</v>
      </c>
      <c r="AE2705">
        <v>4.4700000000005902E-2</v>
      </c>
      <c r="AF2705">
        <v>8.5269322004019502E-2</v>
      </c>
      <c r="AG2705">
        <v>-7.9849000000000198E-2</v>
      </c>
      <c r="AH2705">
        <v>0.62956729473121797</v>
      </c>
      <c r="AI2705">
        <v>97.163600624061203</v>
      </c>
      <c r="AJ2705">
        <v>82.286729738854206</v>
      </c>
      <c r="AK2705">
        <v>0.64031375018127601</v>
      </c>
      <c r="AL2705">
        <v>88.256563038554802</v>
      </c>
      <c r="AM2705">
        <v>86.922728025952495</v>
      </c>
      <c r="AN2705">
        <v>1.0000000064551899</v>
      </c>
    </row>
    <row r="2706" spans="1:40" x14ac:dyDescent="0.3">
      <c r="A2706" t="str">
        <f>"20200111153930081"</f>
        <v>20200111153930081</v>
      </c>
      <c r="B2706" t="str">
        <f>"1578728370073142"</f>
        <v>1578728370073142</v>
      </c>
      <c r="C2706" t="s">
        <v>40</v>
      </c>
      <c r="D2706">
        <v>5.1503639999999997</v>
      </c>
      <c r="E2706">
        <v>0.48724040000000002</v>
      </c>
      <c r="F2706" t="s">
        <v>41</v>
      </c>
      <c r="G2706">
        <v>-273.16390000000001</v>
      </c>
      <c r="H2706">
        <v>1.0319940000000001</v>
      </c>
      <c r="I2706">
        <v>140.26900000000001</v>
      </c>
      <c r="J2706">
        <v>-272.61160000000001</v>
      </c>
      <c r="K2706">
        <v>1.1012919999999999</v>
      </c>
      <c r="L2706">
        <v>140.27260000000001</v>
      </c>
      <c r="M2706">
        <v>-0.99797239999999998</v>
      </c>
      <c r="N2706">
        <v>0</v>
      </c>
      <c r="O2706">
        <v>-6.3410919999999996E-2</v>
      </c>
      <c r="P2706">
        <v>-0.99964989999999998</v>
      </c>
      <c r="Q2706">
        <v>2.4620929999999999E-2</v>
      </c>
      <c r="R2706">
        <v>-9.7074090000000002E-3</v>
      </c>
      <c r="S2706">
        <v>-3.0046080000000002</v>
      </c>
      <c r="T2706">
        <v>-0.18752779999999999</v>
      </c>
      <c r="U2706">
        <v>-0.1066742</v>
      </c>
      <c r="V2706">
        <v>5.3802660000000002E-2</v>
      </c>
      <c r="W2706">
        <v>2.993643E-2</v>
      </c>
      <c r="X2706">
        <v>0.99810270000000001</v>
      </c>
      <c r="Y2706">
        <v>2.7785170000000001E-2</v>
      </c>
      <c r="Z2706">
        <v>4.815527E-3</v>
      </c>
      <c r="AA2706">
        <v>0.99960230000000005</v>
      </c>
      <c r="AB2706">
        <v>52</v>
      </c>
      <c r="AC2706">
        <v>-0.55230000000000201</v>
      </c>
      <c r="AD2706">
        <v>-6.9297999999999804E-2</v>
      </c>
      <c r="AE2706">
        <v>-3.6000000000058199E-3</v>
      </c>
      <c r="AF2706">
        <v>3.0942512623342501E-2</v>
      </c>
      <c r="AG2706">
        <v>-6.9297999999999804E-2</v>
      </c>
      <c r="AH2706">
        <v>0.54287062258909202</v>
      </c>
      <c r="AI2706">
        <v>97.262861925423493</v>
      </c>
      <c r="AJ2706">
        <v>86.737787688417995</v>
      </c>
      <c r="AK2706">
        <v>0.54814976490163203</v>
      </c>
      <c r="AL2706">
        <v>88.284512536255605</v>
      </c>
      <c r="AM2706">
        <v>86.914461077552104</v>
      </c>
      <c r="AN2706">
        <v>0.99999995790575402</v>
      </c>
    </row>
    <row r="2707" spans="1:40" x14ac:dyDescent="0.3">
      <c r="A2707" t="str">
        <f>"20200111153930104"</f>
        <v>20200111153930104</v>
      </c>
      <c r="B2707" t="str">
        <f>"1578728370093637"</f>
        <v>1578728370093637</v>
      </c>
      <c r="C2707" t="s">
        <v>40</v>
      </c>
      <c r="D2707">
        <v>5.1613860000000003</v>
      </c>
      <c r="E2707">
        <v>0.48663489999999998</v>
      </c>
      <c r="F2707" t="s">
        <v>41</v>
      </c>
      <c r="G2707">
        <v>-273.63749999999999</v>
      </c>
      <c r="H2707">
        <v>1.0393840000000001</v>
      </c>
      <c r="I2707">
        <v>140.22839999999999</v>
      </c>
      <c r="J2707">
        <v>-273.13459999999998</v>
      </c>
      <c r="K2707">
        <v>1.1010169999999999</v>
      </c>
      <c r="L2707">
        <v>140.24010000000001</v>
      </c>
      <c r="M2707">
        <v>-0.99809150000000002</v>
      </c>
      <c r="N2707">
        <v>0</v>
      </c>
      <c r="O2707">
        <v>-6.1507609999999997E-2</v>
      </c>
      <c r="P2707">
        <v>-0.99968239999999997</v>
      </c>
      <c r="Q2707">
        <v>2.407751E-2</v>
      </c>
      <c r="R2707">
        <v>-7.4513729999999999E-3</v>
      </c>
      <c r="S2707">
        <v>-3.0042719999999998</v>
      </c>
      <c r="T2707">
        <v>-0.18125810000000001</v>
      </c>
      <c r="U2707">
        <v>-0.13046259999999901</v>
      </c>
      <c r="V2707">
        <v>5.4169269999999999E-2</v>
      </c>
      <c r="W2707">
        <v>2.9375439999999999E-2</v>
      </c>
      <c r="X2707">
        <v>0.99809959999999998</v>
      </c>
      <c r="Y2707">
        <v>1.800384E-2</v>
      </c>
      <c r="Z2707">
        <v>4.245286E-3</v>
      </c>
      <c r="AA2707">
        <v>0.99982890000000002</v>
      </c>
      <c r="AB2707">
        <v>53</v>
      </c>
      <c r="AC2707">
        <v>-0.502900000000011</v>
      </c>
      <c r="AD2707">
        <v>-6.1632999999999799E-2</v>
      </c>
      <c r="AE2707">
        <v>-1.17000000000189E-2</v>
      </c>
      <c r="AF2707">
        <v>1.8970025667922E-2</v>
      </c>
      <c r="AG2707">
        <v>-6.1632999999999799E-2</v>
      </c>
      <c r="AH2707">
        <v>0.49523317206572698</v>
      </c>
      <c r="AI2707">
        <v>97.088980773067902</v>
      </c>
      <c r="AJ2707">
        <v>87.806343888175903</v>
      </c>
      <c r="AK2707">
        <v>0.499414039927918</v>
      </c>
      <c r="AL2707">
        <v>88.316669143614405</v>
      </c>
      <c r="AM2707">
        <v>86.893467702991103</v>
      </c>
      <c r="AN2707">
        <v>1.00000001890384</v>
      </c>
    </row>
    <row r="2708" spans="1:40" x14ac:dyDescent="0.3">
      <c r="A2708" t="str">
        <f>"20200111153930127"</f>
        <v>20200111153930127</v>
      </c>
      <c r="B2708" t="str">
        <f>"1578728370123426"</f>
        <v>1578728370123426</v>
      </c>
      <c r="C2708" t="s">
        <v>40</v>
      </c>
      <c r="D2708">
        <v>5.1350930000000004</v>
      </c>
      <c r="E2708">
        <v>0.48669000000000001</v>
      </c>
      <c r="F2708" t="s">
        <v>41</v>
      </c>
      <c r="G2708">
        <v>-274.1112</v>
      </c>
      <c r="H2708">
        <v>1.041928</v>
      </c>
      <c r="I2708">
        <v>140.1986</v>
      </c>
      <c r="J2708">
        <v>-273.68799999999999</v>
      </c>
      <c r="K2708">
        <v>1.100725</v>
      </c>
      <c r="L2708">
        <v>140.20689999999999</v>
      </c>
      <c r="M2708">
        <v>-0.99822690000000003</v>
      </c>
      <c r="N2708">
        <v>0</v>
      </c>
      <c r="O2708">
        <v>-5.9266289999999999E-2</v>
      </c>
      <c r="P2708">
        <v>-0.99969240000000004</v>
      </c>
      <c r="Q2708">
        <v>2.416778E-2</v>
      </c>
      <c r="R2708">
        <v>-5.5937560000000001E-3</v>
      </c>
      <c r="S2708">
        <v>-3.0043329999999999</v>
      </c>
      <c r="T2708">
        <v>-0.18176220000000001</v>
      </c>
      <c r="U2708">
        <v>-0.1281891</v>
      </c>
      <c r="V2708">
        <v>5.3803289999999997E-2</v>
      </c>
      <c r="W2708">
        <v>2.9449800000000002E-2</v>
      </c>
      <c r="X2708">
        <v>0.99811719999999904</v>
      </c>
      <c r="Y2708">
        <v>1.6520839999999998E-2</v>
      </c>
      <c r="Z2708">
        <v>4.0771330000000001E-3</v>
      </c>
      <c r="AA2708">
        <v>0.99985520000000006</v>
      </c>
      <c r="AB2708">
        <v>53</v>
      </c>
      <c r="AC2708">
        <v>-0.42320000000000801</v>
      </c>
      <c r="AD2708">
        <v>-5.8796999999999898E-2</v>
      </c>
      <c r="AE2708">
        <v>-8.2999999999913109E-3</v>
      </c>
      <c r="AF2708">
        <v>1.6478509217203001E-2</v>
      </c>
      <c r="AG2708">
        <v>-5.8796999999999898E-2</v>
      </c>
      <c r="AH2708">
        <v>0.41494156705894297</v>
      </c>
      <c r="AI2708">
        <v>98.058819880883604</v>
      </c>
      <c r="AJ2708">
        <v>87.725816759238</v>
      </c>
      <c r="AK2708">
        <v>0.41941045832019103</v>
      </c>
      <c r="AL2708">
        <v>88.312406778574797</v>
      </c>
      <c r="AM2708">
        <v>86.914469755996507</v>
      </c>
      <c r="AN2708">
        <v>1.0000000148353501</v>
      </c>
    </row>
    <row r="2709" spans="1:40" x14ac:dyDescent="0.3">
      <c r="A2709" t="str">
        <f>"20200111153930150"</f>
        <v>20200111153930150</v>
      </c>
      <c r="B2709" t="str">
        <f>"1578728370143921"</f>
        <v>1578728370143921</v>
      </c>
      <c r="C2709" t="s">
        <v>40</v>
      </c>
      <c r="D2709">
        <v>5.146916</v>
      </c>
      <c r="E2709">
        <v>0.48675610000000002</v>
      </c>
      <c r="F2709" t="s">
        <v>41</v>
      </c>
      <c r="G2709">
        <v>-274.58859999999999</v>
      </c>
      <c r="H2709">
        <v>1.0465819999999999</v>
      </c>
      <c r="I2709">
        <v>140.1705</v>
      </c>
      <c r="J2709">
        <v>-274.22770000000003</v>
      </c>
      <c r="K2709">
        <v>1.100438</v>
      </c>
      <c r="L2709">
        <v>140.17570000000001</v>
      </c>
      <c r="M2709">
        <v>-0.99836639999999999</v>
      </c>
      <c r="N2709">
        <v>0</v>
      </c>
      <c r="O2709">
        <v>-5.686629E-2</v>
      </c>
      <c r="P2709">
        <v>-0.99970939999999997</v>
      </c>
      <c r="Q2709">
        <v>2.3771549999999999E-2</v>
      </c>
      <c r="R2709">
        <v>-4.0213690000000003E-3</v>
      </c>
      <c r="S2709">
        <v>-3.0045470000000001</v>
      </c>
      <c r="T2709">
        <v>-0.18059259999999999</v>
      </c>
      <c r="U2709">
        <v>-0.1220398</v>
      </c>
      <c r="V2709">
        <v>5.2992320000000002E-2</v>
      </c>
      <c r="W2709">
        <v>2.904085E-2</v>
      </c>
      <c r="X2709">
        <v>0.99817259999999997</v>
      </c>
      <c r="Y2709">
        <v>1.6169659999999999E-2</v>
      </c>
      <c r="Z2709">
        <v>3.8965430000000001E-3</v>
      </c>
      <c r="AA2709">
        <v>0.99986169999999996</v>
      </c>
      <c r="AB2709">
        <v>53</v>
      </c>
      <c r="AC2709">
        <v>-0.36089999999995798</v>
      </c>
      <c r="AD2709">
        <v>-5.3856000000000098E-2</v>
      </c>
      <c r="AE2709">
        <v>-5.2000000000020901E-3</v>
      </c>
      <c r="AF2709">
        <v>1.4997861342836699E-2</v>
      </c>
      <c r="AG2709">
        <v>-5.3856000000000098E-2</v>
      </c>
      <c r="AH2709">
        <v>0.35275786347174798</v>
      </c>
      <c r="AI2709">
        <v>98.672677061104196</v>
      </c>
      <c r="AJ2709">
        <v>87.565477520099705</v>
      </c>
      <c r="AK2709">
        <v>0.35716034889389803</v>
      </c>
      <c r="AL2709">
        <v>88.335847969528302</v>
      </c>
      <c r="AM2709">
        <v>86.961058061980495</v>
      </c>
      <c r="AN2709">
        <v>1.0000000481692299</v>
      </c>
    </row>
    <row r="2710" spans="1:40" x14ac:dyDescent="0.3">
      <c r="A2710" t="str">
        <f>"20200111153930171"</f>
        <v>20200111153930171</v>
      </c>
      <c r="B2710" t="str">
        <f>"1578728370163441"</f>
        <v>1578728370163441</v>
      </c>
      <c r="C2710" t="s">
        <v>40</v>
      </c>
      <c r="D2710">
        <v>5.1893849999999997</v>
      </c>
      <c r="E2710">
        <v>0.48680370000000001</v>
      </c>
      <c r="F2710" t="s">
        <v>62</v>
      </c>
      <c r="G2710">
        <v>-292.53399999999999</v>
      </c>
      <c r="H2710" s="1">
        <v>-8.6504609999999996E-6</v>
      </c>
      <c r="I2710">
        <v>139.4675</v>
      </c>
      <c r="J2710">
        <v>-274.72660000000002</v>
      </c>
      <c r="K2710">
        <v>1.100169</v>
      </c>
      <c r="L2710">
        <v>140.1481</v>
      </c>
      <c r="M2710">
        <v>-0.9985001</v>
      </c>
      <c r="N2710">
        <v>0</v>
      </c>
      <c r="O2710">
        <v>-5.4465670000000001E-2</v>
      </c>
      <c r="P2710">
        <v>-0.99971339999999997</v>
      </c>
      <c r="Q2710">
        <v>2.3792250000000001E-2</v>
      </c>
      <c r="R2710">
        <v>-2.6577089999999999E-3</v>
      </c>
      <c r="S2710">
        <v>-3.0047000000000001</v>
      </c>
      <c r="T2710">
        <v>-0.18062149999999999</v>
      </c>
      <c r="U2710">
        <v>-0.1162415</v>
      </c>
      <c r="V2710">
        <v>5.197251E-2</v>
      </c>
      <c r="W2710">
        <v>2.9052290000000001E-2</v>
      </c>
      <c r="X2710">
        <v>0.99822580000000005</v>
      </c>
      <c r="Y2710">
        <v>1.569922E-2</v>
      </c>
      <c r="Z2710">
        <v>3.7391600000000001E-3</v>
      </c>
      <c r="AA2710">
        <v>0.99986980000000003</v>
      </c>
      <c r="AB2710">
        <v>53</v>
      </c>
      <c r="AC2710">
        <v>-17.807399999999902</v>
      </c>
      <c r="AD2710">
        <v>-1.1001776504609999</v>
      </c>
      <c r="AE2710">
        <v>-0.68059999999999798</v>
      </c>
      <c r="AF2710">
        <v>0.28921498026708398</v>
      </c>
      <c r="AG2710">
        <v>-1.1001776504609999</v>
      </c>
      <c r="AH2710">
        <v>17.750381802543501</v>
      </c>
      <c r="AI2710">
        <v>93.546214950510702</v>
      </c>
      <c r="AJ2710">
        <v>89.066536609013596</v>
      </c>
      <c r="AK2710">
        <v>17.7867953916228</v>
      </c>
      <c r="AL2710">
        <v>88.3351920866087</v>
      </c>
      <c r="AM2710">
        <v>87.0195930178743</v>
      </c>
      <c r="AN2710">
        <v>0.999999962567791</v>
      </c>
    </row>
    <row r="2711" spans="1:40" x14ac:dyDescent="0.3">
      <c r="A2711" t="str">
        <f>"20200111153930193"</f>
        <v>20200111153930193</v>
      </c>
      <c r="B2711" t="str">
        <f>"1578728370183938"</f>
        <v>1578728370183938</v>
      </c>
      <c r="C2711" t="s">
        <v>40</v>
      </c>
      <c r="D2711">
        <v>5.1528260000000001</v>
      </c>
      <c r="E2711">
        <v>0.48692489999999999</v>
      </c>
      <c r="F2711" t="s">
        <v>62</v>
      </c>
      <c r="G2711">
        <v>-293.06659999999999</v>
      </c>
      <c r="H2711" s="1">
        <v>-8.6035960000000008E-6</v>
      </c>
      <c r="I2711">
        <v>139.46729999999999</v>
      </c>
      <c r="J2711">
        <v>-275.26659999999998</v>
      </c>
      <c r="K2711">
        <v>1.099882</v>
      </c>
      <c r="L2711">
        <v>140.11949999999999</v>
      </c>
      <c r="M2711">
        <v>-0.99864739999999996</v>
      </c>
      <c r="N2711">
        <v>0</v>
      </c>
      <c r="O2711">
        <v>-5.1691199999999903E-2</v>
      </c>
      <c r="P2711">
        <v>-0.99970610000000004</v>
      </c>
      <c r="Q2711">
        <v>2.4205230000000001E-2</v>
      </c>
      <c r="R2711">
        <v>-1.3664720000000001E-3</v>
      </c>
      <c r="S2711">
        <v>-3.0048520000000001</v>
      </c>
      <c r="T2711">
        <v>-0.18025479999999999</v>
      </c>
      <c r="U2711">
        <v>-0.11154169999999999</v>
      </c>
      <c r="V2711">
        <v>5.0510739999999998E-2</v>
      </c>
      <c r="W2711">
        <v>2.945886E-2</v>
      </c>
      <c r="X2711">
        <v>0.99828890000000003</v>
      </c>
      <c r="Y2711">
        <v>1.4492329999999999E-2</v>
      </c>
      <c r="Z2711">
        <v>3.5294110000000001E-3</v>
      </c>
      <c r="AA2711">
        <v>0.99988880000000002</v>
      </c>
      <c r="AB2711">
        <v>53</v>
      </c>
      <c r="AC2711">
        <v>-17.8</v>
      </c>
      <c r="AD2711">
        <v>-1.0998906035959899</v>
      </c>
      <c r="AE2711">
        <v>-0.65219999999999301</v>
      </c>
      <c r="AF2711">
        <v>0.26776871995252699</v>
      </c>
      <c r="AG2711">
        <v>-1.0998906035959899</v>
      </c>
      <c r="AH2711">
        <v>17.742263519327299</v>
      </c>
      <c r="AI2711">
        <v>93.546976818989606</v>
      </c>
      <c r="AJ2711">
        <v>89.135349734236001</v>
      </c>
      <c r="AK2711">
        <v>17.778340029837299</v>
      </c>
      <c r="AL2711">
        <v>88.311887333169594</v>
      </c>
      <c r="AM2711">
        <v>87.103457393831604</v>
      </c>
      <c r="AN2711">
        <v>0.99999994357552702</v>
      </c>
    </row>
    <row r="2712" spans="1:40" x14ac:dyDescent="0.3">
      <c r="A2712" t="str">
        <f>"20200111153930216"</f>
        <v>20200111153930216</v>
      </c>
      <c r="B2712" t="str">
        <f>"1578728370203457"</f>
        <v>1578728370203457</v>
      </c>
      <c r="C2712" t="s">
        <v>40</v>
      </c>
      <c r="D2712">
        <v>5.2211509999999999</v>
      </c>
      <c r="E2712">
        <v>0.48680839999999997</v>
      </c>
      <c r="F2712" t="s">
        <v>62</v>
      </c>
      <c r="G2712">
        <v>-293.6823</v>
      </c>
      <c r="H2712" s="1">
        <v>-8.5498609999999992E-6</v>
      </c>
      <c r="I2712">
        <v>139.4683</v>
      </c>
      <c r="J2712">
        <v>-275.78129999999999</v>
      </c>
      <c r="K2712">
        <v>1.099615</v>
      </c>
      <c r="L2712">
        <v>140.09370000000001</v>
      </c>
      <c r="M2712">
        <v>-0.99878880000000003</v>
      </c>
      <c r="N2712">
        <v>0</v>
      </c>
      <c r="O2712">
        <v>-4.8882340000000003E-2</v>
      </c>
      <c r="P2712">
        <v>-0.99967930000000005</v>
      </c>
      <c r="Q2712">
        <v>2.533316E-2</v>
      </c>
      <c r="R2712">
        <v>1.7190860000000001E-4</v>
      </c>
      <c r="S2712">
        <v>-3.005096</v>
      </c>
      <c r="T2712">
        <v>-0.17948149999999999</v>
      </c>
      <c r="U2712">
        <v>-0.1062622</v>
      </c>
      <c r="V2712">
        <v>4.926531E-2</v>
      </c>
      <c r="W2712">
        <v>3.0582249999999998E-2</v>
      </c>
      <c r="X2712">
        <v>0.99831740000000002</v>
      </c>
      <c r="Y2712">
        <v>1.344541E-2</v>
      </c>
      <c r="Z2712">
        <v>3.3156050000000001E-3</v>
      </c>
      <c r="AA2712">
        <v>0.99990409999999996</v>
      </c>
      <c r="AB2712">
        <v>53</v>
      </c>
      <c r="AC2712">
        <v>-17.901</v>
      </c>
      <c r="AD2712">
        <v>-1.0996235498610001</v>
      </c>
      <c r="AE2712">
        <v>-0.62540000000001295</v>
      </c>
      <c r="AF2712">
        <v>0.24946400912195599</v>
      </c>
      <c r="AG2712">
        <v>-1.0996235498610001</v>
      </c>
      <c r="AH2712">
        <v>17.842924451703201</v>
      </c>
      <c r="AI2712">
        <v>93.526219784586999</v>
      </c>
      <c r="AJ2712">
        <v>89.198993208556104</v>
      </c>
      <c r="AK2712">
        <v>17.878516639599798</v>
      </c>
      <c r="AL2712">
        <v>88.247492874400507</v>
      </c>
      <c r="AM2712">
        <v>87.1748400348676</v>
      </c>
      <c r="AN2712">
        <v>0.999999987963609</v>
      </c>
    </row>
    <row r="2713" spans="1:40" x14ac:dyDescent="0.3">
      <c r="A2713" t="str">
        <f>"20200111153930238"</f>
        <v>20200111153930238</v>
      </c>
      <c r="B2713" t="str">
        <f>"1578728370233715"</f>
        <v>1578728370233715</v>
      </c>
      <c r="C2713" t="s">
        <v>40</v>
      </c>
      <c r="D2713">
        <v>5.1888050000000003</v>
      </c>
      <c r="E2713">
        <v>0.48708069999999998</v>
      </c>
      <c r="F2713" t="s">
        <v>41</v>
      </c>
      <c r="G2713">
        <v>-276.96120000000002</v>
      </c>
      <c r="H2713">
        <v>1.0305770000000001</v>
      </c>
      <c r="I2713">
        <v>140.05350000000001</v>
      </c>
      <c r="J2713">
        <v>-276.31729999999999</v>
      </c>
      <c r="K2713">
        <v>1.09934</v>
      </c>
      <c r="L2713">
        <v>140.0684</v>
      </c>
      <c r="M2713">
        <v>-0.99893460000000001</v>
      </c>
      <c r="N2713">
        <v>0</v>
      </c>
      <c r="O2713">
        <v>-4.5805199999999997E-2</v>
      </c>
      <c r="P2713">
        <v>-0.99966880000000002</v>
      </c>
      <c r="Q2713">
        <v>2.5668690000000001E-2</v>
      </c>
      <c r="R2713">
        <v>1.891401E-3</v>
      </c>
      <c r="S2713">
        <v>-3.0054319999999999</v>
      </c>
      <c r="T2713">
        <v>-0.17580109999999999</v>
      </c>
      <c r="U2713">
        <v>-0.1026001</v>
      </c>
      <c r="V2713">
        <v>4.7928869999999998E-2</v>
      </c>
      <c r="W2713">
        <v>3.091636E-2</v>
      </c>
      <c r="X2713">
        <v>0.99837220000000004</v>
      </c>
      <c r="Y2713">
        <v>1.1598789999999999E-2</v>
      </c>
      <c r="Z2713">
        <v>3.013946E-3</v>
      </c>
      <c r="AA2713">
        <v>0.99992820000000004</v>
      </c>
      <c r="AB2713">
        <v>53</v>
      </c>
      <c r="AC2713">
        <v>-0.64390000000003</v>
      </c>
      <c r="AD2713">
        <v>-6.8762999999999894E-2</v>
      </c>
      <c r="AE2713">
        <v>-1.4899999999983E-2</v>
      </c>
      <c r="AF2713">
        <v>1.44454198966582E-2</v>
      </c>
      <c r="AG2713">
        <v>-6.8762999999999894E-2</v>
      </c>
      <c r="AH2713">
        <v>0.63664991347528899</v>
      </c>
      <c r="AI2713">
        <v>96.162906281298703</v>
      </c>
      <c r="AJ2713">
        <v>88.700196785858495</v>
      </c>
      <c r="AK2713">
        <v>0.64051552100872899</v>
      </c>
      <c r="AL2713">
        <v>88.228340788213004</v>
      </c>
      <c r="AM2713">
        <v>87.251510767210803</v>
      </c>
      <c r="AN2713">
        <v>1.0000000238139799</v>
      </c>
    </row>
    <row r="2714" spans="1:40" x14ac:dyDescent="0.3">
      <c r="A2714" t="str">
        <f>"20200111153930260"</f>
        <v>20200111153930260</v>
      </c>
      <c r="B2714" t="str">
        <f>"1578728370253233"</f>
        <v>1578728370253233</v>
      </c>
      <c r="C2714" t="s">
        <v>40</v>
      </c>
      <c r="D2714">
        <v>5.254022</v>
      </c>
      <c r="E2714">
        <v>0.48692340000000001</v>
      </c>
      <c r="F2714" t="s">
        <v>41</v>
      </c>
      <c r="G2714">
        <v>-277.4427</v>
      </c>
      <c r="H2714">
        <v>1.0333300000000001</v>
      </c>
      <c r="I2714">
        <v>140.03319999999999</v>
      </c>
      <c r="J2714">
        <v>-276.82830000000001</v>
      </c>
      <c r="K2714">
        <v>1.0990979999999999</v>
      </c>
      <c r="L2714">
        <v>140.04580000000001</v>
      </c>
      <c r="M2714">
        <v>-0.9990696</v>
      </c>
      <c r="N2714">
        <v>0</v>
      </c>
      <c r="O2714">
        <v>-4.2758780000000003E-2</v>
      </c>
      <c r="P2714">
        <v>-0.9996623</v>
      </c>
      <c r="Q2714">
        <v>2.5792269999999999E-2</v>
      </c>
      <c r="R2714">
        <v>3.2098449999999998E-3</v>
      </c>
      <c r="S2714">
        <v>-3.0057369999999999</v>
      </c>
      <c r="T2714">
        <v>-0.17624589999999901</v>
      </c>
      <c r="U2714">
        <v>-9.5077510000000004E-2</v>
      </c>
      <c r="V2714">
        <v>4.6219540000000003E-2</v>
      </c>
      <c r="W2714">
        <v>3.104552E-2</v>
      </c>
      <c r="X2714">
        <v>0.99844880000000003</v>
      </c>
      <c r="Y2714">
        <v>1.1058520000000001E-2</v>
      </c>
      <c r="Z2714">
        <v>2.8273489999999998E-3</v>
      </c>
      <c r="AA2714">
        <v>0.99993489999999996</v>
      </c>
      <c r="AB2714">
        <v>53</v>
      </c>
      <c r="AC2714">
        <v>-0.61439999999998895</v>
      </c>
      <c r="AD2714">
        <v>-6.5767999999999993E-2</v>
      </c>
      <c r="AE2714">
        <v>-1.26000000000203E-2</v>
      </c>
      <c r="AF2714">
        <v>1.3527988839248301E-2</v>
      </c>
      <c r="AG2714">
        <v>-6.5767999999999993E-2</v>
      </c>
      <c r="AH2714">
        <v>0.60741965902458095</v>
      </c>
      <c r="AI2714">
        <v>96.178072618119799</v>
      </c>
      <c r="AJ2714">
        <v>88.724162873250705</v>
      </c>
      <c r="AK2714">
        <v>0.61111952879577702</v>
      </c>
      <c r="AL2714">
        <v>88.220936937071798</v>
      </c>
      <c r="AM2714">
        <v>87.349593276063402</v>
      </c>
      <c r="AN2714">
        <v>1.00000003820566</v>
      </c>
    </row>
    <row r="2715" spans="1:40" x14ac:dyDescent="0.3">
      <c r="A2715" t="str">
        <f>"20200111153930282"</f>
        <v>20200111153930282</v>
      </c>
      <c r="B2715" t="str">
        <f>"1578728370273729"</f>
        <v>1578728370273729</v>
      </c>
      <c r="C2715" t="s">
        <v>40</v>
      </c>
      <c r="D2715">
        <v>5.2253030000000003</v>
      </c>
      <c r="E2715">
        <v>0.48694920000000003</v>
      </c>
      <c r="F2715" t="s">
        <v>41</v>
      </c>
      <c r="G2715">
        <v>-277.92439999999999</v>
      </c>
      <c r="H2715">
        <v>1.034548</v>
      </c>
      <c r="I2715">
        <v>140.01220000000001</v>
      </c>
      <c r="J2715">
        <v>-277.39440000000002</v>
      </c>
      <c r="K2715">
        <v>1.098846</v>
      </c>
      <c r="L2715">
        <v>140.02260000000001</v>
      </c>
      <c r="M2715">
        <v>-0.99921260000000001</v>
      </c>
      <c r="N2715">
        <v>0</v>
      </c>
      <c r="O2715">
        <v>-3.926777E-2</v>
      </c>
      <c r="P2715">
        <v>-0.99964430000000004</v>
      </c>
      <c r="Q2715">
        <v>2.6078500000000001E-2</v>
      </c>
      <c r="R2715">
        <v>5.586181E-3</v>
      </c>
      <c r="S2715">
        <v>-3.0058590000000001</v>
      </c>
      <c r="T2715">
        <v>-0.17699089999999901</v>
      </c>
      <c r="U2715">
        <v>-9.2208860000000004E-2</v>
      </c>
      <c r="V2715">
        <v>4.5125310000000002E-2</v>
      </c>
      <c r="W2715">
        <v>3.133292E-2</v>
      </c>
      <c r="X2715">
        <v>0.99848990000000004</v>
      </c>
      <c r="Y2715">
        <v>8.5289849999999993E-3</v>
      </c>
      <c r="Z2715">
        <v>2.5596909999999998E-3</v>
      </c>
      <c r="AA2715">
        <v>0.99996039999999997</v>
      </c>
      <c r="AB2715">
        <v>54</v>
      </c>
      <c r="AC2715">
        <v>-0.52999999999997205</v>
      </c>
      <c r="AD2715">
        <v>-6.4297999999999897E-2</v>
      </c>
      <c r="AE2715">
        <v>-1.04000000000041E-2</v>
      </c>
      <c r="AF2715">
        <v>1.02691930856519E-2</v>
      </c>
      <c r="AG2715">
        <v>-6.4297999999999897E-2</v>
      </c>
      <c r="AH2715">
        <v>0.52231522443183898</v>
      </c>
      <c r="AI2715">
        <v>97.016569352947798</v>
      </c>
      <c r="AJ2715">
        <v>88.873657899198605</v>
      </c>
      <c r="AK2715">
        <v>0.52635813169733903</v>
      </c>
      <c r="AL2715">
        <v>88.204462160004198</v>
      </c>
      <c r="AM2715">
        <v>87.412360690743</v>
      </c>
      <c r="AN2715">
        <v>1.00000006294016</v>
      </c>
    </row>
    <row r="2716" spans="1:40" x14ac:dyDescent="0.3">
      <c r="A2716" t="str">
        <f>"20200111153930304"</f>
        <v>20200111153930304</v>
      </c>
      <c r="B2716" t="str">
        <f>"1578728370293252"</f>
        <v>1578728370293252</v>
      </c>
      <c r="C2716" t="s">
        <v>40</v>
      </c>
      <c r="D2716">
        <v>5.2078949999999997</v>
      </c>
      <c r="E2716">
        <v>0.48684889999999997</v>
      </c>
      <c r="F2716" t="s">
        <v>41</v>
      </c>
      <c r="G2716">
        <v>-278.41059999999999</v>
      </c>
      <c r="H2716">
        <v>1.0392779999999999</v>
      </c>
      <c r="I2716">
        <v>139.9941</v>
      </c>
      <c r="J2716">
        <v>-277.93770000000001</v>
      </c>
      <c r="K2716">
        <v>1.09863</v>
      </c>
      <c r="L2716">
        <v>140.00210000000001</v>
      </c>
      <c r="M2716">
        <v>-0.99934219999999896</v>
      </c>
      <c r="N2716">
        <v>0</v>
      </c>
      <c r="O2716">
        <v>-3.5818030000000001E-2</v>
      </c>
      <c r="P2716">
        <v>-0.9996256</v>
      </c>
      <c r="Q2716">
        <v>2.617222E-2</v>
      </c>
      <c r="R2716">
        <v>7.9921909999999992E-3</v>
      </c>
      <c r="S2716">
        <v>-3.0061339999999999</v>
      </c>
      <c r="T2716">
        <v>-0.1762022</v>
      </c>
      <c r="U2716">
        <v>-8.4686280000000003E-2</v>
      </c>
      <c r="V2716">
        <v>4.4099190000000003E-2</v>
      </c>
      <c r="W2716">
        <v>3.142967E-2</v>
      </c>
      <c r="X2716">
        <v>0.99853270000000005</v>
      </c>
      <c r="Y2716">
        <v>7.5880790000000002E-3</v>
      </c>
      <c r="Z2716">
        <v>2.3188129999999999E-3</v>
      </c>
      <c r="AA2716">
        <v>0.99996850000000004</v>
      </c>
      <c r="AB2716">
        <v>54</v>
      </c>
      <c r="AC2716">
        <v>-0.472899999999981</v>
      </c>
      <c r="AD2716">
        <v>-5.9351999999999801E-2</v>
      </c>
      <c r="AE2716">
        <v>-8.0000000000097701E-3</v>
      </c>
      <c r="AF2716">
        <v>8.8050959084861897E-3</v>
      </c>
      <c r="AG2716">
        <v>-5.9351999999999801E-2</v>
      </c>
      <c r="AH2716">
        <v>0.46555187852542401</v>
      </c>
      <c r="AI2716">
        <v>97.264013029603802</v>
      </c>
      <c r="AJ2716">
        <v>88.916480170034504</v>
      </c>
      <c r="AK2716">
        <v>0.46940253644021601</v>
      </c>
      <c r="AL2716">
        <v>88.198916052966794</v>
      </c>
      <c r="AM2716">
        <v>87.471232892537898</v>
      </c>
      <c r="AN2716">
        <v>1.00000005784212</v>
      </c>
    </row>
    <row r="2717" spans="1:40" x14ac:dyDescent="0.3">
      <c r="A2717" t="str">
        <f>"20200111153930326"</f>
        <v>20200111153930326</v>
      </c>
      <c r="B2717" t="str">
        <f>"1578728370323505"</f>
        <v>1578728370323505</v>
      </c>
      <c r="C2717" t="s">
        <v>40</v>
      </c>
      <c r="D2717">
        <v>5.2805970000000002</v>
      </c>
      <c r="E2717">
        <v>0.48681609999999997</v>
      </c>
      <c r="F2717" t="s">
        <v>41</v>
      </c>
      <c r="G2717">
        <v>-278.89690000000002</v>
      </c>
      <c r="H2717">
        <v>1.0421279999999999</v>
      </c>
      <c r="I2717">
        <v>139.97730000000001</v>
      </c>
      <c r="J2717">
        <v>-278.45530000000002</v>
      </c>
      <c r="K2717">
        <v>1.098428</v>
      </c>
      <c r="L2717">
        <v>139.98429999999999</v>
      </c>
      <c r="M2717">
        <v>-0.99945709999999999</v>
      </c>
      <c r="N2717">
        <v>0</v>
      </c>
      <c r="O2717">
        <v>-3.2450060000000003E-2</v>
      </c>
      <c r="P2717">
        <v>-0.99956780000000001</v>
      </c>
      <c r="Q2717">
        <v>2.7256809999999999E-2</v>
      </c>
      <c r="R2717">
        <v>1.1037119999999999E-2</v>
      </c>
      <c r="S2717">
        <v>-3.0063780000000002</v>
      </c>
      <c r="T2717">
        <v>-0.17708170000000001</v>
      </c>
      <c r="U2717">
        <v>-7.8140260000000003E-2</v>
      </c>
      <c r="V2717">
        <v>4.380117E-2</v>
      </c>
      <c r="W2717">
        <v>3.2512480000000003E-2</v>
      </c>
      <c r="X2717">
        <v>0.99851109999999998</v>
      </c>
      <c r="Y2717">
        <v>6.4033290000000001E-3</v>
      </c>
      <c r="Z2717">
        <v>2.0973649999999999E-3</v>
      </c>
      <c r="AA2717">
        <v>0.99997729999999996</v>
      </c>
      <c r="AB2717">
        <v>54</v>
      </c>
      <c r="AC2717">
        <v>-0.441599999999993</v>
      </c>
      <c r="AD2717">
        <v>-5.6299999999999802E-2</v>
      </c>
      <c r="AE2717">
        <v>-6.9999999999765796E-3</v>
      </c>
      <c r="AF2717">
        <v>7.2165972925136903E-3</v>
      </c>
      <c r="AG2717">
        <v>-5.6299999999999802E-2</v>
      </c>
      <c r="AH2717">
        <v>0.4345334745792</v>
      </c>
      <c r="AI2717">
        <v>97.381351918421004</v>
      </c>
      <c r="AJ2717">
        <v>89.048536918286004</v>
      </c>
      <c r="AK2717">
        <v>0.43822495342729401</v>
      </c>
      <c r="AL2717">
        <v>88.136843790323198</v>
      </c>
      <c r="AM2717">
        <v>87.488245943483506</v>
      </c>
      <c r="AN2717">
        <v>1.0000000103361599</v>
      </c>
    </row>
    <row r="2718" spans="1:40" x14ac:dyDescent="0.3">
      <c r="A2718" t="str">
        <f>"20200111153930349"</f>
        <v>20200111153930349</v>
      </c>
      <c r="B2718" t="str">
        <f>"1578728370344001"</f>
        <v>1578728370344001</v>
      </c>
      <c r="C2718" t="s">
        <v>40</v>
      </c>
      <c r="D2718">
        <v>5.28864</v>
      </c>
      <c r="E2718">
        <v>0.48675479999999999</v>
      </c>
      <c r="F2718" t="s">
        <v>41</v>
      </c>
      <c r="G2718">
        <v>-279.38690000000003</v>
      </c>
      <c r="H2718">
        <v>1.0442629999999999</v>
      </c>
      <c r="I2718">
        <v>139.9632</v>
      </c>
      <c r="J2718">
        <v>-279.00290000000001</v>
      </c>
      <c r="K2718">
        <v>1.098228</v>
      </c>
      <c r="L2718">
        <v>139.96729999999999</v>
      </c>
      <c r="M2718">
        <v>-0.99956849999999997</v>
      </c>
      <c r="N2718">
        <v>0</v>
      </c>
      <c r="O2718">
        <v>-2.881382E-2</v>
      </c>
      <c r="P2718">
        <v>-0.99951420000000002</v>
      </c>
      <c r="Q2718">
        <v>2.7676099999999901E-2</v>
      </c>
      <c r="R2718">
        <v>1.4339849999999999E-2</v>
      </c>
      <c r="S2718">
        <v>-3.0068049999999999</v>
      </c>
      <c r="T2718">
        <v>-0.17480399999999999</v>
      </c>
      <c r="U2718">
        <v>-6.904602E-2</v>
      </c>
      <c r="V2718">
        <v>4.3487480000000002E-2</v>
      </c>
      <c r="W2718">
        <v>3.2931870000000002E-2</v>
      </c>
      <c r="X2718">
        <v>0.99851109999999998</v>
      </c>
      <c r="Y2718">
        <v>5.8006380000000003E-3</v>
      </c>
      <c r="Z2718">
        <v>1.841655E-3</v>
      </c>
      <c r="AA2718">
        <v>0.99998149999999997</v>
      </c>
      <c r="AB2718">
        <v>54</v>
      </c>
      <c r="AC2718">
        <v>-0.384000000000014</v>
      </c>
      <c r="AD2718">
        <v>-5.3964999999999999E-2</v>
      </c>
      <c r="AE2718">
        <v>-4.0999999999939904E-3</v>
      </c>
      <c r="AF2718">
        <v>6.8314846729672302E-3</v>
      </c>
      <c r="AG2718">
        <v>-5.3964999999999999E-2</v>
      </c>
      <c r="AH2718">
        <v>0.376523296268019</v>
      </c>
      <c r="AI2718">
        <v>98.155016604466098</v>
      </c>
      <c r="AJ2718">
        <v>88.960562860387398</v>
      </c>
      <c r="AK2718">
        <v>0.38043223186314201</v>
      </c>
      <c r="AL2718">
        <v>88.112801700000205</v>
      </c>
      <c r="AM2718">
        <v>87.506211533008795</v>
      </c>
      <c r="AN2718">
        <v>1.00000004290082</v>
      </c>
    </row>
    <row r="2719" spans="1:40" x14ac:dyDescent="0.3">
      <c r="A2719" t="str">
        <f>"20200111153930371"</f>
        <v>20200111153930371</v>
      </c>
      <c r="B2719" t="str">
        <f>"1578728370363521"</f>
        <v>1578728370363521</v>
      </c>
      <c r="C2719" t="s">
        <v>40</v>
      </c>
      <c r="D2719">
        <v>5.3031870000000003</v>
      </c>
      <c r="E2719">
        <v>0.48668070000000002</v>
      </c>
      <c r="F2719" t="s">
        <v>62</v>
      </c>
      <c r="G2719">
        <v>-297.91699999999997</v>
      </c>
      <c r="H2719" s="1">
        <v>-8.2217040000000005E-6</v>
      </c>
      <c r="I2719">
        <v>139.59360000000001</v>
      </c>
      <c r="J2719">
        <v>-279.55470000000003</v>
      </c>
      <c r="K2719">
        <v>1.0980299999999901</v>
      </c>
      <c r="L2719">
        <v>139.9521</v>
      </c>
      <c r="M2719">
        <v>-0.99966880000000002</v>
      </c>
      <c r="N2719">
        <v>0</v>
      </c>
      <c r="O2719">
        <v>-2.5091260000000001E-2</v>
      </c>
      <c r="P2719">
        <v>-0.99945720000000005</v>
      </c>
      <c r="Q2719">
        <v>2.7554499999999999E-2</v>
      </c>
      <c r="R2719">
        <v>1.807067E-2</v>
      </c>
      <c r="S2719">
        <v>-3.0071409999999998</v>
      </c>
      <c r="T2719">
        <v>-0.17460819999999999</v>
      </c>
      <c r="U2719">
        <v>-5.9402469999999999E-2</v>
      </c>
      <c r="V2719">
        <v>4.3509579999999999E-2</v>
      </c>
      <c r="W2719">
        <v>3.2807490000000002E-2</v>
      </c>
      <c r="X2719">
        <v>0.99851420000000002</v>
      </c>
      <c r="Y2719">
        <v>5.2919079999999997E-3</v>
      </c>
      <c r="Z2719">
        <v>1.6088560000000001E-3</v>
      </c>
      <c r="AA2719">
        <v>0.99998469999999995</v>
      </c>
      <c r="AB2719">
        <v>54</v>
      </c>
      <c r="AC2719">
        <v>-18.362300000000001</v>
      </c>
      <c r="AD2719">
        <v>-1.0980382217039999</v>
      </c>
      <c r="AE2719">
        <v>-0.35849999999999199</v>
      </c>
      <c r="AF2719">
        <v>0.101989093196459</v>
      </c>
      <c r="AG2719">
        <v>-1.0980382217039999</v>
      </c>
      <c r="AH2719">
        <v>18.3001003751029</v>
      </c>
      <c r="AI2719">
        <v>93.433677616379697</v>
      </c>
      <c r="AJ2719">
        <v>89.680685680524107</v>
      </c>
      <c r="AK2719">
        <v>18.333296578910598</v>
      </c>
      <c r="AL2719">
        <v>88.1199319421643</v>
      </c>
      <c r="AM2719">
        <v>87.504953546608206</v>
      </c>
      <c r="AN2719">
        <v>1.00000001127675</v>
      </c>
    </row>
    <row r="2720" spans="1:40" x14ac:dyDescent="0.3">
      <c r="A2720" t="str">
        <f>"20200111153930393"</f>
        <v>20200111153930393</v>
      </c>
      <c r="B2720" t="str">
        <f>"1578728370384020"</f>
        <v>1578728370384020</v>
      </c>
      <c r="C2720" t="s">
        <v>40</v>
      </c>
      <c r="D2720">
        <v>5.3502010000000002</v>
      </c>
      <c r="E2720">
        <v>0.48664390000000002</v>
      </c>
      <c r="F2720" t="s">
        <v>62</v>
      </c>
      <c r="G2720">
        <v>-298.28769999999997</v>
      </c>
      <c r="H2720" s="1">
        <v>-8.205583E-6</v>
      </c>
      <c r="I2720">
        <v>139.64859999999999</v>
      </c>
      <c r="J2720">
        <v>-280.09649999999999</v>
      </c>
      <c r="K2720">
        <v>1.0978589999999999</v>
      </c>
      <c r="L2720">
        <v>139.9391</v>
      </c>
      <c r="M2720">
        <v>-0.9997547</v>
      </c>
      <c r="N2720">
        <v>0</v>
      </c>
      <c r="O2720">
        <v>-2.1392120000000001E-2</v>
      </c>
      <c r="P2720">
        <v>-0.99939739999999999</v>
      </c>
      <c r="Q2720">
        <v>2.7729589999999998E-2</v>
      </c>
      <c r="R2720">
        <v>2.0887139999999998E-2</v>
      </c>
      <c r="S2720">
        <v>-3.0073850000000002</v>
      </c>
      <c r="T2720">
        <v>-0.1762782</v>
      </c>
      <c r="U2720">
        <v>-4.8721309999999997E-2</v>
      </c>
      <c r="V2720">
        <v>4.2643540000000001E-2</v>
      </c>
      <c r="W2720">
        <v>3.2992399999999998E-2</v>
      </c>
      <c r="X2720">
        <v>0.99854549999999997</v>
      </c>
      <c r="Y2720">
        <v>5.1494059999999996E-3</v>
      </c>
      <c r="Z2720">
        <v>1.403416E-3</v>
      </c>
      <c r="AA2720">
        <v>0.99998580000000004</v>
      </c>
      <c r="AB2720">
        <v>54</v>
      </c>
      <c r="AC2720">
        <v>-18.191199999999899</v>
      </c>
      <c r="AD2720">
        <v>-1.0978672055830001</v>
      </c>
      <c r="AE2720">
        <v>-0.29050000000000797</v>
      </c>
      <c r="AF2720">
        <v>9.8363040449897493E-2</v>
      </c>
      <c r="AG2720">
        <v>-1.0978672055830001</v>
      </c>
      <c r="AH2720">
        <v>18.127243336170601</v>
      </c>
      <c r="AI2720">
        <v>93.465805117240194</v>
      </c>
      <c r="AJ2720">
        <v>89.689101555018993</v>
      </c>
      <c r="AK2720">
        <v>18.160725168824101</v>
      </c>
      <c r="AL2720">
        <v>88.109331700766106</v>
      </c>
      <c r="AM2720">
        <v>87.554632062002199</v>
      </c>
      <c r="AN2720">
        <v>1.00000004276586</v>
      </c>
    </row>
    <row r="2721" spans="1:40" x14ac:dyDescent="0.3">
      <c r="A2721" t="str">
        <f>"20200111153930418"</f>
        <v>20200111153930418</v>
      </c>
      <c r="B2721" t="str">
        <f>"1578728370413297"</f>
        <v>1578728370413297</v>
      </c>
      <c r="C2721" t="s">
        <v>40</v>
      </c>
      <c r="D2721">
        <v>5.3540179999999999</v>
      </c>
      <c r="E2721">
        <v>0.48661209999999999</v>
      </c>
      <c r="F2721" t="s">
        <v>62</v>
      </c>
      <c r="G2721">
        <v>-298.74709999999999</v>
      </c>
      <c r="H2721" s="1">
        <v>-8.1760639999999994E-6</v>
      </c>
      <c r="I2721">
        <v>139.68969999999999</v>
      </c>
      <c r="J2721">
        <v>-280.65780000000001</v>
      </c>
      <c r="K2721">
        <v>1.0977079999999999</v>
      </c>
      <c r="L2721">
        <v>139.92789999999999</v>
      </c>
      <c r="M2721">
        <v>-0.99982979999999999</v>
      </c>
      <c r="N2721">
        <v>0</v>
      </c>
      <c r="O2721">
        <v>-1.7525550000000001E-2</v>
      </c>
      <c r="P2721">
        <v>-0.99933019999999995</v>
      </c>
      <c r="Q2721">
        <v>2.8174600000000001E-2</v>
      </c>
      <c r="R2721">
        <v>2.3359169999999999E-2</v>
      </c>
      <c r="S2721">
        <v>-3.007568</v>
      </c>
      <c r="T2721">
        <v>-0.17704049999999999</v>
      </c>
      <c r="U2721">
        <v>-4.0222170000000002E-2</v>
      </c>
      <c r="V2721">
        <v>4.1268529999999998E-2</v>
      </c>
      <c r="W2721">
        <v>3.3455150000000003E-2</v>
      </c>
      <c r="X2721">
        <v>0.99858780000000003</v>
      </c>
      <c r="Y2721">
        <v>4.1164189999999996E-3</v>
      </c>
      <c r="Z2721">
        <v>1.1516969999999999E-3</v>
      </c>
      <c r="AA2721">
        <v>0.99999090000000002</v>
      </c>
      <c r="AB2721">
        <v>54</v>
      </c>
      <c r="AC2721">
        <v>-18.089299999999898</v>
      </c>
      <c r="AD2721">
        <v>-1.097716176064</v>
      </c>
      <c r="AE2721">
        <v>-0.23820000000000599</v>
      </c>
      <c r="AF2721">
        <v>7.85774761912265E-2</v>
      </c>
      <c r="AG2721">
        <v>-1.097716176064</v>
      </c>
      <c r="AH2721">
        <v>18.024334167862602</v>
      </c>
      <c r="AI2721">
        <v>93.485084170578205</v>
      </c>
      <c r="AJ2721">
        <v>89.750219387460902</v>
      </c>
      <c r="AK2721">
        <v>18.057900692432099</v>
      </c>
      <c r="AL2721">
        <v>88.082803288116196</v>
      </c>
      <c r="AM2721">
        <v>87.6334901678172</v>
      </c>
      <c r="AN2721">
        <v>0.99999996646936096</v>
      </c>
    </row>
    <row r="2722" spans="1:40" x14ac:dyDescent="0.3">
      <c r="A2722" t="str">
        <f>"20200111153930437"</f>
        <v>20200111153930437</v>
      </c>
      <c r="B2722" t="str">
        <f>"1578728370433793"</f>
        <v>1578728370433793</v>
      </c>
      <c r="C2722" t="s">
        <v>40</v>
      </c>
      <c r="D2722">
        <v>5.343896</v>
      </c>
      <c r="E2722">
        <v>0.4865351</v>
      </c>
      <c r="F2722" t="s">
        <v>41</v>
      </c>
      <c r="G2722">
        <v>-281.8125</v>
      </c>
      <c r="H2722">
        <v>1.0297700000000001</v>
      </c>
      <c r="I2722">
        <v>139.91550000000001</v>
      </c>
      <c r="J2722">
        <v>-281.1705</v>
      </c>
      <c r="K2722">
        <v>1.097586</v>
      </c>
      <c r="L2722">
        <v>139.9195</v>
      </c>
      <c r="M2722">
        <v>-0.99988569999999999</v>
      </c>
      <c r="N2722">
        <v>0</v>
      </c>
      <c r="O2722">
        <v>-1.3972699999999999E-2</v>
      </c>
      <c r="P2722">
        <v>-0.99926570000000003</v>
      </c>
      <c r="Q2722">
        <v>2.9034310000000001E-2</v>
      </c>
      <c r="R2722">
        <v>2.5003560000000001E-2</v>
      </c>
      <c r="S2722">
        <v>-3.0077210000000001</v>
      </c>
      <c r="T2722">
        <v>-0.1769444</v>
      </c>
      <c r="U2722">
        <v>-3.2638550000000002E-2</v>
      </c>
      <c r="V2722">
        <v>3.9382979999999998E-2</v>
      </c>
      <c r="W2722">
        <v>3.4341089999999998E-2</v>
      </c>
      <c r="X2722">
        <v>0.99863389999999996</v>
      </c>
      <c r="Y2722">
        <v>3.0927189999999999E-3</v>
      </c>
      <c r="Z2722">
        <v>9.1214970000000003E-4</v>
      </c>
      <c r="AA2722">
        <v>0.99999479999999996</v>
      </c>
      <c r="AB2722">
        <v>55</v>
      </c>
      <c r="AC2722">
        <v>-0.64199999999999502</v>
      </c>
      <c r="AD2722">
        <v>-6.7815999999999793E-2</v>
      </c>
      <c r="AE2722">
        <v>-3.9999999999906699E-3</v>
      </c>
      <c r="AF2722">
        <v>4.9161601074621903E-3</v>
      </c>
      <c r="AG2722">
        <v>-6.7815999999999793E-2</v>
      </c>
      <c r="AH2722">
        <v>0.63490904627149203</v>
      </c>
      <c r="AI2722">
        <v>96.096588426804203</v>
      </c>
      <c r="AJ2722">
        <v>89.556362288269895</v>
      </c>
      <c r="AK2722">
        <v>0.63853948626813894</v>
      </c>
      <c r="AL2722">
        <v>88.032013534494496</v>
      </c>
      <c r="AM2722">
        <v>87.741604985262995</v>
      </c>
      <c r="AN2722">
        <v>0.99999999790263905</v>
      </c>
    </row>
    <row r="2723" spans="1:40" x14ac:dyDescent="0.3">
      <c r="A2723" t="str">
        <f>"20200111153930461"</f>
        <v>20200111153930461</v>
      </c>
      <c r="B2723" t="str">
        <f>"1578728370453313"</f>
        <v>1578728370453313</v>
      </c>
      <c r="C2723" t="s">
        <v>40</v>
      </c>
      <c r="D2723">
        <v>5.370622</v>
      </c>
      <c r="E2723">
        <v>0.48647259999999998</v>
      </c>
      <c r="F2723" t="s">
        <v>41</v>
      </c>
      <c r="G2723">
        <v>-282.30439999999999</v>
      </c>
      <c r="H2723">
        <v>1.031229</v>
      </c>
      <c r="I2723">
        <v>139.9091</v>
      </c>
      <c r="J2723">
        <v>-281.7439</v>
      </c>
      <c r="K2723">
        <v>1.097467</v>
      </c>
      <c r="L2723">
        <v>139.91220000000001</v>
      </c>
      <c r="M2723">
        <v>-0.99993339999999997</v>
      </c>
      <c r="N2723">
        <v>0</v>
      </c>
      <c r="O2723">
        <v>-9.9874660000000004E-3</v>
      </c>
      <c r="P2723">
        <v>-0.99918960000000001</v>
      </c>
      <c r="Q2723">
        <v>2.9710139999999999E-2</v>
      </c>
      <c r="R2723">
        <v>2.715629E-2</v>
      </c>
      <c r="S2723">
        <v>-3.008057</v>
      </c>
      <c r="T2723">
        <v>-0.17603949999999999</v>
      </c>
      <c r="U2723">
        <v>-2.812195E-2</v>
      </c>
      <c r="V2723">
        <v>3.7572139999999997E-2</v>
      </c>
      <c r="W2723">
        <v>3.5044470000000001E-2</v>
      </c>
      <c r="X2723">
        <v>0.99867919999999999</v>
      </c>
      <c r="Y2723">
        <v>6.2104789999999999E-4</v>
      </c>
      <c r="Z2723">
        <v>6.0213339999999995E-4</v>
      </c>
      <c r="AA2723">
        <v>0.99999959999999999</v>
      </c>
      <c r="AB2723">
        <v>55</v>
      </c>
      <c r="AC2723">
        <v>-0.56049999999999001</v>
      </c>
      <c r="AD2723">
        <v>-6.6237999999999797E-2</v>
      </c>
      <c r="AE2723">
        <v>-3.1000000000176399E-3</v>
      </c>
      <c r="AF2723">
        <v>2.4638150440196098E-3</v>
      </c>
      <c r="AG2723">
        <v>-6.6237999999999797E-2</v>
      </c>
      <c r="AH2723">
        <v>0.55278322813673697</v>
      </c>
      <c r="AI2723">
        <v>96.832898158907398</v>
      </c>
      <c r="AJ2723">
        <v>89.744628162442595</v>
      </c>
      <c r="AK2723">
        <v>0.55674306492119197</v>
      </c>
      <c r="AL2723">
        <v>87.991688482489593</v>
      </c>
      <c r="AM2723">
        <v>87.845444008734205</v>
      </c>
      <c r="AN2723">
        <v>0.99999996254719903</v>
      </c>
    </row>
    <row r="2724" spans="1:40" x14ac:dyDescent="0.3">
      <c r="A2724" t="str">
        <f>"20200111153930484"</f>
        <v>20200111153930484</v>
      </c>
      <c r="B2724" t="str">
        <f>"1578728370473809"</f>
        <v>1578728370473809</v>
      </c>
      <c r="C2724" t="s">
        <v>40</v>
      </c>
      <c r="D2724">
        <v>5.3538690000000004</v>
      </c>
      <c r="E2724">
        <v>0.4864407</v>
      </c>
      <c r="F2724" t="s">
        <v>41</v>
      </c>
      <c r="G2724">
        <v>-282.80070000000001</v>
      </c>
      <c r="H2724">
        <v>1.0357160000000001</v>
      </c>
      <c r="I2724">
        <v>139.90459999999999</v>
      </c>
      <c r="J2724">
        <v>-282.30119999999999</v>
      </c>
      <c r="K2724">
        <v>1.097369</v>
      </c>
      <c r="L2724">
        <v>139.90729999999999</v>
      </c>
      <c r="M2724">
        <v>-0.99996430000000003</v>
      </c>
      <c r="N2724">
        <v>0</v>
      </c>
      <c r="O2724">
        <v>-6.1180679999999999E-3</v>
      </c>
      <c r="P2724">
        <v>-0.99911329999999998</v>
      </c>
      <c r="Q2724">
        <v>3.0552269999999999E-2</v>
      </c>
      <c r="R2724">
        <v>2.8974130000000001E-2</v>
      </c>
      <c r="S2724">
        <v>-3.00827</v>
      </c>
      <c r="T2724">
        <v>-0.17577119999999999</v>
      </c>
      <c r="U2724">
        <v>-2.2033690000000002E-2</v>
      </c>
      <c r="V2724">
        <v>3.5543060000000001E-2</v>
      </c>
      <c r="W2724">
        <v>3.5918909999999998E-2</v>
      </c>
      <c r="X2724">
        <v>0.99872240000000001</v>
      </c>
      <c r="Y2724">
        <v>-1.2143950000000001E-3</v>
      </c>
      <c r="Z2724">
        <v>3.217203E-4</v>
      </c>
      <c r="AA2724">
        <v>0.99999919999999998</v>
      </c>
      <c r="AB2724">
        <v>55</v>
      </c>
      <c r="AC2724">
        <v>-0.49950000000001099</v>
      </c>
      <c r="AD2724">
        <v>-6.1652999999999902E-2</v>
      </c>
      <c r="AE2724">
        <v>-2.7000000000043599E-3</v>
      </c>
      <c r="AF2724">
        <v>3.5073418616624898E-4</v>
      </c>
      <c r="AG2724">
        <v>-6.1652999999999902E-2</v>
      </c>
      <c r="AH2724">
        <v>0.492011677989796</v>
      </c>
      <c r="AI2724">
        <v>97.142389574985501</v>
      </c>
      <c r="AJ2724">
        <v>89.959156284101894</v>
      </c>
      <c r="AK2724">
        <v>0.49585956348728799</v>
      </c>
      <c r="AL2724">
        <v>87.941555173881596</v>
      </c>
      <c r="AM2724">
        <v>87.961787756324696</v>
      </c>
      <c r="AN2724">
        <v>0.99999995473575398</v>
      </c>
    </row>
    <row r="2725" spans="1:40" x14ac:dyDescent="0.3">
      <c r="A2725" t="str">
        <f>"20200111153930506"</f>
        <v>20200111153930506</v>
      </c>
      <c r="B2725" t="str">
        <f>"1578728370504065"</f>
        <v>1578728370504065</v>
      </c>
      <c r="C2725" t="s">
        <v>40</v>
      </c>
      <c r="D2725">
        <v>5.367947</v>
      </c>
      <c r="E2725">
        <v>0.48644169999999998</v>
      </c>
      <c r="F2725" t="s">
        <v>41</v>
      </c>
      <c r="G2725">
        <v>-283.29759999999999</v>
      </c>
      <c r="H2725">
        <v>1.039523</v>
      </c>
      <c r="I2725">
        <v>139.90190000000001</v>
      </c>
      <c r="J2725">
        <v>-282.85789999999997</v>
      </c>
      <c r="K2725">
        <v>1.0973029999999999</v>
      </c>
      <c r="L2725">
        <v>139.90440000000001</v>
      </c>
      <c r="M2725">
        <v>-0.99998030000000004</v>
      </c>
      <c r="N2725">
        <v>0</v>
      </c>
      <c r="O2725">
        <v>-2.2863829999999999E-3</v>
      </c>
      <c r="P2725">
        <v>-0.99904680000000001</v>
      </c>
      <c r="Q2725">
        <v>3.1321880000000003E-2</v>
      </c>
      <c r="R2725">
        <v>3.0406320000000001E-2</v>
      </c>
      <c r="S2725">
        <v>-3.0084840000000002</v>
      </c>
      <c r="T2725">
        <v>-0.17461930000000001</v>
      </c>
      <c r="U2725">
        <v>-1.6830439999999999E-2</v>
      </c>
      <c r="V2725">
        <v>3.3163669999999999E-2</v>
      </c>
      <c r="W2725">
        <v>3.6727099999999999E-2</v>
      </c>
      <c r="X2725">
        <v>0.99877490000000002</v>
      </c>
      <c r="Y2725">
        <v>-3.3061229999999998E-3</v>
      </c>
      <c r="Z2725" s="1">
        <v>3.6730180000000001E-5</v>
      </c>
      <c r="AA2725">
        <v>0.99999450000000001</v>
      </c>
      <c r="AB2725">
        <v>55</v>
      </c>
      <c r="AC2725">
        <v>-0.43970000000001602</v>
      </c>
      <c r="AD2725">
        <v>-5.7780000000000102E-2</v>
      </c>
      <c r="AE2725">
        <v>-2.4999999999977202E-3</v>
      </c>
      <c r="AF2725">
        <v>-1.4692829194639699E-3</v>
      </c>
      <c r="AG2725">
        <v>-5.7780000000000102E-2</v>
      </c>
      <c r="AH2725">
        <v>0.43224087087587698</v>
      </c>
      <c r="AI2725">
        <v>97.613859405417799</v>
      </c>
      <c r="AJ2725">
        <v>90.194760356159804</v>
      </c>
      <c r="AK2725">
        <v>0.43608813059728402</v>
      </c>
      <c r="AL2725">
        <v>87.895218822714497</v>
      </c>
      <c r="AM2725">
        <v>88.098229674478802</v>
      </c>
      <c r="AN2725">
        <v>1.0000000048761399</v>
      </c>
    </row>
    <row r="2726" spans="1:40" x14ac:dyDescent="0.3">
      <c r="A2726" t="str">
        <f>"20200111153930529"</f>
        <v>20200111153930529</v>
      </c>
      <c r="B2726" t="str">
        <f>"1578728370523585"</f>
        <v>1578728370523585</v>
      </c>
      <c r="C2726" t="s">
        <v>40</v>
      </c>
      <c r="D2726">
        <v>5.3886399999999997</v>
      </c>
      <c r="E2726">
        <v>0.48639100000000002</v>
      </c>
      <c r="F2726" t="s">
        <v>62</v>
      </c>
      <c r="G2726">
        <v>-301.87430000000001</v>
      </c>
      <c r="H2726" s="1">
        <v>-8.3872539999999993E-6</v>
      </c>
      <c r="I2726">
        <v>139.8235</v>
      </c>
      <c r="J2726">
        <v>-283.41109999999998</v>
      </c>
      <c r="K2726">
        <v>1.0972660000000001</v>
      </c>
      <c r="L2726">
        <v>139.90350000000001</v>
      </c>
      <c r="M2726">
        <v>-0.99998189999999998</v>
      </c>
      <c r="N2726">
        <v>0</v>
      </c>
      <c r="O2726">
        <v>1.4519960000000001E-3</v>
      </c>
      <c r="P2726">
        <v>-0.99890939999999995</v>
      </c>
      <c r="Q2726">
        <v>3.3616229999999997E-2</v>
      </c>
      <c r="R2726">
        <v>3.2406459999999998E-2</v>
      </c>
      <c r="S2726">
        <v>-3.0086979999999999</v>
      </c>
      <c r="T2726">
        <v>-0.17361170000000001</v>
      </c>
      <c r="U2726">
        <v>-1.2786870000000001E-2</v>
      </c>
      <c r="V2726">
        <v>3.1462190000000001E-2</v>
      </c>
      <c r="W2726">
        <v>3.9051910000000002E-2</v>
      </c>
      <c r="X2726">
        <v>0.99874169999999995</v>
      </c>
      <c r="Y2726">
        <v>-5.6900519999999897E-3</v>
      </c>
      <c r="Z2726">
        <v>-2.4774649999999998E-4</v>
      </c>
      <c r="AA2726">
        <v>0.99998379999999998</v>
      </c>
      <c r="AB2726">
        <v>55</v>
      </c>
      <c r="AC2726">
        <v>-18.463200000000001</v>
      </c>
      <c r="AD2726">
        <v>-1.0972743872540001</v>
      </c>
      <c r="AE2726">
        <v>-8.0000000000012506E-2</v>
      </c>
      <c r="AF2726">
        <v>-0.106432954655423</v>
      </c>
      <c r="AG2726">
        <v>-1.0972743872540001</v>
      </c>
      <c r="AH2726">
        <v>18.398084183721</v>
      </c>
      <c r="AI2726">
        <v>93.413059698237007</v>
      </c>
      <c r="AJ2726">
        <v>90.331452504284201</v>
      </c>
      <c r="AK2726">
        <v>18.431083546174001</v>
      </c>
      <c r="AL2726">
        <v>87.761921157747807</v>
      </c>
      <c r="AM2726">
        <v>88.195674857590006</v>
      </c>
      <c r="AN2726">
        <v>0.99999995219656501</v>
      </c>
    </row>
    <row r="2727" spans="1:40" x14ac:dyDescent="0.3">
      <c r="A2727" t="str">
        <f>"20200111153930550"</f>
        <v>20200111153930550</v>
      </c>
      <c r="B2727" t="str">
        <f>"1578728370544082"</f>
        <v>1578728370544082</v>
      </c>
      <c r="C2727" t="s">
        <v>40</v>
      </c>
      <c r="D2727">
        <v>5.3931329999999997</v>
      </c>
      <c r="E2727">
        <v>0.48632819999999999</v>
      </c>
      <c r="F2727" t="s">
        <v>62</v>
      </c>
      <c r="G2727">
        <v>-303.02499999999998</v>
      </c>
      <c r="H2727" s="1">
        <v>-8.5626770000000006E-6</v>
      </c>
      <c r="I2727">
        <v>139.8578</v>
      </c>
      <c r="J2727">
        <v>-283.93979999999999</v>
      </c>
      <c r="K2727">
        <v>1.0972649999999999</v>
      </c>
      <c r="L2727">
        <v>139.90459999999999</v>
      </c>
      <c r="M2727">
        <v>-0.9999709</v>
      </c>
      <c r="N2727">
        <v>0</v>
      </c>
      <c r="O2727">
        <v>4.9184729999999996E-3</v>
      </c>
      <c r="P2727">
        <v>-0.99879260000000003</v>
      </c>
      <c r="Q2727">
        <v>3.4351100000000002E-2</v>
      </c>
      <c r="R2727">
        <v>3.5120609999999997E-2</v>
      </c>
      <c r="S2727">
        <v>-3.009125</v>
      </c>
      <c r="T2727">
        <v>-0.16834209999999999</v>
      </c>
      <c r="U2727">
        <v>-7.019043E-3</v>
      </c>
      <c r="V2727">
        <v>3.072308E-2</v>
      </c>
      <c r="W2727">
        <v>3.9805210000000001E-2</v>
      </c>
      <c r="X2727">
        <v>0.99873500000000004</v>
      </c>
      <c r="Y2727">
        <v>-7.2320969999999998E-3</v>
      </c>
      <c r="Z2727">
        <v>-4.7708480000000002E-4</v>
      </c>
      <c r="AA2727">
        <v>0.99997369999999997</v>
      </c>
      <c r="AB2727">
        <v>55</v>
      </c>
      <c r="AC2727">
        <v>-19.085199999999901</v>
      </c>
      <c r="AD2727">
        <v>-1.0972735626769901</v>
      </c>
      <c r="AE2727">
        <v>-4.6799999999990398E-2</v>
      </c>
      <c r="AF2727">
        <v>-0.14020761831183201</v>
      </c>
      <c r="AG2727">
        <v>-1.0972735626769901</v>
      </c>
      <c r="AH2727">
        <v>19.0218626748816</v>
      </c>
      <c r="AI2727">
        <v>93.301351119591601</v>
      </c>
      <c r="AJ2727">
        <v>90.422311917849598</v>
      </c>
      <c r="AK2727">
        <v>19.054000290480602</v>
      </c>
      <c r="AL2727">
        <v>87.718726721999005</v>
      </c>
      <c r="AM2727">
        <v>88.238023225028996</v>
      </c>
      <c r="AN2727">
        <v>0.99999998130641499</v>
      </c>
    </row>
    <row r="2728" spans="1:40" x14ac:dyDescent="0.3">
      <c r="A2728" t="str">
        <f>"20200111153930574"</f>
        <v>20200111153930574</v>
      </c>
      <c r="B2728" t="str">
        <f>"1578728370563602"</f>
        <v>1578728370563602</v>
      </c>
      <c r="C2728" t="s">
        <v>40</v>
      </c>
      <c r="D2728">
        <v>5.5937599999999996</v>
      </c>
      <c r="E2728">
        <v>0.4863285</v>
      </c>
      <c r="F2728" t="s">
        <v>62</v>
      </c>
      <c r="G2728">
        <v>-303.5813</v>
      </c>
      <c r="H2728" s="1">
        <v>-8.6572029999999904E-6</v>
      </c>
      <c r="I2728">
        <v>139.90700000000001</v>
      </c>
      <c r="J2728">
        <v>-284.53399999999999</v>
      </c>
      <c r="K2728">
        <v>1.097299</v>
      </c>
      <c r="L2728">
        <v>139.90780000000001</v>
      </c>
      <c r="M2728">
        <v>-0.99994539999999998</v>
      </c>
      <c r="N2728">
        <v>0</v>
      </c>
      <c r="O2728">
        <v>8.6486229999999994E-3</v>
      </c>
      <c r="P2728">
        <v>-0.99874969999999996</v>
      </c>
      <c r="Q2728">
        <v>3.2734300000000001E-2</v>
      </c>
      <c r="R2728">
        <v>3.7780939999999999E-2</v>
      </c>
      <c r="S2728">
        <v>-3.0093990000000002</v>
      </c>
      <c r="T2728">
        <v>-0.16812070000000001</v>
      </c>
      <c r="U2728">
        <v>3.6621089999999999E-4</v>
      </c>
      <c r="V2728">
        <v>2.9631749999999998E-2</v>
      </c>
      <c r="W2728">
        <v>3.8214739999999997E-2</v>
      </c>
      <c r="X2728">
        <v>0.99883010000000005</v>
      </c>
      <c r="Y2728">
        <v>-8.5003479999999996E-3</v>
      </c>
      <c r="Z2728">
        <v>-7.2003639999999999E-4</v>
      </c>
      <c r="AA2728">
        <v>0.99996359999999995</v>
      </c>
      <c r="AB2728">
        <v>55</v>
      </c>
      <c r="AC2728">
        <v>-19.0473</v>
      </c>
      <c r="AD2728">
        <v>-1.0973076572030001</v>
      </c>
      <c r="AE2728">
        <v>-7.9999999999813499E-4</v>
      </c>
      <c r="AF2728">
        <v>-0.164988146416226</v>
      </c>
      <c r="AG2728">
        <v>-1.0973076572030001</v>
      </c>
      <c r="AH2728">
        <v>18.9835767022083</v>
      </c>
      <c r="AI2728">
        <v>93.3080620581635</v>
      </c>
      <c r="AJ2728">
        <v>90.497950760483505</v>
      </c>
      <c r="AK2728">
        <v>19.0159798483181</v>
      </c>
      <c r="AL2728">
        <v>87.809923383020603</v>
      </c>
      <c r="AM2728">
        <v>88.300735622776102</v>
      </c>
      <c r="AN2728">
        <v>0.99999998781366894</v>
      </c>
    </row>
    <row r="2729" spans="1:40" x14ac:dyDescent="0.3">
      <c r="A2729" t="str">
        <f>"20200111153930597"</f>
        <v>20200111153930597</v>
      </c>
      <c r="B2729" t="str">
        <f>"1578728370593858"</f>
        <v>1578728370593858</v>
      </c>
      <c r="C2729" t="s">
        <v>40</v>
      </c>
      <c r="D2729">
        <v>5.4052509999999998</v>
      </c>
      <c r="E2729">
        <v>0.4863903</v>
      </c>
      <c r="F2729" t="s">
        <v>62</v>
      </c>
      <c r="G2729">
        <v>-303.49200000000002</v>
      </c>
      <c r="H2729" s="1">
        <v>-8.6610269999999994E-6</v>
      </c>
      <c r="I2729">
        <v>139.96289999999999</v>
      </c>
      <c r="J2729">
        <v>-285.09550000000002</v>
      </c>
      <c r="K2729">
        <v>1.0973820000000001</v>
      </c>
      <c r="L2729">
        <v>139.9128</v>
      </c>
      <c r="M2729">
        <v>-0.99991149999999995</v>
      </c>
      <c r="N2729">
        <v>0</v>
      </c>
      <c r="O2729">
        <v>1.193784E-2</v>
      </c>
      <c r="P2729">
        <v>-0.99870060000000005</v>
      </c>
      <c r="Q2729">
        <v>3.0775110000000001E-2</v>
      </c>
      <c r="R2729">
        <v>4.0620709999999997E-2</v>
      </c>
      <c r="S2729">
        <v>-3.009125</v>
      </c>
      <c r="T2729">
        <v>-0.1741712</v>
      </c>
      <c r="U2729">
        <v>8.7585449999999995E-3</v>
      </c>
      <c r="V2729">
        <v>2.91515E-2</v>
      </c>
      <c r="W2729">
        <v>3.6273939999999998E-2</v>
      </c>
      <c r="X2729">
        <v>0.99891660000000004</v>
      </c>
      <c r="Y2729">
        <v>-8.992524E-3</v>
      </c>
      <c r="Z2729">
        <v>-9.5042189999999999E-4</v>
      </c>
      <c r="AA2729">
        <v>0.99995909999999999</v>
      </c>
      <c r="AB2729">
        <v>55</v>
      </c>
      <c r="AC2729">
        <v>-18.3965</v>
      </c>
      <c r="AD2729">
        <v>-1.0973906610269999</v>
      </c>
      <c r="AE2729">
        <v>5.0099999999986197E-2</v>
      </c>
      <c r="AF2729">
        <v>-0.16892075053797101</v>
      </c>
      <c r="AG2729">
        <v>-1.0973906610269999</v>
      </c>
      <c r="AH2729">
        <v>18.330560558820402</v>
      </c>
      <c r="AI2729">
        <v>93.425876586158196</v>
      </c>
      <c r="AJ2729">
        <v>90.527980150607405</v>
      </c>
      <c r="AK2729">
        <v>18.364156688600001</v>
      </c>
      <c r="AL2729">
        <v>87.921200263012295</v>
      </c>
      <c r="AM2729">
        <v>88.328404996140307</v>
      </c>
      <c r="AN2729">
        <v>0.99999999121546601</v>
      </c>
    </row>
    <row r="2730" spans="1:40" x14ac:dyDescent="0.3">
      <c r="A2730" t="str">
        <f>"20200111153930618"</f>
        <v>20200111153930618</v>
      </c>
      <c r="B2730" t="str">
        <f>"1578728370613377"</f>
        <v>1578728370613377</v>
      </c>
      <c r="C2730" t="s">
        <v>40</v>
      </c>
      <c r="D2730">
        <v>5.4176739999999999</v>
      </c>
      <c r="E2730">
        <v>0.48645060000000001</v>
      </c>
      <c r="F2730" t="s">
        <v>41</v>
      </c>
      <c r="G2730">
        <v>-286.26960000000003</v>
      </c>
      <c r="H2730">
        <v>1.027121</v>
      </c>
      <c r="I2730">
        <v>139.92009999999999</v>
      </c>
      <c r="J2730">
        <v>-285.62439999999998</v>
      </c>
      <c r="K2730">
        <v>1.0975010000000001</v>
      </c>
      <c r="L2730">
        <v>139.91909999999999</v>
      </c>
      <c r="M2730">
        <v>-0.99987340000000002</v>
      </c>
      <c r="N2730">
        <v>0</v>
      </c>
      <c r="O2730">
        <v>1.4797660000000001E-2</v>
      </c>
      <c r="P2730">
        <v>-0.99860059999999995</v>
      </c>
      <c r="Q2730">
        <v>2.8856199999999999E-2</v>
      </c>
      <c r="R2730">
        <v>4.4325240000000002E-2</v>
      </c>
      <c r="S2730">
        <v>-3.0086979999999999</v>
      </c>
      <c r="T2730">
        <v>-0.180068899999999</v>
      </c>
      <c r="U2730">
        <v>1.844788E-2</v>
      </c>
      <c r="V2730">
        <v>2.996364E-2</v>
      </c>
      <c r="W2730">
        <v>3.4359189999999998E-2</v>
      </c>
      <c r="X2730">
        <v>0.99896030000000002</v>
      </c>
      <c r="Y2730">
        <v>-8.6250010000000002E-3</v>
      </c>
      <c r="Z2730">
        <v>-1.1426800000000001E-3</v>
      </c>
      <c r="AA2730">
        <v>0.99996220000000002</v>
      </c>
      <c r="AB2730">
        <v>56</v>
      </c>
      <c r="AC2730">
        <v>-0.64520000000004496</v>
      </c>
      <c r="AD2730">
        <v>-7.0380000000000095E-2</v>
      </c>
      <c r="AE2730">
        <v>1.0000000000047701E-3</v>
      </c>
      <c r="AF2730">
        <v>-8.4472100964213207E-3</v>
      </c>
      <c r="AG2730">
        <v>-7.0380000000000095E-2</v>
      </c>
      <c r="AH2730">
        <v>0.63755788015112502</v>
      </c>
      <c r="AI2730">
        <v>96.298826088890706</v>
      </c>
      <c r="AJ2730">
        <v>90.759085856613396</v>
      </c>
      <c r="AK2730">
        <v>0.64148636018329297</v>
      </c>
      <c r="AL2730">
        <v>88.030975926456705</v>
      </c>
      <c r="AM2730">
        <v>88.281938201931496</v>
      </c>
      <c r="AN2730">
        <v>1.00000002731779</v>
      </c>
    </row>
    <row r="2731" spans="1:40" x14ac:dyDescent="0.3">
      <c r="A2731" t="str">
        <f>"20200111153930639"</f>
        <v>20200111153930639</v>
      </c>
      <c r="B2731" t="str">
        <f>"1578728370633874"</f>
        <v>1578728370633874</v>
      </c>
      <c r="C2731" t="s">
        <v>40</v>
      </c>
      <c r="D2731">
        <v>5.5961210000000001</v>
      </c>
      <c r="E2731">
        <v>0.4864772</v>
      </c>
      <c r="F2731" t="s">
        <v>41</v>
      </c>
      <c r="G2731">
        <v>-286.76920000000001</v>
      </c>
      <c r="H2731">
        <v>1.0268170000000001</v>
      </c>
      <c r="I2731">
        <v>139.9307</v>
      </c>
      <c r="J2731">
        <v>-286.15359999999998</v>
      </c>
      <c r="K2731">
        <v>1.0976619999999999</v>
      </c>
      <c r="L2731">
        <v>139.92679999999999</v>
      </c>
      <c r="M2731">
        <v>-0.99983069999999996</v>
      </c>
      <c r="N2731">
        <v>0</v>
      </c>
      <c r="O2731">
        <v>1.7439360000000001E-2</v>
      </c>
      <c r="P2731">
        <v>-0.99845790000000001</v>
      </c>
      <c r="Q2731">
        <v>2.855106E-2</v>
      </c>
      <c r="R2731">
        <v>4.7613580000000003E-2</v>
      </c>
      <c r="S2731">
        <v>-3.0082399999999998</v>
      </c>
      <c r="T2731">
        <v>-0.18577589999999999</v>
      </c>
      <c r="U2731">
        <v>2.989197E-2</v>
      </c>
      <c r="V2731">
        <v>3.059659E-2</v>
      </c>
      <c r="W2731">
        <v>3.4062769999999999E-2</v>
      </c>
      <c r="X2731">
        <v>0.99895129999999999</v>
      </c>
      <c r="Y2731">
        <v>-7.4566859999999997E-3</v>
      </c>
      <c r="Z2731">
        <v>-1.305905E-3</v>
      </c>
      <c r="AA2731">
        <v>0.99997130000000001</v>
      </c>
      <c r="AB2731">
        <v>56</v>
      </c>
      <c r="AC2731">
        <v>-0.61560000000002801</v>
      </c>
      <c r="AD2731">
        <v>-7.0845000000000005E-2</v>
      </c>
      <c r="AE2731">
        <v>3.9000000000157702E-3</v>
      </c>
      <c r="AF2731">
        <v>-6.7470926870688702E-3</v>
      </c>
      <c r="AG2731">
        <v>-7.0845000000000005E-2</v>
      </c>
      <c r="AH2731">
        <v>0.60752856994098503</v>
      </c>
      <c r="AI2731">
        <v>96.650917132275197</v>
      </c>
      <c r="AJ2731">
        <v>90.6362894879545</v>
      </c>
      <c r="AK2731">
        <v>0.61168251616281</v>
      </c>
      <c r="AL2731">
        <v>88.047969555619403</v>
      </c>
      <c r="AM2731">
        <v>88.245652623965199</v>
      </c>
      <c r="AN2731">
        <v>1.0000000616956899</v>
      </c>
    </row>
    <row r="2732" spans="1:40" x14ac:dyDescent="0.3">
      <c r="A2732" t="str">
        <f>"20200111153930662"</f>
        <v>20200111153930662</v>
      </c>
      <c r="B2732" t="str">
        <f>"1578728370653393"</f>
        <v>1578728370653393</v>
      </c>
      <c r="C2732" t="s">
        <v>40</v>
      </c>
      <c r="D2732">
        <v>5.6017989999999998</v>
      </c>
      <c r="E2732">
        <v>0.4865254</v>
      </c>
      <c r="F2732" t="s">
        <v>41</v>
      </c>
      <c r="G2732">
        <v>-287.27120000000002</v>
      </c>
      <c r="H2732">
        <v>1.0282610000000001</v>
      </c>
      <c r="I2732">
        <v>139.9418</v>
      </c>
      <c r="J2732">
        <v>-286.74799999999999</v>
      </c>
      <c r="K2732">
        <v>1.0978829999999999</v>
      </c>
      <c r="L2732">
        <v>139.93709999999999</v>
      </c>
      <c r="M2732">
        <v>-0.99978049999999996</v>
      </c>
      <c r="N2732">
        <v>0</v>
      </c>
      <c r="O2732">
        <v>2.0111830000000001E-2</v>
      </c>
      <c r="P2732">
        <v>-0.9982837</v>
      </c>
      <c r="Q2732">
        <v>2.9770669999999999E-2</v>
      </c>
      <c r="R2732">
        <v>5.0433239999999997E-2</v>
      </c>
      <c r="S2732">
        <v>-3.008057</v>
      </c>
      <c r="T2732">
        <v>-0.18678330000000001</v>
      </c>
      <c r="U2732">
        <v>3.9932250000000002E-2</v>
      </c>
      <c r="V2732">
        <v>3.0743989999999999E-2</v>
      </c>
      <c r="W2732">
        <v>3.5303719999999997E-2</v>
      </c>
      <c r="X2732">
        <v>0.9989036</v>
      </c>
      <c r="Y2732">
        <v>-6.7873630000000003E-3</v>
      </c>
      <c r="Z2732">
        <v>-1.4580070000000001E-3</v>
      </c>
      <c r="AA2732">
        <v>0.99997590000000003</v>
      </c>
      <c r="AB2732">
        <v>56</v>
      </c>
      <c r="AC2732">
        <v>-0.52320000000003097</v>
      </c>
      <c r="AD2732">
        <v>-6.9621999999999795E-2</v>
      </c>
      <c r="AE2732">
        <v>4.7000000000139101E-3</v>
      </c>
      <c r="AF2732">
        <v>-5.7223215703581598E-3</v>
      </c>
      <c r="AG2732">
        <v>-6.9621999999999795E-2</v>
      </c>
      <c r="AH2732">
        <v>0.51408624612896103</v>
      </c>
      <c r="AI2732">
        <v>97.712093952348397</v>
      </c>
      <c r="AJ2732">
        <v>90.637736056187705</v>
      </c>
      <c r="AK2732">
        <v>0.51881079046905099</v>
      </c>
      <c r="AL2732">
        <v>87.976825376585296</v>
      </c>
      <c r="AM2732">
        <v>88.2371221975027</v>
      </c>
      <c r="AN2732">
        <v>0.99999997382995798</v>
      </c>
    </row>
    <row r="2733" spans="1:40" x14ac:dyDescent="0.3">
      <c r="A2733" t="str">
        <f>"20200111153930684"</f>
        <v>20200111153930684</v>
      </c>
      <c r="B2733" t="str">
        <f>"1578728370673892"</f>
        <v>1578728370673892</v>
      </c>
      <c r="C2733" t="s">
        <v>40</v>
      </c>
      <c r="D2733">
        <v>5.441198</v>
      </c>
      <c r="E2733">
        <v>0.4865139</v>
      </c>
      <c r="F2733" t="s">
        <v>41</v>
      </c>
      <c r="G2733">
        <v>-287.77870000000001</v>
      </c>
      <c r="H2733">
        <v>1.035228</v>
      </c>
      <c r="I2733">
        <v>139.95400000000001</v>
      </c>
      <c r="J2733">
        <v>-287.31180000000001</v>
      </c>
      <c r="K2733">
        <v>1.098141</v>
      </c>
      <c r="L2733">
        <v>139.94820000000001</v>
      </c>
      <c r="M2733">
        <v>-0.99973330000000005</v>
      </c>
      <c r="N2733">
        <v>0</v>
      </c>
      <c r="O2733">
        <v>2.233396E-2</v>
      </c>
      <c r="P2733">
        <v>-0.9981527</v>
      </c>
      <c r="Q2733">
        <v>3.1163139999999999E-2</v>
      </c>
      <c r="R2733">
        <v>5.2157630000000003E-2</v>
      </c>
      <c r="S2733">
        <v>-3.0081180000000001</v>
      </c>
      <c r="T2733">
        <v>-0.1828883</v>
      </c>
      <c r="U2733">
        <v>4.899597E-2</v>
      </c>
      <c r="V2733">
        <v>3.0243969999999998E-2</v>
      </c>
      <c r="W2733">
        <v>3.6726149999999999E-2</v>
      </c>
      <c r="X2733">
        <v>0.99886759999999997</v>
      </c>
      <c r="Y2733">
        <v>-5.997395E-3</v>
      </c>
      <c r="Z2733">
        <v>-1.5385349999999999E-3</v>
      </c>
      <c r="AA2733">
        <v>0.9999808</v>
      </c>
      <c r="AB2733">
        <v>56</v>
      </c>
      <c r="AC2733">
        <v>-0.46690000000000897</v>
      </c>
      <c r="AD2733">
        <v>-6.2912999999999997E-2</v>
      </c>
      <c r="AE2733">
        <v>5.7999999999935803E-3</v>
      </c>
      <c r="AF2733">
        <v>-4.5468110838548402E-3</v>
      </c>
      <c r="AG2733">
        <v>-6.2912999999999997E-2</v>
      </c>
      <c r="AH2733">
        <v>0.45858798890671498</v>
      </c>
      <c r="AI2733">
        <v>97.811180332567105</v>
      </c>
      <c r="AJ2733">
        <v>90.568057942453706</v>
      </c>
      <c r="AK2733">
        <v>0.462905673576742</v>
      </c>
      <c r="AL2733">
        <v>87.895273269808101</v>
      </c>
      <c r="AM2733">
        <v>88.265713510006805</v>
      </c>
      <c r="AN2733">
        <v>0.99999999507247095</v>
      </c>
    </row>
    <row r="2734" spans="1:40" x14ac:dyDescent="0.3">
      <c r="A2734" t="str">
        <f>"20200111153930707"</f>
        <v>20200111153930707</v>
      </c>
      <c r="B2734" t="str">
        <f>"1578728370693409"</f>
        <v>1578728370693409</v>
      </c>
      <c r="C2734" t="s">
        <v>40</v>
      </c>
      <c r="D2734">
        <v>5.4539970000000002</v>
      </c>
      <c r="E2734">
        <v>0.48649039999999999</v>
      </c>
      <c r="F2734" t="s">
        <v>41</v>
      </c>
      <c r="G2734">
        <v>-288.2953</v>
      </c>
      <c r="H2734">
        <v>1.0395970000000001</v>
      </c>
      <c r="I2734">
        <v>139.96619999999999</v>
      </c>
      <c r="J2734">
        <v>-287.85239999999999</v>
      </c>
      <c r="K2734">
        <v>1.0984240000000001</v>
      </c>
      <c r="L2734">
        <v>139.9599</v>
      </c>
      <c r="M2734">
        <v>-0.999691</v>
      </c>
      <c r="N2734">
        <v>0</v>
      </c>
      <c r="O2734">
        <v>2.414964E-2</v>
      </c>
      <c r="P2734">
        <v>-0.99806819999999896</v>
      </c>
      <c r="Q2734">
        <v>3.2435640000000002E-2</v>
      </c>
      <c r="R2734">
        <v>5.2991709999999997E-2</v>
      </c>
      <c r="S2734">
        <v>-3.0083009999999999</v>
      </c>
      <c r="T2734">
        <v>-0.17912890000000001</v>
      </c>
      <c r="U2734">
        <v>5.4245000000000002E-2</v>
      </c>
      <c r="V2734">
        <v>2.9253660000000001E-2</v>
      </c>
      <c r="W2734">
        <v>3.8035579999999999E-2</v>
      </c>
      <c r="X2734">
        <v>0.99884810000000002</v>
      </c>
      <c r="Y2734">
        <v>-6.0690589999999999E-3</v>
      </c>
      <c r="Z2734">
        <v>-1.616957E-3</v>
      </c>
      <c r="AA2734">
        <v>0.99998030000000004</v>
      </c>
      <c r="AB2734">
        <v>56</v>
      </c>
      <c r="AC2734">
        <v>-0.44290000000000801</v>
      </c>
      <c r="AD2734">
        <v>-5.8827000000000101E-2</v>
      </c>
      <c r="AE2734">
        <v>6.2999999999817603E-3</v>
      </c>
      <c r="AF2734">
        <v>-4.3216720576922697E-3</v>
      </c>
      <c r="AG2734">
        <v>-5.8827000000000101E-2</v>
      </c>
      <c r="AH2734">
        <v>0.43524601648982297</v>
      </c>
      <c r="AI2734">
        <v>97.696965862569201</v>
      </c>
      <c r="AJ2734">
        <v>90.568886154076694</v>
      </c>
      <c r="AK2734">
        <v>0.43922475755430002</v>
      </c>
      <c r="AL2734">
        <v>87.820195999692103</v>
      </c>
      <c r="AM2734">
        <v>88.322435342497201</v>
      </c>
      <c r="AN2734">
        <v>1.0000000044214701</v>
      </c>
    </row>
    <row r="2735" spans="1:40" x14ac:dyDescent="0.3">
      <c r="A2735" t="str">
        <f>"20200111153930729"</f>
        <v>20200111153930729</v>
      </c>
      <c r="B2735" t="str">
        <f>"1578728370723237"</f>
        <v>1578728370723237</v>
      </c>
      <c r="C2735" t="s">
        <v>40</v>
      </c>
      <c r="D2735">
        <v>5.4744859999999997</v>
      </c>
      <c r="E2735">
        <v>0.47981190000000001</v>
      </c>
      <c r="F2735" t="s">
        <v>62</v>
      </c>
      <c r="G2735">
        <v>-306.6841</v>
      </c>
      <c r="H2735" s="1">
        <v>-9.2237529999999994E-6</v>
      </c>
      <c r="I2735">
        <v>140.31360000000001</v>
      </c>
      <c r="J2735">
        <v>-288.41269999999997</v>
      </c>
      <c r="K2735">
        <v>1.098757</v>
      </c>
      <c r="L2735">
        <v>139.97299999999899</v>
      </c>
      <c r="M2735">
        <v>-0.9996526</v>
      </c>
      <c r="N2735">
        <v>0</v>
      </c>
      <c r="O2735">
        <v>2.5691459999999999E-2</v>
      </c>
      <c r="P2735">
        <v>-0.99798209999999998</v>
      </c>
      <c r="Q2735">
        <v>3.3591080000000002E-2</v>
      </c>
      <c r="R2735">
        <v>5.3884410000000001E-2</v>
      </c>
      <c r="S2735">
        <v>-3.0085139999999999</v>
      </c>
      <c r="T2735">
        <v>-0.175483</v>
      </c>
      <c r="U2735">
        <v>5.6503299999999999E-2</v>
      </c>
      <c r="V2735">
        <v>2.858805E-2</v>
      </c>
      <c r="W2735">
        <v>3.9227739999999997E-2</v>
      </c>
      <c r="X2735">
        <v>0.99882130000000002</v>
      </c>
      <c r="Y2735">
        <v>-6.8604579999999998E-3</v>
      </c>
      <c r="Z2735">
        <v>-1.6968529999999999E-3</v>
      </c>
      <c r="AA2735">
        <v>0.99997499999999995</v>
      </c>
      <c r="AB2735">
        <v>56</v>
      </c>
      <c r="AC2735">
        <v>-18.2714</v>
      </c>
      <c r="AD2735">
        <v>-1.098766223753</v>
      </c>
      <c r="AE2735">
        <v>0.340600000000023</v>
      </c>
      <c r="AF2735">
        <v>-0.12847505355601099</v>
      </c>
      <c r="AG2735">
        <v>-1.098766223753</v>
      </c>
      <c r="AH2735">
        <v>18.208295265861899</v>
      </c>
      <c r="AI2735">
        <v>93.453198474926097</v>
      </c>
      <c r="AJ2735">
        <v>90.404263885245896</v>
      </c>
      <c r="AK2735">
        <v>18.241869683304301</v>
      </c>
      <c r="AL2735">
        <v>87.751839314118797</v>
      </c>
      <c r="AM2735">
        <v>88.360540019195696</v>
      </c>
      <c r="AN2735">
        <v>1.0000000407609899</v>
      </c>
    </row>
    <row r="2736" spans="1:40" x14ac:dyDescent="0.3">
      <c r="A2736" t="str">
        <f>"20200111153930752"</f>
        <v>20200111153930752</v>
      </c>
      <c r="B2736" t="str">
        <f>"1578728370743732"</f>
        <v>1578728370743732</v>
      </c>
      <c r="C2736" t="s">
        <v>40</v>
      </c>
      <c r="D2736">
        <v>5.4964250000000003</v>
      </c>
      <c r="E2736">
        <v>0.47938560000000002</v>
      </c>
      <c r="F2736" t="s">
        <v>62</v>
      </c>
      <c r="G2736">
        <v>-303.97329999999999</v>
      </c>
      <c r="H2736" s="1">
        <v>-8.7431880000000001E-6</v>
      </c>
      <c r="I2736">
        <v>140.0068</v>
      </c>
      <c r="J2736">
        <v>-289.01639999999998</v>
      </c>
      <c r="K2736">
        <v>1.09914</v>
      </c>
      <c r="L2736">
        <v>139.9881</v>
      </c>
      <c r="M2736">
        <v>-0.99961860000000002</v>
      </c>
      <c r="N2736">
        <v>0</v>
      </c>
      <c r="O2736">
        <v>2.6976569999999998E-2</v>
      </c>
      <c r="P2736">
        <v>-0.99789609999999995</v>
      </c>
      <c r="Q2736">
        <v>3.4966190000000001E-2</v>
      </c>
      <c r="R2736">
        <v>5.4594400000000001E-2</v>
      </c>
      <c r="S2736">
        <v>-3.0128780000000002</v>
      </c>
      <c r="T2736">
        <v>-0.2127463</v>
      </c>
      <c r="U2736">
        <v>6.546021E-3</v>
      </c>
      <c r="V2736">
        <v>2.7990379999999999E-2</v>
      </c>
      <c r="W2736">
        <v>4.0644710000000001E-2</v>
      </c>
      <c r="X2736">
        <v>0.99878149999999999</v>
      </c>
      <c r="Y2736">
        <v>-2.4676489999999999E-2</v>
      </c>
      <c r="Z2736">
        <v>-2.7725010000000001E-3</v>
      </c>
      <c r="AA2736">
        <v>0.99969169999999996</v>
      </c>
      <c r="AB2736">
        <v>56</v>
      </c>
      <c r="AC2736">
        <v>-14.956899999999999</v>
      </c>
      <c r="AD2736">
        <v>-1.099148743188</v>
      </c>
      <c r="AE2736">
        <v>1.8699999999995401E-2</v>
      </c>
      <c r="AF2736">
        <v>-0.38273278540621403</v>
      </c>
      <c r="AG2736">
        <v>-1.099148743188</v>
      </c>
      <c r="AH2736">
        <v>14.8716475303364</v>
      </c>
      <c r="AI2736">
        <v>94.225594745738803</v>
      </c>
      <c r="AJ2736">
        <v>91.474223603795494</v>
      </c>
      <c r="AK2736">
        <v>14.9171214586205</v>
      </c>
      <c r="AL2736">
        <v>87.670587923579404</v>
      </c>
      <c r="AM2736">
        <v>88.394732986317194</v>
      </c>
      <c r="AN2736">
        <v>0.99999996928288803</v>
      </c>
    </row>
    <row r="2737" spans="1:40" x14ac:dyDescent="0.3">
      <c r="A2737" t="str">
        <f>"20200111153930774"</f>
        <v>20200111153930774</v>
      </c>
      <c r="B2737" t="str">
        <f>"1578728370763252"</f>
        <v>1578728370763252</v>
      </c>
      <c r="C2737" t="s">
        <v>40</v>
      </c>
      <c r="D2737">
        <v>5.4262319999999997</v>
      </c>
      <c r="E2737">
        <v>0.47906919999999997</v>
      </c>
      <c r="F2737" t="s">
        <v>62</v>
      </c>
      <c r="G2737">
        <v>-304.19240000000002</v>
      </c>
      <c r="H2737" s="1">
        <v>-8.7772260000000007E-6</v>
      </c>
      <c r="I2737">
        <v>140.0154</v>
      </c>
      <c r="J2737">
        <v>-289.57170000000002</v>
      </c>
      <c r="K2737">
        <v>1.0995159999999999</v>
      </c>
      <c r="L2737">
        <v>140.0025</v>
      </c>
      <c r="M2737">
        <v>-0.99959489999999995</v>
      </c>
      <c r="N2737">
        <v>0</v>
      </c>
      <c r="O2737">
        <v>2.784153E-2</v>
      </c>
      <c r="P2737">
        <v>-0.99782700000000002</v>
      </c>
      <c r="Q2737">
        <v>3.572024E-2</v>
      </c>
      <c r="R2737">
        <v>5.5371219999999999E-2</v>
      </c>
      <c r="S2737">
        <v>-3.0136720000000001</v>
      </c>
      <c r="T2737">
        <v>-0.2182703</v>
      </c>
      <c r="U2737">
        <v>5.432129E-3</v>
      </c>
      <c r="V2737">
        <v>2.7874369999999999E-2</v>
      </c>
      <c r="W2737">
        <v>4.1435130000000001E-2</v>
      </c>
      <c r="X2737">
        <v>0.99875230000000004</v>
      </c>
      <c r="Y2737">
        <v>-2.5899419999999999E-2</v>
      </c>
      <c r="Z2737">
        <v>-2.9503350000000001E-3</v>
      </c>
      <c r="AA2737">
        <v>0.9996602</v>
      </c>
      <c r="AB2737">
        <v>56</v>
      </c>
      <c r="AC2737">
        <v>-14.620699999999999</v>
      </c>
      <c r="AD2737">
        <v>-1.0995247772259999</v>
      </c>
      <c r="AE2737">
        <v>1.29000000000019E-2</v>
      </c>
      <c r="AF2737">
        <v>-0.39195802823883202</v>
      </c>
      <c r="AG2737">
        <v>-1.0995247772259999</v>
      </c>
      <c r="AH2737">
        <v>14.5331982917417</v>
      </c>
      <c r="AI2737">
        <v>94.324965032873394</v>
      </c>
      <c r="AJ2737">
        <v>91.544883493047706</v>
      </c>
      <c r="AK2737">
        <v>14.5800013175143</v>
      </c>
      <c r="AL2737">
        <v>87.625262085820907</v>
      </c>
      <c r="AM2737">
        <v>88.4013360641638</v>
      </c>
      <c r="AN2737">
        <v>1.00000000362815</v>
      </c>
    </row>
    <row r="2738" spans="1:40" x14ac:dyDescent="0.3">
      <c r="A2738" t="str">
        <f>"20200111153930797"</f>
        <v>20200111153930797</v>
      </c>
      <c r="B2738" t="str">
        <f>"1578728370793508"</f>
        <v>1578728370793508</v>
      </c>
      <c r="C2738" t="s">
        <v>40</v>
      </c>
      <c r="D2738">
        <v>5.4460350000000002</v>
      </c>
      <c r="E2738">
        <v>0.47888229999999998</v>
      </c>
      <c r="F2738" t="s">
        <v>62</v>
      </c>
      <c r="G2738">
        <v>-304.72899999999998</v>
      </c>
      <c r="H2738" s="1">
        <v>-8.8587689999999907E-6</v>
      </c>
      <c r="I2738">
        <v>140.03049999999999</v>
      </c>
      <c r="J2738">
        <v>-290.13709999999998</v>
      </c>
      <c r="K2738">
        <v>1.0998889999999999</v>
      </c>
      <c r="L2738">
        <v>140.0179</v>
      </c>
      <c r="M2738">
        <v>-0.99957779999999996</v>
      </c>
      <c r="N2738">
        <v>0</v>
      </c>
      <c r="O2738">
        <v>2.8447179999999999E-2</v>
      </c>
      <c r="P2738">
        <v>-0.99781220000000004</v>
      </c>
      <c r="Q2738">
        <v>3.6398069999999998E-2</v>
      </c>
      <c r="R2738">
        <v>5.5193609999999997E-2</v>
      </c>
      <c r="S2738">
        <v>-3.0140380000000002</v>
      </c>
      <c r="T2738">
        <v>-0.2186409</v>
      </c>
      <c r="U2738">
        <v>5.5541990000000001E-3</v>
      </c>
      <c r="V2738">
        <v>2.7060210000000001E-2</v>
      </c>
      <c r="W2738">
        <v>4.215547E-2</v>
      </c>
      <c r="X2738">
        <v>0.99874450000000004</v>
      </c>
      <c r="Y2738">
        <v>-2.646134E-2</v>
      </c>
      <c r="Z2738">
        <v>-3.019192E-3</v>
      </c>
      <c r="AA2738">
        <v>0.99964529999999996</v>
      </c>
      <c r="AB2738">
        <v>57</v>
      </c>
      <c r="AC2738">
        <v>-14.591900000000001</v>
      </c>
      <c r="AD2738">
        <v>-1.09989785876899</v>
      </c>
      <c r="AE2738">
        <v>1.2599999999991901E-2</v>
      </c>
      <c r="AF2738">
        <v>-0.40023672788639197</v>
      </c>
      <c r="AG2738">
        <v>-1.09989785876899</v>
      </c>
      <c r="AH2738">
        <v>14.5039453278381</v>
      </c>
      <c r="AI2738">
        <v>94.335046094165804</v>
      </c>
      <c r="AJ2738">
        <v>91.580677304775307</v>
      </c>
      <c r="AK2738">
        <v>14.5510960003359</v>
      </c>
      <c r="AL2738">
        <v>87.583953435998396</v>
      </c>
      <c r="AM2738">
        <v>88.447994854945904</v>
      </c>
      <c r="AN2738">
        <v>0.99999995744820602</v>
      </c>
    </row>
    <row r="2739" spans="1:40" x14ac:dyDescent="0.3">
      <c r="A2739" t="str">
        <f>"20200111153930817"</f>
        <v>20200111153930817</v>
      </c>
      <c r="B2739" t="str">
        <f>"1578728370814004"</f>
        <v>1578728370814004</v>
      </c>
      <c r="C2739" t="s">
        <v>40</v>
      </c>
      <c r="D2739">
        <v>5.4424199999999896</v>
      </c>
      <c r="E2739">
        <v>0.47855409999999998</v>
      </c>
      <c r="F2739" t="s">
        <v>41</v>
      </c>
      <c r="G2739">
        <v>-291.30739999999997</v>
      </c>
      <c r="H2739">
        <v>1.0153129999999999</v>
      </c>
      <c r="I2739">
        <v>140.01949999999999</v>
      </c>
      <c r="J2739">
        <v>-290.66219999999998</v>
      </c>
      <c r="K2739">
        <v>1.1002179999999999</v>
      </c>
      <c r="L2739">
        <v>140.0324</v>
      </c>
      <c r="M2739">
        <v>-0.99956670000000003</v>
      </c>
      <c r="N2739">
        <v>0</v>
      </c>
      <c r="O2739">
        <v>2.8826379999999999E-2</v>
      </c>
      <c r="P2739">
        <v>-0.9978146</v>
      </c>
      <c r="Q2739">
        <v>3.832588E-2</v>
      </c>
      <c r="R2739">
        <v>5.3825579999999998E-2</v>
      </c>
      <c r="S2739">
        <v>-3.014313</v>
      </c>
      <c r="T2739">
        <v>-0.21789459999999999</v>
      </c>
      <c r="U2739">
        <v>3.8146970000000001E-3</v>
      </c>
      <c r="V2739">
        <v>2.529232E-2</v>
      </c>
      <c r="W2739">
        <v>4.4127260000000001E-2</v>
      </c>
      <c r="X2739">
        <v>0.99870570000000003</v>
      </c>
      <c r="Y2739">
        <v>-2.7415129999999999E-2</v>
      </c>
      <c r="Z2739">
        <v>-3.0704399999999998E-3</v>
      </c>
      <c r="AA2739">
        <v>0.99961940000000005</v>
      </c>
      <c r="AB2739">
        <v>57</v>
      </c>
      <c r="AC2739">
        <v>-0.64519999999998801</v>
      </c>
      <c r="AD2739">
        <v>-8.4904999999999994E-2</v>
      </c>
      <c r="AE2739">
        <v>-1.29000000000019E-2</v>
      </c>
      <c r="AF2739">
        <v>-3.09578596697614E-2</v>
      </c>
      <c r="AG2739">
        <v>-8.4904999999999994E-2</v>
      </c>
      <c r="AH2739">
        <v>0.63359233568321904</v>
      </c>
      <c r="AI2739">
        <v>97.623504740710302</v>
      </c>
      <c r="AJ2739">
        <v>92.797295795435602</v>
      </c>
      <c r="AK2739">
        <v>0.64000507493054304</v>
      </c>
      <c r="AL2739">
        <v>87.470872984403798</v>
      </c>
      <c r="AM2739">
        <v>88.549288843073995</v>
      </c>
      <c r="AN2739">
        <v>0.99999999586929</v>
      </c>
    </row>
    <row r="2740" spans="1:40" x14ac:dyDescent="0.3">
      <c r="A2740" t="str">
        <f>"20200111153930840"</f>
        <v>20200111153930840</v>
      </c>
      <c r="B2740" t="str">
        <f>"1578728370833528"</f>
        <v>1578728370833528</v>
      </c>
      <c r="C2740" t="s">
        <v>40</v>
      </c>
      <c r="D2740">
        <v>5.4568349999999999</v>
      </c>
      <c r="E2740">
        <v>0.47835850000000002</v>
      </c>
      <c r="F2740" t="s">
        <v>41</v>
      </c>
      <c r="G2740">
        <v>-291.8193</v>
      </c>
      <c r="H2740">
        <v>1.017763</v>
      </c>
      <c r="I2740">
        <v>140.0317</v>
      </c>
      <c r="J2740">
        <v>-291.23719999999997</v>
      </c>
      <c r="K2740">
        <v>1.1005560000000001</v>
      </c>
      <c r="L2740">
        <v>140.0487</v>
      </c>
      <c r="M2740">
        <v>-0.99955919999999998</v>
      </c>
      <c r="N2740">
        <v>0</v>
      </c>
      <c r="O2740">
        <v>2.9082070000000002E-2</v>
      </c>
      <c r="P2740">
        <v>-0.99777749999999998</v>
      </c>
      <c r="Q2740">
        <v>4.1151269999999997E-2</v>
      </c>
      <c r="R2740">
        <v>5.2410239999999997E-2</v>
      </c>
      <c r="S2740">
        <v>-3.014923</v>
      </c>
      <c r="T2740">
        <v>-0.21487980000000001</v>
      </c>
      <c r="U2740">
        <v>-2.0446779999999999E-3</v>
      </c>
      <c r="V2740">
        <v>2.3602910000000001E-2</v>
      </c>
      <c r="W2740">
        <v>4.6994370000000001E-2</v>
      </c>
      <c r="X2740">
        <v>0.99861630000000001</v>
      </c>
      <c r="Y2740">
        <v>-2.961161E-2</v>
      </c>
      <c r="Z2740">
        <v>-3.1238400000000001E-3</v>
      </c>
      <c r="AA2740">
        <v>0.99955660000000002</v>
      </c>
      <c r="AB2740">
        <v>57</v>
      </c>
      <c r="AC2740">
        <v>-0.58210000000002504</v>
      </c>
      <c r="AD2740">
        <v>-8.2792999999999894E-2</v>
      </c>
      <c r="AE2740">
        <v>-1.69999999999959E-2</v>
      </c>
      <c r="AF2740">
        <v>-3.3249721120890099E-2</v>
      </c>
      <c r="AG2740">
        <v>-8.2792999999999894E-2</v>
      </c>
      <c r="AH2740">
        <v>0.56984140879196499</v>
      </c>
      <c r="AI2740">
        <v>98.252890035211493</v>
      </c>
      <c r="AJ2740">
        <v>93.339369617875093</v>
      </c>
      <c r="AK2740">
        <v>0.57678371681040796</v>
      </c>
      <c r="AL2740">
        <v>87.306428983095003</v>
      </c>
      <c r="AM2740">
        <v>88.646031127762598</v>
      </c>
      <c r="AN2740">
        <v>1.0000000413989201</v>
      </c>
    </row>
    <row r="2741" spans="1:40" x14ac:dyDescent="0.3">
      <c r="A2741" t="str">
        <f>"20200111153930862"</f>
        <v>20200111153930862</v>
      </c>
      <c r="B2741" t="str">
        <f>"1578728370854025"</f>
        <v>1578728370854025</v>
      </c>
      <c r="C2741" t="s">
        <v>40</v>
      </c>
      <c r="D2741">
        <v>5.482037</v>
      </c>
      <c r="E2741">
        <v>0.47817290000000001</v>
      </c>
      <c r="F2741" t="s">
        <v>41</v>
      </c>
      <c r="G2741">
        <v>-292.33510000000001</v>
      </c>
      <c r="H2741">
        <v>1.0244949999999999</v>
      </c>
      <c r="I2741">
        <v>140.0463</v>
      </c>
      <c r="J2741">
        <v>-291.81240000000003</v>
      </c>
      <c r="K2741">
        <v>1.100859</v>
      </c>
      <c r="L2741">
        <v>140.06530000000001</v>
      </c>
      <c r="M2741">
        <v>-0.99955510000000003</v>
      </c>
      <c r="N2741">
        <v>0</v>
      </c>
      <c r="O2741">
        <v>2.9221710000000001E-2</v>
      </c>
      <c r="P2741">
        <v>-0.99768219999999996</v>
      </c>
      <c r="Q2741">
        <v>4.4010710000000001E-2</v>
      </c>
      <c r="R2741">
        <v>5.1897390000000002E-2</v>
      </c>
      <c r="S2741">
        <v>-3.015717</v>
      </c>
      <c r="T2741">
        <v>-0.20898369999999999</v>
      </c>
      <c r="U2741">
        <v>-7.2479249999999997E-3</v>
      </c>
      <c r="V2741">
        <v>2.293222E-2</v>
      </c>
      <c r="W2741">
        <v>4.9887269999999997E-2</v>
      </c>
      <c r="X2741">
        <v>0.99849149999999998</v>
      </c>
      <c r="Y2741">
        <v>-3.1478939999999997E-2</v>
      </c>
      <c r="Z2741">
        <v>-3.111829E-3</v>
      </c>
      <c r="AA2741">
        <v>0.99949960000000004</v>
      </c>
      <c r="AB2741">
        <v>57</v>
      </c>
      <c r="AC2741">
        <v>-0.52269999999998595</v>
      </c>
      <c r="AD2741">
        <v>-7.6363999999999793E-2</v>
      </c>
      <c r="AE2741">
        <v>-1.9000000000005401E-2</v>
      </c>
      <c r="AF2741">
        <v>-3.3551180550889299E-2</v>
      </c>
      <c r="AG2741">
        <v>-7.6363999999999793E-2</v>
      </c>
      <c r="AH2741">
        <v>0.51102863787597397</v>
      </c>
      <c r="AI2741">
        <v>98.480939233485799</v>
      </c>
      <c r="AJ2741">
        <v>93.756318051178496</v>
      </c>
      <c r="AK2741">
        <v>0.51779089499693998</v>
      </c>
      <c r="AL2741">
        <v>87.140482900988602</v>
      </c>
      <c r="AM2741">
        <v>88.684326833795396</v>
      </c>
      <c r="AN2741">
        <v>0.99999995099721395</v>
      </c>
    </row>
    <row r="2742" spans="1:40" x14ac:dyDescent="0.3">
      <c r="A2742" t="str">
        <f>"20200111153930885"</f>
        <v>20200111153930885</v>
      </c>
      <c r="B2742" t="str">
        <f>"1578728370873544"</f>
        <v>1578728370873544</v>
      </c>
      <c r="C2742" t="s">
        <v>40</v>
      </c>
      <c r="D2742">
        <v>5.467975</v>
      </c>
      <c r="E2742">
        <v>0.47787550000000001</v>
      </c>
      <c r="F2742" t="s">
        <v>62</v>
      </c>
      <c r="G2742">
        <v>-308.26100000000002</v>
      </c>
      <c r="H2742" s="1">
        <v>-9.3592330000000004E-6</v>
      </c>
      <c r="I2742">
        <v>140.0078</v>
      </c>
      <c r="J2742">
        <v>-292.39210000000003</v>
      </c>
      <c r="K2742">
        <v>1.101127</v>
      </c>
      <c r="L2742">
        <v>140.0821</v>
      </c>
      <c r="M2742">
        <v>-0.99955320000000003</v>
      </c>
      <c r="N2742">
        <v>0</v>
      </c>
      <c r="O2742">
        <v>2.9282249999999999E-2</v>
      </c>
      <c r="P2742">
        <v>-0.99767830000000002</v>
      </c>
      <c r="Q2742">
        <v>4.5851570000000001E-2</v>
      </c>
      <c r="R2742">
        <v>5.03534E-2</v>
      </c>
      <c r="S2742">
        <v>-3.0164490000000002</v>
      </c>
      <c r="T2742">
        <v>-0.20188449999999999</v>
      </c>
      <c r="U2742">
        <v>-1.0543820000000001E-2</v>
      </c>
      <c r="V2742">
        <v>2.130251E-2</v>
      </c>
      <c r="W2742">
        <v>5.1763110000000001E-2</v>
      </c>
      <c r="X2742">
        <v>0.99843219999999999</v>
      </c>
      <c r="Y2742">
        <v>-3.2638010000000002E-2</v>
      </c>
      <c r="Z2742">
        <v>-3.0484259999999999E-3</v>
      </c>
      <c r="AA2742">
        <v>0.99946259999999998</v>
      </c>
      <c r="AB2742">
        <v>57</v>
      </c>
      <c r="AC2742">
        <v>-15.868899999999901</v>
      </c>
      <c r="AD2742">
        <v>-1.1011363592329999</v>
      </c>
      <c r="AE2742">
        <v>-7.4299999999993802E-2</v>
      </c>
      <c r="AF2742">
        <v>-0.53637106354063002</v>
      </c>
      <c r="AG2742">
        <v>-1.1011363592329999</v>
      </c>
      <c r="AH2742">
        <v>15.783922622159601</v>
      </c>
      <c r="AI2742">
        <v>93.988374343384905</v>
      </c>
      <c r="AJ2742">
        <v>91.946282783322204</v>
      </c>
      <c r="AK2742">
        <v>15.8313741836188</v>
      </c>
      <c r="AL2742">
        <v>87.032866333109197</v>
      </c>
      <c r="AM2742">
        <v>88.777724957223199</v>
      </c>
      <c r="AN2742">
        <v>1.000000037243</v>
      </c>
    </row>
    <row r="2743" spans="1:40" x14ac:dyDescent="0.3">
      <c r="A2743" t="str">
        <f>"20200111153930906"</f>
        <v>20200111153930906</v>
      </c>
      <c r="B2743" t="str">
        <f>"1578728370903800"</f>
        <v>1578728370903800</v>
      </c>
      <c r="C2743" t="s">
        <v>40</v>
      </c>
      <c r="D2743">
        <v>5.4895719999999999</v>
      </c>
      <c r="E2743">
        <v>0.48093639999999999</v>
      </c>
      <c r="F2743" t="s">
        <v>62</v>
      </c>
      <c r="G2743">
        <v>-309.21940000000001</v>
      </c>
      <c r="H2743" s="1">
        <v>-9.4910469999999997E-6</v>
      </c>
      <c r="I2743">
        <v>139.98820000000001</v>
      </c>
      <c r="J2743">
        <v>-292.94240000000002</v>
      </c>
      <c r="K2743">
        <v>1.101362</v>
      </c>
      <c r="L2743">
        <v>140.09819999999999</v>
      </c>
      <c r="M2743">
        <v>-0.99955300000000002</v>
      </c>
      <c r="N2743">
        <v>0</v>
      </c>
      <c r="O2743">
        <v>2.9291279999999999E-2</v>
      </c>
      <c r="P2743">
        <v>-0.99777150000000003</v>
      </c>
      <c r="Q2743">
        <v>4.640938E-2</v>
      </c>
      <c r="R2743">
        <v>4.7942499999999999E-2</v>
      </c>
      <c r="S2743">
        <v>-3.0169069999999998</v>
      </c>
      <c r="T2743">
        <v>-0.19741890000000001</v>
      </c>
      <c r="U2743">
        <v>-1.6830439999999999E-2</v>
      </c>
      <c r="V2743">
        <v>1.8853519999999999E-2</v>
      </c>
      <c r="W2743">
        <v>5.2354060000000001E-2</v>
      </c>
      <c r="X2743">
        <v>0.99845059999999997</v>
      </c>
      <c r="Y2743">
        <v>-3.4730659999999997E-2</v>
      </c>
      <c r="Z2743">
        <v>-3.0496759999999999E-3</v>
      </c>
      <c r="AA2743">
        <v>0.99939199999999995</v>
      </c>
      <c r="AB2743">
        <v>57</v>
      </c>
      <c r="AC2743">
        <v>-16.276999999999902</v>
      </c>
      <c r="AD2743">
        <v>-1.1013714910470001</v>
      </c>
      <c r="AE2743">
        <v>-0.109999999999985</v>
      </c>
      <c r="AF2743">
        <v>-0.58406152621604301</v>
      </c>
      <c r="AG2743">
        <v>-1.1013714910470001</v>
      </c>
      <c r="AH2743">
        <v>16.192659515599299</v>
      </c>
      <c r="AI2743">
        <v>93.888556697274595</v>
      </c>
      <c r="AJ2743">
        <v>92.065735975092693</v>
      </c>
      <c r="AK2743">
        <v>16.240577859664601</v>
      </c>
      <c r="AL2743">
        <v>86.998961312331403</v>
      </c>
      <c r="AM2743">
        <v>88.918225133927507</v>
      </c>
      <c r="AN2743">
        <v>1.0000000017276101</v>
      </c>
    </row>
    <row r="2744" spans="1:40" x14ac:dyDescent="0.3">
      <c r="A2744" t="str">
        <f>"20200111153930928"</f>
        <v>20200111153930928</v>
      </c>
      <c r="B2744" t="str">
        <f>"1578728370923320"</f>
        <v>1578728370923320</v>
      </c>
      <c r="C2744" t="s">
        <v>40</v>
      </c>
      <c r="D2744">
        <v>5.4754909999999999</v>
      </c>
      <c r="E2744">
        <v>0.48118749999999999</v>
      </c>
      <c r="F2744" t="s">
        <v>62</v>
      </c>
      <c r="G2744">
        <v>-311.33280000000002</v>
      </c>
      <c r="H2744" s="1">
        <v>-9.0973940000000006E-6</v>
      </c>
      <c r="I2744">
        <v>140.10329999999999</v>
      </c>
      <c r="J2744">
        <v>-293.50139999999999</v>
      </c>
      <c r="K2744">
        <v>1.101577</v>
      </c>
      <c r="L2744">
        <v>140.1146</v>
      </c>
      <c r="M2744">
        <v>-0.99955340000000004</v>
      </c>
      <c r="N2744">
        <v>0</v>
      </c>
      <c r="O2744">
        <v>2.927012E-2</v>
      </c>
      <c r="P2744">
        <v>-0.9978534</v>
      </c>
      <c r="Q2744">
        <v>4.6809259999999998E-2</v>
      </c>
      <c r="R2744">
        <v>4.5795429999999998E-2</v>
      </c>
      <c r="S2744">
        <v>-3.0150450000000002</v>
      </c>
      <c r="T2744">
        <v>-0.18056649999999999</v>
      </c>
      <c r="U2744">
        <v>8.3923339999999905E-4</v>
      </c>
      <c r="V2744">
        <v>1.66999E-2</v>
      </c>
      <c r="W2744">
        <v>5.2782620000000002E-2</v>
      </c>
      <c r="X2744">
        <v>0.99846639999999998</v>
      </c>
      <c r="Y2744">
        <v>-2.8888239999999999E-2</v>
      </c>
      <c r="Z2744">
        <v>-2.6154799999999999E-3</v>
      </c>
      <c r="AA2744">
        <v>0.99957929999999995</v>
      </c>
      <c r="AB2744">
        <v>57</v>
      </c>
      <c r="AC2744">
        <v>-17.831399999999999</v>
      </c>
      <c r="AD2744">
        <v>-1.1015860973939999</v>
      </c>
      <c r="AE2744">
        <v>-1.1300000000005601E-2</v>
      </c>
      <c r="AF2744">
        <v>-0.53120449433723405</v>
      </c>
      <c r="AG2744">
        <v>-1.1015860973939999</v>
      </c>
      <c r="AH2744">
        <v>17.755664310396799</v>
      </c>
      <c r="AI2744">
        <v>93.548575795297495</v>
      </c>
      <c r="AJ2744">
        <v>91.71363342779</v>
      </c>
      <c r="AK2744">
        <v>17.797732587278499</v>
      </c>
      <c r="AL2744">
        <v>86.974372695594894</v>
      </c>
      <c r="AM2744">
        <v>89.041785902444303</v>
      </c>
      <c r="AN2744">
        <v>1.0000000217815099</v>
      </c>
    </row>
    <row r="2745" spans="1:40" x14ac:dyDescent="0.3">
      <c r="A2745" t="str">
        <f>"20200111153930952"</f>
        <v>20200111153930952</v>
      </c>
      <c r="B2745" t="str">
        <f>"1578728370943817"</f>
        <v>1578728370943817</v>
      </c>
      <c r="C2745" t="s">
        <v>40</v>
      </c>
      <c r="D2745">
        <v>5.5100899999999999</v>
      </c>
      <c r="E2745">
        <v>0.48119659999999898</v>
      </c>
      <c r="F2745" t="s">
        <v>62</v>
      </c>
      <c r="G2745">
        <v>-311.37130000000002</v>
      </c>
      <c r="H2745" s="1">
        <v>-9.0812549999999992E-6</v>
      </c>
      <c r="I2745">
        <v>140.09710000000001</v>
      </c>
      <c r="J2745">
        <v>-294.12020000000001</v>
      </c>
      <c r="K2745">
        <v>1.101783</v>
      </c>
      <c r="L2745">
        <v>140.1328</v>
      </c>
      <c r="M2745">
        <v>-0.99955479999999997</v>
      </c>
      <c r="N2745">
        <v>0</v>
      </c>
      <c r="O2745">
        <v>2.9224219999999999E-2</v>
      </c>
      <c r="P2745">
        <v>-0.9979247</v>
      </c>
      <c r="Q2745">
        <v>4.7492760000000002E-2</v>
      </c>
      <c r="R2745">
        <v>4.3483170000000002E-2</v>
      </c>
      <c r="S2745">
        <v>-3.01532</v>
      </c>
      <c r="T2745">
        <v>-0.1858793</v>
      </c>
      <c r="U2745">
        <v>-2.960205E-3</v>
      </c>
      <c r="V2745">
        <v>1.44067E-2</v>
      </c>
      <c r="W2745">
        <v>5.3494479999999997E-2</v>
      </c>
      <c r="X2745">
        <v>0.99846420000000002</v>
      </c>
      <c r="Y2745">
        <v>-3.0093450000000001E-2</v>
      </c>
      <c r="Z2745">
        <v>-2.7263399999999998E-3</v>
      </c>
      <c r="AA2745">
        <v>0.99954339999999997</v>
      </c>
      <c r="AB2745">
        <v>57</v>
      </c>
      <c r="AC2745">
        <v>-17.251100000000001</v>
      </c>
      <c r="AD2745">
        <v>-1.1017920812549999</v>
      </c>
      <c r="AE2745">
        <v>-3.5699999999991398E-2</v>
      </c>
      <c r="AF2745">
        <v>-0.53765067656374299</v>
      </c>
      <c r="AG2745">
        <v>-1.1017920812549999</v>
      </c>
      <c r="AH2745">
        <v>17.1726393104097</v>
      </c>
      <c r="AI2745">
        <v>93.669257606170802</v>
      </c>
      <c r="AJ2745">
        <v>91.793262797398299</v>
      </c>
      <c r="AK2745">
        <v>17.216345574068701</v>
      </c>
      <c r="AL2745">
        <v>86.933528303890995</v>
      </c>
      <c r="AM2745">
        <v>89.173344592308595</v>
      </c>
      <c r="AN2745">
        <v>0.9999999855385</v>
      </c>
    </row>
    <row r="2746" spans="1:40" x14ac:dyDescent="0.3">
      <c r="A2746" t="str">
        <f>"20200111153930975"</f>
        <v>20200111153930975</v>
      </c>
      <c r="B2746" t="str">
        <f>"1578728370963339"</f>
        <v>1578728370963339</v>
      </c>
      <c r="C2746" t="s">
        <v>40</v>
      </c>
      <c r="D2746">
        <v>5.4664169999999999</v>
      </c>
      <c r="E2746">
        <v>0.48101280000000002</v>
      </c>
      <c r="F2746" t="s">
        <v>62</v>
      </c>
      <c r="G2746">
        <v>-311.61559999999997</v>
      </c>
      <c r="H2746" s="1">
        <v>-8.98474E-6</v>
      </c>
      <c r="I2746">
        <v>140.07990000000001</v>
      </c>
      <c r="J2746">
        <v>-294.6936</v>
      </c>
      <c r="K2746">
        <v>1.1019559999999999</v>
      </c>
      <c r="L2746">
        <v>140.14959999999999</v>
      </c>
      <c r="M2746">
        <v>-0.99955629999999995</v>
      </c>
      <c r="N2746">
        <v>0</v>
      </c>
      <c r="O2746">
        <v>2.9167140000000001E-2</v>
      </c>
      <c r="P2746">
        <v>-0.99804000000000004</v>
      </c>
      <c r="Q2746">
        <v>4.8323619999999998E-2</v>
      </c>
      <c r="R2746">
        <v>3.9764729999999998E-2</v>
      </c>
      <c r="S2746">
        <v>-3.0156860000000001</v>
      </c>
      <c r="T2746">
        <v>-0.18991630000000001</v>
      </c>
      <c r="U2746">
        <v>-9.1094969999999994E-3</v>
      </c>
      <c r="V2746">
        <v>1.0722600000000001E-2</v>
      </c>
      <c r="W2746">
        <v>5.4350589999999997E-2</v>
      </c>
      <c r="X2746">
        <v>0.99846429999999997</v>
      </c>
      <c r="Y2746">
        <v>-3.2065650000000001E-2</v>
      </c>
      <c r="Z2746">
        <v>-2.8435539999999999E-3</v>
      </c>
      <c r="AA2746">
        <v>0.99948170000000003</v>
      </c>
      <c r="AB2746">
        <v>58</v>
      </c>
      <c r="AC2746">
        <v>-16.921999999999901</v>
      </c>
      <c r="AD2746">
        <v>-1.1019649847399999</v>
      </c>
      <c r="AE2746">
        <v>-6.9699999999983206E-2</v>
      </c>
      <c r="AF2746">
        <v>-0.56086729087285603</v>
      </c>
      <c r="AG2746">
        <v>-1.1019649847399999</v>
      </c>
      <c r="AH2746">
        <v>16.841350235841301</v>
      </c>
      <c r="AI2746">
        <v>93.741578472092101</v>
      </c>
      <c r="AJ2746">
        <v>91.907415722024197</v>
      </c>
      <c r="AK2746">
        <v>16.886680452707001</v>
      </c>
      <c r="AL2746">
        <v>86.884405262982199</v>
      </c>
      <c r="AM2746">
        <v>89.384719003578795</v>
      </c>
      <c r="AN2746">
        <v>0.99999995957929799</v>
      </c>
    </row>
    <row r="2747" spans="1:40" x14ac:dyDescent="0.3">
      <c r="A2747" t="str">
        <f>"20200111153930995"</f>
        <v>20200111153930995</v>
      </c>
      <c r="B2747" t="str">
        <f>"1578728370983832"</f>
        <v>1578728370983832</v>
      </c>
      <c r="C2747" t="s">
        <v>40</v>
      </c>
      <c r="D2747">
        <v>5.8045720000000003</v>
      </c>
      <c r="E2747">
        <v>0.48110459999999999</v>
      </c>
      <c r="F2747" t="s">
        <v>62</v>
      </c>
      <c r="G2747">
        <v>-312.31240000000003</v>
      </c>
      <c r="H2747" s="1">
        <v>-8.7086149999999993E-6</v>
      </c>
      <c r="I2747">
        <v>140.0275</v>
      </c>
      <c r="J2747">
        <v>-295.23590000000002</v>
      </c>
      <c r="K2747">
        <v>1.102093</v>
      </c>
      <c r="L2747">
        <v>140.16550000000001</v>
      </c>
      <c r="M2747">
        <v>-0.9995581</v>
      </c>
      <c r="N2747">
        <v>0</v>
      </c>
      <c r="O2747">
        <v>2.910271E-2</v>
      </c>
      <c r="P2747">
        <v>-0.99814099999999994</v>
      </c>
      <c r="Q2747">
        <v>4.9446759999999999E-2</v>
      </c>
      <c r="R2747">
        <v>3.5635529999999999E-2</v>
      </c>
      <c r="S2747">
        <v>-3.0158390000000002</v>
      </c>
      <c r="T2747">
        <v>-0.18862519999999999</v>
      </c>
      <c r="U2747">
        <v>-2.0904539999999999E-2</v>
      </c>
      <c r="V2747">
        <v>6.6394030000000003E-3</v>
      </c>
      <c r="W2747">
        <v>5.5495179999999998E-2</v>
      </c>
      <c r="X2747">
        <v>0.99843689999999996</v>
      </c>
      <c r="Y2747">
        <v>-3.5904020000000002E-2</v>
      </c>
      <c r="Z2747">
        <v>-2.9400089999999999E-3</v>
      </c>
      <c r="AA2747">
        <v>0.99935090000000004</v>
      </c>
      <c r="AB2747">
        <v>58</v>
      </c>
      <c r="AC2747">
        <v>-17.076499999999999</v>
      </c>
      <c r="AD2747">
        <v>-1.102101708615</v>
      </c>
      <c r="AE2747">
        <v>-0.13800000000000501</v>
      </c>
      <c r="AF2747">
        <v>-0.632289576274216</v>
      </c>
      <c r="AG2747">
        <v>-1.102101708615</v>
      </c>
      <c r="AH2747">
        <v>16.994468005839501</v>
      </c>
      <c r="AI2747">
        <v>93.707912492832406</v>
      </c>
      <c r="AJ2747">
        <v>92.130741717460396</v>
      </c>
      <c r="AK2747">
        <v>17.0419001606599</v>
      </c>
      <c r="AL2747">
        <v>86.818726136355195</v>
      </c>
      <c r="AM2747">
        <v>89.6190002960426</v>
      </c>
      <c r="AN2747">
        <v>1.00000001997851</v>
      </c>
    </row>
    <row r="2748" spans="1:40" x14ac:dyDescent="0.3">
      <c r="A2748" t="str">
        <f>"20200111153931017"</f>
        <v>20200111153931017</v>
      </c>
      <c r="B2748" t="str">
        <f>"1578728371013112"</f>
        <v>1578728371013112</v>
      </c>
      <c r="C2748" t="s">
        <v>40</v>
      </c>
      <c r="D2748">
        <v>5.4797919999999998</v>
      </c>
      <c r="E2748">
        <v>0.48142659999999998</v>
      </c>
      <c r="F2748" t="s">
        <v>62</v>
      </c>
      <c r="G2748">
        <v>-313.11329999999998</v>
      </c>
      <c r="H2748" s="1">
        <v>-8.3938810000000008E-6</v>
      </c>
      <c r="I2748">
        <v>139.97720000000001</v>
      </c>
      <c r="J2748">
        <v>-295.80349999999999</v>
      </c>
      <c r="K2748">
        <v>1.1022299999999901</v>
      </c>
      <c r="L2748">
        <v>140.18209999999999</v>
      </c>
      <c r="M2748">
        <v>-0.99956029999999996</v>
      </c>
      <c r="N2748">
        <v>0</v>
      </c>
      <c r="O2748">
        <v>2.9024660000000001E-2</v>
      </c>
      <c r="P2748">
        <v>-0.99820189999999998</v>
      </c>
      <c r="Q2748">
        <v>5.0456290000000001E-2</v>
      </c>
      <c r="R2748">
        <v>3.2366699999999998E-2</v>
      </c>
      <c r="S2748">
        <v>-3.01593</v>
      </c>
      <c r="T2748">
        <v>-0.1859257</v>
      </c>
      <c r="U2748">
        <v>-3.1753539999999997E-2</v>
      </c>
      <c r="V2748">
        <v>3.4323370000000001E-3</v>
      </c>
      <c r="W2748">
        <v>5.6522570000000001E-2</v>
      </c>
      <c r="X2748">
        <v>0.99839540000000004</v>
      </c>
      <c r="Y2748">
        <v>-3.9417260000000003E-2</v>
      </c>
      <c r="Z2748">
        <v>-3.0012849999999998E-3</v>
      </c>
      <c r="AA2748">
        <v>0.9992183</v>
      </c>
      <c r="AB2748">
        <v>58</v>
      </c>
      <c r="AC2748">
        <v>-17.3097999999999</v>
      </c>
      <c r="AD2748">
        <v>-1.1022383938810001</v>
      </c>
      <c r="AE2748">
        <v>-0.20489999999997999</v>
      </c>
      <c r="AF2748">
        <v>-0.70437827314946</v>
      </c>
      <c r="AG2748">
        <v>-1.1022383938810001</v>
      </c>
      <c r="AH2748">
        <v>17.226719060911801</v>
      </c>
      <c r="AI2748">
        <v>93.657987553077007</v>
      </c>
      <c r="AJ2748">
        <v>92.341446061123193</v>
      </c>
      <c r="AK2748">
        <v>17.276311175485699</v>
      </c>
      <c r="AL2748">
        <v>86.759768341251402</v>
      </c>
      <c r="AM2748">
        <v>89.803026286765501</v>
      </c>
      <c r="AN2748">
        <v>0.99999997829892295</v>
      </c>
    </row>
    <row r="2749" spans="1:40" x14ac:dyDescent="0.3">
      <c r="A2749" t="str">
        <f>"20200111153931041"</f>
        <v>20200111153931041</v>
      </c>
      <c r="B2749" t="str">
        <f>"1578728371033993"</f>
        <v>1578728371033993</v>
      </c>
      <c r="C2749" t="s">
        <v>40</v>
      </c>
      <c r="D2749">
        <v>5.4900890000000002</v>
      </c>
      <c r="E2749">
        <v>0.48112280000000002</v>
      </c>
      <c r="F2749" t="s">
        <v>62</v>
      </c>
      <c r="G2749">
        <v>-313.65800000000002</v>
      </c>
      <c r="H2749" s="1">
        <v>-8.1828170000000005E-6</v>
      </c>
      <c r="I2749">
        <v>139.9545</v>
      </c>
      <c r="J2749">
        <v>-296.4194</v>
      </c>
      <c r="K2749">
        <v>1.1023559999999999</v>
      </c>
      <c r="L2749">
        <v>140.19999999999999</v>
      </c>
      <c r="M2749">
        <v>-0.99956290000000003</v>
      </c>
      <c r="N2749">
        <v>0</v>
      </c>
      <c r="O2749">
        <v>2.892805E-2</v>
      </c>
      <c r="P2749">
        <v>-0.99818119999999999</v>
      </c>
      <c r="Q2749">
        <v>5.2403489999999997E-2</v>
      </c>
      <c r="R2749">
        <v>2.9808060000000001E-2</v>
      </c>
      <c r="S2749">
        <v>-3.0160520000000002</v>
      </c>
      <c r="T2749">
        <v>-0.1861942</v>
      </c>
      <c r="U2749">
        <v>-3.8436890000000001E-2</v>
      </c>
      <c r="V2749">
        <v>9.5750320000000002E-4</v>
      </c>
      <c r="W2749">
        <v>5.848627E-2</v>
      </c>
      <c r="X2749">
        <v>0.9982877</v>
      </c>
      <c r="Y2749">
        <v>-4.1529860000000002E-2</v>
      </c>
      <c r="Z2749">
        <v>-3.0646530000000001E-3</v>
      </c>
      <c r="AA2749">
        <v>0.99913260000000004</v>
      </c>
      <c r="AB2749">
        <v>58</v>
      </c>
      <c r="AC2749">
        <v>-17.238600000000002</v>
      </c>
      <c r="AD2749">
        <v>-1.1023641828170001</v>
      </c>
      <c r="AE2749">
        <v>-0.245499999999992</v>
      </c>
      <c r="AF2749">
        <v>-0.74105584035170002</v>
      </c>
      <c r="AG2749">
        <v>-1.1023641828170001</v>
      </c>
      <c r="AH2749">
        <v>17.154149554798501</v>
      </c>
      <c r="AI2749">
        <v>93.673482857922906</v>
      </c>
      <c r="AJ2749">
        <v>92.473628235186695</v>
      </c>
      <c r="AK2749">
        <v>17.205499629434499</v>
      </c>
      <c r="AL2749">
        <v>86.647070003577795</v>
      </c>
      <c r="AM2749">
        <v>89.9450450251896</v>
      </c>
      <c r="AN2749">
        <v>0.99999994628108901</v>
      </c>
    </row>
    <row r="2750" spans="1:40" x14ac:dyDescent="0.3">
      <c r="A2750" t="str">
        <f>"20200111153931064"</f>
        <v>20200111153931064</v>
      </c>
      <c r="B2750" t="str">
        <f>"1578728371053512"</f>
        <v>1578728371053512</v>
      </c>
      <c r="C2750" t="s">
        <v>40</v>
      </c>
      <c r="D2750">
        <v>5.3861530000000002</v>
      </c>
      <c r="E2750">
        <v>0.4812553</v>
      </c>
      <c r="F2750" t="s">
        <v>62</v>
      </c>
      <c r="G2750">
        <v>-314.5034</v>
      </c>
      <c r="H2750" s="1">
        <v>-7.8530879999999999E-6</v>
      </c>
      <c r="I2750">
        <v>139.911</v>
      </c>
      <c r="J2750">
        <v>-297.01420000000002</v>
      </c>
      <c r="K2750">
        <v>1.102463</v>
      </c>
      <c r="L2750">
        <v>140.21729999999999</v>
      </c>
      <c r="M2750">
        <v>-0.99956590000000001</v>
      </c>
      <c r="N2750">
        <v>0</v>
      </c>
      <c r="O2750">
        <v>2.88232E-2</v>
      </c>
      <c r="P2750">
        <v>-0.99810010000000005</v>
      </c>
      <c r="Q2750">
        <v>5.4726839999999999E-2</v>
      </c>
      <c r="R2750">
        <v>2.830825E-2</v>
      </c>
      <c r="S2750">
        <v>-3.0165709999999999</v>
      </c>
      <c r="T2750">
        <v>-0.18388350000000001</v>
      </c>
      <c r="U2750">
        <v>-4.8202509999999997E-2</v>
      </c>
      <c r="V2750">
        <v>-4.4674679999999998E-4</v>
      </c>
      <c r="W2750">
        <v>6.0823849999999999E-2</v>
      </c>
      <c r="X2750">
        <v>0.99814840000000005</v>
      </c>
      <c r="Y2750">
        <v>-4.4654270000000003E-2</v>
      </c>
      <c r="Z2750">
        <v>-3.1148740000000001E-3</v>
      </c>
      <c r="AA2750">
        <v>0.99899760000000004</v>
      </c>
      <c r="AB2750">
        <v>58</v>
      </c>
      <c r="AC2750">
        <v>-17.489199999999901</v>
      </c>
      <c r="AD2750">
        <v>-1.1024708530880001</v>
      </c>
      <c r="AE2750">
        <v>-0.30629999999999302</v>
      </c>
      <c r="AF2750">
        <v>-0.80707076166793901</v>
      </c>
      <c r="AG2750">
        <v>-1.1024708530880001</v>
      </c>
      <c r="AH2750">
        <v>17.403967873667501</v>
      </c>
      <c r="AI2750">
        <v>93.620731885299094</v>
      </c>
      <c r="AJ2750">
        <v>92.655063764612805</v>
      </c>
      <c r="AK2750">
        <v>17.4575170898928</v>
      </c>
      <c r="AL2750">
        <v>86.512897675819104</v>
      </c>
      <c r="AM2750">
        <v>90.025644187218802</v>
      </c>
      <c r="AN2750">
        <v>0.99999998436704196</v>
      </c>
    </row>
    <row r="2751" spans="1:40" x14ac:dyDescent="0.3">
      <c r="A2751" t="str">
        <f>"20200111153931085"</f>
        <v>20200111153931085</v>
      </c>
      <c r="B2751" t="str">
        <f>"1578728371074009"</f>
        <v>1578728371074009</v>
      </c>
      <c r="C2751" t="s">
        <v>40</v>
      </c>
      <c r="D2751">
        <v>5.5508179999999996</v>
      </c>
      <c r="E2751">
        <v>0.4815374</v>
      </c>
      <c r="F2751" t="s">
        <v>62</v>
      </c>
      <c r="G2751">
        <v>-315.5659</v>
      </c>
      <c r="H2751" s="1">
        <v>-7.4092010000000004E-6</v>
      </c>
      <c r="I2751">
        <v>139.8991</v>
      </c>
      <c r="J2751">
        <v>-297.5702</v>
      </c>
      <c r="K2751">
        <v>1.1025450000000001</v>
      </c>
      <c r="L2751">
        <v>140.23330000000001</v>
      </c>
      <c r="M2751">
        <v>-0.99956889999999998</v>
      </c>
      <c r="N2751">
        <v>0</v>
      </c>
      <c r="O2751">
        <v>2.871551E-2</v>
      </c>
      <c r="P2751">
        <v>-0.99801550000000006</v>
      </c>
      <c r="Q2751">
        <v>5.703768E-2</v>
      </c>
      <c r="R2751">
        <v>2.6682919999999999E-2</v>
      </c>
      <c r="S2751">
        <v>-3.0169980000000001</v>
      </c>
      <c r="T2751">
        <v>-0.1792908</v>
      </c>
      <c r="U2751">
        <v>-5.1742549999999998E-2</v>
      </c>
      <c r="V2751">
        <v>-1.9709419999999998E-3</v>
      </c>
      <c r="W2751">
        <v>6.3147309999999998E-2</v>
      </c>
      <c r="X2751">
        <v>0.99800230000000001</v>
      </c>
      <c r="Y2751">
        <v>-4.5721289999999998E-2</v>
      </c>
      <c r="Z2751">
        <v>-3.0620449999999998E-3</v>
      </c>
      <c r="AA2751">
        <v>0.99894950000000005</v>
      </c>
      <c r="AB2751">
        <v>58</v>
      </c>
      <c r="AC2751">
        <v>-17.995699999999999</v>
      </c>
      <c r="AD2751">
        <v>-1.1025524092009999</v>
      </c>
      <c r="AE2751">
        <v>-0.33420000000000899</v>
      </c>
      <c r="AF2751">
        <v>-0.84764682918810696</v>
      </c>
      <c r="AG2751">
        <v>-1.1025524092009999</v>
      </c>
      <c r="AH2751">
        <v>17.911470508311599</v>
      </c>
      <c r="AI2751">
        <v>93.518507238768194</v>
      </c>
      <c r="AJ2751">
        <v>92.709458060938999</v>
      </c>
      <c r="AK2751">
        <v>17.965380673177599</v>
      </c>
      <c r="AL2751">
        <v>86.379516867990105</v>
      </c>
      <c r="AM2751">
        <v>90.113152556315697</v>
      </c>
      <c r="AN2751">
        <v>1.0000000290889399</v>
      </c>
    </row>
    <row r="2752" spans="1:40" x14ac:dyDescent="0.3">
      <c r="A2752" t="str">
        <f>"20200111153931107"</f>
        <v>20200111153931107</v>
      </c>
      <c r="B2752" t="str">
        <f>"1578728371103288"</f>
        <v>1578728371103288</v>
      </c>
      <c r="C2752" t="s">
        <v>40</v>
      </c>
      <c r="D2752">
        <v>5.560333</v>
      </c>
      <c r="E2752">
        <v>0.48229610000000001</v>
      </c>
      <c r="F2752" t="s">
        <v>62</v>
      </c>
      <c r="G2752">
        <v>-316.46249999999998</v>
      </c>
      <c r="H2752" s="1">
        <v>-7.0099969999999999E-6</v>
      </c>
      <c r="I2752">
        <v>139.893</v>
      </c>
      <c r="J2752">
        <v>-298.1361</v>
      </c>
      <c r="K2752">
        <v>1.102606</v>
      </c>
      <c r="L2752">
        <v>140.24959999999999</v>
      </c>
      <c r="M2752">
        <v>-0.99957220000000002</v>
      </c>
      <c r="N2752">
        <v>0</v>
      </c>
      <c r="O2752">
        <v>2.8597089999999999E-2</v>
      </c>
      <c r="P2752">
        <v>-0.99792550000000002</v>
      </c>
      <c r="Q2752">
        <v>5.9024189999999997E-2</v>
      </c>
      <c r="R2752">
        <v>2.5708640000000001E-2</v>
      </c>
      <c r="S2752">
        <v>-3.017487</v>
      </c>
      <c r="T2752">
        <v>-0.176099799999999</v>
      </c>
      <c r="U2752">
        <v>-5.435181E-2</v>
      </c>
      <c r="V2752">
        <v>-2.832879E-3</v>
      </c>
      <c r="W2752">
        <v>6.514636E-2</v>
      </c>
      <c r="X2752">
        <v>0.99787170000000003</v>
      </c>
      <c r="Y2752">
        <v>-4.6467290000000001E-2</v>
      </c>
      <c r="Z2752">
        <v>-3.021981E-3</v>
      </c>
      <c r="AA2752">
        <v>0.99891529999999995</v>
      </c>
      <c r="AB2752">
        <v>58</v>
      </c>
      <c r="AC2752">
        <v>-18.3263999999999</v>
      </c>
      <c r="AD2752">
        <v>-1.102613009997</v>
      </c>
      <c r="AE2752">
        <v>-0.35659999999998598</v>
      </c>
      <c r="AF2752">
        <v>-0.87737096248034496</v>
      </c>
      <c r="AG2752">
        <v>-1.102613009997</v>
      </c>
      <c r="AH2752">
        <v>18.242695634910501</v>
      </c>
      <c r="AI2752">
        <v>93.454842389711203</v>
      </c>
      <c r="AJ2752">
        <v>92.753482756902898</v>
      </c>
      <c r="AK2752">
        <v>18.297034712859901</v>
      </c>
      <c r="AL2752">
        <v>86.264743241468594</v>
      </c>
      <c r="AM2752">
        <v>90.162657759032101</v>
      </c>
      <c r="AN2752">
        <v>1.0000000015427799</v>
      </c>
    </row>
    <row r="2753" spans="1:40" x14ac:dyDescent="0.3">
      <c r="A2753" t="str">
        <f>"20200111153931132"</f>
        <v>20200111153931132</v>
      </c>
      <c r="B2753" t="str">
        <f>"1578728371123316"</f>
        <v>1578728371123316</v>
      </c>
      <c r="C2753" t="s">
        <v>40</v>
      </c>
      <c r="D2753">
        <v>5.5791060000000003</v>
      </c>
      <c r="E2753">
        <v>0.48271760000000002</v>
      </c>
      <c r="F2753" t="s">
        <v>62</v>
      </c>
      <c r="G2753">
        <v>-317.38409999999999</v>
      </c>
      <c r="H2753" s="1">
        <v>-6.60950799999999E-6</v>
      </c>
      <c r="I2753">
        <v>139.92410000000001</v>
      </c>
      <c r="J2753">
        <v>-298.76369999999997</v>
      </c>
      <c r="K2753">
        <v>1.1026590000000001</v>
      </c>
      <c r="L2753">
        <v>140.26750000000001</v>
      </c>
      <c r="M2753">
        <v>-0.99957620000000003</v>
      </c>
      <c r="N2753">
        <v>0</v>
      </c>
      <c r="O2753">
        <v>2.84564E-2</v>
      </c>
      <c r="P2753">
        <v>-0.997807</v>
      </c>
      <c r="Q2753">
        <v>6.1003809999999999E-2</v>
      </c>
      <c r="R2753">
        <v>2.56942E-2</v>
      </c>
      <c r="S2753">
        <v>-3.0177610000000001</v>
      </c>
      <c r="T2753">
        <v>-0.17287079999999999</v>
      </c>
      <c r="U2753">
        <v>-5.1025389999999997E-2</v>
      </c>
      <c r="V2753">
        <v>-2.711186E-3</v>
      </c>
      <c r="W2753">
        <v>6.7139939999999995E-2</v>
      </c>
      <c r="X2753">
        <v>0.99773990000000001</v>
      </c>
      <c r="Y2753">
        <v>-4.5231189999999998E-2</v>
      </c>
      <c r="Z2753">
        <v>-2.922989E-3</v>
      </c>
      <c r="AA2753">
        <v>0.99897230000000004</v>
      </c>
      <c r="AB2753">
        <v>58</v>
      </c>
      <c r="AC2753">
        <v>-18.6204</v>
      </c>
      <c r="AD2753">
        <v>-1.1026656095080001</v>
      </c>
      <c r="AE2753">
        <v>-0.34340000000000198</v>
      </c>
      <c r="AF2753">
        <v>-0.87009027061051303</v>
      </c>
      <c r="AG2753">
        <v>-1.1026656095080001</v>
      </c>
      <c r="AH2753">
        <v>18.538099883908298</v>
      </c>
      <c r="AI2753">
        <v>93.400267948534207</v>
      </c>
      <c r="AJ2753">
        <v>92.687219399212594</v>
      </c>
      <c r="AK2753">
        <v>18.591236533140101</v>
      </c>
      <c r="AL2753">
        <v>86.150268871914903</v>
      </c>
      <c r="AM2753">
        <v>90.155691010193195</v>
      </c>
      <c r="AN2753">
        <v>1.00000001506237</v>
      </c>
    </row>
    <row r="2754" spans="1:40" x14ac:dyDescent="0.3">
      <c r="A2754" t="str">
        <f>"20200111153931153"</f>
        <v>20200111153931153</v>
      </c>
      <c r="B2754" t="str">
        <f>"1578728371143812"</f>
        <v>1578728371143812</v>
      </c>
      <c r="C2754" t="s">
        <v>40</v>
      </c>
      <c r="D2754">
        <v>5.7689879999999896</v>
      </c>
      <c r="E2754">
        <v>0.48271760000000002</v>
      </c>
      <c r="F2754" t="s">
        <v>62</v>
      </c>
      <c r="G2754">
        <v>-318.55399999999997</v>
      </c>
      <c r="H2754" s="1">
        <v>-6.0983999999999999E-6</v>
      </c>
      <c r="I2754">
        <v>139.95320000000001</v>
      </c>
      <c r="J2754">
        <v>-299.36500000000001</v>
      </c>
      <c r="K2754">
        <v>1.1027089999999999</v>
      </c>
      <c r="L2754">
        <v>140.28460000000001</v>
      </c>
      <c r="M2754">
        <v>-0.99958009999999997</v>
      </c>
      <c r="N2754">
        <v>0</v>
      </c>
      <c r="O2754">
        <v>2.8314300000000001E-2</v>
      </c>
      <c r="P2754">
        <v>-0.99768299999999999</v>
      </c>
      <c r="Q2754">
        <v>6.2914670000000006E-2</v>
      </c>
      <c r="R2754">
        <v>2.58964E-2</v>
      </c>
      <c r="S2754">
        <v>-3.0180660000000001</v>
      </c>
      <c r="T2754">
        <v>-0.168159</v>
      </c>
      <c r="U2754">
        <v>-4.7927860000000003E-2</v>
      </c>
      <c r="V2754">
        <v>-2.371181E-3</v>
      </c>
      <c r="W2754">
        <v>6.9064730000000005E-2</v>
      </c>
      <c r="X2754">
        <v>0.99760939999999998</v>
      </c>
      <c r="Y2754">
        <v>-4.4070970000000001E-2</v>
      </c>
      <c r="Z2754">
        <v>-2.8029719999999999E-3</v>
      </c>
      <c r="AA2754">
        <v>0.99902449999999998</v>
      </c>
      <c r="AB2754">
        <v>59</v>
      </c>
      <c r="AC2754">
        <v>-19.189</v>
      </c>
      <c r="AD2754">
        <v>-1.1027150984</v>
      </c>
      <c r="AE2754">
        <v>-0.33140000000000203</v>
      </c>
      <c r="AF2754">
        <v>-0.87172266481922001</v>
      </c>
      <c r="AG2754">
        <v>-1.1027150984</v>
      </c>
      <c r="AH2754">
        <v>19.108837634511101</v>
      </c>
      <c r="AI2754">
        <v>93.299285230024594</v>
      </c>
      <c r="AJ2754">
        <v>92.6119550846511</v>
      </c>
      <c r="AK2754">
        <v>19.160468593818599</v>
      </c>
      <c r="AL2754">
        <v>86.039729966743295</v>
      </c>
      <c r="AM2754">
        <v>90.136183969315994</v>
      </c>
      <c r="AN2754">
        <v>1.00000003719883</v>
      </c>
    </row>
    <row r="2755" spans="1:40" x14ac:dyDescent="0.3">
      <c r="A2755" t="str">
        <f>"20200111153931176"</f>
        <v>20200111153931176</v>
      </c>
      <c r="B2755" t="str">
        <f>"1578728371174068"</f>
        <v>1578728371174068</v>
      </c>
      <c r="C2755" t="s">
        <v>40</v>
      </c>
      <c r="D2755">
        <v>5.5865499999999999</v>
      </c>
      <c r="E2755">
        <v>0.48530410000000002</v>
      </c>
      <c r="F2755" t="s">
        <v>62</v>
      </c>
      <c r="G2755">
        <v>-319.86110000000002</v>
      </c>
      <c r="H2755" s="1">
        <v>-5.5213139999999999E-6</v>
      </c>
      <c r="I2755">
        <v>139.96289999999999</v>
      </c>
      <c r="J2755">
        <v>-299.94400000000002</v>
      </c>
      <c r="K2755">
        <v>1.1027439999999999</v>
      </c>
      <c r="L2755">
        <v>140.30099999999999</v>
      </c>
      <c r="M2755">
        <v>-0.99958400000000003</v>
      </c>
      <c r="N2755">
        <v>0</v>
      </c>
      <c r="O2755">
        <v>2.817161E-2</v>
      </c>
      <c r="P2755">
        <v>-0.99750729999999999</v>
      </c>
      <c r="Q2755">
        <v>6.5480250000000004E-2</v>
      </c>
      <c r="R2755">
        <v>2.6295949999999998E-2</v>
      </c>
      <c r="S2755">
        <v>-3.0184329999999999</v>
      </c>
      <c r="T2755">
        <v>-0.16239500000000001</v>
      </c>
      <c r="U2755">
        <v>-4.7378539999999997E-2</v>
      </c>
      <c r="V2755">
        <v>-1.8309299999999999E-3</v>
      </c>
      <c r="W2755">
        <v>7.164326E-2</v>
      </c>
      <c r="X2755">
        <v>0.99742869999999995</v>
      </c>
      <c r="Y2755">
        <v>-4.3752930000000002E-2</v>
      </c>
      <c r="Z2755">
        <v>-2.690493E-3</v>
      </c>
      <c r="AA2755">
        <v>0.9990388</v>
      </c>
      <c r="AB2755">
        <v>59</v>
      </c>
      <c r="AC2755">
        <v>-19.917100000000001</v>
      </c>
      <c r="AD2755">
        <v>-1.1027495213139999</v>
      </c>
      <c r="AE2755">
        <v>-0.33810000000002499</v>
      </c>
      <c r="AF2755">
        <v>-0.89632639225963495</v>
      </c>
      <c r="AG2755">
        <v>-1.1027495213139999</v>
      </c>
      <c r="AH2755">
        <v>19.838871055151301</v>
      </c>
      <c r="AI2755">
        <v>93.178293328307802</v>
      </c>
      <c r="AJ2755">
        <v>92.586882008839595</v>
      </c>
      <c r="AK2755">
        <v>19.889702417360098</v>
      </c>
      <c r="AL2755">
        <v>85.891624145750995</v>
      </c>
      <c r="AM2755">
        <v>90.105174879923695</v>
      </c>
      <c r="AN2755">
        <v>1.0000000602958801</v>
      </c>
    </row>
    <row r="2756" spans="1:40" x14ac:dyDescent="0.3">
      <c r="A2756" t="str">
        <f>"20200111153931197"</f>
        <v>20200111153931197</v>
      </c>
      <c r="B2756" t="str">
        <f>"1578728371193588"</f>
        <v>1578728371193588</v>
      </c>
      <c r="C2756" t="s">
        <v>40</v>
      </c>
      <c r="D2756">
        <v>5.5378049999999996</v>
      </c>
      <c r="E2756">
        <v>0.4878615</v>
      </c>
      <c r="F2756" t="s">
        <v>62</v>
      </c>
      <c r="G2756">
        <v>-318.50889999999998</v>
      </c>
      <c r="H2756" s="1">
        <v>-6.1701929999999998E-6</v>
      </c>
      <c r="I2756">
        <v>140.14940000000001</v>
      </c>
      <c r="J2756">
        <v>-300.51220000000001</v>
      </c>
      <c r="K2756">
        <v>1.102768</v>
      </c>
      <c r="L2756">
        <v>140.31700000000001</v>
      </c>
      <c r="M2756">
        <v>-0.99958809999999998</v>
      </c>
      <c r="N2756">
        <v>0</v>
      </c>
      <c r="O2756">
        <v>2.8026760000000001E-2</v>
      </c>
      <c r="P2756">
        <v>-0.99738570000000004</v>
      </c>
      <c r="Q2756">
        <v>6.7283010000000004E-2</v>
      </c>
      <c r="R2756">
        <v>2.636382E-2</v>
      </c>
      <c r="S2756">
        <v>-3.0199280000000002</v>
      </c>
      <c r="T2756">
        <v>-0.1793824</v>
      </c>
      <c r="U2756">
        <v>-2.4658200000000002E-2</v>
      </c>
      <c r="V2756">
        <v>-1.6195440000000001E-3</v>
      </c>
      <c r="W2756">
        <v>7.345902E-2</v>
      </c>
      <c r="X2756">
        <v>0.99729690000000004</v>
      </c>
      <c r="Y2756">
        <v>-3.6075070000000001E-2</v>
      </c>
      <c r="Z2756">
        <v>-2.7336610000000001E-3</v>
      </c>
      <c r="AA2756">
        <v>0.99934540000000005</v>
      </c>
      <c r="AB2756">
        <v>59</v>
      </c>
      <c r="AC2756">
        <v>-17.996699999999901</v>
      </c>
      <c r="AD2756">
        <v>-1.1027741701930001</v>
      </c>
      <c r="AE2756">
        <v>-0.167599999999993</v>
      </c>
      <c r="AF2756">
        <v>-0.669419645710985</v>
      </c>
      <c r="AG2756">
        <v>-1.1027741701930001</v>
      </c>
      <c r="AH2756">
        <v>17.917661275627001</v>
      </c>
      <c r="AI2756">
        <v>93.5194783257609</v>
      </c>
      <c r="AJ2756">
        <v>92.139625760458998</v>
      </c>
      <c r="AK2756">
        <v>17.964042393643201</v>
      </c>
      <c r="AL2756">
        <v>85.787313518713304</v>
      </c>
      <c r="AM2756">
        <v>90.0930444628533</v>
      </c>
      <c r="AN2756">
        <v>0.99999997864586898</v>
      </c>
    </row>
    <row r="2757" spans="1:40" x14ac:dyDescent="0.3">
      <c r="A2757" t="str">
        <f>"20200111153931220"</f>
        <v>20200111153931220</v>
      </c>
      <c r="B2757" t="str">
        <f>"1578728371213107"</f>
        <v>1578728371213107</v>
      </c>
      <c r="C2757" t="s">
        <v>40</v>
      </c>
      <c r="D2757">
        <v>5.5784710000000004</v>
      </c>
      <c r="E2757">
        <v>0.48877949999999998</v>
      </c>
      <c r="F2757" t="s">
        <v>42</v>
      </c>
      <c r="G2757">
        <v>-322.12400000000002</v>
      </c>
      <c r="H2757" s="1">
        <v>-3.53845E-6</v>
      </c>
      <c r="I2757">
        <v>140.28290000000001</v>
      </c>
      <c r="J2757">
        <v>-301.10480000000001</v>
      </c>
      <c r="K2757">
        <v>1.1027849999999999</v>
      </c>
      <c r="L2757">
        <v>140.33359999999999</v>
      </c>
      <c r="M2757">
        <v>-0.99959219999999904</v>
      </c>
      <c r="N2757">
        <v>0</v>
      </c>
      <c r="O2757">
        <v>2.787442E-2</v>
      </c>
      <c r="P2757">
        <v>-0.99735759999999996</v>
      </c>
      <c r="Q2757">
        <v>6.7849199999999998E-2</v>
      </c>
      <c r="R2757">
        <v>2.597176E-2</v>
      </c>
      <c r="S2757">
        <v>-3.0183719999999998</v>
      </c>
      <c r="T2757">
        <v>-0.1540174</v>
      </c>
      <c r="U2757">
        <v>-4.7607420000000001E-3</v>
      </c>
      <c r="V2757">
        <v>-1.862945E-3</v>
      </c>
      <c r="W2757">
        <v>7.4039659999999993E-2</v>
      </c>
      <c r="X2757">
        <v>0.99725350000000001</v>
      </c>
      <c r="Y2757">
        <v>-2.9377090000000002E-2</v>
      </c>
      <c r="Z2757">
        <v>-2.1703299999999998E-3</v>
      </c>
      <c r="AA2757">
        <v>0.99956599999999995</v>
      </c>
      <c r="AB2757">
        <v>59</v>
      </c>
      <c r="AC2757">
        <v>-21.019200000000001</v>
      </c>
      <c r="AD2757">
        <v>-1.10278853845</v>
      </c>
      <c r="AE2757">
        <v>-5.06999999999777E-2</v>
      </c>
      <c r="AF2757">
        <v>-0.634842079663821</v>
      </c>
      <c r="AG2757">
        <v>-1.10278853845</v>
      </c>
      <c r="AH2757">
        <v>20.951945867205801</v>
      </c>
      <c r="AI2757">
        <v>93.011556684844507</v>
      </c>
      <c r="AJ2757">
        <v>91.7355259879333</v>
      </c>
      <c r="AK2757">
        <v>20.990550317916199</v>
      </c>
      <c r="AL2757">
        <v>85.753954299425402</v>
      </c>
      <c r="AM2757">
        <v>90.107032727187999</v>
      </c>
      <c r="AN2757">
        <v>0.99999994253961699</v>
      </c>
    </row>
    <row r="2758" spans="1:40" x14ac:dyDescent="0.3">
      <c r="A2758" t="str">
        <f>"20200111153931242"</f>
        <v>20200111153931242</v>
      </c>
      <c r="B2758" t="str">
        <f>"1578728371234112"</f>
        <v>1578728371234112</v>
      </c>
      <c r="C2758" t="s">
        <v>40</v>
      </c>
      <c r="D2758">
        <v>5.791226</v>
      </c>
      <c r="E2758">
        <v>0.48916209999999999</v>
      </c>
      <c r="F2758" t="s">
        <v>42</v>
      </c>
      <c r="G2758">
        <v>-323.99990000000003</v>
      </c>
      <c r="H2758" s="1">
        <v>-2.7503749999999999E-6</v>
      </c>
      <c r="I2758">
        <v>140.34559999999999</v>
      </c>
      <c r="J2758">
        <v>-301.71249999999998</v>
      </c>
      <c r="K2758">
        <v>1.1027849999999999</v>
      </c>
      <c r="L2758">
        <v>140.35059999999999</v>
      </c>
      <c r="M2758">
        <v>-0.99959600000000004</v>
      </c>
      <c r="N2758">
        <v>0</v>
      </c>
      <c r="O2758">
        <v>2.7731990000000002E-2</v>
      </c>
      <c r="P2758">
        <v>-0.9974075</v>
      </c>
      <c r="Q2758">
        <v>6.7258410000000005E-2</v>
      </c>
      <c r="R2758">
        <v>2.5583310000000001E-2</v>
      </c>
      <c r="S2758">
        <v>-3.0178219999999998</v>
      </c>
      <c r="T2758">
        <v>-0.14535960000000001</v>
      </c>
      <c r="U2758">
        <v>1.586914E-3</v>
      </c>
      <c r="V2758">
        <v>-2.1126869999999998E-3</v>
      </c>
      <c r="W2758">
        <v>7.3464260000000003E-2</v>
      </c>
      <c r="X2758">
        <v>0.99729559999999995</v>
      </c>
      <c r="Y2758">
        <v>-2.7143270000000001E-2</v>
      </c>
      <c r="Z2758">
        <v>-1.988217E-3</v>
      </c>
      <c r="AA2758">
        <v>0.99962960000000001</v>
      </c>
      <c r="AB2758">
        <v>59</v>
      </c>
      <c r="AC2758">
        <v>-22.287400000000002</v>
      </c>
      <c r="AD2758">
        <v>-1.1027877503749901</v>
      </c>
      <c r="AE2758">
        <v>-4.9999999999954499E-3</v>
      </c>
      <c r="AF2758">
        <v>-0.62156224139440497</v>
      </c>
      <c r="AG2758">
        <v>-1.1027877503749901</v>
      </c>
      <c r="AH2758">
        <v>22.2242773980641</v>
      </c>
      <c r="AI2758">
        <v>92.839627317029596</v>
      </c>
      <c r="AJ2758">
        <v>91.602014385820496</v>
      </c>
      <c r="AK2758">
        <v>22.260300678751101</v>
      </c>
      <c r="AL2758">
        <v>85.787012512201599</v>
      </c>
      <c r="AM2758">
        <v>90.121376117028305</v>
      </c>
      <c r="AN2758">
        <v>0.99999998736153295</v>
      </c>
    </row>
    <row r="2759" spans="1:40" x14ac:dyDescent="0.3">
      <c r="A2759" t="str">
        <f>"20200111153931264"</f>
        <v>20200111153931264</v>
      </c>
      <c r="B2759" t="str">
        <f>"1578728371253634"</f>
        <v>1578728371253634</v>
      </c>
      <c r="C2759" t="s">
        <v>40</v>
      </c>
      <c r="D2759">
        <v>5.536149</v>
      </c>
      <c r="E2759">
        <v>0.48902610000000002</v>
      </c>
      <c r="F2759" t="s">
        <v>42</v>
      </c>
      <c r="G2759">
        <v>-324.10590000000002</v>
      </c>
      <c r="H2759" s="1">
        <v>-2.7136199999999999E-6</v>
      </c>
      <c r="I2759">
        <v>140.3784</v>
      </c>
      <c r="J2759">
        <v>-302.28789999999998</v>
      </c>
      <c r="K2759">
        <v>1.102778</v>
      </c>
      <c r="L2759">
        <v>140.36660000000001</v>
      </c>
      <c r="M2759">
        <v>-0.99959900000000002</v>
      </c>
      <c r="N2759">
        <v>0</v>
      </c>
      <c r="O2759">
        <v>2.7622569999999999E-2</v>
      </c>
      <c r="P2759">
        <v>-0.99748919999999996</v>
      </c>
      <c r="Q2759">
        <v>6.6537070000000004E-2</v>
      </c>
      <c r="R2759">
        <v>2.4257999999999998E-2</v>
      </c>
      <c r="S2759">
        <v>-3.0177309999999999</v>
      </c>
      <c r="T2759">
        <v>-0.1486121</v>
      </c>
      <c r="U2759">
        <v>3.7536620000000001E-3</v>
      </c>
      <c r="V2759">
        <v>-3.3302599999999998E-3</v>
      </c>
      <c r="W2759">
        <v>7.2757100000000005E-2</v>
      </c>
      <c r="X2759">
        <v>0.99734409999999896</v>
      </c>
      <c r="Y2759">
        <v>-2.631433E-2</v>
      </c>
      <c r="Z2759">
        <v>-2.006926E-3</v>
      </c>
      <c r="AA2759">
        <v>0.99965170000000003</v>
      </c>
      <c r="AB2759">
        <v>59</v>
      </c>
      <c r="AC2759">
        <v>-21.818000000000001</v>
      </c>
      <c r="AD2759">
        <v>-1.1027807136200001</v>
      </c>
      <c r="AE2759">
        <v>1.17999999999938E-2</v>
      </c>
      <c r="AF2759">
        <v>-0.58937971950437396</v>
      </c>
      <c r="AG2759">
        <v>-1.1027807136200001</v>
      </c>
      <c r="AH2759">
        <v>21.754423302395502</v>
      </c>
      <c r="AI2759">
        <v>92.900905459817693</v>
      </c>
      <c r="AJ2759">
        <v>91.551901031807404</v>
      </c>
      <c r="AK2759">
        <v>21.790328748688101</v>
      </c>
      <c r="AL2759">
        <v>85.827638446495996</v>
      </c>
      <c r="AM2759">
        <v>90.191317253015697</v>
      </c>
      <c r="AN2759">
        <v>0.99999997001844299</v>
      </c>
    </row>
    <row r="2760" spans="1:40" x14ac:dyDescent="0.3">
      <c r="A2760" t="str">
        <f>"20200111153931285"</f>
        <v>20200111153931285</v>
      </c>
      <c r="B2760" t="str">
        <f>"1578728371273152"</f>
        <v>1578728371273152</v>
      </c>
      <c r="C2760" t="s">
        <v>40</v>
      </c>
      <c r="D2760">
        <v>5.397894</v>
      </c>
      <c r="E2760">
        <v>0.48890840000000002</v>
      </c>
      <c r="F2760" t="s">
        <v>42</v>
      </c>
      <c r="G2760">
        <v>-324.6345</v>
      </c>
      <c r="H2760" s="1">
        <v>-2.4813709999999999E-6</v>
      </c>
      <c r="I2760">
        <v>140.3578</v>
      </c>
      <c r="J2760">
        <v>-302.86070000000001</v>
      </c>
      <c r="K2760">
        <v>1.1027659999999999</v>
      </c>
      <c r="L2760">
        <v>140.38239999999999</v>
      </c>
      <c r="M2760">
        <v>-0.99960119999999997</v>
      </c>
      <c r="N2760">
        <v>0</v>
      </c>
      <c r="O2760">
        <v>2.7538779999999999E-2</v>
      </c>
      <c r="P2760">
        <v>-0.99751610000000002</v>
      </c>
      <c r="Q2760">
        <v>6.6620949999999998E-2</v>
      </c>
      <c r="R2760">
        <v>2.2874760000000001E-2</v>
      </c>
      <c r="S2760">
        <v>-3.0175169999999998</v>
      </c>
      <c r="T2760">
        <v>-0.14891179999999901</v>
      </c>
      <c r="U2760">
        <v>-1.1749270000000001E-3</v>
      </c>
      <c r="V2760">
        <v>-4.6285329999999998E-3</v>
      </c>
      <c r="W2760">
        <v>7.2855069999999994E-2</v>
      </c>
      <c r="X2760">
        <v>0.99733179999999999</v>
      </c>
      <c r="Y2760">
        <v>-2.7861130000000001E-2</v>
      </c>
      <c r="Z2760">
        <v>-2.0451309999999999E-3</v>
      </c>
      <c r="AA2760">
        <v>0.99960970000000005</v>
      </c>
      <c r="AB2760">
        <v>59</v>
      </c>
      <c r="AC2760">
        <v>-21.773799999999898</v>
      </c>
      <c r="AD2760">
        <v>-1.1027684813709999</v>
      </c>
      <c r="AE2760">
        <v>-2.4599999999992399E-2</v>
      </c>
      <c r="AF2760">
        <v>-0.62262917856594402</v>
      </c>
      <c r="AG2760">
        <v>-1.1027684813709999</v>
      </c>
      <c r="AH2760">
        <v>21.7091785680004</v>
      </c>
      <c r="AI2760">
        <v>92.906780364720504</v>
      </c>
      <c r="AJ2760">
        <v>91.6428188382082</v>
      </c>
      <c r="AK2760">
        <v>21.746084693912898</v>
      </c>
      <c r="AL2760">
        <v>85.822010375709098</v>
      </c>
      <c r="AM2760">
        <v>90.265902984670205</v>
      </c>
      <c r="AN2760">
        <v>1.00000000191683</v>
      </c>
    </row>
    <row r="2761" spans="1:40" x14ac:dyDescent="0.3">
      <c r="A2761" t="str">
        <f>"20200111153931308"</f>
        <v>20200111153931308</v>
      </c>
      <c r="B2761" t="str">
        <f>"1578728371303407"</f>
        <v>1578728371303407</v>
      </c>
      <c r="C2761" t="s">
        <v>40</v>
      </c>
      <c r="D2761">
        <v>5.5737199999999998</v>
      </c>
      <c r="E2761">
        <v>0.48912090000000003</v>
      </c>
      <c r="F2761" t="s">
        <v>42</v>
      </c>
      <c r="G2761">
        <v>-325.2056</v>
      </c>
      <c r="H2761" s="1">
        <v>-2.2305340000000002E-6</v>
      </c>
      <c r="I2761">
        <v>140.33590000000001</v>
      </c>
      <c r="J2761">
        <v>-303.45119999999997</v>
      </c>
      <c r="K2761">
        <v>1.102762</v>
      </c>
      <c r="L2761">
        <v>140.39869999999999</v>
      </c>
      <c r="M2761">
        <v>-0.99960280000000001</v>
      </c>
      <c r="N2761">
        <v>0</v>
      </c>
      <c r="O2761">
        <v>2.7477669999999999E-2</v>
      </c>
      <c r="P2761">
        <v>-0.99745249999999996</v>
      </c>
      <c r="Q2761">
        <v>6.8043309999999996E-2</v>
      </c>
      <c r="R2761">
        <v>2.1415090000000001E-2</v>
      </c>
      <c r="S2761">
        <v>-3.0175480000000001</v>
      </c>
      <c r="T2761">
        <v>-0.1489222</v>
      </c>
      <c r="U2761">
        <v>-6.2713619999999999E-3</v>
      </c>
      <c r="V2761">
        <v>-6.0231950000000003E-3</v>
      </c>
      <c r="W2761">
        <v>7.4291209999999996E-2</v>
      </c>
      <c r="X2761">
        <v>0.99721839999999995</v>
      </c>
      <c r="Y2761">
        <v>-2.948634E-2</v>
      </c>
      <c r="Z2761">
        <v>-2.082324E-3</v>
      </c>
      <c r="AA2761">
        <v>0.99956299999999998</v>
      </c>
      <c r="AB2761">
        <v>60</v>
      </c>
      <c r="AC2761">
        <v>-21.7544</v>
      </c>
      <c r="AD2761">
        <v>-1.102764230534</v>
      </c>
      <c r="AE2761">
        <v>-6.2799999999981496E-2</v>
      </c>
      <c r="AF2761">
        <v>-0.65885523140814695</v>
      </c>
      <c r="AG2761">
        <v>-1.102764230534</v>
      </c>
      <c r="AH2761">
        <v>21.688728356013399</v>
      </c>
      <c r="AI2761">
        <v>92.909359808958698</v>
      </c>
      <c r="AJ2761">
        <v>91.739982998445697</v>
      </c>
      <c r="AK2761">
        <v>21.726737372763498</v>
      </c>
      <c r="AL2761">
        <v>85.739501987566896</v>
      </c>
      <c r="AM2761">
        <v>90.346062062370095</v>
      </c>
      <c r="AN2761">
        <v>1.0000000000299101</v>
      </c>
    </row>
    <row r="2762" spans="1:40" x14ac:dyDescent="0.3">
      <c r="A2762" t="str">
        <f>"20200111153931331"</f>
        <v>20200111153931331</v>
      </c>
      <c r="B2762" t="str">
        <f>"1578728371323904"</f>
        <v>1578728371323904</v>
      </c>
      <c r="C2762" t="s">
        <v>40</v>
      </c>
      <c r="D2762">
        <v>5.839448</v>
      </c>
      <c r="E2762">
        <v>0.48901339999999999</v>
      </c>
      <c r="F2762" t="s">
        <v>42</v>
      </c>
      <c r="G2762">
        <v>-326.64490000000001</v>
      </c>
      <c r="H2762" s="1">
        <v>-1.611155E-6</v>
      </c>
      <c r="I2762">
        <v>140.32859999999999</v>
      </c>
      <c r="J2762">
        <v>-304.09120000000001</v>
      </c>
      <c r="K2762">
        <v>1.1027579999999999</v>
      </c>
      <c r="L2762">
        <v>140.41640000000001</v>
      </c>
      <c r="M2762">
        <v>-0.99960389999999999</v>
      </c>
      <c r="N2762">
        <v>0</v>
      </c>
      <c r="O2762">
        <v>2.7437340000000001E-2</v>
      </c>
      <c r="P2762">
        <v>-0.99732149999999997</v>
      </c>
      <c r="Q2762">
        <v>7.0312589999999994E-2</v>
      </c>
      <c r="R2762">
        <v>2.0157660000000001E-2</v>
      </c>
      <c r="S2762">
        <v>-3.0176699999999999</v>
      </c>
      <c r="T2762">
        <v>-0.14347839999999901</v>
      </c>
      <c r="U2762">
        <v>-9.1247559999999995E-3</v>
      </c>
      <c r="V2762">
        <v>-7.2340130000000001E-3</v>
      </c>
      <c r="W2762">
        <v>7.6575409999999997E-2</v>
      </c>
      <c r="X2762">
        <v>0.99703750000000002</v>
      </c>
      <c r="Y2762">
        <v>-3.039505E-2</v>
      </c>
      <c r="Z2762">
        <v>-2.025888E-3</v>
      </c>
      <c r="AA2762">
        <v>0.99953590000000003</v>
      </c>
      <c r="AB2762">
        <v>60</v>
      </c>
      <c r="AC2762">
        <v>-22.5536999999999</v>
      </c>
      <c r="AD2762">
        <v>-1.102759611155</v>
      </c>
      <c r="AE2762">
        <v>-8.7800000000015602E-2</v>
      </c>
      <c r="AF2762">
        <v>-0.70490741886707897</v>
      </c>
      <c r="AG2762">
        <v>-1.102759611155</v>
      </c>
      <c r="AH2762">
        <v>22.4890358741653</v>
      </c>
      <c r="AI2762">
        <v>92.805898966801905</v>
      </c>
      <c r="AJ2762">
        <v>91.795319338306896</v>
      </c>
      <c r="AK2762">
        <v>22.527088311157001</v>
      </c>
      <c r="AL2762">
        <v>85.608252772233001</v>
      </c>
      <c r="AM2762">
        <v>90.415702660158601</v>
      </c>
      <c r="AN2762">
        <v>0.99999995038349998</v>
      </c>
    </row>
    <row r="2763" spans="1:40" x14ac:dyDescent="0.3">
      <c r="A2763" t="str">
        <f>"20200111153931354"</f>
        <v>20200111153931354</v>
      </c>
      <c r="B2763" t="str">
        <f>"1578728371343423"</f>
        <v>1578728371343423</v>
      </c>
      <c r="C2763" t="s">
        <v>40</v>
      </c>
      <c r="D2763">
        <v>5.5765409999999997</v>
      </c>
      <c r="E2763">
        <v>0.48902889999999999</v>
      </c>
      <c r="F2763" t="s">
        <v>42</v>
      </c>
      <c r="G2763">
        <v>-329.27080000000001</v>
      </c>
      <c r="H2763" s="1">
        <v>-4.7646519999999998E-7</v>
      </c>
      <c r="I2763">
        <v>140.2978</v>
      </c>
      <c r="J2763">
        <v>-304.69420000000002</v>
      </c>
      <c r="K2763">
        <v>1.10276</v>
      </c>
      <c r="L2763">
        <v>140.43299999999999</v>
      </c>
      <c r="M2763">
        <v>-0.99960420000000005</v>
      </c>
      <c r="N2763">
        <v>0</v>
      </c>
      <c r="O2763">
        <v>2.7420420000000001E-2</v>
      </c>
      <c r="P2763">
        <v>-0.99722599999999995</v>
      </c>
      <c r="Q2763">
        <v>7.1846489999999999E-2</v>
      </c>
      <c r="R2763">
        <v>1.946353E-2</v>
      </c>
      <c r="S2763">
        <v>-3.017639</v>
      </c>
      <c r="T2763">
        <v>-0.13215979999999999</v>
      </c>
      <c r="U2763">
        <v>-1.420593E-2</v>
      </c>
      <c r="V2763">
        <v>-7.9057840000000008E-3</v>
      </c>
      <c r="W2763">
        <v>7.8124289999999999E-2</v>
      </c>
      <c r="X2763">
        <v>0.99691229999999997</v>
      </c>
      <c r="Y2763">
        <v>-3.2069460000000001E-2</v>
      </c>
      <c r="Z2763">
        <v>-1.90216E-3</v>
      </c>
      <c r="AA2763">
        <v>0.99948380000000003</v>
      </c>
      <c r="AB2763">
        <v>60</v>
      </c>
      <c r="AC2763">
        <v>-24.5765999999999</v>
      </c>
      <c r="AD2763">
        <v>-1.1027604764651999</v>
      </c>
      <c r="AE2763">
        <v>-0.13519999999999699</v>
      </c>
      <c r="AF2763">
        <v>-0.80743758361669005</v>
      </c>
      <c r="AG2763">
        <v>-1.1027604764651999</v>
      </c>
      <c r="AH2763">
        <v>24.514296953040301</v>
      </c>
      <c r="AI2763">
        <v>92.574284612583199</v>
      </c>
      <c r="AJ2763">
        <v>91.886492889614402</v>
      </c>
      <c r="AK2763">
        <v>24.552368342417299</v>
      </c>
      <c r="AL2763">
        <v>85.519242108534996</v>
      </c>
      <c r="AM2763">
        <v>90.454361493686704</v>
      </c>
      <c r="AN2763">
        <v>1.0000000199999699</v>
      </c>
    </row>
    <row r="2764" spans="1:40" x14ac:dyDescent="0.3">
      <c r="A2764" t="str">
        <f>"20200111153931375"</f>
        <v>20200111153931375</v>
      </c>
      <c r="B2764" t="str">
        <f>"1578728371363919"</f>
        <v>1578728371363919</v>
      </c>
      <c r="C2764" t="s">
        <v>40</v>
      </c>
      <c r="D2764">
        <v>5.6375710000000003</v>
      </c>
      <c r="E2764">
        <v>0.48898639999999999</v>
      </c>
      <c r="F2764" t="s">
        <v>42</v>
      </c>
      <c r="G2764">
        <v>-330.58190000000002</v>
      </c>
      <c r="H2764" s="1">
        <v>-4.6084450000000004E-6</v>
      </c>
      <c r="I2764">
        <v>140.29640000000001</v>
      </c>
      <c r="J2764">
        <v>-305.25670000000002</v>
      </c>
      <c r="K2764">
        <v>1.102762</v>
      </c>
      <c r="L2764">
        <v>140.4485</v>
      </c>
      <c r="M2764">
        <v>-0.9996041</v>
      </c>
      <c r="N2764">
        <v>0</v>
      </c>
      <c r="O2764">
        <v>2.7420190000000001E-2</v>
      </c>
      <c r="P2764">
        <v>-0.99715849999999995</v>
      </c>
      <c r="Q2764">
        <v>7.2989780000000004E-2</v>
      </c>
      <c r="R2764">
        <v>1.864381E-2</v>
      </c>
      <c r="S2764">
        <v>-3.017944</v>
      </c>
      <c r="T2764">
        <v>-0.12855839999999999</v>
      </c>
      <c r="U2764">
        <v>-1.5930179999999999E-2</v>
      </c>
      <c r="V2764">
        <v>-8.7207069999999994E-3</v>
      </c>
      <c r="W2764">
        <v>7.9281320000000002E-2</v>
      </c>
      <c r="X2764">
        <v>0.99681410000000004</v>
      </c>
      <c r="Y2764">
        <v>-3.2642310000000001E-2</v>
      </c>
      <c r="Z2764">
        <v>-1.862371E-3</v>
      </c>
      <c r="AA2764">
        <v>0.9994653</v>
      </c>
      <c r="AB2764">
        <v>60</v>
      </c>
      <c r="AC2764">
        <v>-25.325199999999899</v>
      </c>
      <c r="AD2764">
        <v>-1.1027666084450001</v>
      </c>
      <c r="AE2764">
        <v>-0.15209999999998999</v>
      </c>
      <c r="AF2764">
        <v>-0.84487650119374702</v>
      </c>
      <c r="AG2764">
        <v>-1.1027666084450001</v>
      </c>
      <c r="AH2764">
        <v>25.263605929853899</v>
      </c>
      <c r="AI2764">
        <v>92.498002602835996</v>
      </c>
      <c r="AJ2764">
        <v>91.915396541981394</v>
      </c>
      <c r="AK2764">
        <v>25.301772567824599</v>
      </c>
      <c r="AL2764">
        <v>85.452742643671996</v>
      </c>
      <c r="AM2764">
        <v>90.501243871314202</v>
      </c>
      <c r="AN2764">
        <v>0.99999996419516501</v>
      </c>
    </row>
    <row r="2765" spans="1:40" x14ac:dyDescent="0.3">
      <c r="A2765" t="str">
        <f>"20200111153931398"</f>
        <v>20200111153931398</v>
      </c>
      <c r="B2765" t="str">
        <f>"1578728371393200"</f>
        <v>1578728371393200</v>
      </c>
      <c r="C2765" t="s">
        <v>40</v>
      </c>
      <c r="D2765">
        <v>5.5853120000000001</v>
      </c>
      <c r="E2765">
        <v>0.48901080000000002</v>
      </c>
      <c r="F2765" t="s">
        <v>42</v>
      </c>
      <c r="G2765">
        <v>-331.88290000000001</v>
      </c>
      <c r="H2765" s="1">
        <v>-3.9954169999999997E-6</v>
      </c>
      <c r="I2765">
        <v>140.285</v>
      </c>
      <c r="J2765">
        <v>-305.84910000000002</v>
      </c>
      <c r="K2765">
        <v>1.10277</v>
      </c>
      <c r="L2765">
        <v>140.46469999999999</v>
      </c>
      <c r="M2765">
        <v>-0.99960360000000004</v>
      </c>
      <c r="N2765">
        <v>0</v>
      </c>
      <c r="O2765">
        <v>2.7434679999999999E-2</v>
      </c>
      <c r="P2765">
        <v>-0.99705520000000003</v>
      </c>
      <c r="Q2765">
        <v>7.4343790000000007E-2</v>
      </c>
      <c r="R2765">
        <v>1.8824219999999999E-2</v>
      </c>
      <c r="S2765">
        <v>-3.0179749999999999</v>
      </c>
      <c r="T2765">
        <v>-0.12499449999999999</v>
      </c>
      <c r="U2765">
        <v>-1.852417E-2</v>
      </c>
      <c r="V2765">
        <v>-8.5491270000000001E-3</v>
      </c>
      <c r="W2765">
        <v>8.0649739999999998E-2</v>
      </c>
      <c r="X2765">
        <v>0.99670579999999998</v>
      </c>
      <c r="Y2765">
        <v>-3.3517989999999998E-2</v>
      </c>
      <c r="Z2765">
        <v>-1.8294940000000001E-3</v>
      </c>
      <c r="AA2765">
        <v>0.9994364</v>
      </c>
      <c r="AB2765">
        <v>60</v>
      </c>
      <c r="AC2765">
        <v>-26.0337999999999</v>
      </c>
      <c r="AD2765">
        <v>-1.1027739954169999</v>
      </c>
      <c r="AE2765">
        <v>-0.179699999999996</v>
      </c>
      <c r="AF2765">
        <v>-0.89227466574026504</v>
      </c>
      <c r="AG2765">
        <v>-1.1027739954169999</v>
      </c>
      <c r="AH2765">
        <v>25.972469843823198</v>
      </c>
      <c r="AI2765">
        <v>92.429849038691898</v>
      </c>
      <c r="AJ2765">
        <v>91.967601631369007</v>
      </c>
      <c r="AK2765">
        <v>26.0111794110224</v>
      </c>
      <c r="AL2765">
        <v>85.374086036720598</v>
      </c>
      <c r="AM2765">
        <v>90.491435771388694</v>
      </c>
      <c r="AN2765">
        <v>0.99999995994408397</v>
      </c>
    </row>
    <row r="2766" spans="1:40" x14ac:dyDescent="0.3">
      <c r="A2766" t="str">
        <f>"20200111153931420"</f>
        <v>20200111153931420</v>
      </c>
      <c r="B2766" t="str">
        <f>"1578728371413696"</f>
        <v>1578728371413696</v>
      </c>
      <c r="C2766" t="s">
        <v>40</v>
      </c>
      <c r="D2766">
        <v>5.8758169999999996</v>
      </c>
      <c r="E2766">
        <v>0.4890487</v>
      </c>
      <c r="F2766" t="s">
        <v>42</v>
      </c>
      <c r="G2766">
        <v>-333.14030000000002</v>
      </c>
      <c r="H2766" s="1">
        <v>-3.4059100000000001E-6</v>
      </c>
      <c r="I2766">
        <v>140.30330000000001</v>
      </c>
      <c r="J2766">
        <v>-306.47019999999998</v>
      </c>
      <c r="K2766">
        <v>1.1028</v>
      </c>
      <c r="L2766">
        <v>140.48179999999999</v>
      </c>
      <c r="M2766">
        <v>-0.99960280000000001</v>
      </c>
      <c r="N2766">
        <v>0</v>
      </c>
      <c r="O2766">
        <v>2.7462719999999999E-2</v>
      </c>
      <c r="P2766">
        <v>-0.99704619999999999</v>
      </c>
      <c r="Q2766">
        <v>7.4405189999999996E-2</v>
      </c>
      <c r="R2766">
        <v>1.904703E-2</v>
      </c>
      <c r="S2766">
        <v>-3.0183110000000002</v>
      </c>
      <c r="T2766">
        <v>-0.1219631</v>
      </c>
      <c r="U2766">
        <v>-1.7852779999999999E-2</v>
      </c>
      <c r="V2766">
        <v>-8.3508890000000002E-3</v>
      </c>
      <c r="W2766">
        <v>8.0726740000000005E-2</v>
      </c>
      <c r="X2766">
        <v>0.99670130000000001</v>
      </c>
      <c r="Y2766">
        <v>-3.3325680000000003E-2</v>
      </c>
      <c r="Z2766">
        <v>-1.7822109999999999E-3</v>
      </c>
      <c r="AA2766">
        <v>0.99944290000000002</v>
      </c>
      <c r="AB2766">
        <v>60</v>
      </c>
      <c r="AC2766">
        <v>-26.670100000000001</v>
      </c>
      <c r="AD2766">
        <v>-1.10280340591</v>
      </c>
      <c r="AE2766">
        <v>-0.178499999999985</v>
      </c>
      <c r="AF2766">
        <v>-0.90932612317607397</v>
      </c>
      <c r="AG2766">
        <v>-1.10280340591</v>
      </c>
      <c r="AH2766">
        <v>26.609642901791101</v>
      </c>
      <c r="AI2766">
        <v>92.371811011325903</v>
      </c>
      <c r="AJ2766">
        <v>91.957195847380007</v>
      </c>
      <c r="AK2766">
        <v>26.648004516496499</v>
      </c>
      <c r="AL2766">
        <v>85.369660074000095</v>
      </c>
      <c r="AM2766">
        <v>90.480043017084796</v>
      </c>
      <c r="AN2766">
        <v>1.0000000126599</v>
      </c>
    </row>
    <row r="2767" spans="1:40" x14ac:dyDescent="0.3">
      <c r="A2767" t="str">
        <f>"20200111153931442"</f>
        <v>20200111153931442</v>
      </c>
      <c r="B2767" t="str">
        <f>"1578728371433219"</f>
        <v>1578728371433219</v>
      </c>
      <c r="C2767" t="s">
        <v>40</v>
      </c>
      <c r="D2767">
        <v>5.4161919999999997</v>
      </c>
      <c r="E2767">
        <v>0.47213519999999998</v>
      </c>
      <c r="F2767" t="s">
        <v>42</v>
      </c>
      <c r="G2767">
        <v>-333.45319999999998</v>
      </c>
      <c r="H2767" s="1">
        <v>-3.266047E-6</v>
      </c>
      <c r="I2767">
        <v>140.33349999999999</v>
      </c>
      <c r="J2767">
        <v>-307.09960000000001</v>
      </c>
      <c r="K2767">
        <v>1.102835</v>
      </c>
      <c r="L2767">
        <v>140.4991</v>
      </c>
      <c r="M2767">
        <v>-0.99960159999999998</v>
      </c>
      <c r="N2767">
        <v>0</v>
      </c>
      <c r="O2767">
        <v>2.750054E-2</v>
      </c>
      <c r="P2767">
        <v>-0.9969093</v>
      </c>
      <c r="Q2767">
        <v>7.6479400000000003E-2</v>
      </c>
      <c r="R2767">
        <v>1.79636E-2</v>
      </c>
      <c r="S2767">
        <v>-3.018402</v>
      </c>
      <c r="T2767">
        <v>-0.1233635</v>
      </c>
      <c r="U2767">
        <v>-1.6586299999999998E-2</v>
      </c>
      <c r="V2767">
        <v>-9.4647010000000007E-3</v>
      </c>
      <c r="W2767">
        <v>8.2816360000000006E-2</v>
      </c>
      <c r="X2767">
        <v>0.99651990000000001</v>
      </c>
      <c r="Y2767">
        <v>-3.2943119999999999E-2</v>
      </c>
      <c r="Z2767">
        <v>-1.7963339999999999E-3</v>
      </c>
      <c r="AA2767">
        <v>0.9994556</v>
      </c>
      <c r="AB2767">
        <v>60</v>
      </c>
      <c r="AC2767">
        <v>-26.353599999999901</v>
      </c>
      <c r="AD2767">
        <v>-1.102838266047</v>
      </c>
      <c r="AE2767">
        <v>-0.16560000000001099</v>
      </c>
      <c r="AF2767">
        <v>-0.88873390479429504</v>
      </c>
      <c r="AG2767">
        <v>-1.102838266047</v>
      </c>
      <c r="AH2767">
        <v>26.293034791866301</v>
      </c>
      <c r="AI2767">
        <v>92.400444054740902</v>
      </c>
      <c r="AJ2767">
        <v>91.935924208773997</v>
      </c>
      <c r="AK2767">
        <v>26.331156046799101</v>
      </c>
      <c r="AL2767">
        <v>85.249531384856795</v>
      </c>
      <c r="AM2767">
        <v>90.544164864580196</v>
      </c>
      <c r="AN2767">
        <v>1.0000000205723301</v>
      </c>
    </row>
    <row r="2768" spans="1:40" x14ac:dyDescent="0.3">
      <c r="A2768" t="str">
        <f>"20200111153931465"</f>
        <v>20200111153931465</v>
      </c>
      <c r="B2768" t="str">
        <f>"1578728371453714"</f>
        <v>1578728371453714</v>
      </c>
      <c r="C2768" t="s">
        <v>40</v>
      </c>
      <c r="D2768">
        <v>5.5936570000000003</v>
      </c>
      <c r="E2768">
        <v>0.45439560000000001</v>
      </c>
      <c r="F2768" t="s">
        <v>42</v>
      </c>
      <c r="G2768">
        <v>-326.11520000000002</v>
      </c>
      <c r="H2768" s="1">
        <v>-1.6618929999999999E-6</v>
      </c>
      <c r="I2768">
        <v>139.5429</v>
      </c>
      <c r="J2768">
        <v>-307.6798</v>
      </c>
      <c r="K2768">
        <v>1.1028519999999999</v>
      </c>
      <c r="L2768">
        <v>140.51509999999999</v>
      </c>
      <c r="M2768">
        <v>-0.9996005</v>
      </c>
      <c r="N2768">
        <v>0</v>
      </c>
      <c r="O2768">
        <v>2.7540660000000002E-2</v>
      </c>
      <c r="P2768">
        <v>-0.99660740000000003</v>
      </c>
      <c r="Q2768">
        <v>8.0727850000000004E-2</v>
      </c>
      <c r="R2768">
        <v>1.6038440000000001E-2</v>
      </c>
      <c r="S2768">
        <v>-3.0255130000000001</v>
      </c>
      <c r="T2768">
        <v>-0.17546919999999999</v>
      </c>
      <c r="U2768">
        <v>-0.15213009999999999</v>
      </c>
      <c r="V2768">
        <v>-1.1417299999999899E-2</v>
      </c>
      <c r="W2768">
        <v>8.7080019999999994E-2</v>
      </c>
      <c r="X2768">
        <v>0.99613589999999996</v>
      </c>
      <c r="Y2768">
        <v>-7.753024E-2</v>
      </c>
      <c r="Z2768">
        <v>-3.8400130000000002E-3</v>
      </c>
      <c r="AA2768">
        <v>0.99698260000000005</v>
      </c>
      <c r="AB2768">
        <v>60</v>
      </c>
      <c r="AC2768">
        <v>-18.435400000000001</v>
      </c>
      <c r="AD2768">
        <v>-1.102853661893</v>
      </c>
      <c r="AE2768">
        <v>-0.97219999999998596</v>
      </c>
      <c r="AF2768">
        <v>-1.4743030209666299</v>
      </c>
      <c r="AG2768">
        <v>-1.102853661893</v>
      </c>
      <c r="AH2768">
        <v>18.3361927517712</v>
      </c>
      <c r="AI2768">
        <v>93.430935359242795</v>
      </c>
      <c r="AJ2768">
        <v>94.596920126818404</v>
      </c>
      <c r="AK2768">
        <v>18.428397114976899</v>
      </c>
      <c r="AL2768">
        <v>85.004355191895101</v>
      </c>
      <c r="AM2768">
        <v>90.656671906235502</v>
      </c>
      <c r="AN2768">
        <v>1.0000000079456499</v>
      </c>
    </row>
    <row r="2769" spans="1:40" x14ac:dyDescent="0.3">
      <c r="A2769" t="str">
        <f>"20200111153931486"</f>
        <v>20200111153931486</v>
      </c>
      <c r="B2769" t="str">
        <f>"1578728371483967"</f>
        <v>1578728371483967</v>
      </c>
      <c r="C2769" t="s">
        <v>40</v>
      </c>
      <c r="D2769">
        <v>5.5262099999999998</v>
      </c>
      <c r="E2769">
        <v>0.4425597</v>
      </c>
      <c r="F2769" t="s">
        <v>42</v>
      </c>
      <c r="G2769">
        <v>-328.26089999999999</v>
      </c>
      <c r="H2769" s="1">
        <v>-9.2925519999999995E-7</v>
      </c>
      <c r="I2769">
        <v>138.48390000000001</v>
      </c>
      <c r="J2769">
        <v>-308.27080000000001</v>
      </c>
      <c r="K2769">
        <v>1.102868</v>
      </c>
      <c r="L2769">
        <v>140.53129999999999</v>
      </c>
      <c r="M2769">
        <v>-0.99959889999999996</v>
      </c>
      <c r="N2769">
        <v>0</v>
      </c>
      <c r="O2769">
        <v>2.758557E-2</v>
      </c>
      <c r="P2769">
        <v>-0.99649520000000003</v>
      </c>
      <c r="Q2769">
        <v>8.25544E-2</v>
      </c>
      <c r="R2769">
        <v>1.3498390000000001E-2</v>
      </c>
      <c r="S2769">
        <v>-3.028168</v>
      </c>
      <c r="T2769">
        <v>-0.16226670000000001</v>
      </c>
      <c r="U2769">
        <v>-0.29884339999999998</v>
      </c>
      <c r="V2769">
        <v>-1.3994650000000001E-2</v>
      </c>
      <c r="W2769">
        <v>8.8935319999999998E-2</v>
      </c>
      <c r="X2769">
        <v>0.99593909999999997</v>
      </c>
      <c r="Y2769">
        <v>-0.12540860000000001</v>
      </c>
      <c r="Z2769">
        <v>-4.8234860000000001E-3</v>
      </c>
      <c r="AA2769">
        <v>0.99209340000000001</v>
      </c>
      <c r="AB2769">
        <v>61</v>
      </c>
      <c r="AC2769">
        <v>-19.990099999999899</v>
      </c>
      <c r="AD2769">
        <v>-1.1028689292552001</v>
      </c>
      <c r="AE2769">
        <v>-2.0473999999999801</v>
      </c>
      <c r="AF2769">
        <v>-2.5902680076656202</v>
      </c>
      <c r="AG2769">
        <v>-1.1028689292552001</v>
      </c>
      <c r="AH2769">
        <v>19.8661713507414</v>
      </c>
      <c r="AI2769">
        <v>93.150893037561701</v>
      </c>
      <c r="AJ2769">
        <v>97.428652271680505</v>
      </c>
      <c r="AK2769">
        <v>20.0646597868908</v>
      </c>
      <c r="AL2769">
        <v>84.897640283547005</v>
      </c>
      <c r="AM2769">
        <v>90.805050843751701</v>
      </c>
      <c r="AN2769">
        <v>1.0000000161404601</v>
      </c>
    </row>
    <row r="2770" spans="1:40" x14ac:dyDescent="0.3">
      <c r="A2770" t="str">
        <f>"20200111153931510"</f>
        <v>20200111153931510</v>
      </c>
      <c r="B2770" t="str">
        <f>"1578728371503488"</f>
        <v>1578728371503488</v>
      </c>
      <c r="C2770" t="s">
        <v>40</v>
      </c>
      <c r="D2770">
        <v>5.4169419999999997</v>
      </c>
      <c r="E2770">
        <v>0.44028919999999999</v>
      </c>
      <c r="F2770" t="s">
        <v>42</v>
      </c>
      <c r="G2770">
        <v>-327.81049999999999</v>
      </c>
      <c r="H2770" s="1">
        <v>-1.2163070000000001E-6</v>
      </c>
      <c r="I2770">
        <v>137.95480000000001</v>
      </c>
      <c r="J2770">
        <v>-308.91559999999998</v>
      </c>
      <c r="K2770">
        <v>1.1028800000000001</v>
      </c>
      <c r="L2770">
        <v>140.54910000000001</v>
      </c>
      <c r="M2770">
        <v>-0.99959730000000002</v>
      </c>
      <c r="N2770">
        <v>0</v>
      </c>
      <c r="O2770">
        <v>2.7636899999999999E-2</v>
      </c>
      <c r="P2770">
        <v>-0.99638990000000005</v>
      </c>
      <c r="Q2770">
        <v>8.4139999999999895E-2</v>
      </c>
      <c r="R2770">
        <v>1.1307620000000001E-2</v>
      </c>
      <c r="S2770">
        <v>-3.0301209999999998</v>
      </c>
      <c r="T2770">
        <v>-0.17102729999999999</v>
      </c>
      <c r="U2770">
        <v>-0.39953610000000001</v>
      </c>
      <c r="V2770">
        <v>-1.6229460000000001E-2</v>
      </c>
      <c r="W2770">
        <v>9.0575199999999995E-2</v>
      </c>
      <c r="X2770">
        <v>0.99575729999999996</v>
      </c>
      <c r="Y2770">
        <v>-0.15778349999999999</v>
      </c>
      <c r="Z2770">
        <v>-5.9827109999999999E-3</v>
      </c>
      <c r="AA2770">
        <v>0.98745559999999999</v>
      </c>
      <c r="AB2770">
        <v>61</v>
      </c>
      <c r="AC2770">
        <v>-18.8949</v>
      </c>
      <c r="AD2770">
        <v>-1.1028812163070001</v>
      </c>
      <c r="AE2770">
        <v>-2.5943000000000001</v>
      </c>
      <c r="AF2770">
        <v>-3.1051329406627701</v>
      </c>
      <c r="AG2770">
        <v>-1.1028812163070001</v>
      </c>
      <c r="AH2770">
        <v>18.753272832479201</v>
      </c>
      <c r="AI2770">
        <v>93.320584162771297</v>
      </c>
      <c r="AJ2770">
        <v>99.4016318492409</v>
      </c>
      <c r="AK2770">
        <v>19.040573507273201</v>
      </c>
      <c r="AL2770">
        <v>84.803300863396501</v>
      </c>
      <c r="AM2770">
        <v>90.933758894569806</v>
      </c>
      <c r="AN2770">
        <v>0.99999993136510801</v>
      </c>
    </row>
    <row r="2771" spans="1:40" x14ac:dyDescent="0.3">
      <c r="A2771" t="str">
        <f>"20200111153931532"</f>
        <v>20200111153931532</v>
      </c>
      <c r="B2771" t="str">
        <f>"1578728371523983"</f>
        <v>1578728371523983</v>
      </c>
      <c r="C2771" t="s">
        <v>40</v>
      </c>
      <c r="D2771">
        <v>5.478796</v>
      </c>
      <c r="E2771">
        <v>0.43892150000000002</v>
      </c>
      <c r="F2771" t="s">
        <v>42</v>
      </c>
      <c r="G2771">
        <v>-328.4599</v>
      </c>
      <c r="H2771" s="1">
        <v>-9.8843780000000004E-7</v>
      </c>
      <c r="I2771">
        <v>137.81880000000001</v>
      </c>
      <c r="J2771">
        <v>-309.51159999999999</v>
      </c>
      <c r="K2771">
        <v>1.102886</v>
      </c>
      <c r="L2771">
        <v>140.56559999999999</v>
      </c>
      <c r="M2771">
        <v>-0.99959540000000002</v>
      </c>
      <c r="N2771">
        <v>0</v>
      </c>
      <c r="O2771">
        <v>2.7686470000000001E-2</v>
      </c>
      <c r="P2771">
        <v>-0.99635180000000001</v>
      </c>
      <c r="Q2771">
        <v>8.4782209999999997E-2</v>
      </c>
      <c r="R2771">
        <v>9.7607089999999994E-3</v>
      </c>
      <c r="S2771">
        <v>-3.0301209999999998</v>
      </c>
      <c r="T2771">
        <v>-0.1709891</v>
      </c>
      <c r="U2771">
        <v>-0.42329410000000001</v>
      </c>
      <c r="V2771">
        <v>-1.782079E-2</v>
      </c>
      <c r="W2771">
        <v>9.1292239999999997E-2</v>
      </c>
      <c r="X2771">
        <v>0.99566469999999896</v>
      </c>
      <c r="Y2771">
        <v>-0.16541819999999999</v>
      </c>
      <c r="Z2771">
        <v>-6.1952750000000001E-3</v>
      </c>
      <c r="AA2771">
        <v>0.98620410000000003</v>
      </c>
      <c r="AB2771">
        <v>61</v>
      </c>
      <c r="AC2771">
        <v>-18.9483</v>
      </c>
      <c r="AD2771">
        <v>-1.1028869884378001</v>
      </c>
      <c r="AE2771">
        <v>-2.7467999999999702</v>
      </c>
      <c r="AF2771">
        <v>-3.2595541403149002</v>
      </c>
      <c r="AG2771">
        <v>-1.1028869884378001</v>
      </c>
      <c r="AH2771">
        <v>18.8025962353118</v>
      </c>
      <c r="AI2771">
        <v>93.307678603119896</v>
      </c>
      <c r="AJ2771">
        <v>99.834858115430805</v>
      </c>
      <c r="AK2771">
        <v>19.114881064005299</v>
      </c>
      <c r="AL2771">
        <v>84.762047062991101</v>
      </c>
      <c r="AM2771">
        <v>91.025392426818101</v>
      </c>
      <c r="AN2771">
        <v>1.0000000242332601</v>
      </c>
    </row>
    <row r="2772" spans="1:40" x14ac:dyDescent="0.3">
      <c r="A2772" t="str">
        <f>"20200111153931554"</f>
        <v>20200111153931554</v>
      </c>
      <c r="B2772" t="str">
        <f>"1578728371543503"</f>
        <v>1578728371543503</v>
      </c>
      <c r="C2772" t="s">
        <v>40</v>
      </c>
      <c r="D2772">
        <v>5.5037940000000001</v>
      </c>
      <c r="E2772">
        <v>0.43805569999999999</v>
      </c>
      <c r="F2772" t="s">
        <v>42</v>
      </c>
      <c r="G2772">
        <v>-328.24430000000001</v>
      </c>
      <c r="H2772" s="1">
        <v>-1.0511650000000001E-6</v>
      </c>
      <c r="I2772">
        <v>137.85890000000001</v>
      </c>
      <c r="J2772">
        <v>-310.10759999999999</v>
      </c>
      <c r="K2772">
        <v>1.1028899999999999</v>
      </c>
      <c r="L2772">
        <v>140.5821</v>
      </c>
      <c r="M2772">
        <v>-0.99959310000000001</v>
      </c>
      <c r="N2772">
        <v>0</v>
      </c>
      <c r="O2772">
        <v>2.77372E-2</v>
      </c>
      <c r="P2772">
        <v>-0.99636369999999996</v>
      </c>
      <c r="Q2772">
        <v>8.477034E-2</v>
      </c>
      <c r="R2772">
        <v>8.5635299999999998E-3</v>
      </c>
      <c r="S2772">
        <v>-3.0304570000000002</v>
      </c>
      <c r="T2772">
        <v>-0.17841889999999999</v>
      </c>
      <c r="U2772">
        <v>-0.43786619999999998</v>
      </c>
      <c r="V2772">
        <v>-1.906592E-2</v>
      </c>
      <c r="W2772">
        <v>9.1395290000000004E-2</v>
      </c>
      <c r="X2772">
        <v>0.99563219999999997</v>
      </c>
      <c r="Y2772">
        <v>-0.17006540000000001</v>
      </c>
      <c r="Z2772">
        <v>-6.6001219999999999E-3</v>
      </c>
      <c r="AA2772">
        <v>0.98541069999999997</v>
      </c>
      <c r="AB2772">
        <v>61</v>
      </c>
      <c r="AC2772">
        <v>-18.136700000000001</v>
      </c>
      <c r="AD2772">
        <v>-1.1028910511650001</v>
      </c>
      <c r="AE2772">
        <v>-2.7231999999999901</v>
      </c>
      <c r="AF2772">
        <v>-3.2136032097576401</v>
      </c>
      <c r="AG2772">
        <v>-1.1028910511650001</v>
      </c>
      <c r="AH2772">
        <v>17.989131584871402</v>
      </c>
      <c r="AI2772">
        <v>93.453799173116707</v>
      </c>
      <c r="AJ2772">
        <v>100.128555424057</v>
      </c>
      <c r="AK2772">
        <v>18.3071698915568</v>
      </c>
      <c r="AL2772">
        <v>84.756118044633197</v>
      </c>
      <c r="AM2772">
        <v>91.097054965210106</v>
      </c>
      <c r="AN2772">
        <v>1.0000000430082301</v>
      </c>
    </row>
    <row r="2773" spans="1:40" x14ac:dyDescent="0.3">
      <c r="A2773" t="str">
        <f>"20200111153931576"</f>
        <v>20200111153931576</v>
      </c>
      <c r="B2773" t="str">
        <f>"1578728371573761"</f>
        <v>1578728371573761</v>
      </c>
      <c r="C2773" t="s">
        <v>40</v>
      </c>
      <c r="D2773">
        <v>5.4802160000000004</v>
      </c>
      <c r="E2773">
        <v>0.43755729999999998</v>
      </c>
      <c r="F2773" t="s">
        <v>42</v>
      </c>
      <c r="G2773">
        <v>-328.00819999999999</v>
      </c>
      <c r="H2773" s="1">
        <v>-1.133935E-6</v>
      </c>
      <c r="I2773">
        <v>137.94120000000001</v>
      </c>
      <c r="J2773">
        <v>-310.69600000000003</v>
      </c>
      <c r="K2773">
        <v>1.102908</v>
      </c>
      <c r="L2773">
        <v>140.5984</v>
      </c>
      <c r="M2773">
        <v>-0.9995906</v>
      </c>
      <c r="N2773">
        <v>0</v>
      </c>
      <c r="O2773">
        <v>2.778804E-2</v>
      </c>
      <c r="P2773">
        <v>-0.99637089999999995</v>
      </c>
      <c r="Q2773">
        <v>8.4810369999999996E-2</v>
      </c>
      <c r="R2773">
        <v>7.2462289999999999E-3</v>
      </c>
      <c r="S2773">
        <v>-3.03064</v>
      </c>
      <c r="T2773">
        <v>-0.1867248</v>
      </c>
      <c r="U2773">
        <v>-0.44709779999999999</v>
      </c>
      <c r="V2773">
        <v>-2.043087E-2</v>
      </c>
      <c r="W2773">
        <v>9.1619400000000004E-2</v>
      </c>
      <c r="X2773">
        <v>0.99558449999999998</v>
      </c>
      <c r="Y2773">
        <v>-0.173008</v>
      </c>
      <c r="Z2773">
        <v>-6.9981139999999997E-3</v>
      </c>
      <c r="AA2773">
        <v>0.98489550000000003</v>
      </c>
      <c r="AB2773">
        <v>61</v>
      </c>
      <c r="AC2773">
        <v>-17.312200000000001</v>
      </c>
      <c r="AD2773">
        <v>-1.1029091339349999</v>
      </c>
      <c r="AE2773">
        <v>-2.65719999999998</v>
      </c>
      <c r="AF2773">
        <v>-3.12486648089416</v>
      </c>
      <c r="AG2773">
        <v>-1.1029091339349999</v>
      </c>
      <c r="AH2773">
        <v>17.163617530593498</v>
      </c>
      <c r="AI2773">
        <v>93.617386236423201</v>
      </c>
      <c r="AJ2773">
        <v>100.31844598123899</v>
      </c>
      <c r="AK2773">
        <v>17.480588257196398</v>
      </c>
      <c r="AL2773">
        <v>84.743223243635001</v>
      </c>
      <c r="AM2773">
        <v>91.1756293298141</v>
      </c>
      <c r="AN2773">
        <v>1.00000001577278</v>
      </c>
    </row>
    <row r="2774" spans="1:40" x14ac:dyDescent="0.3">
      <c r="A2774" t="str">
        <f>"20200111153931598"</f>
        <v>20200111153931598</v>
      </c>
      <c r="B2774" t="str">
        <f>"1578728371593280"</f>
        <v>1578728371593280</v>
      </c>
      <c r="C2774" t="s">
        <v>40</v>
      </c>
      <c r="D2774">
        <v>5.4638140000000002</v>
      </c>
      <c r="E2774">
        <v>0.43731189999999998</v>
      </c>
      <c r="F2774" t="s">
        <v>42</v>
      </c>
      <c r="G2774">
        <v>-327.88350000000003</v>
      </c>
      <c r="H2774" s="1">
        <v>-1.1726039999999999E-6</v>
      </c>
      <c r="I2774">
        <v>138.0247</v>
      </c>
      <c r="J2774">
        <v>-311.29989999999998</v>
      </c>
      <c r="K2774">
        <v>1.1029469999999999</v>
      </c>
      <c r="L2774">
        <v>140.61519999999999</v>
      </c>
      <c r="M2774">
        <v>-0.99958709999999995</v>
      </c>
      <c r="N2774">
        <v>0</v>
      </c>
      <c r="O2774">
        <v>2.7841299999999999E-2</v>
      </c>
      <c r="P2774">
        <v>-0.99638280000000001</v>
      </c>
      <c r="Q2774">
        <v>8.4771159999999998E-2</v>
      </c>
      <c r="R2774">
        <v>5.9586689999999998E-3</v>
      </c>
      <c r="S2774">
        <v>-3.0307620000000002</v>
      </c>
      <c r="T2774">
        <v>-0.1944823</v>
      </c>
      <c r="U2774">
        <v>-0.45382689999999998</v>
      </c>
      <c r="V2774">
        <v>-2.1769569999999999E-2</v>
      </c>
      <c r="W2774">
        <v>9.1866799999999998E-2</v>
      </c>
      <c r="X2774">
        <v>0.99553329999999995</v>
      </c>
      <c r="Y2774">
        <v>-0.17515799999999901</v>
      </c>
      <c r="Z2774">
        <v>-7.3587490000000004E-3</v>
      </c>
      <c r="AA2774">
        <v>0.98451290000000002</v>
      </c>
      <c r="AB2774">
        <v>61</v>
      </c>
      <c r="AC2774">
        <v>-16.583600000000001</v>
      </c>
      <c r="AD2774">
        <v>-1.10294817260399</v>
      </c>
      <c r="AE2774">
        <v>-2.5904999999999898</v>
      </c>
      <c r="AF2774">
        <v>-3.0380978926568898</v>
      </c>
      <c r="AG2774">
        <v>-1.10294817260399</v>
      </c>
      <c r="AH2774">
        <v>16.434084072156299</v>
      </c>
      <c r="AI2774">
        <v>93.775772616501698</v>
      </c>
      <c r="AJ2774">
        <v>100.47377588384499</v>
      </c>
      <c r="AK2774">
        <v>16.7489000464961</v>
      </c>
      <c r="AL2774">
        <v>84.728988084104699</v>
      </c>
      <c r="AM2774">
        <v>91.252701169635898</v>
      </c>
      <c r="AN2774">
        <v>0.99999998726455697</v>
      </c>
    </row>
    <row r="2775" spans="1:40" x14ac:dyDescent="0.3">
      <c r="A2775" t="str">
        <f>"20200111153931620"</f>
        <v>20200111153931620</v>
      </c>
      <c r="B2775" t="str">
        <f>"1578728371613775"</f>
        <v>1578728371613775</v>
      </c>
      <c r="C2775" t="s">
        <v>40</v>
      </c>
      <c r="D2775">
        <v>5.499981</v>
      </c>
      <c r="E2775">
        <v>0.43713780000000002</v>
      </c>
      <c r="F2775" t="s">
        <v>42</v>
      </c>
      <c r="G2775">
        <v>-328.1053</v>
      </c>
      <c r="H2775" s="1">
        <v>-1.069152E-6</v>
      </c>
      <c r="I2775">
        <v>138.07140000000001</v>
      </c>
      <c r="J2775">
        <v>-311.91989999999998</v>
      </c>
      <c r="K2775">
        <v>1.1029960000000001</v>
      </c>
      <c r="L2775">
        <v>140.63239999999999</v>
      </c>
      <c r="M2775">
        <v>-0.99958290000000005</v>
      </c>
      <c r="N2775">
        <v>0</v>
      </c>
      <c r="O2775">
        <v>2.7897419999999999E-2</v>
      </c>
      <c r="P2775">
        <v>-0.99647399999999997</v>
      </c>
      <c r="Q2775">
        <v>8.3747370000000002E-2</v>
      </c>
      <c r="R2775">
        <v>5.0971280000000002E-3</v>
      </c>
      <c r="S2775">
        <v>-3.0304869999999999</v>
      </c>
      <c r="T2775">
        <v>-0.19889219999999999</v>
      </c>
      <c r="U2775">
        <v>-0.45869450000000001</v>
      </c>
      <c r="V2775">
        <v>-2.268763E-2</v>
      </c>
      <c r="W2775">
        <v>9.1195849999999995E-2</v>
      </c>
      <c r="X2775">
        <v>0.99557450000000003</v>
      </c>
      <c r="Y2775">
        <v>-0.1767503</v>
      </c>
      <c r="Z2775">
        <v>-7.58061699999999E-3</v>
      </c>
      <c r="AA2775">
        <v>0.9842265</v>
      </c>
      <c r="AB2775">
        <v>61</v>
      </c>
      <c r="AC2775">
        <v>-16.185400000000001</v>
      </c>
      <c r="AD2775">
        <v>-1.1029970691519999</v>
      </c>
      <c r="AE2775">
        <v>-2.5609999999999702</v>
      </c>
      <c r="AF2775">
        <v>-2.9979638830198501</v>
      </c>
      <c r="AG2775">
        <v>-1.1029970691519999</v>
      </c>
      <c r="AH2775">
        <v>16.035003535862899</v>
      </c>
      <c r="AI2775">
        <v>93.868179114831406</v>
      </c>
      <c r="AJ2775">
        <v>100.58996926124399</v>
      </c>
      <c r="AK2775">
        <v>16.350098726722901</v>
      </c>
      <c r="AL2775">
        <v>84.767592801410402</v>
      </c>
      <c r="AM2775">
        <v>91.3054577996717</v>
      </c>
      <c r="AN2775">
        <v>0.99999999833124398</v>
      </c>
    </row>
    <row r="2776" spans="1:40" x14ac:dyDescent="0.3">
      <c r="A2776" t="str">
        <f>"20200111153931644"</f>
        <v>20200111153931644</v>
      </c>
      <c r="B2776" t="str">
        <f>"1578728371634271"</f>
        <v>1578728371634271</v>
      </c>
      <c r="C2776" t="s">
        <v>40</v>
      </c>
      <c r="D2776">
        <v>5.4810040000000004</v>
      </c>
      <c r="E2776">
        <v>0.43699310000000002</v>
      </c>
      <c r="F2776" t="s">
        <v>42</v>
      </c>
      <c r="G2776">
        <v>-328.19990000000001</v>
      </c>
      <c r="H2776" s="1">
        <v>-1.0146570000000001E-6</v>
      </c>
      <c r="I2776">
        <v>138.15010000000001</v>
      </c>
      <c r="J2776">
        <v>-312.54520000000002</v>
      </c>
      <c r="K2776">
        <v>1.103054</v>
      </c>
      <c r="L2776">
        <v>140.6498</v>
      </c>
      <c r="M2776">
        <v>-0.99957790000000002</v>
      </c>
      <c r="N2776">
        <v>0</v>
      </c>
      <c r="O2776">
        <v>2.7955150000000002E-2</v>
      </c>
      <c r="P2776">
        <v>-0.9966083</v>
      </c>
      <c r="Q2776">
        <v>8.2223619999999997E-2</v>
      </c>
      <c r="R2776">
        <v>3.3691139999999999E-3</v>
      </c>
      <c r="S2776">
        <v>-3.0302120000000001</v>
      </c>
      <c r="T2776">
        <v>-0.2053027</v>
      </c>
      <c r="U2776">
        <v>-0.46202090000000001</v>
      </c>
      <c r="V2776">
        <v>-2.4474989999999999E-2</v>
      </c>
      <c r="W2776">
        <v>9.0111700000000003E-2</v>
      </c>
      <c r="X2776">
        <v>0.99563089999999999</v>
      </c>
      <c r="Y2776">
        <v>-0.17784559999999999</v>
      </c>
      <c r="Z2776">
        <v>-7.8652210000000004E-3</v>
      </c>
      <c r="AA2776">
        <v>0.98402699999999999</v>
      </c>
      <c r="AB2776">
        <v>61</v>
      </c>
      <c r="AC2776">
        <v>-15.654699999999901</v>
      </c>
      <c r="AD2776">
        <v>-1.103055014657</v>
      </c>
      <c r="AE2776">
        <v>-2.49969999999999</v>
      </c>
      <c r="AF2776">
        <v>-2.9222185578332298</v>
      </c>
      <c r="AG2776">
        <v>-1.103055014657</v>
      </c>
      <c r="AH2776">
        <v>15.5036405007592</v>
      </c>
      <c r="AI2776">
        <v>93.999440498514502</v>
      </c>
      <c r="AJ2776">
        <v>100.674218268592</v>
      </c>
      <c r="AK2776">
        <v>15.815149712914099</v>
      </c>
      <c r="AL2776">
        <v>84.829966944343198</v>
      </c>
      <c r="AM2776">
        <v>91.408183758733699</v>
      </c>
      <c r="AN2776">
        <v>1.0000000163236</v>
      </c>
    </row>
    <row r="2777" spans="1:40" x14ac:dyDescent="0.3">
      <c r="A2777" t="str">
        <f>"20200111153931665"</f>
        <v>20200111153931665</v>
      </c>
      <c r="B2777" t="str">
        <f>"1578728371653792"</f>
        <v>1578728371653792</v>
      </c>
      <c r="C2777" t="s">
        <v>40</v>
      </c>
      <c r="D2777">
        <v>5.4576719999999996</v>
      </c>
      <c r="E2777">
        <v>0.43683909999999998</v>
      </c>
      <c r="F2777" t="s">
        <v>42</v>
      </c>
      <c r="G2777">
        <v>-328.1841</v>
      </c>
      <c r="H2777" s="1">
        <v>-1.006048E-6</v>
      </c>
      <c r="I2777">
        <v>138.23660000000001</v>
      </c>
      <c r="J2777">
        <v>-313.15100000000001</v>
      </c>
      <c r="K2777">
        <v>1.103143</v>
      </c>
      <c r="L2777">
        <v>140.66679999999999</v>
      </c>
      <c r="M2777">
        <v>-0.99957200000000002</v>
      </c>
      <c r="N2777">
        <v>0</v>
      </c>
      <c r="O2777">
        <v>2.8011629999999999E-2</v>
      </c>
      <c r="P2777">
        <v>-0.99677199999999999</v>
      </c>
      <c r="Q2777">
        <v>8.0286120000000002E-2</v>
      </c>
      <c r="R2777">
        <v>5.2281889999999996E-4</v>
      </c>
      <c r="S2777">
        <v>-3.0294189999999999</v>
      </c>
      <c r="T2777">
        <v>-0.213673</v>
      </c>
      <c r="U2777">
        <v>-0.46745300000000001</v>
      </c>
      <c r="V2777">
        <v>-2.7379540000000001E-2</v>
      </c>
      <c r="W2777">
        <v>8.8719220000000001E-2</v>
      </c>
      <c r="X2777">
        <v>0.99568029999999996</v>
      </c>
      <c r="Y2777">
        <v>-0.17962040000000001</v>
      </c>
      <c r="Z2777">
        <v>-8.2522629999999993E-3</v>
      </c>
      <c r="AA2777">
        <v>0.9837013</v>
      </c>
      <c r="AB2777">
        <v>61</v>
      </c>
      <c r="AC2777">
        <v>-15.0330999999999</v>
      </c>
      <c r="AD2777">
        <v>-1.103144006048</v>
      </c>
      <c r="AE2777">
        <v>-2.4301999999999802</v>
      </c>
      <c r="AF2777">
        <v>-2.83548334929527</v>
      </c>
      <c r="AG2777">
        <v>-1.103144006048</v>
      </c>
      <c r="AH2777">
        <v>14.881034010592</v>
      </c>
      <c r="AI2777">
        <v>94.164967815980603</v>
      </c>
      <c r="AJ2777">
        <v>100.788015804585</v>
      </c>
      <c r="AK2777">
        <v>15.188879673847101</v>
      </c>
      <c r="AL2777">
        <v>84.910070954659503</v>
      </c>
      <c r="AM2777">
        <v>91.575140999854199</v>
      </c>
      <c r="AN2777">
        <v>0.99999999950805496</v>
      </c>
    </row>
    <row r="2778" spans="1:40" x14ac:dyDescent="0.3">
      <c r="A2778" t="str">
        <f>"20200111153931687"</f>
        <v>20200111153931687</v>
      </c>
      <c r="B2778" t="str">
        <f>"1578728371684047"</f>
        <v>1578728371684047</v>
      </c>
      <c r="C2778" t="s">
        <v>40</v>
      </c>
      <c r="D2778">
        <v>5.4710739999999998</v>
      </c>
      <c r="E2778">
        <v>0.43659940000000003</v>
      </c>
      <c r="F2778" t="s">
        <v>42</v>
      </c>
      <c r="G2778">
        <v>-328.0795</v>
      </c>
      <c r="H2778" s="1">
        <v>-1.036011E-6</v>
      </c>
      <c r="I2778">
        <v>138.32079999999999</v>
      </c>
      <c r="J2778">
        <v>-313.74540000000002</v>
      </c>
      <c r="K2778">
        <v>1.1032439999999999</v>
      </c>
      <c r="L2778">
        <v>140.68340000000001</v>
      </c>
      <c r="M2778">
        <v>-0.99956489999999998</v>
      </c>
      <c r="N2778">
        <v>0</v>
      </c>
      <c r="O2778">
        <v>2.8064740000000001E-2</v>
      </c>
      <c r="P2778">
        <v>-0.99685820000000003</v>
      </c>
      <c r="Q2778">
        <v>7.9170539999999998E-2</v>
      </c>
      <c r="R2778">
        <v>-2.5054959999999999E-3</v>
      </c>
      <c r="S2778">
        <v>-3.0279539999999998</v>
      </c>
      <c r="T2778">
        <v>-0.22375239999999999</v>
      </c>
      <c r="U2778">
        <v>-0.47581479999999998</v>
      </c>
      <c r="V2778">
        <v>-3.0460580000000001E-2</v>
      </c>
      <c r="W2778">
        <v>8.8239029999999996E-2</v>
      </c>
      <c r="X2778">
        <v>0.99563349999999995</v>
      </c>
      <c r="Y2778">
        <v>-0.1823398</v>
      </c>
      <c r="Z2778">
        <v>-8.7464819999999999E-3</v>
      </c>
      <c r="AA2778">
        <v>0.98319670000000003</v>
      </c>
      <c r="AB2778">
        <v>61</v>
      </c>
      <c r="AC2778">
        <v>-14.3340999999999</v>
      </c>
      <c r="AD2778">
        <v>-1.103245036011</v>
      </c>
      <c r="AE2778">
        <v>-2.3626000000000098</v>
      </c>
      <c r="AF2778">
        <v>-2.7481198235951698</v>
      </c>
      <c r="AG2778">
        <v>-1.103245036011</v>
      </c>
      <c r="AH2778">
        <v>14.1803645055333</v>
      </c>
      <c r="AI2778">
        <v>94.367759561226094</v>
      </c>
      <c r="AJ2778">
        <v>100.96782220973201</v>
      </c>
      <c r="AK2778">
        <v>14.486271075887901</v>
      </c>
      <c r="AL2778">
        <v>84.937692247927004</v>
      </c>
      <c r="AM2778">
        <v>91.752370181701707</v>
      </c>
      <c r="AN2778">
        <v>1.0000000198357599</v>
      </c>
    </row>
    <row r="2779" spans="1:40" x14ac:dyDescent="0.3">
      <c r="A2779" t="str">
        <f>"20200111153931710"</f>
        <v>20200111153931710</v>
      </c>
      <c r="B2779" t="str">
        <f>"1578728371703568"</f>
        <v>1578728371703568</v>
      </c>
      <c r="C2779" t="s">
        <v>40</v>
      </c>
      <c r="D2779">
        <v>5.4943070000000001</v>
      </c>
      <c r="E2779">
        <v>0.43628660000000002</v>
      </c>
      <c r="F2779" t="s">
        <v>42</v>
      </c>
      <c r="G2779">
        <v>-328.19040000000001</v>
      </c>
      <c r="H2779" s="1">
        <v>-9.804115999999999E-7</v>
      </c>
      <c r="I2779">
        <v>138.36609999999999</v>
      </c>
      <c r="J2779">
        <v>-314.37709999999998</v>
      </c>
      <c r="K2779">
        <v>1.1033569999999999</v>
      </c>
      <c r="L2779">
        <v>140.7012</v>
      </c>
      <c r="M2779">
        <v>-0.99955649999999996</v>
      </c>
      <c r="N2779">
        <v>0</v>
      </c>
      <c r="O2779">
        <v>2.8120470000000002E-2</v>
      </c>
      <c r="P2779">
        <v>-0.99687550000000003</v>
      </c>
      <c r="Q2779">
        <v>7.8817029999999996E-2</v>
      </c>
      <c r="R2779">
        <v>-5.2016110000000001E-3</v>
      </c>
      <c r="S2779">
        <v>-3.0266109999999999</v>
      </c>
      <c r="T2779">
        <v>-0.23116030000000001</v>
      </c>
      <c r="U2779">
        <v>-0.48553469999999999</v>
      </c>
      <c r="V2779">
        <v>-3.3211589999999999E-2</v>
      </c>
      <c r="W2779">
        <v>8.8588150000000004E-2</v>
      </c>
      <c r="X2779">
        <v>0.99551449999999997</v>
      </c>
      <c r="Y2779">
        <v>-0.18549360000000001</v>
      </c>
      <c r="Z2779">
        <v>-9.1607070000000006E-3</v>
      </c>
      <c r="AA2779">
        <v>0.9826028</v>
      </c>
      <c r="AB2779">
        <v>61</v>
      </c>
      <c r="AC2779">
        <v>-13.8133</v>
      </c>
      <c r="AD2779">
        <v>-1.1033579804115901</v>
      </c>
      <c r="AE2779">
        <v>-2.3351000000000099</v>
      </c>
      <c r="AF2779">
        <v>-2.7058472705346199</v>
      </c>
      <c r="AG2779">
        <v>-1.1033579804115901</v>
      </c>
      <c r="AH2779">
        <v>13.6574525590002</v>
      </c>
      <c r="AI2779">
        <v>94.531084395167696</v>
      </c>
      <c r="AJ2779">
        <v>101.206454270379</v>
      </c>
      <c r="AK2779">
        <v>13.9665678921394</v>
      </c>
      <c r="AL2779">
        <v>84.917610375343102</v>
      </c>
      <c r="AM2779">
        <v>91.910749122108498</v>
      </c>
      <c r="AN2779">
        <v>0.99999999487049995</v>
      </c>
    </row>
    <row r="2780" spans="1:40" x14ac:dyDescent="0.3">
      <c r="A2780" t="str">
        <f>"20200111153931733"</f>
        <v>20200111153931733</v>
      </c>
      <c r="B2780" t="str">
        <f>"1578728371724063"</f>
        <v>1578728371724063</v>
      </c>
      <c r="C2780" t="s">
        <v>40</v>
      </c>
      <c r="D2780">
        <v>5.4824799999999998</v>
      </c>
      <c r="E2780">
        <v>0.43614449999999999</v>
      </c>
      <c r="F2780" t="s">
        <v>42</v>
      </c>
      <c r="G2780">
        <v>-328.61799999999999</v>
      </c>
      <c r="H2780" s="1">
        <v>-7.9638349999999998E-7</v>
      </c>
      <c r="I2780">
        <v>138.36949999999999</v>
      </c>
      <c r="J2780">
        <v>-315.01319999999998</v>
      </c>
      <c r="K2780">
        <v>1.103464</v>
      </c>
      <c r="L2780">
        <v>140.7191</v>
      </c>
      <c r="M2780">
        <v>-0.99954810000000005</v>
      </c>
      <c r="N2780">
        <v>0</v>
      </c>
      <c r="O2780">
        <v>2.8178080000000001E-2</v>
      </c>
      <c r="P2780">
        <v>-0.99679119999999999</v>
      </c>
      <c r="Q2780">
        <v>7.9741450000000005E-2</v>
      </c>
      <c r="R2780">
        <v>-6.9749819999999898E-3</v>
      </c>
      <c r="S2780">
        <v>-3.02536</v>
      </c>
      <c r="T2780">
        <v>-0.2344012</v>
      </c>
      <c r="U2780">
        <v>-0.49533080000000002</v>
      </c>
      <c r="V2780">
        <v>-3.5038380000000001E-2</v>
      </c>
      <c r="W2780">
        <v>9.0174870000000004E-2</v>
      </c>
      <c r="X2780">
        <v>0.99530940000000001</v>
      </c>
      <c r="Y2780">
        <v>-0.1886864</v>
      </c>
      <c r="Z2780">
        <v>-9.4173360000000001E-3</v>
      </c>
      <c r="AA2780">
        <v>0.98199219999999998</v>
      </c>
      <c r="AB2780">
        <v>61</v>
      </c>
      <c r="AC2780">
        <v>-13.604799999999999</v>
      </c>
      <c r="AD2780">
        <v>-1.1034647963835</v>
      </c>
      <c r="AE2780">
        <v>-2.3496000000000001</v>
      </c>
      <c r="AF2780">
        <v>-2.7147033967952598</v>
      </c>
      <c r="AG2780">
        <v>-1.1034647963835</v>
      </c>
      <c r="AH2780">
        <v>13.447284384569301</v>
      </c>
      <c r="AI2780">
        <v>94.598734888623</v>
      </c>
      <c r="AJ2780">
        <v>101.41332734149201</v>
      </c>
      <c r="AK2780">
        <v>13.762874205953899</v>
      </c>
      <c r="AL2780">
        <v>84.826332682088704</v>
      </c>
      <c r="AM2780">
        <v>92.016179692940796</v>
      </c>
      <c r="AN2780">
        <v>0.99999999849044996</v>
      </c>
    </row>
    <row r="2781" spans="1:40" x14ac:dyDescent="0.3">
      <c r="A2781" t="str">
        <f>"20200111153931757"</f>
        <v>20200111153931757</v>
      </c>
      <c r="B2781" t="str">
        <f>"1578728371753344"</f>
        <v>1578728371753344</v>
      </c>
      <c r="C2781" t="s">
        <v>40</v>
      </c>
      <c r="D2781">
        <v>5.4992619999999999</v>
      </c>
      <c r="E2781">
        <v>0.43595699999999998</v>
      </c>
      <c r="F2781" t="s">
        <v>42</v>
      </c>
      <c r="G2781">
        <v>-329.3569</v>
      </c>
      <c r="H2781" s="1">
        <v>-5.4465729999999995E-7</v>
      </c>
      <c r="I2781">
        <v>138.33949999999999</v>
      </c>
      <c r="J2781">
        <v>-315.64170000000001</v>
      </c>
      <c r="K2781">
        <v>1.103539</v>
      </c>
      <c r="L2781">
        <v>140.73679999999999</v>
      </c>
      <c r="M2781">
        <v>-0.99954030000000005</v>
      </c>
      <c r="N2781">
        <v>0</v>
      </c>
      <c r="O2781">
        <v>2.8234749999999999E-2</v>
      </c>
      <c r="P2781">
        <v>-0.99664260000000005</v>
      </c>
      <c r="Q2781">
        <v>8.1374680000000005E-2</v>
      </c>
      <c r="R2781">
        <v>-9.0543120000000001E-3</v>
      </c>
      <c r="S2781">
        <v>-3.02475</v>
      </c>
      <c r="T2781">
        <v>-0.23269609999999999</v>
      </c>
      <c r="U2781">
        <v>-0.50178529999999999</v>
      </c>
      <c r="V2781">
        <v>-3.7168319999999998E-2</v>
      </c>
      <c r="W2781">
        <v>9.2392879999999997E-2</v>
      </c>
      <c r="X2781">
        <v>0.99502869999999999</v>
      </c>
      <c r="Y2781">
        <v>-0.1908164</v>
      </c>
      <c r="Z2781">
        <v>-9.4348890000000001E-3</v>
      </c>
      <c r="AA2781">
        <v>0.98158040000000002</v>
      </c>
      <c r="AB2781">
        <v>61</v>
      </c>
      <c r="AC2781">
        <v>-13.7151999999999</v>
      </c>
      <c r="AD2781">
        <v>-1.1035395446573</v>
      </c>
      <c r="AE2781">
        <v>-2.3973</v>
      </c>
      <c r="AF2781">
        <v>-2.7662353563590201</v>
      </c>
      <c r="AG2781">
        <v>-1.1035395446573</v>
      </c>
      <c r="AH2781">
        <v>13.5568750578001</v>
      </c>
      <c r="AI2781">
        <v>94.560104483855994</v>
      </c>
      <c r="AJ2781">
        <v>101.53269811364</v>
      </c>
      <c r="AK2781">
        <v>13.8801555793225</v>
      </c>
      <c r="AL2781">
        <v>84.698717357221398</v>
      </c>
      <c r="AM2781">
        <v>92.139232977492</v>
      </c>
      <c r="AN2781">
        <v>1.000000021055</v>
      </c>
    </row>
    <row r="2782" spans="1:40" x14ac:dyDescent="0.3">
      <c r="A2782" t="str">
        <f>"20200111153931778"</f>
        <v>20200111153931778</v>
      </c>
      <c r="B2782" t="str">
        <f>"1578728371773840"</f>
        <v>1578728371773840</v>
      </c>
      <c r="C2782" t="s">
        <v>40</v>
      </c>
      <c r="D2782">
        <v>5.4932749999999997</v>
      </c>
      <c r="E2782">
        <v>0.43591619999999998</v>
      </c>
      <c r="F2782" t="s">
        <v>42</v>
      </c>
      <c r="G2782">
        <v>-330.24860000000001</v>
      </c>
      <c r="H2782" s="1">
        <v>-4.8281079999999998E-6</v>
      </c>
      <c r="I2782">
        <v>138.2741</v>
      </c>
      <c r="J2782">
        <v>-316.21089999999998</v>
      </c>
      <c r="K2782">
        <v>1.1035889999999999</v>
      </c>
      <c r="L2782">
        <v>140.75290000000001</v>
      </c>
      <c r="M2782">
        <v>-0.99953349999999996</v>
      </c>
      <c r="N2782">
        <v>0</v>
      </c>
      <c r="O2782">
        <v>2.8281520000000001E-2</v>
      </c>
      <c r="P2782">
        <v>-0.99650760000000005</v>
      </c>
      <c r="Q2782">
        <v>8.2763310000000007E-2</v>
      </c>
      <c r="R2782">
        <v>-1.109542E-2</v>
      </c>
      <c r="S2782">
        <v>-3.0240779999999998</v>
      </c>
      <c r="T2782">
        <v>-0.22846749999999999</v>
      </c>
      <c r="U2782">
        <v>-0.50985720000000001</v>
      </c>
      <c r="V2782">
        <v>-3.9251359999999999E-2</v>
      </c>
      <c r="W2782">
        <v>9.4257240000000006E-2</v>
      </c>
      <c r="X2782">
        <v>0.99477380000000004</v>
      </c>
      <c r="Y2782">
        <v>-0.19346089999999999</v>
      </c>
      <c r="Z2782">
        <v>-9.3665220000000004E-3</v>
      </c>
      <c r="AA2782">
        <v>0.98106320000000002</v>
      </c>
      <c r="AB2782">
        <v>61</v>
      </c>
      <c r="AC2782">
        <v>-14.037699999999999</v>
      </c>
      <c r="AD2782">
        <v>-1.103593828108</v>
      </c>
      <c r="AE2782">
        <v>-2.4788000000000001</v>
      </c>
      <c r="AF2782">
        <v>-2.8577140775214902</v>
      </c>
      <c r="AG2782">
        <v>-1.103593828108</v>
      </c>
      <c r="AH2782">
        <v>13.8787905798861</v>
      </c>
      <c r="AI2782">
        <v>94.453361088550807</v>
      </c>
      <c r="AJ2782">
        <v>101.634885554777</v>
      </c>
      <c r="AK2782">
        <v>14.2128560481923</v>
      </c>
      <c r="AL2782">
        <v>84.591429057434297</v>
      </c>
      <c r="AM2782">
        <v>92.259580251969396</v>
      </c>
      <c r="AN2782">
        <v>1.0000000048603499</v>
      </c>
    </row>
    <row r="2783" spans="1:40" x14ac:dyDescent="0.3">
      <c r="A2783" t="str">
        <f>"20200111153931800"</f>
        <v>20200111153931800</v>
      </c>
      <c r="B2783" t="str">
        <f>"1578728371793361"</f>
        <v>1578728371793361</v>
      </c>
      <c r="C2783" t="s">
        <v>40</v>
      </c>
      <c r="D2783">
        <v>5.4885349999999997</v>
      </c>
      <c r="E2783">
        <v>0.4358918</v>
      </c>
      <c r="F2783" t="s">
        <v>42</v>
      </c>
      <c r="G2783">
        <v>-331.0129</v>
      </c>
      <c r="H2783" s="1">
        <v>-4.4753379999999999E-6</v>
      </c>
      <c r="I2783">
        <v>138.2261</v>
      </c>
      <c r="J2783">
        <v>-316.82249999999999</v>
      </c>
      <c r="K2783">
        <v>1.1036280000000001</v>
      </c>
      <c r="L2783">
        <v>140.77019999999999</v>
      </c>
      <c r="M2783">
        <v>-0.99952669999999999</v>
      </c>
      <c r="N2783">
        <v>0</v>
      </c>
      <c r="O2783">
        <v>2.8325909999999999E-2</v>
      </c>
      <c r="P2783">
        <v>-0.99642260000000005</v>
      </c>
      <c r="Q2783">
        <v>8.3498020000000006E-2</v>
      </c>
      <c r="R2783">
        <v>-1.3030389999999999E-2</v>
      </c>
      <c r="S2783">
        <v>-3.0234990000000002</v>
      </c>
      <c r="T2783">
        <v>-0.22542319999999999</v>
      </c>
      <c r="U2783">
        <v>-0.51612849999999999</v>
      </c>
      <c r="V2783">
        <v>-4.1228859999999999E-2</v>
      </c>
      <c r="W2783">
        <v>9.5452029999999993E-2</v>
      </c>
      <c r="X2783">
        <v>0.99457989999999996</v>
      </c>
      <c r="Y2783">
        <v>-0.19552369999999999</v>
      </c>
      <c r="Z2783">
        <v>-9.3217679999999994E-3</v>
      </c>
      <c r="AA2783">
        <v>0.98065469999999999</v>
      </c>
      <c r="AB2783">
        <v>61</v>
      </c>
      <c r="AC2783">
        <v>-14.1904</v>
      </c>
      <c r="AD2783">
        <v>-1.103632475338</v>
      </c>
      <c r="AE2783">
        <v>-2.5440999999999798</v>
      </c>
      <c r="AF2783">
        <v>-2.9279055389062401</v>
      </c>
      <c r="AG2783">
        <v>-1.103632475338</v>
      </c>
      <c r="AH2783">
        <v>14.0304135493981</v>
      </c>
      <c r="AI2783">
        <v>94.403157013262401</v>
      </c>
      <c r="AJ2783">
        <v>101.787475911109</v>
      </c>
      <c r="AK2783">
        <v>14.375087472864699</v>
      </c>
      <c r="AL2783">
        <v>84.522662780955301</v>
      </c>
      <c r="AM2783">
        <v>92.373753961486202</v>
      </c>
      <c r="AN2783">
        <v>1.0000000432060101</v>
      </c>
    </row>
    <row r="2784" spans="1:40" x14ac:dyDescent="0.3">
      <c r="A2784" t="str">
        <f>"20200111153931823"</f>
        <v>20200111153931823</v>
      </c>
      <c r="B2784" t="str">
        <f>"1578728371813855"</f>
        <v>1578728371813855</v>
      </c>
      <c r="C2784" t="s">
        <v>40</v>
      </c>
      <c r="D2784">
        <v>5.463781</v>
      </c>
      <c r="E2784">
        <v>0.43591269999999999</v>
      </c>
      <c r="F2784" t="s">
        <v>42</v>
      </c>
      <c r="G2784">
        <v>-331.7097</v>
      </c>
      <c r="H2784" s="1">
        <v>-4.1506679999999999E-6</v>
      </c>
      <c r="I2784">
        <v>138.19970000000001</v>
      </c>
      <c r="J2784">
        <v>-317.44459999999998</v>
      </c>
      <c r="K2784">
        <v>1.1036539999999999</v>
      </c>
      <c r="L2784">
        <v>140.7878</v>
      </c>
      <c r="M2784">
        <v>-0.99952070000000004</v>
      </c>
      <c r="N2784">
        <v>0</v>
      </c>
      <c r="O2784">
        <v>2.836263E-2</v>
      </c>
      <c r="P2784">
        <v>-0.9964385</v>
      </c>
      <c r="Q2784">
        <v>8.3129359999999999E-2</v>
      </c>
      <c r="R2784">
        <v>-1.414925E-2</v>
      </c>
      <c r="S2784">
        <v>-3.0227050000000002</v>
      </c>
      <c r="T2784">
        <v>-0.22408330000000001</v>
      </c>
      <c r="U2784">
        <v>-0.52192689999999997</v>
      </c>
      <c r="V2784">
        <v>-4.2385329999999999E-2</v>
      </c>
      <c r="W2784">
        <v>9.5501390000000005E-2</v>
      </c>
      <c r="X2784">
        <v>0.99452649999999998</v>
      </c>
      <c r="Y2784">
        <v>-0.1974313</v>
      </c>
      <c r="Z2784">
        <v>-9.3402299999999997E-3</v>
      </c>
      <c r="AA2784">
        <v>0.98027220000000004</v>
      </c>
      <c r="AB2784">
        <v>61</v>
      </c>
      <c r="AC2784">
        <v>-14.2651</v>
      </c>
      <c r="AD2784">
        <v>-1.1036581506679899</v>
      </c>
      <c r="AE2784">
        <v>-2.5880999999999901</v>
      </c>
      <c r="AF2784">
        <v>-2.9744485781582601</v>
      </c>
      <c r="AG2784">
        <v>-1.1036581506679899</v>
      </c>
      <c r="AH2784">
        <v>14.1042151942153</v>
      </c>
      <c r="AI2784">
        <v>94.378373019102995</v>
      </c>
      <c r="AJ2784">
        <v>101.908651159689</v>
      </c>
      <c r="AK2784">
        <v>14.456634874768699</v>
      </c>
      <c r="AL2784">
        <v>84.519821419777898</v>
      </c>
      <c r="AM2784">
        <v>92.440389261344606</v>
      </c>
      <c r="AN2784">
        <v>0.99999999544669504</v>
      </c>
    </row>
    <row r="2785" spans="1:40" x14ac:dyDescent="0.3">
      <c r="A2785" t="str">
        <f>"20200111153931847"</f>
        <v>20200111153931847</v>
      </c>
      <c r="B2785" t="str">
        <f>"1578728371833376"</f>
        <v>1578728371833376</v>
      </c>
      <c r="C2785" t="s">
        <v>40</v>
      </c>
      <c r="D2785">
        <v>5.4963369999999996</v>
      </c>
      <c r="E2785">
        <v>0.43603540000000002</v>
      </c>
      <c r="F2785" t="s">
        <v>42</v>
      </c>
      <c r="G2785">
        <v>-332.21629999999999</v>
      </c>
      <c r="H2785" s="1">
        <v>-3.9075210000000002E-6</v>
      </c>
      <c r="I2785">
        <v>138.22020000000001</v>
      </c>
      <c r="J2785">
        <v>-318.07709999999997</v>
      </c>
      <c r="K2785">
        <v>1.103675</v>
      </c>
      <c r="L2785">
        <v>140.8058</v>
      </c>
      <c r="M2785">
        <v>-0.99951489999999998</v>
      </c>
      <c r="N2785">
        <v>0</v>
      </c>
      <c r="O2785">
        <v>2.8391340000000001E-2</v>
      </c>
      <c r="P2785">
        <v>-0.99647739999999996</v>
      </c>
      <c r="Q2785">
        <v>8.2627480000000003E-2</v>
      </c>
      <c r="R2785">
        <v>-1.4338389999999999E-2</v>
      </c>
      <c r="S2785">
        <v>-3.0220950000000002</v>
      </c>
      <c r="T2785">
        <v>-0.2257933</v>
      </c>
      <c r="U2785">
        <v>-0.52529910000000002</v>
      </c>
      <c r="V2785">
        <v>-4.260589E-2</v>
      </c>
      <c r="W2785">
        <v>9.5375139999999997E-2</v>
      </c>
      <c r="X2785">
        <v>0.9945292</v>
      </c>
      <c r="Y2785">
        <v>-0.1985422</v>
      </c>
      <c r="Z2785">
        <v>-9.4555799999999999E-3</v>
      </c>
      <c r="AA2785">
        <v>0.98004669999999905</v>
      </c>
      <c r="AB2785">
        <v>61</v>
      </c>
      <c r="AC2785">
        <v>-14.139200000000001</v>
      </c>
      <c r="AD2785">
        <v>-1.1036789075210001</v>
      </c>
      <c r="AE2785">
        <v>-2.5855999999999901</v>
      </c>
      <c r="AF2785">
        <v>-2.9685191683166998</v>
      </c>
      <c r="AG2785">
        <v>-1.1036789075210001</v>
      </c>
      <c r="AH2785">
        <v>13.9776736646513</v>
      </c>
      <c r="AI2785">
        <v>94.416614003270993</v>
      </c>
      <c r="AJ2785">
        <v>101.990088656971</v>
      </c>
      <c r="AK2785">
        <v>14.3319773324917</v>
      </c>
      <c r="AL2785">
        <v>84.527088231475801</v>
      </c>
      <c r="AM2785">
        <v>92.453066159246902</v>
      </c>
      <c r="AN2785">
        <v>1.00000000442267</v>
      </c>
    </row>
    <row r="2786" spans="1:40" x14ac:dyDescent="0.3">
      <c r="A2786" t="str">
        <f>"20200111153931866"</f>
        <v>20200111153931866</v>
      </c>
      <c r="B2786" t="str">
        <f>"1578728371863632"</f>
        <v>1578728371863632</v>
      </c>
      <c r="C2786" t="s">
        <v>40</v>
      </c>
      <c r="D2786">
        <v>5.5688209999999998</v>
      </c>
      <c r="E2786">
        <v>0.46870260000000002</v>
      </c>
      <c r="F2786" t="s">
        <v>42</v>
      </c>
      <c r="G2786">
        <v>-332.79109999999997</v>
      </c>
      <c r="H2786" s="1">
        <v>-3.631E-6</v>
      </c>
      <c r="I2786">
        <v>138.2475</v>
      </c>
      <c r="J2786">
        <v>-318.62529999999998</v>
      </c>
      <c r="K2786">
        <v>1.103691</v>
      </c>
      <c r="L2786">
        <v>140.82140000000001</v>
      </c>
      <c r="M2786">
        <v>-0.99951069999999997</v>
      </c>
      <c r="N2786">
        <v>0</v>
      </c>
      <c r="O2786">
        <v>2.8409239999999999E-2</v>
      </c>
      <c r="P2786">
        <v>-0.99651970000000001</v>
      </c>
      <c r="Q2786">
        <v>8.2110009999999997E-2</v>
      </c>
      <c r="R2786">
        <v>-1.4373830000000001E-2</v>
      </c>
      <c r="S2786">
        <v>-3.02182</v>
      </c>
      <c r="T2786">
        <v>-0.2266637</v>
      </c>
      <c r="U2786">
        <v>-0.52540589999999998</v>
      </c>
      <c r="V2786">
        <v>-4.2662319999999997E-2</v>
      </c>
      <c r="W2786">
        <v>9.5145869999999994E-2</v>
      </c>
      <c r="X2786">
        <v>0.99454869999999995</v>
      </c>
      <c r="Y2786">
        <v>-0.19860340000000001</v>
      </c>
      <c r="Z2786">
        <v>-9.4963659999999991E-3</v>
      </c>
      <c r="AA2786">
        <v>0.98003390000000001</v>
      </c>
      <c r="AB2786">
        <v>61</v>
      </c>
      <c r="AC2786">
        <v>-14.1657999999999</v>
      </c>
      <c r="AD2786">
        <v>-1.103694631</v>
      </c>
      <c r="AE2786">
        <v>-2.5739000000000001</v>
      </c>
      <c r="AF2786">
        <v>-2.9579529802233799</v>
      </c>
      <c r="AG2786">
        <v>-1.103694631</v>
      </c>
      <c r="AH2786">
        <v>14.0046559784852</v>
      </c>
      <c r="AI2786">
        <v>94.409236585072605</v>
      </c>
      <c r="AJ2786">
        <v>101.926278496115</v>
      </c>
      <c r="AK2786">
        <v>14.356114263526599</v>
      </c>
      <c r="AL2786">
        <v>84.540284221557599</v>
      </c>
      <c r="AM2786">
        <v>92.456263080518298</v>
      </c>
      <c r="AN2786">
        <v>0.99999996339876396</v>
      </c>
    </row>
    <row r="2787" spans="1:40" x14ac:dyDescent="0.3">
      <c r="A2787" t="str">
        <f>"20200111153931889"</f>
        <v>20200111153931889</v>
      </c>
      <c r="B2787" t="str">
        <f>"1578728371883151"</f>
        <v>1578728371883151</v>
      </c>
      <c r="C2787" t="s">
        <v>40</v>
      </c>
      <c r="D2787">
        <v>5.4436039999999997</v>
      </c>
      <c r="E2787">
        <v>0.52382529999999905</v>
      </c>
      <c r="F2787" t="s">
        <v>42</v>
      </c>
      <c r="G2787">
        <v>-335.7079</v>
      </c>
      <c r="H2787" s="1">
        <v>-2.0626419999999998E-6</v>
      </c>
      <c r="I2787">
        <v>139.3159</v>
      </c>
      <c r="J2787">
        <v>-319.23200000000003</v>
      </c>
      <c r="K2787">
        <v>1.1037060000000001</v>
      </c>
      <c r="L2787">
        <v>140.83860000000001</v>
      </c>
      <c r="M2787">
        <v>-0.99950669999999997</v>
      </c>
      <c r="N2787">
        <v>0</v>
      </c>
      <c r="O2787">
        <v>2.8423179999999999E-2</v>
      </c>
      <c r="P2787">
        <v>-0.99655079999999996</v>
      </c>
      <c r="Q2787">
        <v>8.1794599999999995E-2</v>
      </c>
      <c r="R2787">
        <v>-1.401196E-2</v>
      </c>
      <c r="S2787">
        <v>-3.0227360000000001</v>
      </c>
      <c r="T2787">
        <v>-0.19529560000000001</v>
      </c>
      <c r="U2787">
        <v>-0.26638790000000001</v>
      </c>
      <c r="V2787">
        <v>-4.2317680000000003E-2</v>
      </c>
      <c r="W2787">
        <v>9.5112639999999998E-2</v>
      </c>
      <c r="X2787">
        <v>0.99456659999999997</v>
      </c>
      <c r="Y2787">
        <v>-0.11576980000000001</v>
      </c>
      <c r="Z2787">
        <v>-5.5602739999999996E-3</v>
      </c>
      <c r="AA2787">
        <v>0.99326049999999999</v>
      </c>
      <c r="AB2787">
        <v>61</v>
      </c>
      <c r="AC2787">
        <v>-16.4758999999999</v>
      </c>
      <c r="AD2787">
        <v>-1.1037080626419999</v>
      </c>
      <c r="AE2787">
        <v>-1.5227000000000099</v>
      </c>
      <c r="AF2787">
        <v>-1.9816066921125099</v>
      </c>
      <c r="AG2787">
        <v>-1.1037080626419999</v>
      </c>
      <c r="AH2787">
        <v>16.3531939712271</v>
      </c>
      <c r="AI2787">
        <v>93.833189908425794</v>
      </c>
      <c r="AJ2787">
        <v>96.909160065927196</v>
      </c>
      <c r="AK2787">
        <v>16.509751349743102</v>
      </c>
      <c r="AL2787">
        <v>84.5421968215324</v>
      </c>
      <c r="AM2787">
        <v>92.436400805422494</v>
      </c>
      <c r="AN2787">
        <v>0.99999996108195499</v>
      </c>
    </row>
    <row r="2788" spans="1:40" x14ac:dyDescent="0.3">
      <c r="A2788" t="str">
        <f>"20200111153931911"</f>
        <v>20200111153931911</v>
      </c>
      <c r="B2788" t="str">
        <f>"1578728371903647"</f>
        <v>1578728371903647</v>
      </c>
      <c r="C2788" t="s">
        <v>40</v>
      </c>
      <c r="D2788">
        <v>5.6943999999999999</v>
      </c>
      <c r="E2788">
        <v>0.54421049999999904</v>
      </c>
      <c r="F2788" t="s">
        <v>42</v>
      </c>
      <c r="G2788">
        <v>-339.81659999999999</v>
      </c>
      <c r="H2788" s="1">
        <v>-7.0667569999999999E-7</v>
      </c>
      <c r="I2788">
        <v>142.0197</v>
      </c>
      <c r="J2788">
        <v>-319.85079999999999</v>
      </c>
      <c r="K2788">
        <v>1.103723</v>
      </c>
      <c r="L2788">
        <v>140.8562</v>
      </c>
      <c r="M2788">
        <v>-0.99950280000000002</v>
      </c>
      <c r="N2788">
        <v>0</v>
      </c>
      <c r="O2788">
        <v>2.843294E-2</v>
      </c>
      <c r="P2788">
        <v>-0.99650689999999997</v>
      </c>
      <c r="Q2788">
        <v>8.2347729999999994E-2</v>
      </c>
      <c r="R2788">
        <v>-1.388502E-2</v>
      </c>
      <c r="S2788">
        <v>-3.026154</v>
      </c>
      <c r="T2788">
        <v>-0.1622565</v>
      </c>
      <c r="U2788">
        <v>0.17364499999999999</v>
      </c>
      <c r="V2788">
        <v>-4.2200590000000003E-2</v>
      </c>
      <c r="W2788">
        <v>9.5916710000000002E-2</v>
      </c>
      <c r="X2788">
        <v>0.9944944</v>
      </c>
      <c r="Y2788">
        <v>2.8874509999999999E-2</v>
      </c>
      <c r="Z2788">
        <v>-7.4894549999999995E-4</v>
      </c>
      <c r="AA2788">
        <v>0.99958279999999999</v>
      </c>
      <c r="AB2788">
        <v>61</v>
      </c>
      <c r="AC2788">
        <v>-19.965800000000002</v>
      </c>
      <c r="AD2788">
        <v>-1.1037237066757</v>
      </c>
      <c r="AE2788">
        <v>1.16349999999999</v>
      </c>
      <c r="AF2788">
        <v>0.59348287557561397</v>
      </c>
      <c r="AG2788">
        <v>-1.1037237066757</v>
      </c>
      <c r="AH2788">
        <v>19.930111727134999</v>
      </c>
      <c r="AI2788">
        <v>93.168383931233393</v>
      </c>
      <c r="AJ2788">
        <v>88.2943387945936</v>
      </c>
      <c r="AK2788">
        <v>19.969471234871602</v>
      </c>
      <c r="AL2788">
        <v>84.495915664303297</v>
      </c>
      <c r="AM2788">
        <v>92.429843730036296</v>
      </c>
      <c r="AN2788">
        <v>1.0000000083424601</v>
      </c>
    </row>
    <row r="2789" spans="1:40" x14ac:dyDescent="0.3">
      <c r="A2789" t="str">
        <f>"20200111153931933"</f>
        <v>20200111153931933</v>
      </c>
      <c r="B2789" t="str">
        <f>"1578728371923167"</f>
        <v>1578728371923167</v>
      </c>
      <c r="C2789" t="s">
        <v>40</v>
      </c>
      <c r="D2789">
        <v>5.5778749999999997</v>
      </c>
      <c r="E2789">
        <v>0.55156759999999905</v>
      </c>
      <c r="F2789" t="s">
        <v>42</v>
      </c>
      <c r="G2789">
        <v>-339.74189999999999</v>
      </c>
      <c r="H2789" s="1">
        <v>-1.022534E-6</v>
      </c>
      <c r="I2789">
        <v>143.07429999999999</v>
      </c>
      <c r="J2789">
        <v>-320.459</v>
      </c>
      <c r="K2789">
        <v>1.103748</v>
      </c>
      <c r="L2789">
        <v>140.87350000000001</v>
      </c>
      <c r="M2789">
        <v>-0.99949980000000005</v>
      </c>
      <c r="N2789">
        <v>0</v>
      </c>
      <c r="O2789">
        <v>2.8439289999999999E-2</v>
      </c>
      <c r="P2789">
        <v>-0.99648820000000005</v>
      </c>
      <c r="Q2789">
        <v>8.2579700000000006E-2</v>
      </c>
      <c r="R2789">
        <v>-1.387941E-2</v>
      </c>
      <c r="S2789">
        <v>-3.0291440000000001</v>
      </c>
      <c r="T2789">
        <v>-0.1680818</v>
      </c>
      <c r="U2789">
        <v>0.33778380000000002</v>
      </c>
      <c r="V2789">
        <v>-4.2202549999999998E-2</v>
      </c>
      <c r="W2789">
        <v>9.6363809999999994E-2</v>
      </c>
      <c r="X2789">
        <v>0.99445110000000003</v>
      </c>
      <c r="Y2789">
        <v>8.2430779999999995E-2</v>
      </c>
      <c r="Z2789">
        <v>7.0682310000000001E-4</v>
      </c>
      <c r="AA2789">
        <v>0.9965965</v>
      </c>
      <c r="AB2789">
        <v>61</v>
      </c>
      <c r="AC2789">
        <v>-19.282899999999898</v>
      </c>
      <c r="AD2789">
        <v>-1.1037490225340001</v>
      </c>
      <c r="AE2789">
        <v>2.2007999999999801</v>
      </c>
      <c r="AF2789">
        <v>1.64614113859053</v>
      </c>
      <c r="AG2789">
        <v>-1.1037490225340001</v>
      </c>
      <c r="AH2789">
        <v>19.2753526131375</v>
      </c>
      <c r="AI2789">
        <v>93.265442667298899</v>
      </c>
      <c r="AJ2789">
        <v>85.118707135265197</v>
      </c>
      <c r="AK2789">
        <v>19.376977600071999</v>
      </c>
      <c r="AL2789">
        <v>84.470179541409706</v>
      </c>
      <c r="AM2789">
        <v>92.430062125864296</v>
      </c>
      <c r="AN2789">
        <v>1.0000000146977099</v>
      </c>
    </row>
    <row r="2790" spans="1:40" x14ac:dyDescent="0.3">
      <c r="A2790" t="str">
        <f>"20200111153931956"</f>
        <v>20200111153931956</v>
      </c>
      <c r="B2790" t="str">
        <f>"1578728371943663"</f>
        <v>1578728371943663</v>
      </c>
      <c r="C2790" t="s">
        <v>40</v>
      </c>
      <c r="D2790">
        <v>5.5945999999999998</v>
      </c>
      <c r="E2790">
        <v>0.55399509999999996</v>
      </c>
      <c r="F2790" t="s">
        <v>42</v>
      </c>
      <c r="G2790">
        <v>-340.47930000000002</v>
      </c>
      <c r="H2790" s="1">
        <v>-4.8007950000000003E-6</v>
      </c>
      <c r="I2790">
        <v>143.49420000000001</v>
      </c>
      <c r="J2790">
        <v>-321.03530000000001</v>
      </c>
      <c r="K2790">
        <v>1.10378</v>
      </c>
      <c r="L2790">
        <v>140.88990000000001</v>
      </c>
      <c r="M2790">
        <v>-0.99949710000000003</v>
      </c>
      <c r="N2790">
        <v>0</v>
      </c>
      <c r="O2790">
        <v>2.8443409999999999E-2</v>
      </c>
      <c r="P2790">
        <v>-0.99643579999999998</v>
      </c>
      <c r="Q2790">
        <v>8.2981449999999998E-2</v>
      </c>
      <c r="R2790">
        <v>-1.5163390000000001E-2</v>
      </c>
      <c r="S2790">
        <v>-3.0299070000000001</v>
      </c>
      <c r="T2790">
        <v>-0.1670451</v>
      </c>
      <c r="U2790">
        <v>0.39663700000000002</v>
      </c>
      <c r="V2790">
        <v>-4.3490340000000002E-2</v>
      </c>
      <c r="W2790">
        <v>9.6941399999999997E-2</v>
      </c>
      <c r="X2790">
        <v>0.99433950000000004</v>
      </c>
      <c r="Y2790">
        <v>0.10143290000000001</v>
      </c>
      <c r="Z2790">
        <v>1.2225529999999999E-3</v>
      </c>
      <c r="AA2790">
        <v>0.99484159999999999</v>
      </c>
      <c r="AB2790">
        <v>61</v>
      </c>
      <c r="AC2790">
        <v>-19.443999999999999</v>
      </c>
      <c r="AD2790">
        <v>-1.103784800795</v>
      </c>
      <c r="AE2790">
        <v>2.6042999999999901</v>
      </c>
      <c r="AF2790">
        <v>2.04366836119436</v>
      </c>
      <c r="AG2790">
        <v>-1.103784800795</v>
      </c>
      <c r="AH2790">
        <v>19.448644543000899</v>
      </c>
      <c r="AI2790">
        <v>93.230521054844402</v>
      </c>
      <c r="AJ2790">
        <v>84.001359445146903</v>
      </c>
      <c r="AK2790">
        <v>19.586850073889199</v>
      </c>
      <c r="AL2790">
        <v>84.436930563426898</v>
      </c>
      <c r="AM2790">
        <v>92.504401969626699</v>
      </c>
      <c r="AN2790">
        <v>1.0000000429837601</v>
      </c>
    </row>
    <row r="2791" spans="1:40" x14ac:dyDescent="0.3">
      <c r="A2791" t="str">
        <f>"20200111153931977"</f>
        <v>20200111153931977</v>
      </c>
      <c r="B2791" t="str">
        <f>"1578728371963184"</f>
        <v>1578728371963184</v>
      </c>
      <c r="C2791" t="s">
        <v>40</v>
      </c>
      <c r="D2791">
        <v>5.5728410000000004</v>
      </c>
      <c r="E2791">
        <v>0.55517590000000006</v>
      </c>
      <c r="F2791" t="s">
        <v>41</v>
      </c>
      <c r="G2791">
        <v>-322.28019999999998</v>
      </c>
      <c r="H2791">
        <v>1.0383659999999999</v>
      </c>
      <c r="I2791">
        <v>141.05930000000001</v>
      </c>
      <c r="J2791">
        <v>-321.62270000000001</v>
      </c>
      <c r="K2791">
        <v>1.1038190000000001</v>
      </c>
      <c r="L2791">
        <v>140.9066</v>
      </c>
      <c r="M2791">
        <v>-0.99949500000000002</v>
      </c>
      <c r="N2791">
        <v>0</v>
      </c>
      <c r="O2791">
        <v>2.8436630000000001E-2</v>
      </c>
      <c r="P2791">
        <v>-0.99633400000000005</v>
      </c>
      <c r="Q2791">
        <v>8.3827260000000001E-2</v>
      </c>
      <c r="R2791">
        <v>-1.707038E-2</v>
      </c>
      <c r="S2791">
        <v>-3.0302730000000002</v>
      </c>
      <c r="T2791">
        <v>-0.1592401</v>
      </c>
      <c r="U2791">
        <v>0.41186519999999999</v>
      </c>
      <c r="V2791">
        <v>-4.538851E-2</v>
      </c>
      <c r="W2791">
        <v>9.7941319999999998E-2</v>
      </c>
      <c r="X2791">
        <v>0.99415659999999895</v>
      </c>
      <c r="Y2791">
        <v>0.1063383</v>
      </c>
      <c r="Z2791">
        <v>1.2935729999999999E-3</v>
      </c>
      <c r="AA2791">
        <v>0.99432920000000002</v>
      </c>
      <c r="AB2791">
        <v>61</v>
      </c>
      <c r="AC2791">
        <v>-0.65749999999997</v>
      </c>
      <c r="AD2791">
        <v>-6.5453000000000205E-2</v>
      </c>
      <c r="AE2791">
        <v>0.15270000000000999</v>
      </c>
      <c r="AF2791">
        <v>0.13269161025437101</v>
      </c>
      <c r="AG2791">
        <v>-6.5453000000000205E-2</v>
      </c>
      <c r="AH2791">
        <v>0.65541409429978903</v>
      </c>
      <c r="AI2791">
        <v>95.590265092032993</v>
      </c>
      <c r="AJ2791">
        <v>78.554901517606098</v>
      </c>
      <c r="AK2791">
        <v>0.67190683405343499</v>
      </c>
      <c r="AL2791">
        <v>84.379365087589093</v>
      </c>
      <c r="AM2791">
        <v>92.614040319978301</v>
      </c>
      <c r="AN2791">
        <v>0.99999998216346098</v>
      </c>
    </row>
    <row r="2792" spans="1:40" x14ac:dyDescent="0.3">
      <c r="A2792" t="str">
        <f>"20200111153932000"</f>
        <v>20200111153932000</v>
      </c>
      <c r="B2792" t="str">
        <f>"1578728371993439"</f>
        <v>1578728371993439</v>
      </c>
      <c r="C2792" t="s">
        <v>40</v>
      </c>
      <c r="D2792">
        <v>5.4925009999999999</v>
      </c>
      <c r="E2792">
        <v>0.55616669999999901</v>
      </c>
      <c r="F2792" t="s">
        <v>42</v>
      </c>
      <c r="G2792">
        <v>-343.67070000000001</v>
      </c>
      <c r="H2792" s="1">
        <v>-3.7917559999999999E-6</v>
      </c>
      <c r="I2792">
        <v>143.92840000000001</v>
      </c>
      <c r="J2792">
        <v>-322.25099999999998</v>
      </c>
      <c r="K2792">
        <v>1.103866</v>
      </c>
      <c r="L2792">
        <v>140.92439999999999</v>
      </c>
      <c r="M2792">
        <v>-0.99949350000000003</v>
      </c>
      <c r="N2792">
        <v>0</v>
      </c>
      <c r="O2792">
        <v>2.8413859999999999E-2</v>
      </c>
      <c r="P2792">
        <v>-0.99611780000000005</v>
      </c>
      <c r="Q2792">
        <v>8.5990189999999994E-2</v>
      </c>
      <c r="R2792">
        <v>-1.8845830000000001E-2</v>
      </c>
      <c r="S2792">
        <v>-3.0309140000000001</v>
      </c>
      <c r="T2792">
        <v>-0.1517415</v>
      </c>
      <c r="U2792">
        <v>0.41542050000000003</v>
      </c>
      <c r="V2792">
        <v>-4.7137709999999999E-2</v>
      </c>
      <c r="W2792">
        <v>0.1002445</v>
      </c>
      <c r="X2792">
        <v>0.9938456</v>
      </c>
      <c r="Y2792">
        <v>0.1074861</v>
      </c>
      <c r="Z2792">
        <v>1.2620979999999999E-3</v>
      </c>
      <c r="AA2792">
        <v>0.99420580000000003</v>
      </c>
      <c r="AB2792">
        <v>61</v>
      </c>
      <c r="AC2792">
        <v>-21.419699999999999</v>
      </c>
      <c r="AD2792">
        <v>-1.1038697917560001</v>
      </c>
      <c r="AE2792">
        <v>3.0040000000000102</v>
      </c>
      <c r="AF2792">
        <v>2.3878883788299898</v>
      </c>
      <c r="AG2792">
        <v>-1.1038697917560001</v>
      </c>
      <c r="AH2792">
        <v>21.4405686659303</v>
      </c>
      <c r="AI2792">
        <v>92.929197764875894</v>
      </c>
      <c r="AJ2792">
        <v>83.645018415075597</v>
      </c>
      <c r="AK2792">
        <v>21.601354683106699</v>
      </c>
      <c r="AL2792">
        <v>84.246749957156396</v>
      </c>
      <c r="AM2792">
        <v>92.715481522563707</v>
      </c>
      <c r="AN2792">
        <v>1.0000000000618201</v>
      </c>
    </row>
    <row r="2793" spans="1:40" x14ac:dyDescent="0.3">
      <c r="A2793" t="str">
        <f>"20200111153932023"</f>
        <v>20200111153932023</v>
      </c>
      <c r="B2793" t="str">
        <f>"1578728372013938"</f>
        <v>1578728372013938</v>
      </c>
      <c r="C2793" t="s">
        <v>40</v>
      </c>
      <c r="D2793">
        <v>5.474507</v>
      </c>
      <c r="E2793">
        <v>0.55685929999999995</v>
      </c>
      <c r="F2793" t="s">
        <v>42</v>
      </c>
      <c r="G2793">
        <v>-345.96699999999998</v>
      </c>
      <c r="H2793" s="1">
        <v>-2.9292319999999999E-6</v>
      </c>
      <c r="I2793">
        <v>144.1893</v>
      </c>
      <c r="J2793">
        <v>-322.87939999999998</v>
      </c>
      <c r="K2793">
        <v>1.103925</v>
      </c>
      <c r="L2793">
        <v>140.94220000000001</v>
      </c>
      <c r="M2793">
        <v>-0.99949339999999998</v>
      </c>
      <c r="N2793">
        <v>0</v>
      </c>
      <c r="O2793">
        <v>2.8359700000000002E-2</v>
      </c>
      <c r="P2793">
        <v>-0.99593019999999999</v>
      </c>
      <c r="Q2793">
        <v>8.8045979999999996E-2</v>
      </c>
      <c r="R2793">
        <v>-1.9264409999999999E-2</v>
      </c>
      <c r="S2793">
        <v>-3.0317690000000002</v>
      </c>
      <c r="T2793">
        <v>-0.1411152</v>
      </c>
      <c r="U2793">
        <v>0.41738890000000001</v>
      </c>
      <c r="V2793">
        <v>-4.7502950000000002E-2</v>
      </c>
      <c r="W2793">
        <v>0.10242</v>
      </c>
      <c r="X2793">
        <v>0.9936064</v>
      </c>
      <c r="Y2793">
        <v>0.1081481</v>
      </c>
      <c r="Z2793">
        <v>1.191267E-3</v>
      </c>
      <c r="AA2793">
        <v>0.99413410000000002</v>
      </c>
      <c r="AB2793">
        <v>61</v>
      </c>
      <c r="AC2793">
        <v>-23.087599999999998</v>
      </c>
      <c r="AD2793">
        <v>-1.1039279292319999</v>
      </c>
      <c r="AE2793">
        <v>3.2470999999999801</v>
      </c>
      <c r="AF2793">
        <v>2.5851722422894601</v>
      </c>
      <c r="AG2793">
        <v>-1.1039279292319999</v>
      </c>
      <c r="AH2793">
        <v>23.118578563764999</v>
      </c>
      <c r="AI2793">
        <v>92.716927912340793</v>
      </c>
      <c r="AJ2793">
        <v>83.619561152368505</v>
      </c>
      <c r="AK2793">
        <v>23.2888481296138</v>
      </c>
      <c r="AL2793">
        <v>84.121458231323899</v>
      </c>
      <c r="AM2793">
        <v>92.737147973095901</v>
      </c>
      <c r="AN2793">
        <v>1.0000000323898299</v>
      </c>
    </row>
    <row r="2794" spans="1:40" x14ac:dyDescent="0.3">
      <c r="A2794" t="str">
        <f>"20200111153932044"</f>
        <v>20200111153932044</v>
      </c>
      <c r="B2794" t="str">
        <f>"1578728372033456"</f>
        <v>1578728372033456</v>
      </c>
      <c r="C2794" t="s">
        <v>40</v>
      </c>
      <c r="D2794">
        <v>5.4585299999999997</v>
      </c>
      <c r="E2794">
        <v>0.55722050000000001</v>
      </c>
      <c r="F2794" t="s">
        <v>42</v>
      </c>
      <c r="G2794">
        <v>-348.12819999999999</v>
      </c>
      <c r="H2794" s="1">
        <v>-2.0715380000000002E-6</v>
      </c>
      <c r="I2794">
        <v>144.4504</v>
      </c>
      <c r="J2794">
        <v>-323.44450000000001</v>
      </c>
      <c r="K2794">
        <v>1.103988</v>
      </c>
      <c r="L2794">
        <v>140.95820000000001</v>
      </c>
      <c r="M2794">
        <v>-0.99949440000000001</v>
      </c>
      <c r="N2794">
        <v>0</v>
      </c>
      <c r="O2794">
        <v>2.8266920000000001E-2</v>
      </c>
      <c r="P2794">
        <v>-0.99575849999999999</v>
      </c>
      <c r="Q2794">
        <v>8.9940290000000006E-2</v>
      </c>
      <c r="R2794">
        <v>-1.9377950000000001E-2</v>
      </c>
      <c r="S2794">
        <v>-3.0321660000000001</v>
      </c>
      <c r="T2794">
        <v>-0.13257269999999999</v>
      </c>
      <c r="U2794">
        <v>0.42131039999999997</v>
      </c>
      <c r="V2794">
        <v>-4.7528140000000003E-2</v>
      </c>
      <c r="W2794">
        <v>0.10440580000000001</v>
      </c>
      <c r="X2794">
        <v>0.99339849999999996</v>
      </c>
      <c r="Y2794">
        <v>0.1094929</v>
      </c>
      <c r="Z2794">
        <v>1.1522570000000001E-3</v>
      </c>
      <c r="AA2794">
        <v>0.99398690000000001</v>
      </c>
      <c r="AB2794">
        <v>61</v>
      </c>
      <c r="AC2794">
        <v>-24.683699999999899</v>
      </c>
      <c r="AD2794">
        <v>-1.103990071538</v>
      </c>
      <c r="AE2794">
        <v>3.4921999999999902</v>
      </c>
      <c r="AF2794">
        <v>2.7875314732641301</v>
      </c>
      <c r="AG2794">
        <v>-1.103990071538</v>
      </c>
      <c r="AH2794">
        <v>24.724072046037701</v>
      </c>
      <c r="AI2794">
        <v>92.540622497086204</v>
      </c>
      <c r="AJ2794">
        <v>83.567315077114401</v>
      </c>
      <c r="AK2794">
        <v>24.905197536461301</v>
      </c>
      <c r="AL2794">
        <v>84.007066979883405</v>
      </c>
      <c r="AM2794">
        <v>92.739169491785603</v>
      </c>
      <c r="AN2794">
        <v>1.00000003748387</v>
      </c>
    </row>
    <row r="2795" spans="1:40" x14ac:dyDescent="0.3">
      <c r="A2795" t="str">
        <f>"20200111153932067"</f>
        <v>20200111153932067</v>
      </c>
      <c r="B2795" t="str">
        <f>"1578728372063711"</f>
        <v>1578728372063711</v>
      </c>
      <c r="C2795" t="s">
        <v>40</v>
      </c>
      <c r="D2795">
        <v>5.3638909999999997</v>
      </c>
      <c r="E2795">
        <v>0.55771579999999998</v>
      </c>
      <c r="F2795" t="s">
        <v>42</v>
      </c>
      <c r="G2795">
        <v>-350.20030000000003</v>
      </c>
      <c r="H2795" s="1">
        <v>-5.1090200000000003E-6</v>
      </c>
      <c r="I2795">
        <v>144.69649999999999</v>
      </c>
      <c r="J2795">
        <v>-324.05360000000002</v>
      </c>
      <c r="K2795">
        <v>1.10407099999999</v>
      </c>
      <c r="L2795">
        <v>140.9753</v>
      </c>
      <c r="M2795">
        <v>-0.999498</v>
      </c>
      <c r="N2795">
        <v>0</v>
      </c>
      <c r="O2795">
        <v>2.809907E-2</v>
      </c>
      <c r="P2795">
        <v>-0.99563489999999999</v>
      </c>
      <c r="Q2795">
        <v>9.1098170000000006E-2</v>
      </c>
      <c r="R2795">
        <v>-2.03161E-2</v>
      </c>
      <c r="S2795">
        <v>-3.0322879999999999</v>
      </c>
      <c r="T2795">
        <v>-0.12511800000000001</v>
      </c>
      <c r="U2795">
        <v>0.42367549999999998</v>
      </c>
      <c r="V2795">
        <v>-4.8309499999999998E-2</v>
      </c>
      <c r="W2795">
        <v>0.1056463</v>
      </c>
      <c r="X2795">
        <v>0.99322960000000005</v>
      </c>
      <c r="Y2795">
        <v>0.1104222</v>
      </c>
      <c r="Z2795">
        <v>1.1133740000000001E-3</v>
      </c>
      <c r="AA2795">
        <v>0.99388410000000005</v>
      </c>
      <c r="AB2795">
        <v>60</v>
      </c>
      <c r="AC2795">
        <v>-26.146699999999999</v>
      </c>
      <c r="AD2795">
        <v>-1.10407610901999</v>
      </c>
      <c r="AE2795">
        <v>3.7211999999999801</v>
      </c>
      <c r="AF2795">
        <v>2.9797461290818501</v>
      </c>
      <c r="AG2795">
        <v>-1.10407610901999</v>
      </c>
      <c r="AH2795">
        <v>26.195166948412801</v>
      </c>
      <c r="AI2795">
        <v>92.398032351124996</v>
      </c>
      <c r="AJ2795">
        <v>83.510399421053506</v>
      </c>
      <c r="AK2795">
        <v>26.387206038220601</v>
      </c>
      <c r="AL2795">
        <v>83.935596024308495</v>
      </c>
      <c r="AM2795">
        <v>92.7846037059509</v>
      </c>
      <c r="AN2795">
        <v>0.99999999340504997</v>
      </c>
    </row>
    <row r="2796" spans="1:40" x14ac:dyDescent="0.3">
      <c r="A2796" t="str">
        <f>"20200111153932090"</f>
        <v>20200111153932090</v>
      </c>
      <c r="B2796" t="str">
        <f>"1578728372083232"</f>
        <v>1578728372083232</v>
      </c>
      <c r="C2796" t="s">
        <v>40</v>
      </c>
      <c r="D2796">
        <v>5.3636879999999998</v>
      </c>
      <c r="E2796">
        <v>0.55786769999999997</v>
      </c>
      <c r="F2796" t="s">
        <v>42</v>
      </c>
      <c r="G2796">
        <v>-351.8021</v>
      </c>
      <c r="H2796" s="1">
        <v>-4.5936329999999998E-6</v>
      </c>
      <c r="I2796">
        <v>144.86410000000001</v>
      </c>
      <c r="J2796">
        <v>-324.6671</v>
      </c>
      <c r="K2796">
        <v>1.1041840000000001</v>
      </c>
      <c r="L2796">
        <v>140.9924</v>
      </c>
      <c r="M2796">
        <v>-0.9995039</v>
      </c>
      <c r="N2796">
        <v>0</v>
      </c>
      <c r="O2796">
        <v>2.7843489999999999E-2</v>
      </c>
      <c r="P2796">
        <v>-0.99542520000000001</v>
      </c>
      <c r="Q2796">
        <v>9.2873479999999994E-2</v>
      </c>
      <c r="R2796">
        <v>-2.2430700000000001E-2</v>
      </c>
      <c r="S2796">
        <v>-3.032867</v>
      </c>
      <c r="T2796">
        <v>-0.1206739</v>
      </c>
      <c r="U2796">
        <v>0.4250488</v>
      </c>
      <c r="V2796">
        <v>-5.0182989999999997E-2</v>
      </c>
      <c r="W2796">
        <v>0.10748679999999999</v>
      </c>
      <c r="X2796">
        <v>0.99293920000000002</v>
      </c>
      <c r="Y2796">
        <v>0.11109570000000001</v>
      </c>
      <c r="Z2796">
        <v>1.0970559999999999E-3</v>
      </c>
      <c r="AA2796">
        <v>0.9938091</v>
      </c>
      <c r="AB2796">
        <v>60</v>
      </c>
      <c r="AC2796">
        <v>-27.134999999999899</v>
      </c>
      <c r="AD2796">
        <v>-1.104188593633</v>
      </c>
      <c r="AE2796">
        <v>3.8717000000000001</v>
      </c>
      <c r="AF2796">
        <v>3.10953735932716</v>
      </c>
      <c r="AG2796">
        <v>-1.104188593633</v>
      </c>
      <c r="AH2796">
        <v>27.188168776479799</v>
      </c>
      <c r="AI2796">
        <v>92.310619213262399</v>
      </c>
      <c r="AJ2796">
        <v>83.4753762233115</v>
      </c>
      <c r="AK2796">
        <v>27.3876792820734</v>
      </c>
      <c r="AL2796">
        <v>83.829539232319505</v>
      </c>
      <c r="AM2796">
        <v>92.893257910471803</v>
      </c>
      <c r="AN2796">
        <v>0.99999999977811005</v>
      </c>
    </row>
    <row r="2797" spans="1:40" x14ac:dyDescent="0.3">
      <c r="A2797" t="str">
        <f>"20200111153932113"</f>
        <v>20200111153932113</v>
      </c>
      <c r="B2797" t="str">
        <f>"1578728372103730"</f>
        <v>1578728372103730</v>
      </c>
      <c r="C2797" t="s">
        <v>40</v>
      </c>
      <c r="D2797">
        <v>5.3614420000000003</v>
      </c>
      <c r="E2797">
        <v>0.55816129999999997</v>
      </c>
      <c r="F2797" t="s">
        <v>42</v>
      </c>
      <c r="G2797">
        <v>-353.93049999999999</v>
      </c>
      <c r="H2797" s="1">
        <v>-3.9030289999999999E-6</v>
      </c>
      <c r="I2797">
        <v>145.054</v>
      </c>
      <c r="J2797">
        <v>-325.2946</v>
      </c>
      <c r="K2797">
        <v>1.1043350000000001</v>
      </c>
      <c r="L2797">
        <v>141.00960000000001</v>
      </c>
      <c r="M2797">
        <v>-0.99951299999999998</v>
      </c>
      <c r="N2797">
        <v>0</v>
      </c>
      <c r="O2797">
        <v>2.7479819999999999E-2</v>
      </c>
      <c r="P2797">
        <v>-0.99510080000000001</v>
      </c>
      <c r="Q2797">
        <v>9.5157870000000006E-2</v>
      </c>
      <c r="R2797">
        <v>-2.6823679999999999E-2</v>
      </c>
      <c r="S2797">
        <v>-3.0339969999999998</v>
      </c>
      <c r="T2797">
        <v>-0.11448120000000001</v>
      </c>
      <c r="U2797">
        <v>0.42111209999999999</v>
      </c>
      <c r="V2797">
        <v>-5.423008E-2</v>
      </c>
      <c r="W2797">
        <v>0.1098205</v>
      </c>
      <c r="X2797">
        <v>0.99247090000000004</v>
      </c>
      <c r="Y2797">
        <v>0.11014839999999999</v>
      </c>
      <c r="Z2797">
        <v>1.0363569999999999E-3</v>
      </c>
      <c r="AA2797">
        <v>0.99391459999999998</v>
      </c>
      <c r="AB2797">
        <v>60</v>
      </c>
      <c r="AC2797">
        <v>-28.6358999999999</v>
      </c>
      <c r="AD2797">
        <v>-1.1043389030290001</v>
      </c>
      <c r="AE2797">
        <v>4.0443999999999898</v>
      </c>
      <c r="AF2797">
        <v>3.2511362447954002</v>
      </c>
      <c r="AG2797">
        <v>-1.1043389030290001</v>
      </c>
      <c r="AH2797">
        <v>28.694394035600698</v>
      </c>
      <c r="AI2797">
        <v>92.190012099694798</v>
      </c>
      <c r="AJ2797">
        <v>83.535832499229201</v>
      </c>
      <c r="AK2797">
        <v>28.8990951478638</v>
      </c>
      <c r="AL2797">
        <v>83.695031493970902</v>
      </c>
      <c r="AM2797">
        <v>93.127616033305401</v>
      </c>
      <c r="AN2797">
        <v>0.99999996557193205</v>
      </c>
    </row>
    <row r="2798" spans="1:40" x14ac:dyDescent="0.3">
      <c r="A2798" t="str">
        <f>"20200111153932135"</f>
        <v>20200111153932135</v>
      </c>
      <c r="B2798" t="str">
        <f>"1578728372123247"</f>
        <v>1578728372123247</v>
      </c>
      <c r="C2798" t="s">
        <v>40</v>
      </c>
      <c r="D2798">
        <v>5.2902209999999998</v>
      </c>
      <c r="E2798">
        <v>0.55840000000000001</v>
      </c>
      <c r="F2798" t="s">
        <v>42</v>
      </c>
      <c r="G2798">
        <v>-356.68950000000001</v>
      </c>
      <c r="H2798" s="1">
        <v>-2.9052409999999998E-6</v>
      </c>
      <c r="I2798">
        <v>145.26410000000001</v>
      </c>
      <c r="J2798">
        <v>-325.88819999999998</v>
      </c>
      <c r="K2798">
        <v>1.104517</v>
      </c>
      <c r="L2798">
        <v>141.0257</v>
      </c>
      <c r="M2798">
        <v>-0.99952450000000004</v>
      </c>
      <c r="N2798">
        <v>0</v>
      </c>
      <c r="O2798">
        <v>2.7027430000000002E-2</v>
      </c>
      <c r="P2798">
        <v>-0.99430220000000002</v>
      </c>
      <c r="Q2798">
        <v>0.1017329</v>
      </c>
      <c r="R2798">
        <v>-3.184319E-2</v>
      </c>
      <c r="S2798">
        <v>-3.0360719999999999</v>
      </c>
      <c r="T2798">
        <v>-0.106796</v>
      </c>
      <c r="U2798">
        <v>0.41143800000000003</v>
      </c>
      <c r="V2798">
        <v>-5.8810029999999999E-2</v>
      </c>
      <c r="W2798">
        <v>0.1164197</v>
      </c>
      <c r="X2798">
        <v>0.99145749999999999</v>
      </c>
      <c r="Y2798">
        <v>0.10740570000000001</v>
      </c>
      <c r="Z2798">
        <v>9.3418579999999998E-4</v>
      </c>
      <c r="AA2798">
        <v>0.99421479999999995</v>
      </c>
      <c r="AB2798">
        <v>60</v>
      </c>
      <c r="AC2798">
        <v>-30.801300000000001</v>
      </c>
      <c r="AD2798">
        <v>-1.104519905241</v>
      </c>
      <c r="AE2798">
        <v>4.2384000000000102</v>
      </c>
      <c r="AF2798">
        <v>3.3999888323655401</v>
      </c>
      <c r="AG2798">
        <v>-1.104519905241</v>
      </c>
      <c r="AH2798">
        <v>30.865658502711501</v>
      </c>
      <c r="AI2798">
        <v>92.037129183736596</v>
      </c>
      <c r="AJ2798">
        <v>83.713959595248795</v>
      </c>
      <c r="AK2798">
        <v>31.071993226815799</v>
      </c>
      <c r="AL2798">
        <v>83.314482527689705</v>
      </c>
      <c r="AM2798">
        <v>93.394621474898699</v>
      </c>
      <c r="AN2798">
        <v>1.00000007024146</v>
      </c>
    </row>
    <row r="2799" spans="1:40" x14ac:dyDescent="0.3">
      <c r="A2799" t="str">
        <f>"20200111153932156"</f>
        <v>20200111153932156</v>
      </c>
      <c r="B2799" t="str">
        <f>"1578728372153504"</f>
        <v>1578728372153504</v>
      </c>
      <c r="C2799" t="s">
        <v>40</v>
      </c>
      <c r="D2799">
        <v>5.2697089999999998</v>
      </c>
      <c r="E2799">
        <v>0.55892869999999995</v>
      </c>
      <c r="F2799" t="s">
        <v>42</v>
      </c>
      <c r="G2799">
        <v>-364.90050000000002</v>
      </c>
      <c r="H2799" s="1">
        <v>-3.76756999999999E-6</v>
      </c>
      <c r="I2799">
        <v>146.1514</v>
      </c>
      <c r="J2799">
        <v>-326.46480000000003</v>
      </c>
      <c r="K2799">
        <v>1.1047129999999901</v>
      </c>
      <c r="L2799">
        <v>141.041</v>
      </c>
      <c r="M2799">
        <v>-0.99953840000000005</v>
      </c>
      <c r="N2799">
        <v>0</v>
      </c>
      <c r="O2799">
        <v>2.6480569999999998E-2</v>
      </c>
      <c r="P2799">
        <v>-0.99317999999999995</v>
      </c>
      <c r="Q2799">
        <v>0.1108035</v>
      </c>
      <c r="R2799">
        <v>-3.627586E-2</v>
      </c>
      <c r="S2799">
        <v>-3.0387879999999998</v>
      </c>
      <c r="T2799">
        <v>-8.6034540000000007E-2</v>
      </c>
      <c r="U2799">
        <v>0.39926149999999999</v>
      </c>
      <c r="V2799">
        <v>-6.2711290000000003E-2</v>
      </c>
      <c r="W2799">
        <v>0.12549769999999999</v>
      </c>
      <c r="X2799">
        <v>0.99010989999999999</v>
      </c>
      <c r="Y2799">
        <v>0.10393479999999999</v>
      </c>
      <c r="Z2799">
        <v>7.186626E-4</v>
      </c>
      <c r="AA2799">
        <v>0.99458380000000002</v>
      </c>
      <c r="AB2799">
        <v>60</v>
      </c>
      <c r="AC2799">
        <v>-38.435699999999997</v>
      </c>
      <c r="AD2799">
        <v>-1.10471676756999</v>
      </c>
      <c r="AE2799">
        <v>5.1103999999999896</v>
      </c>
      <c r="AF2799">
        <v>4.08737748461221</v>
      </c>
      <c r="AG2799">
        <v>-1.10471676756999</v>
      </c>
      <c r="AH2799">
        <v>38.526286330703101</v>
      </c>
      <c r="AI2799">
        <v>91.633308649109907</v>
      </c>
      <c r="AJ2799">
        <v>83.943960679228994</v>
      </c>
      <c r="AK2799">
        <v>38.758248054750702</v>
      </c>
      <c r="AL2799">
        <v>82.790501745745601</v>
      </c>
      <c r="AM2799">
        <v>93.6241421442204</v>
      </c>
      <c r="AN2799">
        <v>0.99999999633838199</v>
      </c>
    </row>
    <row r="2800" spans="1:40" x14ac:dyDescent="0.3">
      <c r="A2800" t="str">
        <f>"20200111153932178"</f>
        <v>20200111153932178</v>
      </c>
      <c r="B2800" t="str">
        <f>"1578728372174000"</f>
        <v>1578728372174000</v>
      </c>
      <c r="C2800" t="s">
        <v>40</v>
      </c>
      <c r="D2800">
        <v>5.2620719999999999</v>
      </c>
      <c r="E2800">
        <v>0.55945749999999905</v>
      </c>
      <c r="F2800" t="s">
        <v>42</v>
      </c>
      <c r="G2800">
        <v>-382.42270000000002</v>
      </c>
      <c r="H2800" s="1">
        <v>-4.9789690000000003E-6</v>
      </c>
      <c r="I2800">
        <v>148.2269</v>
      </c>
      <c r="J2800">
        <v>-327.06029999999998</v>
      </c>
      <c r="K2800">
        <v>1.1049059999999999</v>
      </c>
      <c r="L2800">
        <v>141.0564</v>
      </c>
      <c r="M2800">
        <v>-0.99955490000000002</v>
      </c>
      <c r="N2800">
        <v>0</v>
      </c>
      <c r="O2800">
        <v>2.582255E-2</v>
      </c>
      <c r="P2800">
        <v>-0.99214829999999998</v>
      </c>
      <c r="Q2800">
        <v>0.11836679999999999</v>
      </c>
      <c r="R2800">
        <v>-4.0388090000000001E-2</v>
      </c>
      <c r="S2800">
        <v>-3.0415649999999999</v>
      </c>
      <c r="T2800">
        <v>-6.0046429999999998E-2</v>
      </c>
      <c r="U2800">
        <v>0.39059450000000001</v>
      </c>
      <c r="V2800">
        <v>-6.6189719999999994E-2</v>
      </c>
      <c r="W2800">
        <v>0.1330626</v>
      </c>
      <c r="X2800">
        <v>0.98889490000000002</v>
      </c>
      <c r="Y2800">
        <v>0.1017009</v>
      </c>
      <c r="Z2800">
        <v>4.922266E-4</v>
      </c>
      <c r="AA2800">
        <v>0.99481489999999995</v>
      </c>
      <c r="AB2800">
        <v>60</v>
      </c>
      <c r="AC2800">
        <v>-55.362400000000001</v>
      </c>
      <c r="AD2800">
        <v>-1.1049109789689999</v>
      </c>
      <c r="AE2800">
        <v>7.1704999999999997</v>
      </c>
      <c r="AF2800">
        <v>5.7361034268109101</v>
      </c>
      <c r="AG2800">
        <v>-1.1049109789689999</v>
      </c>
      <c r="AH2800">
        <v>55.507371572999098</v>
      </c>
      <c r="AI2800">
        <v>91.134320763036598</v>
      </c>
      <c r="AJ2800">
        <v>84.100025973174297</v>
      </c>
      <c r="AK2800">
        <v>55.813905164730301</v>
      </c>
      <c r="AL2800">
        <v>82.353395131740498</v>
      </c>
      <c r="AM2800">
        <v>93.829267838741501</v>
      </c>
      <c r="AN2800">
        <v>0.99999992889922096</v>
      </c>
    </row>
    <row r="2801" spans="1:40" x14ac:dyDescent="0.3">
      <c r="A2801" t="str">
        <f>"20200111153932201"</f>
        <v>20200111153932201</v>
      </c>
      <c r="B2801" t="str">
        <f>"1578728372193519"</f>
        <v>1578728372193519</v>
      </c>
      <c r="C2801" t="s">
        <v>40</v>
      </c>
      <c r="D2801">
        <v>5.1713319999999996</v>
      </c>
      <c r="E2801">
        <v>0.55988479999999996</v>
      </c>
      <c r="F2801" t="s">
        <v>62</v>
      </c>
      <c r="G2801">
        <v>-406.66950000000003</v>
      </c>
      <c r="H2801">
        <v>7.9982150000000002E-2</v>
      </c>
      <c r="I2801">
        <v>151.06450000000001</v>
      </c>
      <c r="J2801">
        <v>-327.68650000000002</v>
      </c>
      <c r="K2801">
        <v>1.105083</v>
      </c>
      <c r="L2801">
        <v>141.07210000000001</v>
      </c>
      <c r="M2801">
        <v>-0.99957439999999997</v>
      </c>
      <c r="N2801">
        <v>0</v>
      </c>
      <c r="O2801">
        <v>2.5032909999999998E-2</v>
      </c>
      <c r="P2801">
        <v>-0.99140790000000001</v>
      </c>
      <c r="Q2801">
        <v>0.12280240000000001</v>
      </c>
      <c r="R2801">
        <v>-4.505149E-2</v>
      </c>
      <c r="S2801">
        <v>-3.0439449999999999</v>
      </c>
      <c r="T2801">
        <v>-3.9189099999999998E-2</v>
      </c>
      <c r="U2801">
        <v>0.38267519999999999</v>
      </c>
      <c r="V2801">
        <v>-7.0099270000000005E-2</v>
      </c>
      <c r="W2801">
        <v>0.13749610000000001</v>
      </c>
      <c r="X2801">
        <v>0.98801870000000003</v>
      </c>
      <c r="Y2801">
        <v>9.9849640000000003E-2</v>
      </c>
      <c r="Z2801">
        <v>3.1931489999999999E-4</v>
      </c>
      <c r="AA2801">
        <v>0.99500250000000001</v>
      </c>
      <c r="AB2801">
        <v>60</v>
      </c>
      <c r="AC2801">
        <v>-78.983000000000004</v>
      </c>
      <c r="AD2801">
        <v>-1.0251008500000001</v>
      </c>
      <c r="AE2801">
        <v>9.9923999999999999</v>
      </c>
      <c r="AF2801">
        <v>8.0105436722357997</v>
      </c>
      <c r="AG2801">
        <v>-1.0251008500000001</v>
      </c>
      <c r="AH2801">
        <v>79.195280136384198</v>
      </c>
      <c r="AI2801">
        <v>90.737828686942393</v>
      </c>
      <c r="AJ2801">
        <v>84.224218739951297</v>
      </c>
      <c r="AK2801">
        <v>79.605979910794602</v>
      </c>
      <c r="AL2801">
        <v>82.097018008783905</v>
      </c>
      <c r="AM2801">
        <v>94.058297024140998</v>
      </c>
      <c r="AN2801">
        <v>1.00000001835971</v>
      </c>
    </row>
    <row r="2802" spans="1:40" x14ac:dyDescent="0.3">
      <c r="A2802" t="str">
        <f>"20200111153932223"</f>
        <v>20200111153932223</v>
      </c>
      <c r="B2802" t="str">
        <f>"1578728372214018"</f>
        <v>1578728372214018</v>
      </c>
      <c r="C2802" t="s">
        <v>40</v>
      </c>
      <c r="D2802">
        <v>5.2102440000000003</v>
      </c>
      <c r="E2802">
        <v>0.56894279999999997</v>
      </c>
      <c r="F2802" t="s">
        <v>62</v>
      </c>
      <c r="G2802">
        <v>-437.40179999999998</v>
      </c>
      <c r="H2802">
        <v>7.9981709999999998E-2</v>
      </c>
      <c r="I2802">
        <v>154.495</v>
      </c>
      <c r="J2802">
        <v>-328.28269999999998</v>
      </c>
      <c r="K2802">
        <v>1.105237</v>
      </c>
      <c r="L2802">
        <v>141.0866</v>
      </c>
      <c r="M2802">
        <v>-0.99959469999999995</v>
      </c>
      <c r="N2802">
        <v>0</v>
      </c>
      <c r="O2802">
        <v>2.4192330000000001E-2</v>
      </c>
      <c r="P2802">
        <v>-0.99087150000000002</v>
      </c>
      <c r="Q2802">
        <v>0.1252916</v>
      </c>
      <c r="R2802">
        <v>-4.9759730000000002E-2</v>
      </c>
      <c r="S2802">
        <v>-3.0464479999999998</v>
      </c>
      <c r="T2802">
        <v>-2.8463840000000001E-2</v>
      </c>
      <c r="U2802">
        <v>0.37271120000000002</v>
      </c>
      <c r="V2802">
        <v>-7.4005189999999998E-2</v>
      </c>
      <c r="W2802">
        <v>0.1399791</v>
      </c>
      <c r="X2802">
        <v>0.98738499999999996</v>
      </c>
      <c r="Y2802">
        <v>9.7382750000000004E-2</v>
      </c>
      <c r="Z2802">
        <v>2.2812059999999999E-4</v>
      </c>
      <c r="AA2802">
        <v>0.99524699999999999</v>
      </c>
      <c r="AB2802">
        <v>60</v>
      </c>
      <c r="AC2802">
        <v>-109.1191</v>
      </c>
      <c r="AD2802">
        <v>-1.02525529</v>
      </c>
      <c r="AE2802">
        <v>13.4084</v>
      </c>
      <c r="AF2802">
        <v>10.763396193595201</v>
      </c>
      <c r="AG2802">
        <v>-1.02525529</v>
      </c>
      <c r="AH2802">
        <v>109.40205873357201</v>
      </c>
      <c r="AI2802">
        <v>90.534348778523395</v>
      </c>
      <c r="AJ2802">
        <v>84.381102976215601</v>
      </c>
      <c r="AK2802">
        <v>109.93503673158</v>
      </c>
      <c r="AL2802">
        <v>81.953363365347599</v>
      </c>
      <c r="AM2802">
        <v>94.286344037244206</v>
      </c>
      <c r="AN2802">
        <v>1.0000000274043701</v>
      </c>
    </row>
    <row r="2803" spans="1:40" x14ac:dyDescent="0.3">
      <c r="A2803" t="str">
        <f>"20200111153932245"</f>
        <v>20200111153932245</v>
      </c>
      <c r="B2803" t="str">
        <f>"1578728372233535"</f>
        <v>1578728372233535</v>
      </c>
      <c r="C2803" t="s">
        <v>40</v>
      </c>
      <c r="D2803">
        <v>5.2407539999999999</v>
      </c>
      <c r="E2803">
        <v>0.56969650000000005</v>
      </c>
      <c r="F2803" t="s">
        <v>42</v>
      </c>
      <c r="G2803">
        <v>-367.41149999999999</v>
      </c>
      <c r="H2803" s="1">
        <v>-2.9710029999999999E-6</v>
      </c>
      <c r="I2803">
        <v>146.67529999999999</v>
      </c>
      <c r="J2803">
        <v>-328.85129999999998</v>
      </c>
      <c r="K2803">
        <v>1.1053789999999999</v>
      </c>
      <c r="L2803">
        <v>141.09989999999999</v>
      </c>
      <c r="M2803">
        <v>-0.99961509999999998</v>
      </c>
      <c r="N2803">
        <v>0</v>
      </c>
      <c r="O2803">
        <v>2.331799E-2</v>
      </c>
      <c r="P2803">
        <v>-0.99052180000000001</v>
      </c>
      <c r="Q2803">
        <v>0.12628980000000001</v>
      </c>
      <c r="R2803">
        <v>-5.4017610000000001E-2</v>
      </c>
      <c r="S2803">
        <v>-3.0605159999999998</v>
      </c>
      <c r="T2803">
        <v>-8.6447949999999996E-2</v>
      </c>
      <c r="U2803">
        <v>0.43713380000000002</v>
      </c>
      <c r="V2803">
        <v>-7.7428410000000003E-2</v>
      </c>
      <c r="W2803">
        <v>0.14096819999999999</v>
      </c>
      <c r="X2803">
        <v>0.98698169999999996</v>
      </c>
      <c r="Y2803">
        <v>0.118233199999999</v>
      </c>
      <c r="Z2803">
        <v>1.006114E-3</v>
      </c>
      <c r="AA2803">
        <v>0.99298540000000002</v>
      </c>
      <c r="AB2803">
        <v>60</v>
      </c>
      <c r="AC2803">
        <v>-38.560200000000002</v>
      </c>
      <c r="AD2803">
        <v>-1.105381971003</v>
      </c>
      <c r="AE2803">
        <v>5.5754000000000001</v>
      </c>
      <c r="AF2803">
        <v>4.6708760067676698</v>
      </c>
      <c r="AG2803">
        <v>-1.105381971003</v>
      </c>
      <c r="AH2803">
        <v>38.648625270965198</v>
      </c>
      <c r="AI2803">
        <v>91.626430807297893</v>
      </c>
      <c r="AJ2803">
        <v>83.108944263619307</v>
      </c>
      <c r="AK2803">
        <v>38.945541302027202</v>
      </c>
      <c r="AL2803">
        <v>81.8961246074565</v>
      </c>
      <c r="AM2803">
        <v>94.485649196378404</v>
      </c>
      <c r="AN2803">
        <v>1.0000000341106201</v>
      </c>
    </row>
    <row r="2804" spans="1:40" x14ac:dyDescent="0.3">
      <c r="A2804" t="str">
        <f>"20200111153932267"</f>
        <v>20200111153932267</v>
      </c>
      <c r="B2804" t="str">
        <f>"1578728372263792"</f>
        <v>1578728372263792</v>
      </c>
      <c r="C2804" t="s">
        <v>40</v>
      </c>
      <c r="D2804">
        <v>5.2207359999999996</v>
      </c>
      <c r="E2804">
        <v>0.57071859999999996</v>
      </c>
      <c r="F2804" t="s">
        <v>42</v>
      </c>
      <c r="G2804">
        <v>-364.89760000000001</v>
      </c>
      <c r="H2804" s="1">
        <v>-3.7746670000000002E-6</v>
      </c>
      <c r="I2804">
        <v>146.1858</v>
      </c>
      <c r="J2804">
        <v>-329.4622</v>
      </c>
      <c r="K2804">
        <v>1.1055269999999999</v>
      </c>
      <c r="L2804">
        <v>141.1138</v>
      </c>
      <c r="M2804">
        <v>-0.99963769999999996</v>
      </c>
      <c r="N2804">
        <v>0</v>
      </c>
      <c r="O2804">
        <v>2.231385E-2</v>
      </c>
      <c r="P2804">
        <v>-0.99019020000000002</v>
      </c>
      <c r="Q2804">
        <v>0.127111</v>
      </c>
      <c r="R2804">
        <v>-5.8020019999999999E-2</v>
      </c>
      <c r="S2804">
        <v>-3.0643009999999999</v>
      </c>
      <c r="T2804">
        <v>-9.3968750000000004E-2</v>
      </c>
      <c r="U2804">
        <v>0.43235780000000001</v>
      </c>
      <c r="V2804">
        <v>-8.0471119999999993E-2</v>
      </c>
      <c r="W2804">
        <v>0.14177719999999999</v>
      </c>
      <c r="X2804">
        <v>0.98662229999999995</v>
      </c>
      <c r="Y2804">
        <v>0.1175351</v>
      </c>
      <c r="Z2804">
        <v>1.1123420000000001E-3</v>
      </c>
      <c r="AA2804">
        <v>0.99306810000000001</v>
      </c>
      <c r="AB2804">
        <v>60</v>
      </c>
      <c r="AC2804">
        <v>-35.435400000000001</v>
      </c>
      <c r="AD2804">
        <v>-1.105530774667</v>
      </c>
      <c r="AE2804">
        <v>5.0720000000000001</v>
      </c>
      <c r="AF2804">
        <v>4.2758687325453204</v>
      </c>
      <c r="AG2804">
        <v>-1.105530774667</v>
      </c>
      <c r="AH2804">
        <v>35.505898100559897</v>
      </c>
      <c r="AI2804">
        <v>91.770631097844202</v>
      </c>
      <c r="AJ2804">
        <v>83.133109900597503</v>
      </c>
      <c r="AK2804">
        <v>35.779520002915604</v>
      </c>
      <c r="AL2804">
        <v>81.849301524682701</v>
      </c>
      <c r="AM2804">
        <v>94.662850405794202</v>
      </c>
      <c r="AN2804">
        <v>0.99999996922559098</v>
      </c>
    </row>
    <row r="2805" spans="1:40" x14ac:dyDescent="0.3">
      <c r="A2805" t="str">
        <f>"20200111153932290"</f>
        <v>20200111153932290</v>
      </c>
      <c r="B2805" t="str">
        <f>"1578728372283311"</f>
        <v>1578728372283311</v>
      </c>
      <c r="C2805" t="s">
        <v>40</v>
      </c>
      <c r="D2805">
        <v>5.145295</v>
      </c>
      <c r="E2805">
        <v>0.57149359999999905</v>
      </c>
      <c r="F2805" t="s">
        <v>42</v>
      </c>
      <c r="G2805">
        <v>-359.77670000000001</v>
      </c>
      <c r="H2805" s="1">
        <v>-1.610665E-6</v>
      </c>
      <c r="I2805">
        <v>145.376</v>
      </c>
      <c r="J2805">
        <v>-330.06939999999997</v>
      </c>
      <c r="K2805">
        <v>1.1056619999999999</v>
      </c>
      <c r="L2805">
        <v>141.12690000000001</v>
      </c>
      <c r="M2805">
        <v>-0.9996602</v>
      </c>
      <c r="N2805">
        <v>0</v>
      </c>
      <c r="O2805">
        <v>2.1264990000000001E-2</v>
      </c>
      <c r="P2805">
        <v>-0.98981079999999999</v>
      </c>
      <c r="Q2805">
        <v>0.12823769999999901</v>
      </c>
      <c r="R2805">
        <v>-6.1884719999999997E-2</v>
      </c>
      <c r="S2805">
        <v>-3.0693359999999998</v>
      </c>
      <c r="T2805">
        <v>-0.1119348</v>
      </c>
      <c r="U2805">
        <v>0.43156430000000001</v>
      </c>
      <c r="V2805">
        <v>-8.3329479999999997E-2</v>
      </c>
      <c r="W2805">
        <v>0.14288879999999901</v>
      </c>
      <c r="X2805">
        <v>0.98622460000000001</v>
      </c>
      <c r="Y2805">
        <v>0.1180807</v>
      </c>
      <c r="Z2805">
        <v>1.370671E-3</v>
      </c>
      <c r="AA2805">
        <v>0.99300310000000003</v>
      </c>
      <c r="AB2805">
        <v>60</v>
      </c>
      <c r="AC2805">
        <v>-29.7073</v>
      </c>
      <c r="AD2805">
        <v>-1.105663610665</v>
      </c>
      <c r="AE2805">
        <v>4.2490999999999897</v>
      </c>
      <c r="AF2805">
        <v>3.6114393562025202</v>
      </c>
      <c r="AG2805">
        <v>-1.105663610665</v>
      </c>
      <c r="AH2805">
        <v>29.750563276407402</v>
      </c>
      <c r="AI2805">
        <v>92.112890842276101</v>
      </c>
      <c r="AJ2805">
        <v>83.078693889430795</v>
      </c>
      <c r="AK2805">
        <v>29.989348134079201</v>
      </c>
      <c r="AL2805">
        <v>81.784956565310594</v>
      </c>
      <c r="AM2805">
        <v>94.829644455229896</v>
      </c>
      <c r="AN2805">
        <v>0.99999998652383504</v>
      </c>
    </row>
    <row r="2806" spans="1:40" x14ac:dyDescent="0.3">
      <c r="A2806" t="str">
        <f>"20200111153932312"</f>
        <v>20200111153932312</v>
      </c>
      <c r="B2806" t="str">
        <f>"1578728372303810"</f>
        <v>1578728372303810</v>
      </c>
      <c r="C2806" t="s">
        <v>40</v>
      </c>
      <c r="D2806">
        <v>5.2233559999999999</v>
      </c>
      <c r="E2806">
        <v>0.57221299999999997</v>
      </c>
      <c r="F2806" t="s">
        <v>42</v>
      </c>
      <c r="G2806">
        <v>-360.0478</v>
      </c>
      <c r="H2806" s="1">
        <v>-5.2667419999999998E-6</v>
      </c>
      <c r="I2806">
        <v>145.29310000000001</v>
      </c>
      <c r="J2806">
        <v>-330.67680000000001</v>
      </c>
      <c r="K2806">
        <v>1.1057760000000001</v>
      </c>
      <c r="L2806">
        <v>141.13939999999999</v>
      </c>
      <c r="M2806">
        <v>-0.99968250000000003</v>
      </c>
      <c r="N2806">
        <v>0</v>
      </c>
      <c r="O2806">
        <v>2.0178720000000001E-2</v>
      </c>
      <c r="P2806">
        <v>-0.98965789999999998</v>
      </c>
      <c r="Q2806">
        <v>0.12778610000000001</v>
      </c>
      <c r="R2806">
        <v>-6.5178070000000005E-2</v>
      </c>
      <c r="S2806">
        <v>-3.072235</v>
      </c>
      <c r="T2806">
        <v>-0.1133108</v>
      </c>
      <c r="U2806">
        <v>0.4269714</v>
      </c>
      <c r="V2806">
        <v>-8.5578219999999997E-2</v>
      </c>
      <c r="W2806">
        <v>0.14242479999999999</v>
      </c>
      <c r="X2806">
        <v>0.98609910000000001</v>
      </c>
      <c r="Y2806">
        <v>0.1175726</v>
      </c>
      <c r="Z2806">
        <v>1.4168589999999999E-3</v>
      </c>
      <c r="AA2806">
        <v>0.99306329999999998</v>
      </c>
      <c r="AB2806">
        <v>60</v>
      </c>
      <c r="AC2806">
        <v>-29.370999999999899</v>
      </c>
      <c r="AD2806">
        <v>-1.1057812667419999</v>
      </c>
      <c r="AE2806">
        <v>4.1537000000000104</v>
      </c>
      <c r="AF2806">
        <v>3.5551769918213298</v>
      </c>
      <c r="AG2806">
        <v>-1.1057812667419999</v>
      </c>
      <c r="AH2806">
        <v>29.4079779130854</v>
      </c>
      <c r="AI2806">
        <v>92.137836550519793</v>
      </c>
      <c r="AJ2806">
        <v>83.106873155539304</v>
      </c>
      <c r="AK2806">
        <v>29.642725930480299</v>
      </c>
      <c r="AL2806">
        <v>81.811816184898404</v>
      </c>
      <c r="AM2806">
        <v>94.959964350551104</v>
      </c>
      <c r="AN2806">
        <v>0.999999945207107</v>
      </c>
    </row>
    <row r="2807" spans="1:40" x14ac:dyDescent="0.3">
      <c r="A2807" t="str">
        <f>"20200111153932334"</f>
        <v>20200111153932334</v>
      </c>
      <c r="B2807" t="str">
        <f>"1578728372323327"</f>
        <v>1578728372323327</v>
      </c>
      <c r="C2807" t="s">
        <v>40</v>
      </c>
      <c r="D2807">
        <v>5.2690149999999996</v>
      </c>
      <c r="E2807">
        <v>0.57216750000000005</v>
      </c>
      <c r="F2807" t="s">
        <v>42</v>
      </c>
      <c r="G2807">
        <v>-358.76690000000002</v>
      </c>
      <c r="H2807" s="1">
        <v>-1.9438529999999999E-6</v>
      </c>
      <c r="I2807">
        <v>145.00020000000001</v>
      </c>
      <c r="J2807">
        <v>-331.24340000000001</v>
      </c>
      <c r="K2807">
        <v>1.1058600000000001</v>
      </c>
      <c r="L2807">
        <v>141.15049999999999</v>
      </c>
      <c r="M2807">
        <v>-0.9997028</v>
      </c>
      <c r="N2807">
        <v>0</v>
      </c>
      <c r="O2807">
        <v>1.9140620000000001E-2</v>
      </c>
      <c r="P2807">
        <v>-0.98978820000000001</v>
      </c>
      <c r="Q2807">
        <v>0.12553130000000001</v>
      </c>
      <c r="R2807">
        <v>-6.7538630000000002E-2</v>
      </c>
      <c r="S2807">
        <v>-3.0747990000000001</v>
      </c>
      <c r="T2807">
        <v>-0.1210406</v>
      </c>
      <c r="U2807">
        <v>0.42262270000000002</v>
      </c>
      <c r="V2807">
        <v>-8.6935760000000001E-2</v>
      </c>
      <c r="W2807">
        <v>0.14016419999999999</v>
      </c>
      <c r="X2807">
        <v>0.98630430000000002</v>
      </c>
      <c r="Y2807">
        <v>0.1171032</v>
      </c>
      <c r="Z2807">
        <v>1.54377299999999E-3</v>
      </c>
      <c r="AA2807">
        <v>0.99311850000000002</v>
      </c>
      <c r="AB2807">
        <v>60</v>
      </c>
      <c r="AC2807">
        <v>-27.523499999999999</v>
      </c>
      <c r="AD2807">
        <v>-1.105861943853</v>
      </c>
      <c r="AE2807">
        <v>3.8497000000000101</v>
      </c>
      <c r="AF2807">
        <v>3.3168658722578002</v>
      </c>
      <c r="AG2807">
        <v>-1.105861943853</v>
      </c>
      <c r="AH2807">
        <v>27.5485313335227</v>
      </c>
      <c r="AI2807">
        <v>92.282285993156606</v>
      </c>
      <c r="AJ2807">
        <v>83.134588148045694</v>
      </c>
      <c r="AK2807">
        <v>27.769517613518101</v>
      </c>
      <c r="AL2807">
        <v>81.942652104532897</v>
      </c>
      <c r="AM2807">
        <v>95.0372003616543</v>
      </c>
      <c r="AN2807">
        <v>1.00000000076345</v>
      </c>
    </row>
    <row r="2808" spans="1:40" x14ac:dyDescent="0.3">
      <c r="A2808" t="str">
        <f>"20200111153932357"</f>
        <v>20200111153932357</v>
      </c>
      <c r="B2808" t="str">
        <f>"1578728372353584"</f>
        <v>1578728372353584</v>
      </c>
      <c r="C2808" t="s">
        <v>40</v>
      </c>
      <c r="D2808">
        <v>5.2614299999999998</v>
      </c>
      <c r="E2808">
        <v>0.4852282</v>
      </c>
      <c r="F2808" t="s">
        <v>42</v>
      </c>
      <c r="G2808">
        <v>-357.00560000000002</v>
      </c>
      <c r="H2808" s="1">
        <v>-2.5978459999999999E-6</v>
      </c>
      <c r="I2808">
        <v>144.6183</v>
      </c>
      <c r="J2808">
        <v>-331.84750000000003</v>
      </c>
      <c r="K2808">
        <v>1.1059319999999999</v>
      </c>
      <c r="L2808">
        <v>141.1617</v>
      </c>
      <c r="M2808">
        <v>-0.99972329999999998</v>
      </c>
      <c r="N2808">
        <v>0</v>
      </c>
      <c r="O2808">
        <v>1.801488E-2</v>
      </c>
      <c r="P2808">
        <v>-0.99009100000000005</v>
      </c>
      <c r="Q2808">
        <v>0.1219382</v>
      </c>
      <c r="R2808">
        <v>-6.9646570000000005E-2</v>
      </c>
      <c r="S2808">
        <v>-3.075958</v>
      </c>
      <c r="T2808">
        <v>-0.13203819999999999</v>
      </c>
      <c r="U2808">
        <v>0.4140625</v>
      </c>
      <c r="V2808">
        <v>-8.7949609999999998E-2</v>
      </c>
      <c r="W2808">
        <v>0.13656799999999999</v>
      </c>
      <c r="X2808">
        <v>0.98671880000000001</v>
      </c>
      <c r="Y2808">
        <v>0.11544359999999999</v>
      </c>
      <c r="Z2808">
        <v>1.6962079999999901E-3</v>
      </c>
      <c r="AA2808">
        <v>0.99331259999999999</v>
      </c>
      <c r="AB2808">
        <v>60</v>
      </c>
      <c r="AC2808">
        <v>-25.158099999999902</v>
      </c>
      <c r="AD2808">
        <v>-1.105934597846</v>
      </c>
      <c r="AE2808">
        <v>3.4565999999999999</v>
      </c>
      <c r="AF2808">
        <v>2.9970825845330702</v>
      </c>
      <c r="AG2808">
        <v>-1.105934597846</v>
      </c>
      <c r="AH2808">
        <v>25.1685584441902</v>
      </c>
      <c r="AI2808">
        <v>92.498393280744907</v>
      </c>
      <c r="AJ2808">
        <v>83.209172172660899</v>
      </c>
      <c r="AK2808">
        <v>25.370493284755899</v>
      </c>
      <c r="AL2808">
        <v>82.150700260763898</v>
      </c>
      <c r="AM2808">
        <v>95.093507680862402</v>
      </c>
      <c r="AN2808">
        <v>0.999999971398295</v>
      </c>
    </row>
    <row r="2809" spans="1:40" x14ac:dyDescent="0.3">
      <c r="A2809" t="str">
        <f>"20200111153932379"</f>
        <v>20200111153932379</v>
      </c>
      <c r="B2809" t="str">
        <f>"1578728372373103"</f>
        <v>1578728372373103</v>
      </c>
      <c r="C2809" t="s">
        <v>40</v>
      </c>
      <c r="D2809">
        <v>5.1366540000000001</v>
      </c>
      <c r="E2809">
        <v>0.4880816</v>
      </c>
      <c r="F2809" t="s">
        <v>42</v>
      </c>
      <c r="G2809">
        <v>-350.58229999999998</v>
      </c>
      <c r="H2809" s="1">
        <v>-4.0609590000000001E-6</v>
      </c>
      <c r="I2809">
        <v>139.39920000000001</v>
      </c>
      <c r="J2809">
        <v>-332.46949999999998</v>
      </c>
      <c r="K2809">
        <v>1.1059840000000001</v>
      </c>
      <c r="L2809">
        <v>141.17250000000001</v>
      </c>
      <c r="M2809">
        <v>-0.99974379999999996</v>
      </c>
      <c r="N2809">
        <v>0</v>
      </c>
      <c r="O2809">
        <v>1.6842039999999999E-2</v>
      </c>
      <c r="P2809">
        <v>-0.99041259999999998</v>
      </c>
      <c r="Q2809">
        <v>0.1185891</v>
      </c>
      <c r="R2809">
        <v>-7.0848389999999997E-2</v>
      </c>
      <c r="S2809">
        <v>-3.0319820000000002</v>
      </c>
      <c r="T2809">
        <v>-0.17898129999999901</v>
      </c>
      <c r="U2809">
        <v>-0.28521729999999901</v>
      </c>
      <c r="V2809">
        <v>-8.8007970000000005E-2</v>
      </c>
      <c r="W2809">
        <v>0.13322000000000001</v>
      </c>
      <c r="X2809">
        <v>0.98717120000000003</v>
      </c>
      <c r="Y2809">
        <v>-0.1101934</v>
      </c>
      <c r="Z2809">
        <v>-4.2338849999999997E-3</v>
      </c>
      <c r="AA2809">
        <v>0.99390109999999998</v>
      </c>
      <c r="AB2809">
        <v>60</v>
      </c>
      <c r="AC2809">
        <v>-18.1128</v>
      </c>
      <c r="AD2809">
        <v>-1.105988060959</v>
      </c>
      <c r="AE2809">
        <v>-1.7733000000000001</v>
      </c>
      <c r="AF2809">
        <v>-2.0704933470543598</v>
      </c>
      <c r="AG2809">
        <v>-1.105988060959</v>
      </c>
      <c r="AH2809">
        <v>18.013834699895401</v>
      </c>
      <c r="AI2809">
        <v>93.490432443866396</v>
      </c>
      <c r="AJ2809">
        <v>96.556750721309996</v>
      </c>
      <c r="AK2809">
        <v>18.166133129709699</v>
      </c>
      <c r="AL2809">
        <v>82.344296116641502</v>
      </c>
      <c r="AM2809">
        <v>95.094546246749104</v>
      </c>
      <c r="AN2809">
        <v>0.99999997464648005</v>
      </c>
    </row>
    <row r="2810" spans="1:40" x14ac:dyDescent="0.3">
      <c r="A2810" t="str">
        <f>"20200111153932402"</f>
        <v>20200111153932402</v>
      </c>
      <c r="B2810" t="str">
        <f>"1578728372393599"</f>
        <v>1578728372393599</v>
      </c>
      <c r="C2810" t="s">
        <v>40</v>
      </c>
      <c r="D2810">
        <v>5.127103</v>
      </c>
      <c r="E2810">
        <v>0.48962529999999999</v>
      </c>
      <c r="F2810" t="s">
        <v>42</v>
      </c>
      <c r="G2810">
        <v>-350.14330000000001</v>
      </c>
      <c r="H2810" s="1">
        <v>-4.2109779999999998E-6</v>
      </c>
      <c r="I2810">
        <v>139.61699999999999</v>
      </c>
      <c r="J2810">
        <v>-333.06740000000002</v>
      </c>
      <c r="K2810">
        <v>1.1060319999999999</v>
      </c>
      <c r="L2810">
        <v>141.18219999999999</v>
      </c>
      <c r="M2810">
        <v>-0.99976209999999999</v>
      </c>
      <c r="N2810">
        <v>0</v>
      </c>
      <c r="O2810">
        <v>1.5706049999999999E-2</v>
      </c>
      <c r="P2810">
        <v>-0.99057260000000003</v>
      </c>
      <c r="Q2810">
        <v>0.11688999999999999</v>
      </c>
      <c r="R2810">
        <v>-7.1433570000000002E-2</v>
      </c>
      <c r="S2810">
        <v>-3.0326840000000002</v>
      </c>
      <c r="T2810">
        <v>-0.18977939999999999</v>
      </c>
      <c r="U2810">
        <v>-0.2668915</v>
      </c>
      <c r="V2810">
        <v>-8.7483820000000004E-2</v>
      </c>
      <c r="W2810">
        <v>0.13152179999999999</v>
      </c>
      <c r="X2810">
        <v>0.98744549999999998</v>
      </c>
      <c r="Y2810">
        <v>-0.1030721</v>
      </c>
      <c r="Z2810">
        <v>-4.1959329999999998E-3</v>
      </c>
      <c r="AA2810">
        <v>0.99466500000000002</v>
      </c>
      <c r="AB2810">
        <v>60</v>
      </c>
      <c r="AC2810">
        <v>-17.075899999999901</v>
      </c>
      <c r="AD2810">
        <v>-1.106036210978</v>
      </c>
      <c r="AE2810">
        <v>-1.5651999999999699</v>
      </c>
      <c r="AF2810">
        <v>-1.8256371239836999</v>
      </c>
      <c r="AG2810">
        <v>-1.106036210978</v>
      </c>
      <c r="AH2810">
        <v>16.9785692280708</v>
      </c>
      <c r="AI2810">
        <v>93.705855375563601</v>
      </c>
      <c r="AJ2810">
        <v>96.137204303668597</v>
      </c>
      <c r="AK2810">
        <v>17.112220196130501</v>
      </c>
      <c r="AL2810">
        <v>82.442459900004394</v>
      </c>
      <c r="AM2810">
        <v>95.062963356571601</v>
      </c>
      <c r="AN2810">
        <v>1.0000000090536401</v>
      </c>
    </row>
    <row r="2811" spans="1:40" x14ac:dyDescent="0.3">
      <c r="A2811" t="str">
        <f>"20200111153932423"</f>
        <v>20200111153932423</v>
      </c>
      <c r="B2811" t="str">
        <f>"1578728372413119"</f>
        <v>1578728372413119</v>
      </c>
      <c r="C2811" t="s">
        <v>40</v>
      </c>
      <c r="D2811">
        <v>5.1221639999999997</v>
      </c>
      <c r="E2811">
        <v>0.49172559999999899</v>
      </c>
      <c r="F2811" t="s">
        <v>42</v>
      </c>
      <c r="G2811">
        <v>-350.42700000000002</v>
      </c>
      <c r="H2811" s="1">
        <v>-4.1157619999999998E-6</v>
      </c>
      <c r="I2811">
        <v>139.7165</v>
      </c>
      <c r="J2811">
        <v>-333.63979999999998</v>
      </c>
      <c r="K2811">
        <v>1.1060589999999999</v>
      </c>
      <c r="L2811">
        <v>141.1908</v>
      </c>
      <c r="M2811">
        <v>-0.99977870000000002</v>
      </c>
      <c r="N2811">
        <v>0</v>
      </c>
      <c r="O2811">
        <v>1.461166E-2</v>
      </c>
      <c r="P2811">
        <v>-0.99078960000000005</v>
      </c>
      <c r="Q2811">
        <v>0.1150651</v>
      </c>
      <c r="R2811">
        <v>-7.1389010000000003E-2</v>
      </c>
      <c r="S2811">
        <v>-3.0328979999999999</v>
      </c>
      <c r="T2811">
        <v>-0.1932362</v>
      </c>
      <c r="U2811">
        <v>-0.2560577</v>
      </c>
      <c r="V2811">
        <v>-8.6368020000000004E-2</v>
      </c>
      <c r="W2811">
        <v>0.12970119999999999</v>
      </c>
      <c r="X2811">
        <v>0.98778440000000001</v>
      </c>
      <c r="Y2811">
        <v>-9.8452310000000001E-2</v>
      </c>
      <c r="Z2811">
        <v>-4.0562360000000004E-3</v>
      </c>
      <c r="AA2811">
        <v>0.9951335</v>
      </c>
      <c r="AB2811">
        <v>60</v>
      </c>
      <c r="AC2811">
        <v>-16.787199999999899</v>
      </c>
      <c r="AD2811">
        <v>-1.106063115762</v>
      </c>
      <c r="AE2811">
        <v>-1.47429999999999</v>
      </c>
      <c r="AF2811">
        <v>-1.7120840272018201</v>
      </c>
      <c r="AG2811">
        <v>-1.106063115762</v>
      </c>
      <c r="AH2811">
        <v>16.691955596203801</v>
      </c>
      <c r="AI2811">
        <v>93.771333369998899</v>
      </c>
      <c r="AJ2811">
        <v>95.856314479234499</v>
      </c>
      <c r="AK2811">
        <v>16.815944486049201</v>
      </c>
      <c r="AL2811">
        <v>82.547673309604903</v>
      </c>
      <c r="AM2811">
        <v>94.997011449790094</v>
      </c>
      <c r="AN2811">
        <v>0.99999992852175701</v>
      </c>
    </row>
    <row r="2812" spans="1:40" x14ac:dyDescent="0.3">
      <c r="A2812" t="str">
        <f>"20200111153932446"</f>
        <v>20200111153932446</v>
      </c>
      <c r="B2812" t="str">
        <f>"1578728372443882"</f>
        <v>1578728372443882</v>
      </c>
      <c r="C2812" t="s">
        <v>40</v>
      </c>
      <c r="D2812">
        <v>5.1022990000000004</v>
      </c>
      <c r="E2812">
        <v>0.49371179999999898</v>
      </c>
      <c r="F2812" t="s">
        <v>42</v>
      </c>
      <c r="G2812">
        <v>-350.76909999999998</v>
      </c>
      <c r="H2812" s="1">
        <v>-4.0017729999999998E-6</v>
      </c>
      <c r="I2812">
        <v>139.83969999999999</v>
      </c>
      <c r="J2812">
        <v>-334.2328</v>
      </c>
      <c r="K2812">
        <v>1.1060840000000001</v>
      </c>
      <c r="L2812">
        <v>141.19909999999999</v>
      </c>
      <c r="M2812">
        <v>-0.99979450000000003</v>
      </c>
      <c r="N2812">
        <v>0</v>
      </c>
      <c r="O2812">
        <v>1.347275E-2</v>
      </c>
      <c r="P2812">
        <v>-0.99103169999999996</v>
      </c>
      <c r="Q2812">
        <v>0.11321730000000001</v>
      </c>
      <c r="R2812">
        <v>-7.0980999999999905E-2</v>
      </c>
      <c r="S2812">
        <v>-3.0333860000000001</v>
      </c>
      <c r="T2812">
        <v>-0.19587089999999999</v>
      </c>
      <c r="U2812">
        <v>-0.23925779999999999</v>
      </c>
      <c r="V2812">
        <v>-8.4842500000000001E-2</v>
      </c>
      <c r="W2812">
        <v>0.12786130000000001</v>
      </c>
      <c r="X2812">
        <v>0.98815649999999999</v>
      </c>
      <c r="Y2812">
        <v>-9.1838020000000006E-2</v>
      </c>
      <c r="Z2812">
        <v>-3.8253100000000002E-3</v>
      </c>
      <c r="AA2812">
        <v>0.99576659999999995</v>
      </c>
      <c r="AB2812">
        <v>60</v>
      </c>
      <c r="AC2812">
        <v>-16.536299999999901</v>
      </c>
      <c r="AD2812">
        <v>-1.1060880017729999</v>
      </c>
      <c r="AE2812">
        <v>-1.3593999999999899</v>
      </c>
      <c r="AF2812">
        <v>-1.57509182415563</v>
      </c>
      <c r="AG2812">
        <v>-1.1060880017729999</v>
      </c>
      <c r="AH2812">
        <v>16.4434067411967</v>
      </c>
      <c r="AI2812">
        <v>93.830798942874097</v>
      </c>
      <c r="AJ2812">
        <v>95.471591636348805</v>
      </c>
      <c r="AK2812">
        <v>16.555662782825099</v>
      </c>
      <c r="AL2812">
        <v>82.653977666224804</v>
      </c>
      <c r="AM2812">
        <v>94.907344755118004</v>
      </c>
      <c r="AN2812">
        <v>1.0000000151680899</v>
      </c>
    </row>
    <row r="2813" spans="1:40" x14ac:dyDescent="0.3">
      <c r="A2813" t="str">
        <f>"20200111153932468"</f>
        <v>20200111153932468</v>
      </c>
      <c r="B2813" t="str">
        <f>"1578728372463402"</f>
        <v>1578728372463402</v>
      </c>
      <c r="C2813" t="s">
        <v>40</v>
      </c>
      <c r="D2813">
        <v>5.0778280000000002</v>
      </c>
      <c r="E2813">
        <v>0.49468509999999999</v>
      </c>
      <c r="F2813" t="s">
        <v>42</v>
      </c>
      <c r="G2813">
        <v>-351.40879999999999</v>
      </c>
      <c r="H2813" s="1">
        <v>-3.753386E-6</v>
      </c>
      <c r="I2813">
        <v>139.9376</v>
      </c>
      <c r="J2813">
        <v>-334.83109999999999</v>
      </c>
      <c r="K2813">
        <v>1.1060939999999999</v>
      </c>
      <c r="L2813">
        <v>141.20679999999999</v>
      </c>
      <c r="M2813">
        <v>-0.99980939999999996</v>
      </c>
      <c r="N2813">
        <v>0</v>
      </c>
      <c r="O2813">
        <v>1.231873E-2</v>
      </c>
      <c r="P2813">
        <v>-0.99120680000000005</v>
      </c>
      <c r="Q2813">
        <v>0.112535999999999</v>
      </c>
      <c r="R2813">
        <v>-6.9607909999999995E-2</v>
      </c>
      <c r="S2813">
        <v>-3.0335390000000002</v>
      </c>
      <c r="T2813">
        <v>-0.19535230000000001</v>
      </c>
      <c r="U2813">
        <v>-0.22279360000000001</v>
      </c>
      <c r="V2813">
        <v>-8.2337480000000005E-2</v>
      </c>
      <c r="W2813">
        <v>0.12719069999999999</v>
      </c>
      <c r="X2813">
        <v>0.98845490000000003</v>
      </c>
      <c r="Y2813">
        <v>-8.5326460000000007E-2</v>
      </c>
      <c r="Z2813">
        <v>-3.5324610000000002E-3</v>
      </c>
      <c r="AA2813">
        <v>0.99634679999999998</v>
      </c>
      <c r="AB2813">
        <v>60</v>
      </c>
      <c r="AC2813">
        <v>-16.577699999999901</v>
      </c>
      <c r="AD2813">
        <v>-1.1060977533859999</v>
      </c>
      <c r="AE2813">
        <v>-1.2691999999999799</v>
      </c>
      <c r="AF2813">
        <v>-1.4668511954158601</v>
      </c>
      <c r="AG2813">
        <v>-1.1060977533859999</v>
      </c>
      <c r="AH2813">
        <v>16.487831824341001</v>
      </c>
      <c r="AI2813">
        <v>93.822922669604907</v>
      </c>
      <c r="AJ2813">
        <v>95.083973233337105</v>
      </c>
      <c r="AK2813">
        <v>16.589867477990602</v>
      </c>
      <c r="AL2813">
        <v>82.692716487111795</v>
      </c>
      <c r="AM2813">
        <v>94.761698187039499</v>
      </c>
      <c r="AN2813">
        <v>1.0000000120566199</v>
      </c>
    </row>
    <row r="2814" spans="1:40" x14ac:dyDescent="0.3">
      <c r="A2814" t="str">
        <f>"20200111153932491"</f>
        <v>20200111153932491</v>
      </c>
      <c r="B2814" t="str">
        <f>"1578728372483897"</f>
        <v>1578728372483897</v>
      </c>
      <c r="C2814" t="s">
        <v>40</v>
      </c>
      <c r="D2814">
        <v>5.1124150000000004</v>
      </c>
      <c r="E2814">
        <v>0.49535210000000002</v>
      </c>
      <c r="F2814" t="s">
        <v>42</v>
      </c>
      <c r="G2814">
        <v>-352.26600000000002</v>
      </c>
      <c r="H2814" s="1">
        <v>-3.3985810000000001E-6</v>
      </c>
      <c r="I2814">
        <v>139.9862</v>
      </c>
      <c r="J2814">
        <v>-335.45780000000002</v>
      </c>
      <c r="K2814">
        <v>1.106106</v>
      </c>
      <c r="L2814">
        <v>141.21420000000001</v>
      </c>
      <c r="M2814">
        <v>-0.99982349999999998</v>
      </c>
      <c r="N2814">
        <v>0</v>
      </c>
      <c r="O2814">
        <v>1.1105449999999999E-2</v>
      </c>
      <c r="P2814">
        <v>-0.9914731</v>
      </c>
      <c r="Q2814">
        <v>0.1107648</v>
      </c>
      <c r="R2814">
        <v>-6.86475E-2</v>
      </c>
      <c r="S2814">
        <v>-3.0335390000000002</v>
      </c>
      <c r="T2814">
        <v>-0.1924527</v>
      </c>
      <c r="U2814">
        <v>-0.2123718</v>
      </c>
      <c r="V2814">
        <v>-8.0181600000000006E-2</v>
      </c>
      <c r="W2814">
        <v>0.12543099999999999</v>
      </c>
      <c r="X2814">
        <v>0.98885690000000004</v>
      </c>
      <c r="Y2814">
        <v>-8.0728569999999999E-2</v>
      </c>
      <c r="Z2814">
        <v>-3.2582079999999999E-3</v>
      </c>
      <c r="AA2814">
        <v>0.99673080000000003</v>
      </c>
      <c r="AB2814">
        <v>60</v>
      </c>
      <c r="AC2814">
        <v>-16.8081999999999</v>
      </c>
      <c r="AD2814">
        <v>-1.106109398581</v>
      </c>
      <c r="AE2814">
        <v>-1.228</v>
      </c>
      <c r="AF2814">
        <v>-1.4085407958796099</v>
      </c>
      <c r="AG2814">
        <v>-1.106109398581</v>
      </c>
      <c r="AH2814">
        <v>16.721493615501899</v>
      </c>
      <c r="AI2814">
        <v>93.771225472017093</v>
      </c>
      <c r="AJ2814">
        <v>94.8149629253314</v>
      </c>
      <c r="AK2814">
        <v>16.817128586906801</v>
      </c>
      <c r="AL2814">
        <v>82.794353815473997</v>
      </c>
      <c r="AM2814">
        <v>94.635694456702694</v>
      </c>
      <c r="AN2814">
        <v>0.99999999670858497</v>
      </c>
    </row>
    <row r="2815" spans="1:40" x14ac:dyDescent="0.3">
      <c r="A2815" t="str">
        <f>"20200111153932513"</f>
        <v>20200111153932513</v>
      </c>
      <c r="B2815" t="str">
        <f>"1578728372503417"</f>
        <v>1578728372503417</v>
      </c>
      <c r="C2815" t="s">
        <v>40</v>
      </c>
      <c r="D2815">
        <v>5.099011</v>
      </c>
      <c r="E2815">
        <v>0.49568469999999998</v>
      </c>
      <c r="F2815" t="s">
        <v>42</v>
      </c>
      <c r="G2815">
        <v>-352.7722</v>
      </c>
      <c r="H2815" s="1">
        <v>-3.1948930000000001E-6</v>
      </c>
      <c r="I2815">
        <v>140.0368</v>
      </c>
      <c r="J2815">
        <v>-336.02449999999999</v>
      </c>
      <c r="K2815">
        <v>1.1061110000000001</v>
      </c>
      <c r="L2815">
        <v>141.22020000000001</v>
      </c>
      <c r="M2815">
        <v>-0.99983509999999998</v>
      </c>
      <c r="N2815">
        <v>0</v>
      </c>
      <c r="O2815">
        <v>1.000406E-2</v>
      </c>
      <c r="P2815">
        <v>-0.99165479999999995</v>
      </c>
      <c r="Q2815">
        <v>0.1101568</v>
      </c>
      <c r="R2815">
        <v>-6.698287E-2</v>
      </c>
      <c r="S2815">
        <v>-3.0331730000000001</v>
      </c>
      <c r="T2815">
        <v>-0.1937701</v>
      </c>
      <c r="U2815">
        <v>-0.2062378</v>
      </c>
      <c r="V2815">
        <v>-7.7432509999999996E-2</v>
      </c>
      <c r="W2815">
        <v>0.1248369</v>
      </c>
      <c r="X2815">
        <v>0.98915109999999995</v>
      </c>
      <c r="Y2815">
        <v>-7.7638360000000003E-2</v>
      </c>
      <c r="Z2815">
        <v>-3.112367E-3</v>
      </c>
      <c r="AA2815">
        <v>0.99697670000000005</v>
      </c>
      <c r="AB2815">
        <v>60</v>
      </c>
      <c r="AC2815">
        <v>-16.747699999999998</v>
      </c>
      <c r="AD2815">
        <v>-1.106114194893</v>
      </c>
      <c r="AE2815">
        <v>-1.1834</v>
      </c>
      <c r="AF2815">
        <v>-1.3450669217139699</v>
      </c>
      <c r="AG2815">
        <v>-1.106114194893</v>
      </c>
      <c r="AH2815">
        <v>16.662699303448299</v>
      </c>
      <c r="AI2815">
        <v>93.785595860743896</v>
      </c>
      <c r="AJ2815">
        <v>94.615093441413293</v>
      </c>
      <c r="AK2815">
        <v>16.753454620261699</v>
      </c>
      <c r="AL2815">
        <v>82.828662734456103</v>
      </c>
      <c r="AM2815">
        <v>94.476087359945495</v>
      </c>
      <c r="AN2815">
        <v>0.99999997191885903</v>
      </c>
    </row>
    <row r="2816" spans="1:40" x14ac:dyDescent="0.3">
      <c r="A2816" t="str">
        <f>"20200111153932536"</f>
        <v>20200111153932536</v>
      </c>
      <c r="B2816" t="str">
        <f>"1578728372533204"</f>
        <v>1578728372533204</v>
      </c>
      <c r="C2816" t="s">
        <v>40</v>
      </c>
      <c r="D2816">
        <v>5.0914539999999997</v>
      </c>
      <c r="E2816">
        <v>0.4961197</v>
      </c>
      <c r="F2816" t="s">
        <v>42</v>
      </c>
      <c r="G2816">
        <v>-353.55549999999999</v>
      </c>
      <c r="H2816" s="1">
        <v>-2.8648629999999999E-6</v>
      </c>
      <c r="I2816">
        <v>140.05930000000001</v>
      </c>
      <c r="J2816">
        <v>-336.62090000000001</v>
      </c>
      <c r="K2816">
        <v>1.1061190000000001</v>
      </c>
      <c r="L2816">
        <v>141.22579999999999</v>
      </c>
      <c r="M2816">
        <v>-0.99984609999999996</v>
      </c>
      <c r="N2816">
        <v>0</v>
      </c>
      <c r="O2816">
        <v>8.8410139999999995E-3</v>
      </c>
      <c r="P2816">
        <v>-0.99175869999999999</v>
      </c>
      <c r="Q2816">
        <v>0.11024870000000001</v>
      </c>
      <c r="R2816">
        <v>-6.5270179999999997E-2</v>
      </c>
      <c r="S2816">
        <v>-3.0328979999999999</v>
      </c>
      <c r="T2816">
        <v>-0.191361</v>
      </c>
      <c r="U2816">
        <v>-0.2008209</v>
      </c>
      <c r="V2816">
        <v>-7.4574799999999997E-2</v>
      </c>
      <c r="W2816">
        <v>0.12494139999999999</v>
      </c>
      <c r="X2816">
        <v>0.9893575</v>
      </c>
      <c r="Y2816">
        <v>-7.4724180000000001E-2</v>
      </c>
      <c r="Z2816">
        <v>-2.909217E-3</v>
      </c>
      <c r="AA2816">
        <v>0.99719999999999998</v>
      </c>
      <c r="AB2816">
        <v>60</v>
      </c>
      <c r="AC2816">
        <v>-16.9345999999999</v>
      </c>
      <c r="AD2816">
        <v>-1.106121864863</v>
      </c>
      <c r="AE2816">
        <v>-1.1664999999999801</v>
      </c>
      <c r="AF2816">
        <v>-1.3106254512737601</v>
      </c>
      <c r="AG2816">
        <v>-1.106121864863</v>
      </c>
      <c r="AH2816">
        <v>16.8520665541377</v>
      </c>
      <c r="AI2816">
        <v>93.744071995598503</v>
      </c>
      <c r="AJ2816">
        <v>94.447077870400804</v>
      </c>
      <c r="AK2816">
        <v>16.9391083531142</v>
      </c>
      <c r="AL2816">
        <v>82.822628342261595</v>
      </c>
      <c r="AM2816">
        <v>94.310632393553703</v>
      </c>
      <c r="AN2816">
        <v>1.0000000085176199</v>
      </c>
    </row>
    <row r="2817" spans="1:40" x14ac:dyDescent="0.3">
      <c r="A2817" t="str">
        <f>"20200111153932558"</f>
        <v>20200111153932558</v>
      </c>
      <c r="B2817" t="str">
        <f>"1578728372553699"</f>
        <v>1578728372553699</v>
      </c>
      <c r="C2817" t="s">
        <v>40</v>
      </c>
      <c r="D2817">
        <v>5.0789179999999998</v>
      </c>
      <c r="E2817">
        <v>0.49635439999999997</v>
      </c>
      <c r="F2817" t="s">
        <v>42</v>
      </c>
      <c r="G2817">
        <v>-354.56020000000001</v>
      </c>
      <c r="H2817" s="1">
        <v>-2.438201E-6</v>
      </c>
      <c r="I2817">
        <v>140.07570000000001</v>
      </c>
      <c r="J2817">
        <v>-337.22190000000001</v>
      </c>
      <c r="K2817">
        <v>1.106128</v>
      </c>
      <c r="L2817">
        <v>141.23060000000001</v>
      </c>
      <c r="M2817">
        <v>-0.99985570000000001</v>
      </c>
      <c r="N2817">
        <v>0</v>
      </c>
      <c r="O2817">
        <v>7.6650109999999898E-3</v>
      </c>
      <c r="P2817">
        <v>-0.99196209999999996</v>
      </c>
      <c r="Q2817">
        <v>0.10935060000000001</v>
      </c>
      <c r="R2817">
        <v>-6.3666829999999994E-2</v>
      </c>
      <c r="S2817">
        <v>-3.0328979999999999</v>
      </c>
      <c r="T2817">
        <v>-0.1870058</v>
      </c>
      <c r="U2817">
        <v>-0.19441220000000001</v>
      </c>
      <c r="V2817">
        <v>-7.1809520000000002E-2</v>
      </c>
      <c r="W2817">
        <v>0.1240571</v>
      </c>
      <c r="X2817">
        <v>0.98967329999999998</v>
      </c>
      <c r="Y2817">
        <v>-7.1468470000000006E-2</v>
      </c>
      <c r="Z2817">
        <v>-2.6707670000000001E-3</v>
      </c>
      <c r="AA2817">
        <v>0.99743930000000003</v>
      </c>
      <c r="AB2817">
        <v>60</v>
      </c>
      <c r="AC2817">
        <v>-17.3383</v>
      </c>
      <c r="AD2817">
        <v>-1.106130438201</v>
      </c>
      <c r="AE2817">
        <v>-1.15489999999999</v>
      </c>
      <c r="AF2817">
        <v>-1.28258248481919</v>
      </c>
      <c r="AG2817">
        <v>-1.106130438201</v>
      </c>
      <c r="AH2817">
        <v>17.2590025044478</v>
      </c>
      <c r="AI2817">
        <v>93.657017690337796</v>
      </c>
      <c r="AJ2817">
        <v>94.250056289063593</v>
      </c>
      <c r="AK2817">
        <v>17.3419061762315</v>
      </c>
      <c r="AL2817">
        <v>82.873692275980702</v>
      </c>
      <c r="AM2817">
        <v>94.150040934283993</v>
      </c>
      <c r="AN2817">
        <v>1.0000000059779599</v>
      </c>
    </row>
    <row r="2818" spans="1:40" x14ac:dyDescent="0.3">
      <c r="A2818" t="str">
        <f>"20200111153932581"</f>
        <v>20200111153932581</v>
      </c>
      <c r="B2818" t="str">
        <f>"1578728372573219"</f>
        <v>1578728372573219</v>
      </c>
      <c r="C2818" t="s">
        <v>40</v>
      </c>
      <c r="D2818">
        <v>5.098052</v>
      </c>
      <c r="E2818">
        <v>0.49654189999999998</v>
      </c>
      <c r="F2818" t="s">
        <v>42</v>
      </c>
      <c r="G2818">
        <v>-355.04399999999998</v>
      </c>
      <c r="H2818" s="1">
        <v>-2.2419149999999999E-6</v>
      </c>
      <c r="I2818">
        <v>140.11799999999999</v>
      </c>
      <c r="J2818">
        <v>-337.81330000000003</v>
      </c>
      <c r="K2818">
        <v>1.1061259999999999</v>
      </c>
      <c r="L2818">
        <v>141.23480000000001</v>
      </c>
      <c r="M2818">
        <v>-0.99986390000000003</v>
      </c>
      <c r="N2818">
        <v>0</v>
      </c>
      <c r="O2818">
        <v>6.5046449999999999E-3</v>
      </c>
      <c r="P2818">
        <v>-0.99212650000000002</v>
      </c>
      <c r="Q2818">
        <v>0.1084973</v>
      </c>
      <c r="R2818">
        <v>-6.2557500000000002E-2</v>
      </c>
      <c r="S2818">
        <v>-3.032867</v>
      </c>
      <c r="T2818">
        <v>-0.1882354</v>
      </c>
      <c r="U2818">
        <v>-0.1893311</v>
      </c>
      <c r="V2818">
        <v>-6.9551009999999996E-2</v>
      </c>
      <c r="W2818">
        <v>0.1232158</v>
      </c>
      <c r="X2818">
        <v>0.98993960000000003</v>
      </c>
      <c r="Y2818">
        <v>-6.8652499999999894E-2</v>
      </c>
      <c r="Z2818">
        <v>-2.5293500000000001E-3</v>
      </c>
      <c r="AA2818">
        <v>0.99763749999999995</v>
      </c>
      <c r="AB2818">
        <v>60</v>
      </c>
      <c r="AC2818">
        <v>-17.230699999999999</v>
      </c>
      <c r="AD2818">
        <v>-1.106128241915</v>
      </c>
      <c r="AE2818">
        <v>-1.11680000000001</v>
      </c>
      <c r="AF2818">
        <v>-1.22384643740888</v>
      </c>
      <c r="AG2818">
        <v>-1.106128241915</v>
      </c>
      <c r="AH2818">
        <v>17.152679278576301</v>
      </c>
      <c r="AI2818">
        <v>93.680404805184594</v>
      </c>
      <c r="AJ2818">
        <v>94.081147004369498</v>
      </c>
      <c r="AK2818">
        <v>17.231823067325799</v>
      </c>
      <c r="AL2818">
        <v>82.922267468235006</v>
      </c>
      <c r="AM2818">
        <v>94.018873322432398</v>
      </c>
      <c r="AN2818">
        <v>0.99999994400490799</v>
      </c>
    </row>
    <row r="2819" spans="1:40" x14ac:dyDescent="0.3">
      <c r="A2819" t="str">
        <f>"20200111153932603"</f>
        <v>20200111153932603</v>
      </c>
      <c r="B2819" t="str">
        <f>"1578728372593714"</f>
        <v>1578728372593714</v>
      </c>
      <c r="C2819" t="s">
        <v>40</v>
      </c>
      <c r="D2819">
        <v>5.0950509999999998</v>
      </c>
      <c r="E2819">
        <v>0.49661870000000002</v>
      </c>
      <c r="F2819" t="s">
        <v>42</v>
      </c>
      <c r="G2819">
        <v>-355.44130000000001</v>
      </c>
      <c r="H2819" s="1">
        <v>-2.0820090000000002E-6</v>
      </c>
      <c r="I2819">
        <v>140.15770000000001</v>
      </c>
      <c r="J2819">
        <v>-338.423</v>
      </c>
      <c r="K2819">
        <v>1.1061299999999901</v>
      </c>
      <c r="L2819">
        <v>141.23830000000001</v>
      </c>
      <c r="M2819">
        <v>-0.99987110000000001</v>
      </c>
      <c r="N2819">
        <v>0</v>
      </c>
      <c r="O2819">
        <v>5.3056529999999996E-3</v>
      </c>
      <c r="P2819">
        <v>-0.99224619999999997</v>
      </c>
      <c r="Q2819">
        <v>0.1075839</v>
      </c>
      <c r="R2819">
        <v>-6.223683E-2</v>
      </c>
      <c r="S2819">
        <v>-3.0329280000000001</v>
      </c>
      <c r="T2819">
        <v>-0.19031110000000001</v>
      </c>
      <c r="U2819">
        <v>-0.18530269999999999</v>
      </c>
      <c r="V2819">
        <v>-6.8040989999999996E-2</v>
      </c>
      <c r="W2819">
        <v>0.1223105</v>
      </c>
      <c r="X2819">
        <v>0.99015679999999995</v>
      </c>
      <c r="Y2819">
        <v>-6.6138779999999994E-2</v>
      </c>
      <c r="Z2819">
        <v>-2.403419E-3</v>
      </c>
      <c r="AA2819">
        <v>0.99780760000000002</v>
      </c>
      <c r="AB2819">
        <v>60</v>
      </c>
      <c r="AC2819">
        <v>-17.0183</v>
      </c>
      <c r="AD2819">
        <v>-1.1061320820089999</v>
      </c>
      <c r="AE2819">
        <v>-1.0806</v>
      </c>
      <c r="AF2819">
        <v>-1.1659823661637201</v>
      </c>
      <c r="AG2819">
        <v>-1.1061320820089999</v>
      </c>
      <c r="AH2819">
        <v>16.9410453678714</v>
      </c>
      <c r="AI2819">
        <v>93.726920211375401</v>
      </c>
      <c r="AJ2819">
        <v>93.937223436634895</v>
      </c>
      <c r="AK2819">
        <v>17.0171108363709</v>
      </c>
      <c r="AL2819">
        <v>82.974532801075895</v>
      </c>
      <c r="AM2819">
        <v>93.931036585518498</v>
      </c>
      <c r="AN2819">
        <v>0.99999996165833405</v>
      </c>
    </row>
    <row r="2820" spans="1:40" x14ac:dyDescent="0.3">
      <c r="A2820" t="str">
        <f>"20200111153932624"</f>
        <v>20200111153932624</v>
      </c>
      <c r="B2820" t="str">
        <f>"1578728372613235"</f>
        <v>1578728372613235</v>
      </c>
      <c r="C2820" t="s">
        <v>40</v>
      </c>
      <c r="D2820">
        <v>5.1004209999999999</v>
      </c>
      <c r="E2820">
        <v>0.4965521</v>
      </c>
      <c r="F2820" t="s">
        <v>42</v>
      </c>
      <c r="G2820">
        <v>-355.92329999999998</v>
      </c>
      <c r="H2820" s="1">
        <v>-1.879808E-6</v>
      </c>
      <c r="I2820">
        <v>140.1748</v>
      </c>
      <c r="J2820">
        <v>-338.98050000000001</v>
      </c>
      <c r="K2820">
        <v>1.1061350000000001</v>
      </c>
      <c r="L2820">
        <v>141.24090000000001</v>
      </c>
      <c r="M2820">
        <v>-0.99987630000000005</v>
      </c>
      <c r="N2820">
        <v>0</v>
      </c>
      <c r="O2820">
        <v>4.2078180000000003E-3</v>
      </c>
      <c r="P2820">
        <v>-0.99235059999999997</v>
      </c>
      <c r="Q2820">
        <v>0.1070421</v>
      </c>
      <c r="R2820">
        <v>-6.1500310000000002E-2</v>
      </c>
      <c r="S2820">
        <v>-3.032715</v>
      </c>
      <c r="T2820">
        <v>-0.19168750000000001</v>
      </c>
      <c r="U2820">
        <v>-0.18428040000000001</v>
      </c>
      <c r="V2820">
        <v>-6.6216189999999994E-2</v>
      </c>
      <c r="W2820">
        <v>0.1217776</v>
      </c>
      <c r="X2820">
        <v>0.99034619999999995</v>
      </c>
      <c r="Y2820">
        <v>-6.4715270000000005E-2</v>
      </c>
      <c r="Z2820">
        <v>-2.3067909999999999E-3</v>
      </c>
      <c r="AA2820">
        <v>0.99790109999999999</v>
      </c>
      <c r="AB2820">
        <v>60</v>
      </c>
      <c r="AC2820">
        <v>-16.942799999999899</v>
      </c>
      <c r="AD2820">
        <v>-1.106136879808</v>
      </c>
      <c r="AE2820">
        <v>-1.0661</v>
      </c>
      <c r="AF2820">
        <v>-1.1325825613404299</v>
      </c>
      <c r="AG2820">
        <v>-1.106136879808</v>
      </c>
      <c r="AH2820">
        <v>16.866556143359102</v>
      </c>
      <c r="AI2820">
        <v>93.743772693769202</v>
      </c>
      <c r="AJ2820">
        <v>93.841621770018307</v>
      </c>
      <c r="AK2820">
        <v>16.9406906055275</v>
      </c>
      <c r="AL2820">
        <v>83.005295827169405</v>
      </c>
      <c r="AM2820">
        <v>93.825197498076804</v>
      </c>
      <c r="AN2820">
        <v>0.99999998176715699</v>
      </c>
    </row>
    <row r="2821" spans="1:40" x14ac:dyDescent="0.3">
      <c r="A2821" t="str">
        <f>"20200111153932647"</f>
        <v>20200111153932647</v>
      </c>
      <c r="B2821" t="str">
        <f>"1578728372643998"</f>
        <v>1578728372643998</v>
      </c>
      <c r="C2821" t="s">
        <v>40</v>
      </c>
      <c r="D2821">
        <v>5.0929449999999896</v>
      </c>
      <c r="E2821">
        <v>0.49636780000000003</v>
      </c>
      <c r="F2821" t="s">
        <v>42</v>
      </c>
      <c r="G2821">
        <v>-356.39269999999999</v>
      </c>
      <c r="H2821" s="1">
        <v>-1.6829320000000001E-6</v>
      </c>
      <c r="I2821">
        <v>140.1917</v>
      </c>
      <c r="J2821">
        <v>-339.58859999999999</v>
      </c>
      <c r="K2821">
        <v>1.10615</v>
      </c>
      <c r="L2821">
        <v>141.24299999999999</v>
      </c>
      <c r="M2821">
        <v>-0.99988069999999896</v>
      </c>
      <c r="N2821">
        <v>0</v>
      </c>
      <c r="O2821">
        <v>3.0070069999999999E-3</v>
      </c>
      <c r="P2821">
        <v>-0.99241950000000001</v>
      </c>
      <c r="Q2821">
        <v>0.1065002</v>
      </c>
      <c r="R2821">
        <v>-6.133197E-2</v>
      </c>
      <c r="S2821">
        <v>-3.0325929999999999</v>
      </c>
      <c r="T2821">
        <v>-0.19264999999999999</v>
      </c>
      <c r="U2821">
        <v>-0.1827087</v>
      </c>
      <c r="V2821">
        <v>-6.4857059999999994E-2</v>
      </c>
      <c r="W2821">
        <v>0.1212418</v>
      </c>
      <c r="X2821">
        <v>0.99050190000000005</v>
      </c>
      <c r="Y2821">
        <v>-6.3008350000000005E-2</v>
      </c>
      <c r="Z2821">
        <v>-2.1882149999999999E-3</v>
      </c>
      <c r="AA2821">
        <v>0.99801059999999997</v>
      </c>
      <c r="AB2821">
        <v>60</v>
      </c>
      <c r="AC2821">
        <v>-16.804099999999998</v>
      </c>
      <c r="AD2821">
        <v>-1.1061516829319999</v>
      </c>
      <c r="AE2821">
        <v>-1.0512999999999899</v>
      </c>
      <c r="AF2821">
        <v>-1.0970957993336901</v>
      </c>
      <c r="AG2821">
        <v>-1.1061516829319999</v>
      </c>
      <c r="AH2821">
        <v>16.728658018297299</v>
      </c>
      <c r="AI2821">
        <v>93.774984884115597</v>
      </c>
      <c r="AJ2821">
        <v>93.752188163219998</v>
      </c>
      <c r="AK2821">
        <v>16.801047283776999</v>
      </c>
      <c r="AL2821">
        <v>83.036224296859203</v>
      </c>
      <c r="AM2821">
        <v>93.746321535063501</v>
      </c>
      <c r="AN2821">
        <v>1.00000001310134</v>
      </c>
    </row>
    <row r="2822" spans="1:40" x14ac:dyDescent="0.3">
      <c r="A2822" t="str">
        <f>"20200111153932670"</f>
        <v>20200111153932670</v>
      </c>
      <c r="B2822" t="str">
        <f>"1578728372663518"</f>
        <v>1578728372663518</v>
      </c>
      <c r="C2822" t="s">
        <v>40</v>
      </c>
      <c r="D2822">
        <v>5.0823320000000001</v>
      </c>
      <c r="E2822">
        <v>0.49611430000000001</v>
      </c>
      <c r="F2822" t="s">
        <v>42</v>
      </c>
      <c r="G2822">
        <v>-356.94650000000001</v>
      </c>
      <c r="H2822" s="1">
        <v>-1.4455029999999901E-6</v>
      </c>
      <c r="I2822">
        <v>140.19220000000001</v>
      </c>
      <c r="J2822">
        <v>-340.20330000000001</v>
      </c>
      <c r="K2822">
        <v>1.106155</v>
      </c>
      <c r="L2822">
        <v>141.24440000000001</v>
      </c>
      <c r="M2822">
        <v>-0.99988359999999998</v>
      </c>
      <c r="N2822">
        <v>0</v>
      </c>
      <c r="O2822">
        <v>1.7861629999999999E-3</v>
      </c>
      <c r="P2822">
        <v>-0.99246900000000005</v>
      </c>
      <c r="Q2822">
        <v>0.1061045</v>
      </c>
      <c r="R2822">
        <v>-6.1217729999999998E-2</v>
      </c>
      <c r="S2822">
        <v>-3.0322879999999999</v>
      </c>
      <c r="T2822">
        <v>-0.19323689999999999</v>
      </c>
      <c r="U2822">
        <v>-0.18356320000000001</v>
      </c>
      <c r="V2822">
        <v>-6.3531920000000006E-2</v>
      </c>
      <c r="W2822">
        <v>0.1208518</v>
      </c>
      <c r="X2822">
        <v>0.99063540000000005</v>
      </c>
      <c r="Y2822">
        <v>-6.2079530000000001E-2</v>
      </c>
      <c r="Z2822">
        <v>-2.0878699999999999E-3</v>
      </c>
      <c r="AA2822">
        <v>0.99806899999999998</v>
      </c>
      <c r="AB2822">
        <v>60</v>
      </c>
      <c r="AC2822">
        <v>-16.743200000000002</v>
      </c>
      <c r="AD2822">
        <v>-1.106156445503</v>
      </c>
      <c r="AE2822">
        <v>-1.05219999999999</v>
      </c>
      <c r="AF2822">
        <v>-1.0774236879021299</v>
      </c>
      <c r="AG2822">
        <v>-1.106156445503</v>
      </c>
      <c r="AH2822">
        <v>16.668825149075602</v>
      </c>
      <c r="AI2822">
        <v>93.788743484318005</v>
      </c>
      <c r="AJ2822">
        <v>93.698285487037296</v>
      </c>
      <c r="AK2822">
        <v>16.740195809357601</v>
      </c>
      <c r="AL2822">
        <v>83.058734940371394</v>
      </c>
      <c r="AM2822">
        <v>93.6694959577558</v>
      </c>
      <c r="AN2822">
        <v>0.99999997907764304</v>
      </c>
    </row>
    <row r="2823" spans="1:40" x14ac:dyDescent="0.3">
      <c r="A2823" t="str">
        <f>"20200111153932692"</f>
        <v>20200111153932692</v>
      </c>
      <c r="B2823" t="str">
        <f>"1578728372684014"</f>
        <v>1578728372684014</v>
      </c>
      <c r="C2823" t="s">
        <v>40</v>
      </c>
      <c r="D2823">
        <v>5.099971</v>
      </c>
      <c r="E2823">
        <v>0.49587170000000003</v>
      </c>
      <c r="F2823" t="s">
        <v>42</v>
      </c>
      <c r="G2823">
        <v>-357.44970000000001</v>
      </c>
      <c r="H2823" s="1">
        <v>-1.229691E-6</v>
      </c>
      <c r="I2823">
        <v>140.19239999999999</v>
      </c>
      <c r="J2823">
        <v>-340.80470000000003</v>
      </c>
      <c r="K2823">
        <v>1.106155</v>
      </c>
      <c r="L2823">
        <v>141.24510000000001</v>
      </c>
      <c r="M2823">
        <v>-0.99988509999999997</v>
      </c>
      <c r="N2823">
        <v>0</v>
      </c>
      <c r="O2823">
        <v>5.8252399999999995E-4</v>
      </c>
      <c r="P2823">
        <v>-0.99248420000000004</v>
      </c>
      <c r="Q2823">
        <v>0.10612539999999999</v>
      </c>
      <c r="R2823">
        <v>-6.0934330000000002E-2</v>
      </c>
      <c r="S2823">
        <v>-3.0321660000000001</v>
      </c>
      <c r="T2823">
        <v>-0.19447909999999999</v>
      </c>
      <c r="U2823">
        <v>-0.1849518</v>
      </c>
      <c r="V2823">
        <v>-6.205691E-2</v>
      </c>
      <c r="W2823">
        <v>0.120877399999999</v>
      </c>
      <c r="X2823">
        <v>0.99072579999999999</v>
      </c>
      <c r="Y2823">
        <v>-6.1338179999999999E-2</v>
      </c>
      <c r="Z2823">
        <v>-2.0005309999999998E-3</v>
      </c>
      <c r="AA2823">
        <v>0.99811510000000003</v>
      </c>
      <c r="AB2823">
        <v>59</v>
      </c>
      <c r="AC2823">
        <v>-16.6449999999999</v>
      </c>
      <c r="AD2823">
        <v>-1.1061562296909999</v>
      </c>
      <c r="AE2823">
        <v>-1.05270000000001</v>
      </c>
      <c r="AF2823">
        <v>-1.0577442673676001</v>
      </c>
      <c r="AG2823">
        <v>-1.1061562296909999</v>
      </c>
      <c r="AH2823">
        <v>16.5714896355523</v>
      </c>
      <c r="AI2823">
        <v>93.811127571911499</v>
      </c>
      <c r="AJ2823">
        <v>93.652187001977296</v>
      </c>
      <c r="AK2823">
        <v>16.642015301063999</v>
      </c>
      <c r="AL2823">
        <v>83.057257540285306</v>
      </c>
      <c r="AM2823">
        <v>93.584200412733693</v>
      </c>
      <c r="AN2823">
        <v>1.00000000834757</v>
      </c>
    </row>
    <row r="2824" spans="1:40" x14ac:dyDescent="0.3">
      <c r="A2824" t="str">
        <f>"20200111153932714"</f>
        <v>20200111153932714</v>
      </c>
      <c r="B2824" t="str">
        <f>"1578728372703534"</f>
        <v>1578728372703534</v>
      </c>
      <c r="C2824" t="s">
        <v>40</v>
      </c>
      <c r="D2824">
        <v>5.3013849999999998</v>
      </c>
      <c r="E2824">
        <v>0.50686589999999998</v>
      </c>
      <c r="F2824" t="s">
        <v>42</v>
      </c>
      <c r="G2824">
        <v>-358.1001</v>
      </c>
      <c r="H2824" s="1">
        <v>-9.4781439999999999E-7</v>
      </c>
      <c r="I2824">
        <v>140.18170000000001</v>
      </c>
      <c r="J2824">
        <v>-341.36829999999998</v>
      </c>
      <c r="K2824">
        <v>1.1061540000000001</v>
      </c>
      <c r="L2824">
        <v>141.24510000000001</v>
      </c>
      <c r="M2824">
        <v>-0.99988509999999997</v>
      </c>
      <c r="N2824">
        <v>0</v>
      </c>
      <c r="O2824">
        <v>-5.5226880000000002E-4</v>
      </c>
      <c r="P2824">
        <v>-0.99257609999999996</v>
      </c>
      <c r="Q2824">
        <v>0.10568039999999899</v>
      </c>
      <c r="R2824">
        <v>-6.0208640000000001E-2</v>
      </c>
      <c r="S2824">
        <v>-3.0319820000000002</v>
      </c>
      <c r="T2824">
        <v>-0.19391600000000001</v>
      </c>
      <c r="U2824">
        <v>-0.18641659999999999</v>
      </c>
      <c r="V2824">
        <v>-6.0205309999999998E-2</v>
      </c>
      <c r="W2824">
        <v>0.1204414</v>
      </c>
      <c r="X2824">
        <v>0.99089309999999997</v>
      </c>
      <c r="Y2824">
        <v>-6.0693820000000002E-2</v>
      </c>
      <c r="Z2824">
        <v>-1.9018329999999999E-3</v>
      </c>
      <c r="AA2824">
        <v>0.9981546</v>
      </c>
      <c r="AB2824">
        <v>59</v>
      </c>
      <c r="AC2824">
        <v>-16.7318</v>
      </c>
      <c r="AD2824">
        <v>-1.1061549478143999</v>
      </c>
      <c r="AE2824">
        <v>-1.0633999999999999</v>
      </c>
      <c r="AF2824">
        <v>-1.04958938772446</v>
      </c>
      <c r="AG2824">
        <v>-1.1061549478143999</v>
      </c>
      <c r="AH2824">
        <v>16.6598632082965</v>
      </c>
      <c r="AI2824">
        <v>93.791163572162802</v>
      </c>
      <c r="AJ2824">
        <v>93.604931582909202</v>
      </c>
      <c r="AK2824">
        <v>16.729502645642199</v>
      </c>
      <c r="AL2824">
        <v>83.082422108794105</v>
      </c>
      <c r="AM2824">
        <v>93.476938929252</v>
      </c>
      <c r="AN2824">
        <v>0.99999997290688203</v>
      </c>
    </row>
    <row r="2825" spans="1:40" x14ac:dyDescent="0.3">
      <c r="A2825" t="str">
        <f>"20200111153932737"</f>
        <v>20200111153932737</v>
      </c>
      <c r="B2825" t="str">
        <f>"1578728372733323"</f>
        <v>1578728372733323</v>
      </c>
      <c r="C2825" t="s">
        <v>40</v>
      </c>
      <c r="D2825">
        <v>5.2204819999999996</v>
      </c>
      <c r="E2825">
        <v>0.56616219999999995</v>
      </c>
      <c r="F2825" t="s">
        <v>42</v>
      </c>
      <c r="G2825">
        <v>-372.01459999999997</v>
      </c>
      <c r="H2825" s="1">
        <v>-3.5667870000000002E-6</v>
      </c>
      <c r="I2825">
        <v>140.21289999999999</v>
      </c>
      <c r="J2825">
        <v>-341.95870000000002</v>
      </c>
      <c r="K2825">
        <v>1.1061570000000001</v>
      </c>
      <c r="L2825">
        <v>141.24430000000001</v>
      </c>
      <c r="M2825">
        <v>-0.99988359999999998</v>
      </c>
      <c r="N2825">
        <v>0</v>
      </c>
      <c r="O2825">
        <v>-1.7478400000000001E-3</v>
      </c>
      <c r="P2825">
        <v>-0.99271960000000004</v>
      </c>
      <c r="Q2825">
        <v>0.104684</v>
      </c>
      <c r="R2825">
        <v>-5.9575219999999998E-2</v>
      </c>
      <c r="S2825">
        <v>-3.027863</v>
      </c>
      <c r="T2825">
        <v>-0.10928889999999999</v>
      </c>
      <c r="U2825">
        <v>-0.1019745</v>
      </c>
      <c r="V2825">
        <v>-5.8383200000000003E-2</v>
      </c>
      <c r="W2825">
        <v>0.1194534</v>
      </c>
      <c r="X2825">
        <v>0.99112169999999999</v>
      </c>
      <c r="Y2825">
        <v>-3.1892909999999997E-2</v>
      </c>
      <c r="Z2825">
        <v>-5.1217229999999997E-4</v>
      </c>
      <c r="AA2825">
        <v>0.99949120000000002</v>
      </c>
      <c r="AB2825">
        <v>59</v>
      </c>
      <c r="AC2825">
        <v>-30.055899999999902</v>
      </c>
      <c r="AD2825">
        <v>-1.106160566787</v>
      </c>
      <c r="AE2825">
        <v>-1.0314000000000101</v>
      </c>
      <c r="AF2825">
        <v>-0.97753697473980505</v>
      </c>
      <c r="AG2825">
        <v>-1.106160566787</v>
      </c>
      <c r="AH2825">
        <v>30.017046941379299</v>
      </c>
      <c r="AI2825">
        <v>92.109339084926106</v>
      </c>
      <c r="AJ2825">
        <v>91.865238631803194</v>
      </c>
      <c r="AK2825">
        <v>30.053323889670899</v>
      </c>
      <c r="AL2825">
        <v>83.139441982205497</v>
      </c>
      <c r="AM2825">
        <v>93.371180229185498</v>
      </c>
      <c r="AN2825">
        <v>0.99999996851234396</v>
      </c>
    </row>
    <row r="2826" spans="1:40" x14ac:dyDescent="0.3">
      <c r="A2826" t="str">
        <f>"20200111153932761"</f>
        <v>20200111153932761</v>
      </c>
      <c r="B2826" t="str">
        <f>"1578728372753819"</f>
        <v>1578728372753819</v>
      </c>
      <c r="C2826" t="s">
        <v>40</v>
      </c>
      <c r="D2826">
        <v>5.1538879999999896</v>
      </c>
      <c r="E2826">
        <v>0.56607919999999901</v>
      </c>
      <c r="F2826" t="s">
        <v>42</v>
      </c>
      <c r="G2826">
        <v>-363.14909999999998</v>
      </c>
      <c r="H2826" s="1">
        <v>-3.9535350000000003E-6</v>
      </c>
      <c r="I2826">
        <v>143.83969999999999</v>
      </c>
      <c r="J2826">
        <v>-342.5958</v>
      </c>
      <c r="K2826">
        <v>1.10615</v>
      </c>
      <c r="L2826">
        <v>141.24270000000001</v>
      </c>
      <c r="M2826">
        <v>-0.99988069999999896</v>
      </c>
      <c r="N2826">
        <v>0</v>
      </c>
      <c r="O2826">
        <v>-3.0447130000000001E-3</v>
      </c>
      <c r="P2826">
        <v>-0.99286790000000003</v>
      </c>
      <c r="Q2826">
        <v>0.1040495</v>
      </c>
      <c r="R2826">
        <v>-5.8200399999999999E-2</v>
      </c>
      <c r="S2826">
        <v>-3.061401</v>
      </c>
      <c r="T2826">
        <v>-0.15980849999999999</v>
      </c>
      <c r="U2826">
        <v>0.37496950000000001</v>
      </c>
      <c r="V2826">
        <v>-5.57198E-2</v>
      </c>
      <c r="W2826">
        <v>0.1188318</v>
      </c>
      <c r="X2826">
        <v>0.99134979999999995</v>
      </c>
      <c r="Y2826">
        <v>0.1244253</v>
      </c>
      <c r="Z2826">
        <v>3.3915680000000002E-3</v>
      </c>
      <c r="AA2826">
        <v>0.99222319999999997</v>
      </c>
      <c r="AB2826">
        <v>59</v>
      </c>
      <c r="AC2826">
        <v>-20.553299999999901</v>
      </c>
      <c r="AD2826">
        <v>-1.106153953535</v>
      </c>
      <c r="AE2826">
        <v>2.59699999999998</v>
      </c>
      <c r="AF2826">
        <v>2.6520132873520899</v>
      </c>
      <c r="AG2826">
        <v>-1.106153953535</v>
      </c>
      <c r="AH2826">
        <v>20.486889653908499</v>
      </c>
      <c r="AI2826">
        <v>93.065060213117306</v>
      </c>
      <c r="AJ2826">
        <v>82.624119112118706</v>
      </c>
      <c r="AK2826">
        <v>20.687421268409398</v>
      </c>
      <c r="AL2826">
        <v>83.175313164103002</v>
      </c>
      <c r="AM2826">
        <v>93.216981432682402</v>
      </c>
      <c r="AN2826">
        <v>1.00000005938165</v>
      </c>
    </row>
    <row r="2827" spans="1:40" x14ac:dyDescent="0.3">
      <c r="A2827" t="str">
        <f>"20200111153932786"</f>
        <v>20200111153932786</v>
      </c>
      <c r="B2827" t="str">
        <f>"1578728372773339"</f>
        <v>1578728372773339</v>
      </c>
      <c r="C2827" t="s">
        <v>40</v>
      </c>
      <c r="D2827">
        <v>5.1877019999999998</v>
      </c>
      <c r="E2827">
        <v>0.56365030000000005</v>
      </c>
      <c r="F2827" t="s">
        <v>42</v>
      </c>
      <c r="G2827">
        <v>-364.25940000000003</v>
      </c>
      <c r="H2827" s="1">
        <v>-3.58873E-6</v>
      </c>
      <c r="I2827">
        <v>143.91470000000001</v>
      </c>
      <c r="J2827">
        <v>-343.24740000000003</v>
      </c>
      <c r="K2827">
        <v>1.1061449999999999</v>
      </c>
      <c r="L2827">
        <v>141.24019999999999</v>
      </c>
      <c r="M2827">
        <v>-0.99987570000000003</v>
      </c>
      <c r="N2827">
        <v>0</v>
      </c>
      <c r="O2827">
        <v>-4.3763589999999998E-3</v>
      </c>
      <c r="P2827">
        <v>-0.99292610000000003</v>
      </c>
      <c r="Q2827">
        <v>0.1045297</v>
      </c>
      <c r="R2827">
        <v>-5.6314639999999999E-2</v>
      </c>
      <c r="S2827">
        <v>-3.0600589999999999</v>
      </c>
      <c r="T2827">
        <v>-0.1562482</v>
      </c>
      <c r="U2827">
        <v>0.37744139999999998</v>
      </c>
      <c r="V2827">
        <v>-5.2515649999999997E-2</v>
      </c>
      <c r="W2827">
        <v>0.1193251</v>
      </c>
      <c r="X2827">
        <v>0.99146540000000005</v>
      </c>
      <c r="Y2827">
        <v>0.1265915</v>
      </c>
      <c r="Z2827">
        <v>3.440153E-3</v>
      </c>
      <c r="AA2827">
        <v>0.99194899999999997</v>
      </c>
      <c r="AB2827">
        <v>59</v>
      </c>
      <c r="AC2827">
        <v>-21.011999999999901</v>
      </c>
      <c r="AD2827">
        <v>-1.10614858873</v>
      </c>
      <c r="AE2827">
        <v>2.6745000000000201</v>
      </c>
      <c r="AF2827">
        <v>2.7589169494385701</v>
      </c>
      <c r="AG2827">
        <v>-1.10614858873</v>
      </c>
      <c r="AH2827">
        <v>20.942977735971699</v>
      </c>
      <c r="AI2827">
        <v>92.997540998116705</v>
      </c>
      <c r="AJ2827">
        <v>82.495370277985302</v>
      </c>
      <c r="AK2827">
        <v>21.152860418479001</v>
      </c>
      <c r="AL2827">
        <v>83.146846247382797</v>
      </c>
      <c r="AM2827">
        <v>93.031992751256894</v>
      </c>
      <c r="AN2827">
        <v>1.0000000061910399</v>
      </c>
    </row>
    <row r="2828" spans="1:40" x14ac:dyDescent="0.3">
      <c r="A2828" t="str">
        <f>"20200111153932804"</f>
        <v>20200111153932804</v>
      </c>
      <c r="B2828" t="str">
        <f>"1578728372793835"</f>
        <v>1578728372793835</v>
      </c>
      <c r="C2828" t="s">
        <v>40</v>
      </c>
      <c r="D2828">
        <v>5.1841470000000003</v>
      </c>
      <c r="E2828">
        <v>0.56180589999999997</v>
      </c>
      <c r="F2828" t="s">
        <v>42</v>
      </c>
      <c r="G2828">
        <v>-365.38650000000001</v>
      </c>
      <c r="H2828" s="1">
        <v>-3.0917270000000001E-6</v>
      </c>
      <c r="I2828">
        <v>143.86410000000001</v>
      </c>
      <c r="J2828">
        <v>-343.75189999999998</v>
      </c>
      <c r="K2828">
        <v>1.106142</v>
      </c>
      <c r="L2828">
        <v>141.23769999999999</v>
      </c>
      <c r="M2828">
        <v>-0.99987079999999995</v>
      </c>
      <c r="N2828">
        <v>0</v>
      </c>
      <c r="O2828">
        <v>-5.4090989999999997E-3</v>
      </c>
      <c r="P2828">
        <v>-0.99292420000000003</v>
      </c>
      <c r="Q2828">
        <v>0.10540579999999999</v>
      </c>
      <c r="R2828">
        <v>-5.4692940000000002E-2</v>
      </c>
      <c r="S2828">
        <v>-3.058014</v>
      </c>
      <c r="T2828">
        <v>-0.1527897</v>
      </c>
      <c r="U2828">
        <v>0.36244199999999999</v>
      </c>
      <c r="V2828">
        <v>-4.9873000000000001E-2</v>
      </c>
      <c r="W2828">
        <v>0.12021179999999999</v>
      </c>
      <c r="X2828">
        <v>0.99149469999999995</v>
      </c>
      <c r="Y2828">
        <v>0.1229108</v>
      </c>
      <c r="Z2828">
        <v>3.3271450000000001E-3</v>
      </c>
      <c r="AA2828">
        <v>0.99241210000000002</v>
      </c>
      <c r="AB2828">
        <v>59</v>
      </c>
      <c r="AC2828">
        <v>-21.634599999999999</v>
      </c>
      <c r="AD2828">
        <v>-1.1061450917269999</v>
      </c>
      <c r="AE2828">
        <v>2.6264000000000101</v>
      </c>
      <c r="AF2828">
        <v>2.7363493985304199</v>
      </c>
      <c r="AG2828">
        <v>-1.1061450917269999</v>
      </c>
      <c r="AH2828">
        <v>21.564521696945398</v>
      </c>
      <c r="AI2828">
        <v>92.913076800339695</v>
      </c>
      <c r="AJ2828">
        <v>82.768314302760402</v>
      </c>
      <c r="AK2828">
        <v>21.765563650243799</v>
      </c>
      <c r="AL2828">
        <v>83.095673455954895</v>
      </c>
      <c r="AM2828">
        <v>92.879597907659303</v>
      </c>
      <c r="AN2828">
        <v>0.99999996655816403</v>
      </c>
    </row>
    <row r="2829" spans="1:40" x14ac:dyDescent="0.3">
      <c r="A2829" t="str">
        <f>"20200111153932826"</f>
        <v>20200111153932826</v>
      </c>
      <c r="B2829" t="str">
        <f>"1578728372813354"</f>
        <v>1578728372813354</v>
      </c>
      <c r="C2829" t="s">
        <v>40</v>
      </c>
      <c r="D2829">
        <v>5.2022380000000004</v>
      </c>
      <c r="E2829">
        <v>0.56057069999999998</v>
      </c>
      <c r="F2829" t="s">
        <v>42</v>
      </c>
      <c r="G2829">
        <v>-366.75080000000003</v>
      </c>
      <c r="H2829" s="1">
        <v>-2.5133020000000002E-6</v>
      </c>
      <c r="I2829">
        <v>143.88980000000001</v>
      </c>
      <c r="J2829">
        <v>-344.32060000000001</v>
      </c>
      <c r="K2829">
        <v>1.1061289999999999</v>
      </c>
      <c r="L2829">
        <v>141.23419999999999</v>
      </c>
      <c r="M2829">
        <v>-0.99986370000000002</v>
      </c>
      <c r="N2829">
        <v>0</v>
      </c>
      <c r="O2829">
        <v>-6.5707609999999996E-3</v>
      </c>
      <c r="P2829">
        <v>-0.99296070000000003</v>
      </c>
      <c r="Q2829">
        <v>0.1057027</v>
      </c>
      <c r="R2829">
        <v>-5.3443989999999997E-2</v>
      </c>
      <c r="S2829">
        <v>-3.0563660000000001</v>
      </c>
      <c r="T2829">
        <v>-0.14699809999999999</v>
      </c>
      <c r="U2829">
        <v>0.35244750000000002</v>
      </c>
      <c r="V2829">
        <v>-4.7471699999999999E-2</v>
      </c>
      <c r="W2829">
        <v>0.120519</v>
      </c>
      <c r="X2829">
        <v>0.99157530000000005</v>
      </c>
      <c r="Y2829">
        <v>0.120937</v>
      </c>
      <c r="Z2829">
        <v>3.2118799999999999E-3</v>
      </c>
      <c r="AA2829">
        <v>0.99265499999999995</v>
      </c>
      <c r="AB2829">
        <v>59</v>
      </c>
      <c r="AC2829">
        <v>-22.430199999999999</v>
      </c>
      <c r="AD2829">
        <v>-1.106131513302</v>
      </c>
      <c r="AE2829">
        <v>2.6556000000000202</v>
      </c>
      <c r="AF2829">
        <v>2.7962368594704401</v>
      </c>
      <c r="AG2829">
        <v>-1.106131513302</v>
      </c>
      <c r="AH2829">
        <v>22.358641819949</v>
      </c>
      <c r="AI2829">
        <v>92.810382499414004</v>
      </c>
      <c r="AJ2829">
        <v>82.871434528891001</v>
      </c>
      <c r="AK2829">
        <v>22.5599497236087</v>
      </c>
      <c r="AL2829">
        <v>83.077943406051503</v>
      </c>
      <c r="AM2829">
        <v>92.740944502490095</v>
      </c>
      <c r="AN2829">
        <v>0.99999998361598896</v>
      </c>
    </row>
    <row r="2830" spans="1:40" x14ac:dyDescent="0.3">
      <c r="A2830" t="str">
        <f>"20200111153932849"</f>
        <v>20200111153932849</v>
      </c>
      <c r="B2830" t="str">
        <f>"1578728372843610"</f>
        <v>1578728372843610</v>
      </c>
      <c r="C2830" t="s">
        <v>40</v>
      </c>
      <c r="D2830">
        <v>5.2542999999999997</v>
      </c>
      <c r="E2830">
        <v>0.55947019999999903</v>
      </c>
      <c r="F2830" t="s">
        <v>42</v>
      </c>
      <c r="G2830">
        <v>-367.7962</v>
      </c>
      <c r="H2830" s="1">
        <v>-2.0667160000000001E-6</v>
      </c>
      <c r="I2830">
        <v>143.89689999999999</v>
      </c>
      <c r="J2830">
        <v>-344.93810000000002</v>
      </c>
      <c r="K2830">
        <v>1.1061179999999999</v>
      </c>
      <c r="L2830">
        <v>141.22970000000001</v>
      </c>
      <c r="M2830">
        <v>-0.99985489999999999</v>
      </c>
      <c r="N2830">
        <v>0</v>
      </c>
      <c r="O2830">
        <v>-7.8212200000000003E-3</v>
      </c>
      <c r="P2830">
        <v>-0.99309239999999999</v>
      </c>
      <c r="Q2830">
        <v>0.104906399999999</v>
      </c>
      <c r="R2830">
        <v>-5.2561040000000003E-2</v>
      </c>
      <c r="S2830">
        <v>-3.0552670000000002</v>
      </c>
      <c r="T2830">
        <v>-0.14395929999999901</v>
      </c>
      <c r="U2830">
        <v>0.34654239999999997</v>
      </c>
      <c r="V2830">
        <v>-4.5341159999999998E-2</v>
      </c>
      <c r="W2830">
        <v>0.119733199999999</v>
      </c>
      <c r="X2830">
        <v>0.99177020000000005</v>
      </c>
      <c r="Y2830">
        <v>0.1203303</v>
      </c>
      <c r="Z2830">
        <v>3.1914999999999999E-3</v>
      </c>
      <c r="AA2830">
        <v>0.99272879999999997</v>
      </c>
      <c r="AB2830">
        <v>59</v>
      </c>
      <c r="AC2830">
        <v>-22.858099999999901</v>
      </c>
      <c r="AD2830">
        <v>-1.1061200667159901</v>
      </c>
      <c r="AE2830">
        <v>2.6671999999999798</v>
      </c>
      <c r="AF2830">
        <v>2.8393575983831898</v>
      </c>
      <c r="AG2830">
        <v>-1.1061200667159901</v>
      </c>
      <c r="AH2830">
        <v>22.783901998112601</v>
      </c>
      <c r="AI2830">
        <v>92.758129661016497</v>
      </c>
      <c r="AJ2830">
        <v>82.896353418072906</v>
      </c>
      <c r="AK2830">
        <v>22.986771052783499</v>
      </c>
      <c r="AL2830">
        <v>83.1232949147592</v>
      </c>
      <c r="AM2830">
        <v>92.617591718178105</v>
      </c>
      <c r="AN2830">
        <v>0.99999999479021195</v>
      </c>
    </row>
    <row r="2831" spans="1:40" x14ac:dyDescent="0.3">
      <c r="A2831" t="str">
        <f>"20200111153932871"</f>
        <v>20200111153932871</v>
      </c>
      <c r="B2831" t="str">
        <f>"1578728372864106"</f>
        <v>1578728372864106</v>
      </c>
      <c r="C2831" t="s">
        <v>40</v>
      </c>
      <c r="D2831">
        <v>5.2695449999999999</v>
      </c>
      <c r="E2831">
        <v>0.5586392</v>
      </c>
      <c r="F2831" t="s">
        <v>42</v>
      </c>
      <c r="G2831">
        <v>-368.66230000000002</v>
      </c>
      <c r="H2831" s="1">
        <v>-1.6892479999999999E-6</v>
      </c>
      <c r="I2831">
        <v>143.87459999999999</v>
      </c>
      <c r="J2831">
        <v>-345.53930000000003</v>
      </c>
      <c r="K2831">
        <v>1.106104</v>
      </c>
      <c r="L2831">
        <v>141.22460000000001</v>
      </c>
      <c r="M2831">
        <v>-0.99984470000000003</v>
      </c>
      <c r="N2831">
        <v>0</v>
      </c>
      <c r="O2831">
        <v>-9.0171339999999996E-3</v>
      </c>
      <c r="P2831">
        <v>-0.99321320000000002</v>
      </c>
      <c r="Q2831">
        <v>0.1039181</v>
      </c>
      <c r="R2831">
        <v>-5.2235620000000003E-2</v>
      </c>
      <c r="S2831">
        <v>-3.0539550000000002</v>
      </c>
      <c r="T2831">
        <v>-0.142388299999999</v>
      </c>
      <c r="U2831">
        <v>0.34048460000000003</v>
      </c>
      <c r="V2831">
        <v>-4.3818309999999999E-2</v>
      </c>
      <c r="W2831">
        <v>0.1187532</v>
      </c>
      <c r="X2831">
        <v>0.99195650000000002</v>
      </c>
      <c r="Y2831">
        <v>0.1196233</v>
      </c>
      <c r="Z2831">
        <v>3.1975549999999999E-3</v>
      </c>
      <c r="AA2831">
        <v>0.99281419999999998</v>
      </c>
      <c r="AB2831">
        <v>59</v>
      </c>
      <c r="AC2831">
        <v>-23.122999999999902</v>
      </c>
      <c r="AD2831">
        <v>-1.1061056892479999</v>
      </c>
      <c r="AE2831">
        <v>2.6499999999999702</v>
      </c>
      <c r="AF2831">
        <v>2.8519778777016001</v>
      </c>
      <c r="AG2831">
        <v>-1.1061056892479999</v>
      </c>
      <c r="AH2831">
        <v>23.046109794471299</v>
      </c>
      <c r="AI2831">
        <v>92.727051001715793</v>
      </c>
      <c r="AJ2831">
        <v>82.945458991151995</v>
      </c>
      <c r="AK2831">
        <v>23.248234863522701</v>
      </c>
      <c r="AL2831">
        <v>83.179848542713401</v>
      </c>
      <c r="AM2831">
        <v>92.529317716668203</v>
      </c>
      <c r="AN2831">
        <v>1.0000000323468701</v>
      </c>
    </row>
    <row r="2832" spans="1:40" x14ac:dyDescent="0.3">
      <c r="A2832" t="str">
        <f>"20200111153932894"</f>
        <v>20200111153932894</v>
      </c>
      <c r="B2832" t="str">
        <f>"1578728372883626"</f>
        <v>1578728372883626</v>
      </c>
      <c r="C2832" t="s">
        <v>40</v>
      </c>
      <c r="D2832">
        <v>5.3284349999999998</v>
      </c>
      <c r="E2832">
        <v>0.5578978</v>
      </c>
      <c r="F2832" t="s">
        <v>42</v>
      </c>
      <c r="G2832">
        <v>-368.86939999999998</v>
      </c>
      <c r="H2832" s="1">
        <v>-1.5761579999999999E-6</v>
      </c>
      <c r="I2832">
        <v>143.7835</v>
      </c>
      <c r="J2832">
        <v>-346.13040000000001</v>
      </c>
      <c r="K2832">
        <v>1.106087</v>
      </c>
      <c r="L2832">
        <v>141.21889999999999</v>
      </c>
      <c r="M2832">
        <v>-0.99983379999999999</v>
      </c>
      <c r="N2832">
        <v>0</v>
      </c>
      <c r="O2832">
        <v>-1.0161089999999999E-2</v>
      </c>
      <c r="P2832">
        <v>-0.99328620000000001</v>
      </c>
      <c r="Q2832">
        <v>0.1030628</v>
      </c>
      <c r="R2832">
        <v>-5.2542279999999997E-2</v>
      </c>
      <c r="S2832">
        <v>-3.0532530000000002</v>
      </c>
      <c r="T2832">
        <v>-0.14475879999999999</v>
      </c>
      <c r="U2832">
        <v>0.33489989999999997</v>
      </c>
      <c r="V2832">
        <v>-4.2977910000000001E-2</v>
      </c>
      <c r="W2832">
        <v>0.1179033</v>
      </c>
      <c r="X2832">
        <v>0.99209460000000005</v>
      </c>
      <c r="Y2832">
        <v>0.11898499999999999</v>
      </c>
      <c r="Z2832">
        <v>3.2907800000000001E-3</v>
      </c>
      <c r="AA2832">
        <v>0.99289059999999996</v>
      </c>
      <c r="AB2832">
        <v>59</v>
      </c>
      <c r="AC2832">
        <v>-22.738999999999901</v>
      </c>
      <c r="AD2832">
        <v>-1.1060885761579999</v>
      </c>
      <c r="AE2832">
        <v>2.5646000000000102</v>
      </c>
      <c r="AF2832">
        <v>2.7890307743635998</v>
      </c>
      <c r="AG2832">
        <v>-1.1060885761579999</v>
      </c>
      <c r="AH2832">
        <v>22.658823585391001</v>
      </c>
      <c r="AI2832">
        <v>92.7737700972326</v>
      </c>
      <c r="AJ2832">
        <v>82.982869336939402</v>
      </c>
      <c r="AK2832">
        <v>22.856605410089301</v>
      </c>
      <c r="AL2832">
        <v>83.228888482394495</v>
      </c>
      <c r="AM2832">
        <v>92.480523728333395</v>
      </c>
      <c r="AN2832">
        <v>0.99999999212400903</v>
      </c>
    </row>
    <row r="2833" spans="1:40" x14ac:dyDescent="0.3">
      <c r="A2833" t="str">
        <f>"20200111153932916"</f>
        <v>20200111153932916</v>
      </c>
      <c r="B2833" t="str">
        <f>"1578728372904122"</f>
        <v>1578728372904122</v>
      </c>
      <c r="C2833" t="s">
        <v>40</v>
      </c>
      <c r="D2833">
        <v>5.3091949999999999</v>
      </c>
      <c r="E2833">
        <v>0.55737019999999904</v>
      </c>
      <c r="F2833" t="s">
        <v>42</v>
      </c>
      <c r="G2833">
        <v>-369.07909999999998</v>
      </c>
      <c r="H2833" s="1">
        <v>-1.460122E-6</v>
      </c>
      <c r="I2833">
        <v>143.68559999999999</v>
      </c>
      <c r="J2833">
        <v>-346.68720000000002</v>
      </c>
      <c r="K2833">
        <v>1.1060589999999999</v>
      </c>
      <c r="L2833">
        <v>141.21299999999999</v>
      </c>
      <c r="M2833">
        <v>-0.99982269999999895</v>
      </c>
      <c r="N2833">
        <v>0</v>
      </c>
      <c r="O2833">
        <v>-1.119417E-2</v>
      </c>
      <c r="P2833">
        <v>-0.99338020000000005</v>
      </c>
      <c r="Q2833">
        <v>0.1017359</v>
      </c>
      <c r="R2833">
        <v>-5.3342170000000001E-2</v>
      </c>
      <c r="S2833">
        <v>-3.0529480000000002</v>
      </c>
      <c r="T2833">
        <v>-0.1471471</v>
      </c>
      <c r="U2833">
        <v>0.32815549999999999</v>
      </c>
      <c r="V2833">
        <v>-4.273532E-2</v>
      </c>
      <c r="W2833">
        <v>0.11658019999999999</v>
      </c>
      <c r="X2833">
        <v>0.99226139999999996</v>
      </c>
      <c r="Y2833">
        <v>0.117849</v>
      </c>
      <c r="Z2833">
        <v>3.3680950000000002E-3</v>
      </c>
      <c r="AA2833">
        <v>0.99302579999999996</v>
      </c>
      <c r="AB2833">
        <v>59</v>
      </c>
      <c r="AC2833">
        <v>-22.3918999999999</v>
      </c>
      <c r="AD2833">
        <v>-1.1060604601219901</v>
      </c>
      <c r="AE2833">
        <v>2.4725999999999999</v>
      </c>
      <c r="AF2833">
        <v>2.7165841083210198</v>
      </c>
      <c r="AG2833">
        <v>-1.1060604601219901</v>
      </c>
      <c r="AH2833">
        <v>22.309038218281401</v>
      </c>
      <c r="AI2833">
        <v>92.817566272593893</v>
      </c>
      <c r="AJ2833">
        <v>83.057242015568605</v>
      </c>
      <c r="AK2833">
        <v>22.5010307582513</v>
      </c>
      <c r="AL2833">
        <v>83.305222822449807</v>
      </c>
      <c r="AM2833">
        <v>92.466125569294704</v>
      </c>
      <c r="AN2833">
        <v>0.99999996826875004</v>
      </c>
    </row>
    <row r="2834" spans="1:40" x14ac:dyDescent="0.3">
      <c r="A2834" t="str">
        <f>"20200111153932938"</f>
        <v>20200111153932938</v>
      </c>
      <c r="B2834" t="str">
        <f>"1578728372933402"</f>
        <v>1578728372933402</v>
      </c>
      <c r="C2834" t="s">
        <v>40</v>
      </c>
      <c r="D2834">
        <v>5.3732680000000004</v>
      </c>
      <c r="E2834">
        <v>0.55693000000000004</v>
      </c>
      <c r="F2834" t="s">
        <v>42</v>
      </c>
      <c r="G2834">
        <v>-369.01459999999997</v>
      </c>
      <c r="H2834" s="1">
        <v>-1.455489E-6</v>
      </c>
      <c r="I2834">
        <v>143.5642</v>
      </c>
      <c r="J2834">
        <v>-347.27820000000003</v>
      </c>
      <c r="K2834">
        <v>1.1060239999999999</v>
      </c>
      <c r="L2834">
        <v>141.20599999999999</v>
      </c>
      <c r="M2834">
        <v>-0.9998108</v>
      </c>
      <c r="N2834">
        <v>0</v>
      </c>
      <c r="O2834">
        <v>-1.223082E-2</v>
      </c>
      <c r="P2834">
        <v>-0.99348910000000001</v>
      </c>
      <c r="Q2834">
        <v>0.1004396</v>
      </c>
      <c r="R2834">
        <v>-5.3769579999999997E-2</v>
      </c>
      <c r="S2834">
        <v>-3.0527950000000001</v>
      </c>
      <c r="T2834">
        <v>-0.15123020000000001</v>
      </c>
      <c r="U2834">
        <v>0.32148739999999998</v>
      </c>
      <c r="V2834">
        <v>-4.2111929999999999E-2</v>
      </c>
      <c r="W2834">
        <v>0.1152905</v>
      </c>
      <c r="X2834">
        <v>0.99243870000000001</v>
      </c>
      <c r="Y2834">
        <v>0.11673070000000001</v>
      </c>
      <c r="Z2834">
        <v>3.4856050000000001E-3</v>
      </c>
      <c r="AA2834">
        <v>0.99315750000000003</v>
      </c>
      <c r="AB2834">
        <v>59</v>
      </c>
      <c r="AC2834">
        <v>-21.7363999999999</v>
      </c>
      <c r="AD2834">
        <v>-1.1060254554890001</v>
      </c>
      <c r="AE2834">
        <v>2.3581999999999801</v>
      </c>
      <c r="AF2834">
        <v>2.6172104938625802</v>
      </c>
      <c r="AG2834">
        <v>-1.1060254554890001</v>
      </c>
      <c r="AH2834">
        <v>21.650523692264201</v>
      </c>
      <c r="AI2834">
        <v>92.903335271900502</v>
      </c>
      <c r="AJ2834">
        <v>83.107278951088603</v>
      </c>
      <c r="AK2834">
        <v>21.836168602267801</v>
      </c>
      <c r="AL2834">
        <v>83.379618703601295</v>
      </c>
      <c r="AM2834">
        <v>92.429761437480394</v>
      </c>
      <c r="AN2834">
        <v>0.99999994364813005</v>
      </c>
    </row>
    <row r="2835" spans="1:40" x14ac:dyDescent="0.3">
      <c r="A2835" t="str">
        <f>"20200111153932961"</f>
        <v>20200111153932961</v>
      </c>
      <c r="B2835" t="str">
        <f>"1578728372953898"</f>
        <v>1578728372953898</v>
      </c>
      <c r="C2835" t="s">
        <v>40</v>
      </c>
      <c r="D2835">
        <v>5.3543669999999999</v>
      </c>
      <c r="E2835">
        <v>0.55682019999999899</v>
      </c>
      <c r="F2835" t="s">
        <v>42</v>
      </c>
      <c r="G2835">
        <v>-368.86610000000002</v>
      </c>
      <c r="H2835" s="1">
        <v>-1.486574E-6</v>
      </c>
      <c r="I2835">
        <v>143.44149999999999</v>
      </c>
      <c r="J2835">
        <v>-347.88549999999998</v>
      </c>
      <c r="K2835">
        <v>1.1059760000000001</v>
      </c>
      <c r="L2835">
        <v>141.19820000000001</v>
      </c>
      <c r="M2835">
        <v>-0.99979810000000002</v>
      </c>
      <c r="N2835">
        <v>0</v>
      </c>
      <c r="O2835">
        <v>-1.323625E-2</v>
      </c>
      <c r="P2835">
        <v>-0.99351319999999999</v>
      </c>
      <c r="Q2835">
        <v>0.10005020000000001</v>
      </c>
      <c r="R2835">
        <v>-5.4056069999999998E-2</v>
      </c>
      <c r="S2835">
        <v>-3.0525820000000001</v>
      </c>
      <c r="T2835">
        <v>-0.15639529999999999</v>
      </c>
      <c r="U2835">
        <v>0.31611630000000002</v>
      </c>
      <c r="V2835">
        <v>-4.1380729999999998E-2</v>
      </c>
      <c r="W2835">
        <v>0.1149078</v>
      </c>
      <c r="X2835">
        <v>0.99251389999999995</v>
      </c>
      <c r="Y2835">
        <v>0.115996699999999</v>
      </c>
      <c r="Z2835">
        <v>3.637698E-3</v>
      </c>
      <c r="AA2835">
        <v>0.99324290000000004</v>
      </c>
      <c r="AB2835">
        <v>59</v>
      </c>
      <c r="AC2835">
        <v>-20.980599999999999</v>
      </c>
      <c r="AD2835">
        <v>-1.105977486574</v>
      </c>
      <c r="AE2835">
        <v>2.2432999999999699</v>
      </c>
      <c r="AF2835">
        <v>2.5139328963426202</v>
      </c>
      <c r="AG2835">
        <v>-1.105977486574</v>
      </c>
      <c r="AH2835">
        <v>20.8916678399567</v>
      </c>
      <c r="AI2835">
        <v>93.008670856703802</v>
      </c>
      <c r="AJ2835">
        <v>83.1384840190386</v>
      </c>
      <c r="AK2835">
        <v>21.0714221148741</v>
      </c>
      <c r="AL2835">
        <v>83.401692905432299</v>
      </c>
      <c r="AM2835">
        <v>92.387441441409507</v>
      </c>
      <c r="AN2835">
        <v>1.00000000450469</v>
      </c>
    </row>
    <row r="2836" spans="1:40" x14ac:dyDescent="0.3">
      <c r="A2836" t="str">
        <f>"20200111153932983"</f>
        <v>20200111153932983</v>
      </c>
      <c r="B2836" t="str">
        <f>"1578728372973418"</f>
        <v>1578728372973418</v>
      </c>
      <c r="C2836" t="s">
        <v>40</v>
      </c>
      <c r="D2836">
        <v>5.3681150000000004</v>
      </c>
      <c r="E2836">
        <v>0.55678309999999998</v>
      </c>
      <c r="F2836" t="s">
        <v>42</v>
      </c>
      <c r="G2836">
        <v>-369.30939999999998</v>
      </c>
      <c r="H2836" s="1">
        <v>-1.2852960000000001E-6</v>
      </c>
      <c r="I2836">
        <v>143.3997</v>
      </c>
      <c r="J2836">
        <v>-348.46499999999997</v>
      </c>
      <c r="K2836">
        <v>1.1059110000000001</v>
      </c>
      <c r="L2836">
        <v>141.19030000000001</v>
      </c>
      <c r="M2836">
        <v>-0.99978579999999995</v>
      </c>
      <c r="N2836">
        <v>0</v>
      </c>
      <c r="O2836">
        <v>-1.413069E-2</v>
      </c>
      <c r="P2836">
        <v>-0.99357169999999895</v>
      </c>
      <c r="Q2836">
        <v>9.9784499999999998E-2</v>
      </c>
      <c r="R2836">
        <v>-5.3462919999999997E-2</v>
      </c>
      <c r="S2836">
        <v>-3.052521</v>
      </c>
      <c r="T2836">
        <v>-0.15758259999999999</v>
      </c>
      <c r="U2836">
        <v>0.31369019999999997</v>
      </c>
      <c r="V2836">
        <v>-3.987972E-2</v>
      </c>
      <c r="W2836">
        <v>0.114652</v>
      </c>
      <c r="X2836">
        <v>0.99260490000000001</v>
      </c>
      <c r="Y2836">
        <v>0.11610239999999999</v>
      </c>
      <c r="Z2836">
        <v>3.714256E-3</v>
      </c>
      <c r="AA2836">
        <v>0.99323030000000001</v>
      </c>
      <c r="AB2836">
        <v>59</v>
      </c>
      <c r="AC2836">
        <v>-20.8444</v>
      </c>
      <c r="AD2836">
        <v>-1.1059122852959999</v>
      </c>
      <c r="AE2836">
        <v>2.20939999999998</v>
      </c>
      <c r="AF2836">
        <v>2.4968086190408001</v>
      </c>
      <c r="AG2836">
        <v>-1.1059122852959999</v>
      </c>
      <c r="AH2836">
        <v>20.753324990568199</v>
      </c>
      <c r="AI2836">
        <v>93.028519636491893</v>
      </c>
      <c r="AJ2836">
        <v>83.139782746389798</v>
      </c>
      <c r="AK2836">
        <v>20.932214250456799</v>
      </c>
      <c r="AL2836">
        <v>83.416446514430703</v>
      </c>
      <c r="AM2836">
        <v>92.300725495666597</v>
      </c>
      <c r="AN2836">
        <v>0.99999998033764403</v>
      </c>
    </row>
    <row r="2837" spans="1:40" x14ac:dyDescent="0.3">
      <c r="A2837" t="str">
        <f>"20200111153933004"</f>
        <v>20200111153933004</v>
      </c>
      <c r="B2837" t="str">
        <f>"1578728372993914"</f>
        <v>1578728372993914</v>
      </c>
      <c r="C2837" t="s">
        <v>40</v>
      </c>
      <c r="D2837">
        <v>5.3928099999999999</v>
      </c>
      <c r="E2837">
        <v>0.55696869999999998</v>
      </c>
      <c r="F2837" t="s">
        <v>42</v>
      </c>
      <c r="G2837">
        <v>-369.8254</v>
      </c>
      <c r="H2837" s="1">
        <v>-1.062369E-6</v>
      </c>
      <c r="I2837">
        <v>143.3939</v>
      </c>
      <c r="J2837">
        <v>-349.03870000000001</v>
      </c>
      <c r="K2837">
        <v>1.105829</v>
      </c>
      <c r="L2837">
        <v>141.18199999999999</v>
      </c>
      <c r="M2837">
        <v>-0.99977419999999995</v>
      </c>
      <c r="N2837">
        <v>0</v>
      </c>
      <c r="O2837">
        <v>-1.4938460000000001E-2</v>
      </c>
      <c r="P2837">
        <v>-0.99370250000000004</v>
      </c>
      <c r="Q2837">
        <v>9.8702789999999999E-2</v>
      </c>
      <c r="R2837">
        <v>-5.3041690000000002E-2</v>
      </c>
      <c r="S2837">
        <v>-3.0521850000000001</v>
      </c>
      <c r="T2837">
        <v>-0.15802439999999901</v>
      </c>
      <c r="U2837">
        <v>0.3148804</v>
      </c>
      <c r="V2837">
        <v>-3.8628309999999999E-2</v>
      </c>
      <c r="W2837">
        <v>0.1135809</v>
      </c>
      <c r="X2837">
        <v>0.99277749999999998</v>
      </c>
      <c r="Y2837">
        <v>0.11729539999999999</v>
      </c>
      <c r="Z2837">
        <v>3.797473E-3</v>
      </c>
      <c r="AA2837">
        <v>0.99308980000000002</v>
      </c>
      <c r="AB2837">
        <v>59</v>
      </c>
      <c r="AC2837">
        <v>-20.7867</v>
      </c>
      <c r="AD2837">
        <v>-1.1058300623690001</v>
      </c>
      <c r="AE2837">
        <v>2.21189999999998</v>
      </c>
      <c r="AF2837">
        <v>2.51517132829902</v>
      </c>
      <c r="AG2837">
        <v>-1.1058300623690001</v>
      </c>
      <c r="AH2837">
        <v>20.693424548897202</v>
      </c>
      <c r="AI2837">
        <v>93.036598005172493</v>
      </c>
      <c r="AJ2837">
        <v>83.0700071431081</v>
      </c>
      <c r="AK2837">
        <v>20.875027341262001</v>
      </c>
      <c r="AL2837">
        <v>83.4782194730969</v>
      </c>
      <c r="AM2837">
        <v>92.228216539208006</v>
      </c>
      <c r="AN2837">
        <v>0.99999996584225703</v>
      </c>
    </row>
    <row r="2838" spans="1:40" x14ac:dyDescent="0.3">
      <c r="A2838" t="str">
        <f>"20200111153933028"</f>
        <v>20200111153933028</v>
      </c>
      <c r="B2838" t="str">
        <f>"1578728373024171"</f>
        <v>1578728373024171</v>
      </c>
      <c r="C2838" t="s">
        <v>40</v>
      </c>
      <c r="D2838">
        <v>5.4485910000000004</v>
      </c>
      <c r="E2838">
        <v>0.55710930000000003</v>
      </c>
      <c r="F2838" t="s">
        <v>42</v>
      </c>
      <c r="G2838">
        <v>-370.37220000000002</v>
      </c>
      <c r="H2838" s="1">
        <v>-4.8207619999999999E-6</v>
      </c>
      <c r="I2838">
        <v>143.40129999999999</v>
      </c>
      <c r="J2838">
        <v>-349.62799999999999</v>
      </c>
      <c r="K2838">
        <v>1.105726</v>
      </c>
      <c r="L2838">
        <v>141.173</v>
      </c>
      <c r="M2838">
        <v>-0.99976299999999996</v>
      </c>
      <c r="N2838">
        <v>0</v>
      </c>
      <c r="O2838">
        <v>-1.5674449999999999E-2</v>
      </c>
      <c r="P2838">
        <v>-0.99384150000000004</v>
      </c>
      <c r="Q2838">
        <v>9.7658990000000001E-2</v>
      </c>
      <c r="R2838">
        <v>-5.236565E-2</v>
      </c>
      <c r="S2838">
        <v>-3.0516049999999999</v>
      </c>
      <c r="T2838">
        <v>-0.1581815</v>
      </c>
      <c r="U2838">
        <v>0.31747439999999999</v>
      </c>
      <c r="V2838">
        <v>-3.7188810000000003E-2</v>
      </c>
      <c r="W2838">
        <v>0.112549499999999</v>
      </c>
      <c r="X2838">
        <v>0.99295</v>
      </c>
      <c r="Y2838">
        <v>0.11887730000000001</v>
      </c>
      <c r="Z2838">
        <v>3.8806969999999998E-3</v>
      </c>
      <c r="AA2838">
        <v>0.99290140000000005</v>
      </c>
      <c r="AB2838">
        <v>59</v>
      </c>
      <c r="AC2838">
        <v>-20.7441999999999</v>
      </c>
      <c r="AD2838">
        <v>-1.105730820762</v>
      </c>
      <c r="AE2838">
        <v>2.2282999999999902</v>
      </c>
      <c r="AF2838">
        <v>2.5460658028525098</v>
      </c>
      <c r="AG2838">
        <v>-1.105730820762</v>
      </c>
      <c r="AH2838">
        <v>20.648721176461901</v>
      </c>
      <c r="AI2838">
        <v>93.042242710293806</v>
      </c>
      <c r="AJ2838">
        <v>82.970693443060497</v>
      </c>
      <c r="AK2838">
        <v>20.834461306779801</v>
      </c>
      <c r="AL2838">
        <v>83.537696278496099</v>
      </c>
      <c r="AM2838">
        <v>92.144887870561604</v>
      </c>
      <c r="AN2838">
        <v>1.0000000500197299</v>
      </c>
    </row>
    <row r="2839" spans="1:40" x14ac:dyDescent="0.3">
      <c r="A2839" t="str">
        <f>"20200111153933051"</f>
        <v>20200111153933051</v>
      </c>
      <c r="B2839" t="str">
        <f>"1578728373043690"</f>
        <v>1578728373043690</v>
      </c>
      <c r="C2839" t="s">
        <v>40</v>
      </c>
      <c r="D2839">
        <v>5.4372759999999998</v>
      </c>
      <c r="E2839">
        <v>0.55717169999999905</v>
      </c>
      <c r="F2839" t="s">
        <v>42</v>
      </c>
      <c r="G2839">
        <v>-370.68110000000001</v>
      </c>
      <c r="H2839" s="1">
        <v>-4.7123879999999996E-6</v>
      </c>
      <c r="I2839">
        <v>143.3828</v>
      </c>
      <c r="J2839">
        <v>-350.26049999999998</v>
      </c>
      <c r="K2839">
        <v>1.105594</v>
      </c>
      <c r="L2839">
        <v>141.16290000000001</v>
      </c>
      <c r="M2839">
        <v>-0.99975219999999998</v>
      </c>
      <c r="N2839">
        <v>0</v>
      </c>
      <c r="O2839">
        <v>-1.634563E-2</v>
      </c>
      <c r="P2839">
        <v>-0.99395809999999996</v>
      </c>
      <c r="Q2839">
        <v>9.6448290000000006E-2</v>
      </c>
      <c r="R2839">
        <v>-5.2396959999999999E-2</v>
      </c>
      <c r="S2839">
        <v>-3.0512079999999999</v>
      </c>
      <c r="T2839">
        <v>-0.16025320000000001</v>
      </c>
      <c r="U2839">
        <v>0.32028200000000001</v>
      </c>
      <c r="V2839">
        <v>-3.6515279999999997E-2</v>
      </c>
      <c r="W2839">
        <v>0.1113498</v>
      </c>
      <c r="X2839">
        <v>0.99311020000000005</v>
      </c>
      <c r="Y2839">
        <v>0.120453</v>
      </c>
      <c r="Z2839">
        <v>4.0081550000000002E-3</v>
      </c>
      <c r="AA2839">
        <v>0.99271089999999995</v>
      </c>
      <c r="AB2839">
        <v>59</v>
      </c>
      <c r="AC2839">
        <v>-20.4206</v>
      </c>
      <c r="AD2839">
        <v>-1.105598712388</v>
      </c>
      <c r="AE2839">
        <v>2.2198999999999902</v>
      </c>
      <c r="AF2839">
        <v>2.5460530067307001</v>
      </c>
      <c r="AG2839">
        <v>-1.105598712388</v>
      </c>
      <c r="AH2839">
        <v>20.322705532314899</v>
      </c>
      <c r="AI2839">
        <v>93.089837225180901</v>
      </c>
      <c r="AJ2839">
        <v>82.859120302273396</v>
      </c>
      <c r="AK2839">
        <v>20.511389386852802</v>
      </c>
      <c r="AL2839">
        <v>83.606868573655007</v>
      </c>
      <c r="AM2839">
        <v>92.105737482387099</v>
      </c>
      <c r="AN2839">
        <v>1.00000000648877</v>
      </c>
    </row>
    <row r="2840" spans="1:40" x14ac:dyDescent="0.3">
      <c r="A2840" t="str">
        <f>"20200111153933072"</f>
        <v>20200111153933072</v>
      </c>
      <c r="B2840" t="str">
        <f>"1578728373063210"</f>
        <v>1578728373063210</v>
      </c>
      <c r="C2840" t="s">
        <v>40</v>
      </c>
      <c r="D2840">
        <v>5.4197569999999997</v>
      </c>
      <c r="E2840">
        <v>0.55725409999999997</v>
      </c>
      <c r="F2840" t="s">
        <v>42</v>
      </c>
      <c r="G2840">
        <v>-370.93619999999999</v>
      </c>
      <c r="H2840" s="1">
        <v>-4.6171950000000001E-6</v>
      </c>
      <c r="I2840">
        <v>143.33580000000001</v>
      </c>
      <c r="J2840">
        <v>-350.84030000000001</v>
      </c>
      <c r="K2840">
        <v>1.105459</v>
      </c>
      <c r="L2840">
        <v>141.1533</v>
      </c>
      <c r="M2840">
        <v>-0.99974410000000002</v>
      </c>
      <c r="N2840">
        <v>0</v>
      </c>
      <c r="O2840">
        <v>-1.6838820000000001E-2</v>
      </c>
      <c r="P2840">
        <v>-0.99405480000000002</v>
      </c>
      <c r="Q2840">
        <v>9.5290379999999994E-2</v>
      </c>
      <c r="R2840">
        <v>-5.2680539999999998E-2</v>
      </c>
      <c r="S2840">
        <v>-3.0509949999999999</v>
      </c>
      <c r="T2840">
        <v>-0.16314699999999999</v>
      </c>
      <c r="U2840">
        <v>0.32064819999999999</v>
      </c>
      <c r="V2840">
        <v>-3.6268969999999998E-2</v>
      </c>
      <c r="W2840">
        <v>0.11020240000000001</v>
      </c>
      <c r="X2840">
        <v>0.9932472</v>
      </c>
      <c r="Y2840">
        <v>0.12105929999999999</v>
      </c>
      <c r="Z2840">
        <v>4.12314E-3</v>
      </c>
      <c r="AA2840">
        <v>0.99263670000000004</v>
      </c>
      <c r="AB2840">
        <v>59</v>
      </c>
      <c r="AC2840">
        <v>-20.095899999999901</v>
      </c>
      <c r="AD2840">
        <v>-1.1054636171950001</v>
      </c>
      <c r="AE2840">
        <v>2.1825000000000001</v>
      </c>
      <c r="AF2840">
        <v>2.5131042552679901</v>
      </c>
      <c r="AG2840">
        <v>-1.1054636171950001</v>
      </c>
      <c r="AH2840">
        <v>19.996490478471099</v>
      </c>
      <c r="AI2840">
        <v>93.139607331135906</v>
      </c>
      <c r="AJ2840">
        <v>82.836779343359098</v>
      </c>
      <c r="AK2840">
        <v>20.184087154547601</v>
      </c>
      <c r="AL2840">
        <v>83.673016853986397</v>
      </c>
      <c r="AM2840">
        <v>92.091257874774001</v>
      </c>
      <c r="AN2840">
        <v>1.00000000372923</v>
      </c>
    </row>
    <row r="2841" spans="1:40" x14ac:dyDescent="0.3">
      <c r="A2841" t="str">
        <f>"20200111153933095"</f>
        <v>20200111153933095</v>
      </c>
      <c r="B2841" t="str">
        <f>"1578728373083706"</f>
        <v>1578728373083706</v>
      </c>
      <c r="C2841" t="s">
        <v>40</v>
      </c>
      <c r="D2841">
        <v>5.4360939999999998</v>
      </c>
      <c r="E2841">
        <v>0.55735579999999996</v>
      </c>
      <c r="F2841" t="s">
        <v>42</v>
      </c>
      <c r="G2841">
        <v>-371.18049999999999</v>
      </c>
      <c r="H2841" s="1">
        <v>-4.5258080000000002E-6</v>
      </c>
      <c r="I2841">
        <v>143.28919999999999</v>
      </c>
      <c r="J2841">
        <v>-351.41149999999999</v>
      </c>
      <c r="K2841">
        <v>1.1053040000000001</v>
      </c>
      <c r="L2841">
        <v>141.1437</v>
      </c>
      <c r="M2841">
        <v>-0.99973780000000001</v>
      </c>
      <c r="N2841">
        <v>0</v>
      </c>
      <c r="O2841">
        <v>-1.720965E-2</v>
      </c>
      <c r="P2841">
        <v>-0.99424570000000001</v>
      </c>
      <c r="Q2841">
        <v>9.3611749999999994E-2</v>
      </c>
      <c r="R2841">
        <v>-5.2079640000000003E-2</v>
      </c>
      <c r="S2841">
        <v>-3.0508120000000001</v>
      </c>
      <c r="T2841">
        <v>-0.16580799999999901</v>
      </c>
      <c r="U2841">
        <v>0.32037349999999998</v>
      </c>
      <c r="V2841">
        <v>-3.5255259999999997E-2</v>
      </c>
      <c r="W2841">
        <v>0.1085383</v>
      </c>
      <c r="X2841">
        <v>0.99346690000000004</v>
      </c>
      <c r="Y2841">
        <v>0.121338</v>
      </c>
      <c r="Z2841">
        <v>4.2181999999999897E-3</v>
      </c>
      <c r="AA2841">
        <v>0.99260230000000005</v>
      </c>
      <c r="AB2841">
        <v>59</v>
      </c>
      <c r="AC2841">
        <v>-19.768999999999998</v>
      </c>
      <c r="AD2841">
        <v>-1.105308525808</v>
      </c>
      <c r="AE2841">
        <v>2.14549999999999</v>
      </c>
      <c r="AF2841">
        <v>2.47778304068341</v>
      </c>
      <c r="AG2841">
        <v>-1.105308525808</v>
      </c>
      <c r="AH2841">
        <v>19.668375279248899</v>
      </c>
      <c r="AI2841">
        <v>93.191310499547996</v>
      </c>
      <c r="AJ2841">
        <v>82.819815798867694</v>
      </c>
      <c r="AK2841">
        <v>19.854624193353398</v>
      </c>
      <c r="AL2841">
        <v>83.768938103038593</v>
      </c>
      <c r="AM2841">
        <v>92.032408227582906</v>
      </c>
      <c r="AN2841">
        <v>0.99999998866008299</v>
      </c>
    </row>
    <row r="2842" spans="1:40" x14ac:dyDescent="0.3">
      <c r="A2842" t="str">
        <f>"20200111153933116"</f>
        <v>20200111153933116</v>
      </c>
      <c r="B2842" t="str">
        <f>"1578728373113962"</f>
        <v>1578728373113962</v>
      </c>
      <c r="C2842" t="s">
        <v>40</v>
      </c>
      <c r="D2842">
        <v>5.4483459999999999</v>
      </c>
      <c r="E2842">
        <v>0.55760739999999998</v>
      </c>
      <c r="F2842" t="s">
        <v>42</v>
      </c>
      <c r="G2842">
        <v>-371.14550000000003</v>
      </c>
      <c r="H2842" s="1">
        <v>-4.5276770000000003E-6</v>
      </c>
      <c r="I2842">
        <v>143.23249999999999</v>
      </c>
      <c r="J2842">
        <v>-351.98399999999998</v>
      </c>
      <c r="K2842">
        <v>1.105154</v>
      </c>
      <c r="L2842">
        <v>141.13380000000001</v>
      </c>
      <c r="M2842">
        <v>-0.99973310000000004</v>
      </c>
      <c r="N2842">
        <v>0</v>
      </c>
      <c r="O2842">
        <v>-1.7477889999999999E-2</v>
      </c>
      <c r="P2842">
        <v>-0.99447629999999998</v>
      </c>
      <c r="Q2842">
        <v>9.1317040000000002E-2</v>
      </c>
      <c r="R2842">
        <v>-5.1750089999999999E-2</v>
      </c>
      <c r="S2842">
        <v>-3.050354</v>
      </c>
      <c r="T2842">
        <v>-0.1708519</v>
      </c>
      <c r="U2842">
        <v>0.32289119999999999</v>
      </c>
      <c r="V2842">
        <v>-3.461293E-2</v>
      </c>
      <c r="W2842">
        <v>0.1062604</v>
      </c>
      <c r="X2842">
        <v>0.9937357</v>
      </c>
      <c r="Y2842">
        <v>0.1224153</v>
      </c>
      <c r="Z2842">
        <v>4.3918289999999999E-3</v>
      </c>
      <c r="AA2842">
        <v>0.9924693</v>
      </c>
      <c r="AB2842">
        <v>59</v>
      </c>
      <c r="AC2842">
        <v>-19.161499999999901</v>
      </c>
      <c r="AD2842">
        <v>-1.105158527677</v>
      </c>
      <c r="AE2842">
        <v>2.09869999999998</v>
      </c>
      <c r="AF2842">
        <v>2.4253478362307899</v>
      </c>
      <c r="AG2842">
        <v>-1.105158527677</v>
      </c>
      <c r="AH2842">
        <v>19.059237991144599</v>
      </c>
      <c r="AI2842">
        <v>93.292116527318399</v>
      </c>
      <c r="AJ2842">
        <v>82.747909899537106</v>
      </c>
      <c r="AK2842">
        <v>19.244693821962901</v>
      </c>
      <c r="AL2842">
        <v>83.900211454887895</v>
      </c>
      <c r="AM2842">
        <v>91.994869851496702</v>
      </c>
      <c r="AN2842">
        <v>0.99999998449291705</v>
      </c>
    </row>
    <row r="2843" spans="1:40" x14ac:dyDescent="0.3">
      <c r="A2843" t="str">
        <f>"20200111153933140"</f>
        <v>20200111153933140</v>
      </c>
      <c r="B2843" t="str">
        <f>"1578728373133483"</f>
        <v>1578728373133483</v>
      </c>
      <c r="C2843" t="s">
        <v>40</v>
      </c>
      <c r="D2843">
        <v>5.4070830000000001</v>
      </c>
      <c r="E2843">
        <v>0.55768509999999905</v>
      </c>
      <c r="F2843" t="s">
        <v>42</v>
      </c>
      <c r="G2843">
        <v>-371.08440000000002</v>
      </c>
      <c r="H2843" s="1">
        <v>-4.5379469999999996E-6</v>
      </c>
      <c r="I2843">
        <v>143.17310000000001</v>
      </c>
      <c r="J2843">
        <v>-352.58760000000001</v>
      </c>
      <c r="K2843">
        <v>1.1050219999999999</v>
      </c>
      <c r="L2843">
        <v>141.1232</v>
      </c>
      <c r="M2843">
        <v>-0.99972899999999998</v>
      </c>
      <c r="N2843">
        <v>0</v>
      </c>
      <c r="O2843">
        <v>-1.767326E-2</v>
      </c>
      <c r="P2843">
        <v>-0.99459620000000004</v>
      </c>
      <c r="Q2843">
        <v>8.9874949999999995E-2</v>
      </c>
      <c r="R2843">
        <v>-5.197127E-2</v>
      </c>
      <c r="S2843">
        <v>-3.0498050000000001</v>
      </c>
      <c r="T2843">
        <v>-0.1764638</v>
      </c>
      <c r="U2843">
        <v>0.32563779999999998</v>
      </c>
      <c r="V2843">
        <v>-3.4599560000000001E-2</v>
      </c>
      <c r="W2843">
        <v>0.10487580000000001</v>
      </c>
      <c r="X2843">
        <v>0.99388330000000003</v>
      </c>
      <c r="Y2843">
        <v>0.1234951</v>
      </c>
      <c r="Z2843">
        <v>4.5788410000000002E-3</v>
      </c>
      <c r="AA2843">
        <v>0.99233459999999996</v>
      </c>
      <c r="AB2843">
        <v>59</v>
      </c>
      <c r="AC2843">
        <v>-18.4968</v>
      </c>
      <c r="AD2843">
        <v>-1.1050265379469999</v>
      </c>
      <c r="AE2843">
        <v>2.0499000000000001</v>
      </c>
      <c r="AF2843">
        <v>2.36816650482035</v>
      </c>
      <c r="AG2843">
        <v>-1.1050265379469999</v>
      </c>
      <c r="AH2843">
        <v>18.392829461178099</v>
      </c>
      <c r="AI2843">
        <v>93.410069747107798</v>
      </c>
      <c r="AJ2843">
        <v>82.663253653717106</v>
      </c>
      <c r="AK2843">
        <v>18.577552902147801</v>
      </c>
      <c r="AL2843">
        <v>83.979989316213803</v>
      </c>
      <c r="AM2843">
        <v>91.993804010157703</v>
      </c>
      <c r="AN2843">
        <v>1.0000000384983601</v>
      </c>
    </row>
    <row r="2844" spans="1:40" x14ac:dyDescent="0.3">
      <c r="A2844" t="str">
        <f>"20200111153933163"</f>
        <v>20200111153933163</v>
      </c>
      <c r="B2844" t="str">
        <f>"1578728373153978"</f>
        <v>1578728373153978</v>
      </c>
      <c r="C2844" t="s">
        <v>40</v>
      </c>
      <c r="D2844">
        <v>5.4183120000000002</v>
      </c>
      <c r="E2844">
        <v>0.55786279999999999</v>
      </c>
      <c r="F2844" t="s">
        <v>41</v>
      </c>
      <c r="G2844">
        <v>-353.71179999999998</v>
      </c>
      <c r="H2844">
        <v>1.0386850000000001</v>
      </c>
      <c r="I2844">
        <v>141.2431</v>
      </c>
      <c r="J2844">
        <v>-353.20620000000002</v>
      </c>
      <c r="K2844">
        <v>1.1049070000000001</v>
      </c>
      <c r="L2844">
        <v>141.1123</v>
      </c>
      <c r="M2844">
        <v>-0.99972570000000005</v>
      </c>
      <c r="N2844">
        <v>0</v>
      </c>
      <c r="O2844">
        <v>-1.7780239999999999E-2</v>
      </c>
      <c r="P2844">
        <v>-0.99463360000000001</v>
      </c>
      <c r="Q2844">
        <v>8.9046899999999998E-2</v>
      </c>
      <c r="R2844">
        <v>-5.2677330000000001E-2</v>
      </c>
      <c r="S2844">
        <v>-3.0495000000000001</v>
      </c>
      <c r="T2844">
        <v>-0.17989089999999999</v>
      </c>
      <c r="U2844">
        <v>0.32513429999999999</v>
      </c>
      <c r="V2844">
        <v>-3.5161959999999999E-2</v>
      </c>
      <c r="W2844">
        <v>0.1041469</v>
      </c>
      <c r="X2844">
        <v>0.99394020000000005</v>
      </c>
      <c r="Y2844">
        <v>0.12344049999999999</v>
      </c>
      <c r="Z2844">
        <v>4.6728059999999998E-3</v>
      </c>
      <c r="AA2844">
        <v>0.99234100000000003</v>
      </c>
      <c r="AB2844">
        <v>59</v>
      </c>
      <c r="AC2844">
        <v>-0.50559999999995797</v>
      </c>
      <c r="AD2844">
        <v>-6.6221999999999698E-2</v>
      </c>
      <c r="AE2844">
        <v>0.13079999999999301</v>
      </c>
      <c r="AF2844">
        <v>0.13755826959261</v>
      </c>
      <c r="AG2844">
        <v>-6.6221999999999698E-2</v>
      </c>
      <c r="AH2844">
        <v>0.49523136513959098</v>
      </c>
      <c r="AI2844">
        <v>97.341620535407699</v>
      </c>
      <c r="AJ2844">
        <v>74.476533288537794</v>
      </c>
      <c r="AK2844">
        <v>0.51822942393821703</v>
      </c>
      <c r="AL2844">
        <v>84.021982128161298</v>
      </c>
      <c r="AM2844">
        <v>92.026069687822101</v>
      </c>
      <c r="AN2844">
        <v>1.0000000306933401</v>
      </c>
    </row>
    <row r="2845" spans="1:40" x14ac:dyDescent="0.3">
      <c r="A2845" t="str">
        <f>"20200111153933184"</f>
        <v>20200111153933184</v>
      </c>
      <c r="B2845" t="str">
        <f>"1578728373173498"</f>
        <v>1578728373173498</v>
      </c>
      <c r="C2845" t="s">
        <v>40</v>
      </c>
      <c r="D2845">
        <v>5.4059410000000003</v>
      </c>
      <c r="E2845">
        <v>0.55805150000000003</v>
      </c>
      <c r="F2845" t="s">
        <v>42</v>
      </c>
      <c r="G2845">
        <v>-371.77249999999998</v>
      </c>
      <c r="H2845" s="1">
        <v>-4.2880819999999996E-6</v>
      </c>
      <c r="I2845">
        <v>143.0847</v>
      </c>
      <c r="J2845">
        <v>-353.74110000000002</v>
      </c>
      <c r="K2845">
        <v>1.104822</v>
      </c>
      <c r="L2845">
        <v>141.1028</v>
      </c>
      <c r="M2845">
        <v>-0.99972369999999999</v>
      </c>
      <c r="N2845">
        <v>0</v>
      </c>
      <c r="O2845">
        <v>-1.779406E-2</v>
      </c>
      <c r="P2845">
        <v>-0.99468990000000002</v>
      </c>
      <c r="Q2845">
        <v>8.8166599999999998E-2</v>
      </c>
      <c r="R2845">
        <v>-5.3094549999999997E-2</v>
      </c>
      <c r="S2845">
        <v>-3.0495610000000002</v>
      </c>
      <c r="T2845">
        <v>-0.18148500000000001</v>
      </c>
      <c r="U2845">
        <v>0.3239899</v>
      </c>
      <c r="V2845">
        <v>-3.5533009999999997E-2</v>
      </c>
      <c r="W2845">
        <v>0.10339950000000001</v>
      </c>
      <c r="X2845">
        <v>0.99400500000000003</v>
      </c>
      <c r="Y2845">
        <v>0.1230802</v>
      </c>
      <c r="Z2845">
        <v>4.7042799999999999E-3</v>
      </c>
      <c r="AA2845">
        <v>0.99238559999999998</v>
      </c>
      <c r="AB2845">
        <v>59</v>
      </c>
      <c r="AC2845">
        <v>-18.031399999999898</v>
      </c>
      <c r="AD2845">
        <v>-1.1048262880819999</v>
      </c>
      <c r="AE2845">
        <v>1.98189999999999</v>
      </c>
      <c r="AF2845">
        <v>2.29396636431956</v>
      </c>
      <c r="AG2845">
        <v>-1.1048262880819999</v>
      </c>
      <c r="AH2845">
        <v>17.926775131522799</v>
      </c>
      <c r="AI2845">
        <v>93.498222641688699</v>
      </c>
      <c r="AJ2845">
        <v>82.707881804679502</v>
      </c>
      <c r="AK2845">
        <v>18.1066890795543</v>
      </c>
      <c r="AL2845">
        <v>84.065037241374199</v>
      </c>
      <c r="AM2845">
        <v>92.047298523414</v>
      </c>
      <c r="AN2845">
        <v>0.99999999571245402</v>
      </c>
    </row>
    <row r="2846" spans="1:40" x14ac:dyDescent="0.3">
      <c r="A2846" t="str">
        <f>"20200111153933205"</f>
        <v>20200111153933205</v>
      </c>
      <c r="B2846" t="str">
        <f>"1578728373193995"</f>
        <v>1578728373193995</v>
      </c>
      <c r="C2846" t="s">
        <v>40</v>
      </c>
      <c r="D2846">
        <v>5.3463949999999896</v>
      </c>
      <c r="E2846">
        <v>0.55644989999999905</v>
      </c>
      <c r="F2846" t="s">
        <v>42</v>
      </c>
      <c r="G2846">
        <v>-372.13310000000001</v>
      </c>
      <c r="H2846" s="1">
        <v>-4.16069E-6</v>
      </c>
      <c r="I2846">
        <v>143.05840000000001</v>
      </c>
      <c r="J2846">
        <v>-354.30119999999999</v>
      </c>
      <c r="K2846">
        <v>1.1047260000000001</v>
      </c>
      <c r="L2846">
        <v>141.09289999999999</v>
      </c>
      <c r="M2846">
        <v>-0.99972209999999995</v>
      </c>
      <c r="N2846">
        <v>0</v>
      </c>
      <c r="O2846">
        <v>-1.7731009999999998E-2</v>
      </c>
      <c r="P2846">
        <v>-0.99467159999999999</v>
      </c>
      <c r="Q2846">
        <v>8.7803930000000002E-2</v>
      </c>
      <c r="R2846">
        <v>-5.4029290000000001E-2</v>
      </c>
      <c r="S2846">
        <v>-3.0495299999999999</v>
      </c>
      <c r="T2846">
        <v>-0.18318889999999999</v>
      </c>
      <c r="U2846">
        <v>0.32426450000000001</v>
      </c>
      <c r="V2846">
        <v>-3.6498210000000003E-2</v>
      </c>
      <c r="W2846">
        <v>0.103223</v>
      </c>
      <c r="X2846">
        <v>0.99398839999999999</v>
      </c>
      <c r="Y2846">
        <v>0.1231025</v>
      </c>
      <c r="Z2846">
        <v>4.7452889999999998E-3</v>
      </c>
      <c r="AA2846">
        <v>0.9923826</v>
      </c>
      <c r="AB2846">
        <v>59</v>
      </c>
      <c r="AC2846">
        <v>-17.831900000000001</v>
      </c>
      <c r="AD2846">
        <v>-1.10473016069</v>
      </c>
      <c r="AE2846">
        <v>1.96550000000002</v>
      </c>
      <c r="AF2846">
        <v>2.2727881941951802</v>
      </c>
      <c r="AG2846">
        <v>-1.10473016069</v>
      </c>
      <c r="AH2846">
        <v>17.727020000463501</v>
      </c>
      <c r="AI2846">
        <v>93.537125518181895</v>
      </c>
      <c r="AJ2846">
        <v>82.693943715848505</v>
      </c>
      <c r="AK2846">
        <v>17.906234472955099</v>
      </c>
      <c r="AL2846">
        <v>84.075204513366103</v>
      </c>
      <c r="AM2846">
        <v>92.102896083490606</v>
      </c>
      <c r="AN2846">
        <v>1.0000000231983801</v>
      </c>
    </row>
    <row r="2847" spans="1:40" x14ac:dyDescent="0.3">
      <c r="A2847" t="str">
        <f>"20200111153933228"</f>
        <v>20200111153933228</v>
      </c>
      <c r="B2847" t="str">
        <f>"1578728373223274"</f>
        <v>1578728373223274</v>
      </c>
      <c r="C2847" t="s">
        <v>40</v>
      </c>
      <c r="D2847">
        <v>5.4245070000000002</v>
      </c>
      <c r="E2847">
        <v>0.45092890000000002</v>
      </c>
      <c r="F2847" t="s">
        <v>41</v>
      </c>
      <c r="G2847">
        <v>-355.28129999999999</v>
      </c>
      <c r="H2847">
        <v>1.0449310000000001</v>
      </c>
      <c r="I2847">
        <v>141.19229999999999</v>
      </c>
      <c r="J2847">
        <v>-354.90140000000002</v>
      </c>
      <c r="K2847">
        <v>1.1046290000000001</v>
      </c>
      <c r="L2847">
        <v>141.0823</v>
      </c>
      <c r="M2847">
        <v>-0.99972119999999998</v>
      </c>
      <c r="N2847">
        <v>0</v>
      </c>
      <c r="O2847">
        <v>-1.7584389999999998E-2</v>
      </c>
      <c r="P2847">
        <v>-0.99467890000000003</v>
      </c>
      <c r="Q2847">
        <v>8.708109E-2</v>
      </c>
      <c r="R2847">
        <v>-5.5053009999999999E-2</v>
      </c>
      <c r="S2847">
        <v>-3.049255</v>
      </c>
      <c r="T2847">
        <v>-0.18605830000000001</v>
      </c>
      <c r="U2847">
        <v>0.30847170000000002</v>
      </c>
      <c r="V2847">
        <v>-3.7630990000000003E-2</v>
      </c>
      <c r="W2847">
        <v>0.1027354</v>
      </c>
      <c r="X2847">
        <v>0.99399660000000001</v>
      </c>
      <c r="Y2847">
        <v>0.117881399999999</v>
      </c>
      <c r="Z2847">
        <v>4.6535300000000003E-3</v>
      </c>
      <c r="AA2847">
        <v>0.99301680000000003</v>
      </c>
      <c r="AB2847">
        <v>58</v>
      </c>
      <c r="AC2847">
        <v>-0.37989999999996299</v>
      </c>
      <c r="AD2847">
        <v>-5.9698000000000001E-2</v>
      </c>
      <c r="AE2847">
        <v>0.109999999999985</v>
      </c>
      <c r="AF2847">
        <v>0.114065345081105</v>
      </c>
      <c r="AG2847">
        <v>-5.9698000000000001E-2</v>
      </c>
      <c r="AH2847">
        <v>0.369488563705756</v>
      </c>
      <c r="AI2847">
        <v>98.776052809235907</v>
      </c>
      <c r="AJ2847">
        <v>72.843944669511004</v>
      </c>
      <c r="AK2847">
        <v>0.391275545954273</v>
      </c>
      <c r="AL2847">
        <v>84.103290808957595</v>
      </c>
      <c r="AM2847">
        <v>92.168083589621503</v>
      </c>
      <c r="AN2847">
        <v>0.99999994731654795</v>
      </c>
    </row>
    <row r="2848" spans="1:40" x14ac:dyDescent="0.3">
      <c r="A2848" t="str">
        <f>"20200111153933250"</f>
        <v>20200111153933250</v>
      </c>
      <c r="B2848" t="str">
        <f>"1578728373243773"</f>
        <v>1578728373243773</v>
      </c>
      <c r="C2848" t="s">
        <v>40</v>
      </c>
      <c r="D2848">
        <v>5.2806689999999996</v>
      </c>
      <c r="E2848">
        <v>0.43320999999999998</v>
      </c>
      <c r="F2848" t="s">
        <v>42</v>
      </c>
      <c r="G2848">
        <v>-373.65929999999997</v>
      </c>
      <c r="H2848" s="1">
        <v>-3.0373300000000001E-6</v>
      </c>
      <c r="I2848">
        <v>137.72829999999999</v>
      </c>
      <c r="J2848">
        <v>-355.48919999999998</v>
      </c>
      <c r="K2848">
        <v>1.1045419999999999</v>
      </c>
      <c r="L2848">
        <v>141.072</v>
      </c>
      <c r="M2848">
        <v>-0.99972070000000002</v>
      </c>
      <c r="N2848">
        <v>0</v>
      </c>
      <c r="O2848">
        <v>-1.737259E-2</v>
      </c>
      <c r="P2848">
        <v>-0.9946218</v>
      </c>
      <c r="Q2848">
        <v>8.6838170000000006E-2</v>
      </c>
      <c r="R2848">
        <v>-5.6455100000000001E-2</v>
      </c>
      <c r="S2848">
        <v>-3.0018310000000001</v>
      </c>
      <c r="T2848">
        <v>-0.1767746</v>
      </c>
      <c r="U2848">
        <v>-0.53672790000000004</v>
      </c>
      <c r="V2848">
        <v>-3.920916E-2</v>
      </c>
      <c r="W2848">
        <v>0.1027653</v>
      </c>
      <c r="X2848">
        <v>0.9939325</v>
      </c>
      <c r="Y2848">
        <v>-0.1586417</v>
      </c>
      <c r="Z2848">
        <v>-3.6166060000000001E-3</v>
      </c>
      <c r="AA2848">
        <v>0.98732960000000003</v>
      </c>
      <c r="AB2848">
        <v>58</v>
      </c>
      <c r="AC2848">
        <v>-18.170099999999898</v>
      </c>
      <c r="AD2848">
        <v>-1.1045450373300001</v>
      </c>
      <c r="AE2848">
        <v>-3.3437000000000099</v>
      </c>
      <c r="AF2848">
        <v>-3.0167104611878299</v>
      </c>
      <c r="AG2848">
        <v>-1.1045450373300001</v>
      </c>
      <c r="AH2848">
        <v>18.160542454131001</v>
      </c>
      <c r="AI2848">
        <v>93.433572385835205</v>
      </c>
      <c r="AJ2848">
        <v>99.431479446855207</v>
      </c>
      <c r="AK2848">
        <v>18.442501564983601</v>
      </c>
      <c r="AL2848">
        <v>84.101568505150794</v>
      </c>
      <c r="AM2848">
        <v>92.259061998364103</v>
      </c>
      <c r="AN2848">
        <v>0.99999993983412105</v>
      </c>
    </row>
    <row r="2849" spans="1:40" x14ac:dyDescent="0.3">
      <c r="A2849" t="str">
        <f>"20200111153933273"</f>
        <v>20200111153933273</v>
      </c>
      <c r="B2849" t="str">
        <f>"1578728373263290"</f>
        <v>1578728373263290</v>
      </c>
      <c r="C2849" t="s">
        <v>40</v>
      </c>
      <c r="D2849">
        <v>5.117286</v>
      </c>
      <c r="E2849">
        <v>0.42802380000000001</v>
      </c>
      <c r="F2849" t="s">
        <v>42</v>
      </c>
      <c r="G2849">
        <v>-375.1995</v>
      </c>
      <c r="H2849" s="1">
        <v>-2.5816739999999999E-6</v>
      </c>
      <c r="I2849">
        <v>136.57220000000001</v>
      </c>
      <c r="J2849">
        <v>-356.06599999999997</v>
      </c>
      <c r="K2849">
        <v>1.104457</v>
      </c>
      <c r="L2849">
        <v>141.06209999999999</v>
      </c>
      <c r="M2849">
        <v>-0.99972030000000001</v>
      </c>
      <c r="N2849">
        <v>0</v>
      </c>
      <c r="O2849">
        <v>-1.7111319999999999E-2</v>
      </c>
      <c r="P2849">
        <v>-0.99467720000000004</v>
      </c>
      <c r="Q2849">
        <v>8.5051689999999999E-2</v>
      </c>
      <c r="R2849">
        <v>-5.8171E-2</v>
      </c>
      <c r="S2849">
        <v>-2.9920960000000001</v>
      </c>
      <c r="T2849">
        <v>-0.1676742</v>
      </c>
      <c r="U2849">
        <v>-0.68307499999999999</v>
      </c>
      <c r="V2849">
        <v>-4.1150920000000001E-2</v>
      </c>
      <c r="W2849">
        <v>0.10129199999999999</v>
      </c>
      <c r="X2849">
        <v>0.99400529999999998</v>
      </c>
      <c r="Y2849">
        <v>-0.20556930000000001</v>
      </c>
      <c r="Z2849">
        <v>-4.7368619999999997E-3</v>
      </c>
      <c r="AA2849">
        <v>0.97863109999999998</v>
      </c>
      <c r="AB2849">
        <v>58</v>
      </c>
      <c r="AC2849">
        <v>-19.133500000000002</v>
      </c>
      <c r="AD2849">
        <v>-1.1044595816739999</v>
      </c>
      <c r="AE2849">
        <v>-4.4898999999999702</v>
      </c>
      <c r="AF2849">
        <v>-4.1486972221523999</v>
      </c>
      <c r="AG2849">
        <v>-1.1044595816739999</v>
      </c>
      <c r="AH2849">
        <v>19.1470672008547</v>
      </c>
      <c r="AI2849">
        <v>93.226622465903603</v>
      </c>
      <c r="AJ2849">
        <v>102.225597127152</v>
      </c>
      <c r="AK2849">
        <v>19.622479507001401</v>
      </c>
      <c r="AL2849">
        <v>84.186425580675106</v>
      </c>
      <c r="AM2849">
        <v>92.370639711831302</v>
      </c>
      <c r="AN2849">
        <v>1.0000000019544599</v>
      </c>
    </row>
    <row r="2850" spans="1:40" x14ac:dyDescent="0.3">
      <c r="A2850" t="str">
        <f>"20200111153933294"</f>
        <v>20200111153933294</v>
      </c>
      <c r="B2850" t="str">
        <f>"1578728373283786"</f>
        <v>1578728373283786</v>
      </c>
      <c r="C2850" t="s">
        <v>40</v>
      </c>
      <c r="D2850">
        <v>5.0774150000000002</v>
      </c>
      <c r="E2850">
        <v>0.42677619999999999</v>
      </c>
      <c r="F2850" t="s">
        <v>42</v>
      </c>
      <c r="G2850">
        <v>-375.88170000000002</v>
      </c>
      <c r="H2850" s="1">
        <v>-2.3517470000000001E-6</v>
      </c>
      <c r="I2850">
        <v>136.2184</v>
      </c>
      <c r="J2850">
        <v>-356.62580000000003</v>
      </c>
      <c r="K2850">
        <v>1.104385</v>
      </c>
      <c r="L2850">
        <v>141.05260000000001</v>
      </c>
      <c r="M2850">
        <v>-0.99971989999999999</v>
      </c>
      <c r="N2850">
        <v>0</v>
      </c>
      <c r="O2850">
        <v>-1.6817849999999999E-2</v>
      </c>
      <c r="P2850">
        <v>-0.99463590000000002</v>
      </c>
      <c r="Q2850">
        <v>8.3981799999999995E-2</v>
      </c>
      <c r="R2850">
        <v>-6.0388530000000003E-2</v>
      </c>
      <c r="S2850">
        <v>-2.9875790000000002</v>
      </c>
      <c r="T2850">
        <v>-0.16651759999999999</v>
      </c>
      <c r="U2850">
        <v>-0.73027039999999999</v>
      </c>
      <c r="V2850">
        <v>-4.3632440000000002E-2</v>
      </c>
      <c r="W2850">
        <v>0.10056900000000001</v>
      </c>
      <c r="X2850">
        <v>0.99397290000000005</v>
      </c>
      <c r="Y2850">
        <v>-0.22077369999999999</v>
      </c>
      <c r="Z2850">
        <v>-5.1361200000000001E-3</v>
      </c>
      <c r="AA2850">
        <v>0.9753115</v>
      </c>
      <c r="AB2850">
        <v>58</v>
      </c>
      <c r="AC2850">
        <v>-19.2559</v>
      </c>
      <c r="AD2850">
        <v>-1.104387351747</v>
      </c>
      <c r="AE2850">
        <v>-4.8342000000000098</v>
      </c>
      <c r="AF2850">
        <v>-4.4957169856222396</v>
      </c>
      <c r="AG2850">
        <v>-1.104387351747</v>
      </c>
      <c r="AH2850">
        <v>19.274844647183102</v>
      </c>
      <c r="AI2850">
        <v>93.193742531943698</v>
      </c>
      <c r="AJ2850">
        <v>103.129097929002</v>
      </c>
      <c r="AK2850">
        <v>19.8229861224426</v>
      </c>
      <c r="AL2850">
        <v>84.228063155863794</v>
      </c>
      <c r="AM2850">
        <v>92.513499870330804</v>
      </c>
      <c r="AN2850">
        <v>1.00000001975788</v>
      </c>
    </row>
    <row r="2851" spans="1:40" x14ac:dyDescent="0.3">
      <c r="A2851" t="str">
        <f>"20200111153933317"</f>
        <v>20200111153933317</v>
      </c>
      <c r="B2851" t="str">
        <f>"1578728373314042"</f>
        <v>1578728373314042</v>
      </c>
      <c r="C2851" t="s">
        <v>40</v>
      </c>
      <c r="D2851">
        <v>5.0494960000000004</v>
      </c>
      <c r="E2851">
        <v>0.4240099</v>
      </c>
      <c r="F2851" t="s">
        <v>42</v>
      </c>
      <c r="G2851">
        <v>-376.46719999999999</v>
      </c>
      <c r="H2851" s="1">
        <v>-2.128114E-6</v>
      </c>
      <c r="I2851">
        <v>136.084</v>
      </c>
      <c r="J2851">
        <v>-357.20600000000002</v>
      </c>
      <c r="K2851">
        <v>1.104333</v>
      </c>
      <c r="L2851">
        <v>141.04310000000001</v>
      </c>
      <c r="M2851">
        <v>-0.99971900000000002</v>
      </c>
      <c r="N2851">
        <v>0</v>
      </c>
      <c r="O2851">
        <v>-1.647711E-2</v>
      </c>
      <c r="P2851">
        <v>-0.99461440000000001</v>
      </c>
      <c r="Q2851">
        <v>8.2872080000000001E-2</v>
      </c>
      <c r="R2851">
        <v>-6.2248249999999998E-2</v>
      </c>
      <c r="S2851">
        <v>-2.9848020000000002</v>
      </c>
      <c r="T2851">
        <v>-0.16613599999999901</v>
      </c>
      <c r="U2851">
        <v>-0.74743649999999995</v>
      </c>
      <c r="V2851">
        <v>-4.5805449999999998E-2</v>
      </c>
      <c r="W2851">
        <v>9.9853079999999997E-2</v>
      </c>
      <c r="X2851">
        <v>0.99394729999999998</v>
      </c>
      <c r="Y2851">
        <v>-0.22658909999999999</v>
      </c>
      <c r="Z2851">
        <v>-5.3034229999999998E-3</v>
      </c>
      <c r="AA2851">
        <v>0.97397599999999995</v>
      </c>
      <c r="AB2851">
        <v>58</v>
      </c>
      <c r="AC2851">
        <v>-19.261199999999999</v>
      </c>
      <c r="AD2851">
        <v>-1.1043351281139999</v>
      </c>
      <c r="AE2851">
        <v>-4.9591000000000003</v>
      </c>
      <c r="AF2851">
        <v>-4.62674773628786</v>
      </c>
      <c r="AG2851">
        <v>-1.1043351281139999</v>
      </c>
      <c r="AH2851">
        <v>19.280866801813001</v>
      </c>
      <c r="AI2851">
        <v>93.187800752843501</v>
      </c>
      <c r="AJ2851">
        <v>103.49387796956201</v>
      </c>
      <c r="AK2851">
        <v>19.858957055185101</v>
      </c>
      <c r="AL2851">
        <v>84.269289798253595</v>
      </c>
      <c r="AM2851">
        <v>92.638573907668103</v>
      </c>
      <c r="AN2851">
        <v>1.00000000600623</v>
      </c>
    </row>
    <row r="2852" spans="1:40" x14ac:dyDescent="0.3">
      <c r="A2852" t="str">
        <f>"20200111153933340"</f>
        <v>20200111153933340</v>
      </c>
      <c r="B2852" t="str">
        <f>"1578728373333563"</f>
        <v>1578728373333563</v>
      </c>
      <c r="C2852" t="s">
        <v>40</v>
      </c>
      <c r="D2852">
        <v>5.0352209999999999</v>
      </c>
      <c r="E2852">
        <v>0.42311919999999997</v>
      </c>
      <c r="F2852" t="s">
        <v>42</v>
      </c>
      <c r="G2852">
        <v>-375.65730000000002</v>
      </c>
      <c r="H2852" s="1">
        <v>-2.4417970000000002E-6</v>
      </c>
      <c r="I2852">
        <v>136.2534</v>
      </c>
      <c r="J2852">
        <v>-357.79680000000002</v>
      </c>
      <c r="K2852">
        <v>1.104293</v>
      </c>
      <c r="L2852">
        <v>141.0335</v>
      </c>
      <c r="M2852">
        <v>-0.99971779999999999</v>
      </c>
      <c r="N2852">
        <v>0</v>
      </c>
      <c r="O2852">
        <v>-1.610023E-2</v>
      </c>
      <c r="P2852">
        <v>-0.99453060000000004</v>
      </c>
      <c r="Q2852">
        <v>8.2331199999999993E-2</v>
      </c>
      <c r="R2852">
        <v>-6.4269809999999997E-2</v>
      </c>
      <c r="S2852">
        <v>-2.9826969999999999</v>
      </c>
      <c r="T2852">
        <v>-0.1785185</v>
      </c>
      <c r="U2852">
        <v>-0.7742462</v>
      </c>
      <c r="V2852">
        <v>-4.8181809999999999E-2</v>
      </c>
      <c r="W2852">
        <v>9.9735420000000005E-2</v>
      </c>
      <c r="X2852">
        <v>0.99384680000000003</v>
      </c>
      <c r="Y2852">
        <v>-0.23526659999999999</v>
      </c>
      <c r="Z2852">
        <v>-5.9731209999999996E-3</v>
      </c>
      <c r="AA2852">
        <v>0.97191249999999996</v>
      </c>
      <c r="AB2852">
        <v>58</v>
      </c>
      <c r="AC2852">
        <v>-17.860499999999998</v>
      </c>
      <c r="AD2852">
        <v>-1.1042954417969999</v>
      </c>
      <c r="AE2852">
        <v>-4.7801</v>
      </c>
      <c r="AF2852">
        <v>-4.4759112970146102</v>
      </c>
      <c r="AG2852">
        <v>-1.1042954417969999</v>
      </c>
      <c r="AH2852">
        <v>17.871404149874198</v>
      </c>
      <c r="AI2852">
        <v>93.430199190000295</v>
      </c>
      <c r="AJ2852">
        <v>104.06056203227401</v>
      </c>
      <c r="AK2852">
        <v>18.4564443122086</v>
      </c>
      <c r="AL2852">
        <v>84.276065301383596</v>
      </c>
      <c r="AM2852">
        <v>92.7755330396255</v>
      </c>
      <c r="AN2852">
        <v>1.0000000513438401</v>
      </c>
    </row>
    <row r="2853" spans="1:40" x14ac:dyDescent="0.3">
      <c r="A2853" t="str">
        <f>"20200111153933362"</f>
        <v>20200111153933362</v>
      </c>
      <c r="B2853" t="str">
        <f>"1578728373354058"</f>
        <v>1578728373354058</v>
      </c>
      <c r="C2853" t="s">
        <v>40</v>
      </c>
      <c r="D2853">
        <v>5.0242870000000002</v>
      </c>
      <c r="E2853">
        <v>0.42235899999999998</v>
      </c>
      <c r="F2853" t="s">
        <v>42</v>
      </c>
      <c r="G2853">
        <v>-375.7346</v>
      </c>
      <c r="H2853" s="1">
        <v>-2.4006899999999999E-6</v>
      </c>
      <c r="I2853">
        <v>136.29830000000001</v>
      </c>
      <c r="J2853">
        <v>-358.3725</v>
      </c>
      <c r="K2853">
        <v>1.1042700000000001</v>
      </c>
      <c r="L2853">
        <v>141.02449999999999</v>
      </c>
      <c r="M2853">
        <v>-0.99971650000000001</v>
      </c>
      <c r="N2853">
        <v>0</v>
      </c>
      <c r="O2853">
        <v>-1.571119E-2</v>
      </c>
      <c r="P2853">
        <v>-0.99449900000000002</v>
      </c>
      <c r="Q2853">
        <v>8.1113840000000006E-2</v>
      </c>
      <c r="R2853">
        <v>-6.6274079999999999E-2</v>
      </c>
      <c r="S2853">
        <v>-2.9808650000000001</v>
      </c>
      <c r="T2853">
        <v>-0.18351010000000001</v>
      </c>
      <c r="U2853">
        <v>-0.78688049999999998</v>
      </c>
      <c r="V2853">
        <v>-5.0557049999999999E-2</v>
      </c>
      <c r="W2853">
        <v>9.8952520000000002E-2</v>
      </c>
      <c r="X2853">
        <v>0.993807</v>
      </c>
      <c r="Y2853">
        <v>-0.2396134</v>
      </c>
      <c r="Z2853">
        <v>-6.295185E-3</v>
      </c>
      <c r="AA2853">
        <v>0.97084800000000004</v>
      </c>
      <c r="AB2853">
        <v>58</v>
      </c>
      <c r="AC2853">
        <v>-17.362099999999899</v>
      </c>
      <c r="AD2853">
        <v>-1.10427240069</v>
      </c>
      <c r="AE2853">
        <v>-4.7261999999999702</v>
      </c>
      <c r="AF2853">
        <v>-4.4360863701989901</v>
      </c>
      <c r="AG2853">
        <v>-1.10427240069</v>
      </c>
      <c r="AH2853">
        <v>17.3688080862478</v>
      </c>
      <c r="AI2853">
        <v>93.524993560968099</v>
      </c>
      <c r="AJ2853">
        <v>104.32735615509399</v>
      </c>
      <c r="AK2853">
        <v>17.960338920958499</v>
      </c>
      <c r="AL2853">
        <v>84.321144790620593</v>
      </c>
      <c r="AM2853">
        <v>92.912246139991097</v>
      </c>
      <c r="AN2853">
        <v>0.99999998488402597</v>
      </c>
    </row>
    <row r="2854" spans="1:40" x14ac:dyDescent="0.3">
      <c r="A2854" t="str">
        <f>"20200111153933385"</f>
        <v>20200111153933385</v>
      </c>
      <c r="B2854" t="str">
        <f>"1578728373373578"</f>
        <v>1578728373373578</v>
      </c>
      <c r="C2854" t="s">
        <v>40</v>
      </c>
      <c r="D2854">
        <v>5.0406610000000001</v>
      </c>
      <c r="E2854">
        <v>0.42171150000000002</v>
      </c>
      <c r="F2854" t="s">
        <v>42</v>
      </c>
      <c r="G2854">
        <v>-375.71640000000002</v>
      </c>
      <c r="H2854" s="1">
        <v>-2.3941480000000001E-6</v>
      </c>
      <c r="I2854">
        <v>136.3792</v>
      </c>
      <c r="J2854">
        <v>-358.94389999999999</v>
      </c>
      <c r="K2854">
        <v>1.1042639999999999</v>
      </c>
      <c r="L2854">
        <v>141.01570000000001</v>
      </c>
      <c r="M2854">
        <v>-0.99971489999999996</v>
      </c>
      <c r="N2854">
        <v>0</v>
      </c>
      <c r="O2854">
        <v>-1.5310280000000001E-2</v>
      </c>
      <c r="P2854">
        <v>-0.994367</v>
      </c>
      <c r="Q2854">
        <v>8.0708790000000002E-2</v>
      </c>
      <c r="R2854">
        <v>-6.8706649999999994E-2</v>
      </c>
      <c r="S2854">
        <v>-2.978882</v>
      </c>
      <c r="T2854">
        <v>-0.1896632</v>
      </c>
      <c r="U2854">
        <v>-0.797821</v>
      </c>
      <c r="V2854">
        <v>-5.3375350000000002E-2</v>
      </c>
      <c r="W2854">
        <v>9.8982899999999999E-2</v>
      </c>
      <c r="X2854">
        <v>0.9936566</v>
      </c>
      <c r="Y2854">
        <v>-0.24345530000000001</v>
      </c>
      <c r="Z2854">
        <v>-6.6521369999999998E-3</v>
      </c>
      <c r="AA2854">
        <v>0.96988929999999995</v>
      </c>
      <c r="AB2854">
        <v>58</v>
      </c>
      <c r="AC2854">
        <v>-16.772500000000001</v>
      </c>
      <c r="AD2854">
        <v>-1.104266394148</v>
      </c>
      <c r="AE2854">
        <v>-4.6365000000000096</v>
      </c>
      <c r="AF2854">
        <v>-4.3615579891746004</v>
      </c>
      <c r="AG2854">
        <v>-1.104266394148</v>
      </c>
      <c r="AH2854">
        <v>16.773984155918399</v>
      </c>
      <c r="AI2854">
        <v>93.645585747322897</v>
      </c>
      <c r="AJ2854">
        <v>104.57524676965301</v>
      </c>
      <c r="AK2854">
        <v>17.366897731753301</v>
      </c>
      <c r="AL2854">
        <v>84.319395589792293</v>
      </c>
      <c r="AM2854">
        <v>93.074750359564405</v>
      </c>
      <c r="AN2854">
        <v>0.99999999060179601</v>
      </c>
    </row>
    <row r="2855" spans="1:40" x14ac:dyDescent="0.3">
      <c r="A2855" t="str">
        <f>"20200111153933406"</f>
        <v>20200111153933406</v>
      </c>
      <c r="B2855" t="str">
        <f>"1578728373394073"</f>
        <v>1578728373394073</v>
      </c>
      <c r="C2855" t="s">
        <v>40</v>
      </c>
      <c r="D2855">
        <v>5.0381869999999997</v>
      </c>
      <c r="E2855">
        <v>0.42109859999999999</v>
      </c>
      <c r="F2855" t="s">
        <v>42</v>
      </c>
      <c r="G2855">
        <v>-375.97379999999998</v>
      </c>
      <c r="H2855" s="1">
        <v>-2.2823210000000001E-6</v>
      </c>
      <c r="I2855">
        <v>136.38730000000001</v>
      </c>
      <c r="J2855">
        <v>-359.5018</v>
      </c>
      <c r="K2855">
        <v>1.1042559999999999</v>
      </c>
      <c r="L2855">
        <v>141.00739999999999</v>
      </c>
      <c r="M2855">
        <v>-0.99971330000000003</v>
      </c>
      <c r="N2855">
        <v>0</v>
      </c>
      <c r="O2855">
        <v>-1.4911580000000001E-2</v>
      </c>
      <c r="P2855">
        <v>-0.99422829999999995</v>
      </c>
      <c r="Q2855">
        <v>8.0562700000000001E-2</v>
      </c>
      <c r="R2855">
        <v>-7.0852750000000006E-2</v>
      </c>
      <c r="S2855">
        <v>-2.976807</v>
      </c>
      <c r="T2855">
        <v>-0.1930259</v>
      </c>
      <c r="U2855">
        <v>-0.80903630000000004</v>
      </c>
      <c r="V2855">
        <v>-5.590709E-2</v>
      </c>
      <c r="W2855">
        <v>9.9261429999999998E-2</v>
      </c>
      <c r="X2855">
        <v>0.99348959999999997</v>
      </c>
      <c r="Y2855">
        <v>-0.2473909</v>
      </c>
      <c r="Z2855">
        <v>-6.9216859999999998E-3</v>
      </c>
      <c r="AA2855">
        <v>0.96889099999999995</v>
      </c>
      <c r="AB2855">
        <v>57</v>
      </c>
      <c r="AC2855">
        <v>-16.471999999999898</v>
      </c>
      <c r="AD2855">
        <v>-1.1042582823210001</v>
      </c>
      <c r="AE2855">
        <v>-4.6200999999999697</v>
      </c>
      <c r="AF2855">
        <v>-4.3557716334689198</v>
      </c>
      <c r="AG2855">
        <v>-1.1042582823210001</v>
      </c>
      <c r="AH2855">
        <v>16.470450688103298</v>
      </c>
      <c r="AI2855">
        <v>93.708525183959196</v>
      </c>
      <c r="AJ2855">
        <v>104.813301436103</v>
      </c>
      <c r="AK2855">
        <v>17.072430370227</v>
      </c>
      <c r="AL2855">
        <v>84.303358124882195</v>
      </c>
      <c r="AM2855">
        <v>93.220834396771195</v>
      </c>
      <c r="AN2855">
        <v>1.0000000097530299</v>
      </c>
    </row>
    <row r="2856" spans="1:40" x14ac:dyDescent="0.3">
      <c r="A2856" t="str">
        <f>"20200111153933429"</f>
        <v>20200111153933429</v>
      </c>
      <c r="B2856" t="str">
        <f>"1578728373423354"</f>
        <v>1578728373423354</v>
      </c>
      <c r="C2856" t="s">
        <v>40</v>
      </c>
      <c r="D2856">
        <v>5.0609400000000004</v>
      </c>
      <c r="E2856">
        <v>0.420375</v>
      </c>
      <c r="F2856" t="s">
        <v>42</v>
      </c>
      <c r="G2856">
        <v>-376.35379999999998</v>
      </c>
      <c r="H2856" s="1">
        <v>-2.123468E-6</v>
      </c>
      <c r="I2856">
        <v>136.36369999999999</v>
      </c>
      <c r="J2856">
        <v>-360.07810000000001</v>
      </c>
      <c r="K2856">
        <v>1.10425</v>
      </c>
      <c r="L2856">
        <v>140.999</v>
      </c>
      <c r="M2856">
        <v>-0.99971129999999997</v>
      </c>
      <c r="N2856">
        <v>0</v>
      </c>
      <c r="O2856">
        <v>-1.4495859999999999E-2</v>
      </c>
      <c r="P2856">
        <v>-0.99409530000000002</v>
      </c>
      <c r="Q2856">
        <v>7.9846699999999896E-2</v>
      </c>
      <c r="R2856">
        <v>-7.3478470000000004E-2</v>
      </c>
      <c r="S2856">
        <v>-2.9748230000000002</v>
      </c>
      <c r="T2856">
        <v>-0.1949313</v>
      </c>
      <c r="U2856">
        <v>-0.81971740000000004</v>
      </c>
      <c r="V2856">
        <v>-5.8937999999999997E-2</v>
      </c>
      <c r="W2856">
        <v>9.89791E-2</v>
      </c>
      <c r="X2856">
        <v>0.99334259999999996</v>
      </c>
      <c r="Y2856">
        <v>-0.25117410000000001</v>
      </c>
      <c r="Z2856">
        <v>-7.1393669999999998E-3</v>
      </c>
      <c r="AA2856">
        <v>0.96791559999999999</v>
      </c>
      <c r="AB2856">
        <v>57</v>
      </c>
      <c r="AC2856">
        <v>-16.275699999999901</v>
      </c>
      <c r="AD2856">
        <v>-1.1042521234680001</v>
      </c>
      <c r="AE2856">
        <v>-4.6353</v>
      </c>
      <c r="AF2856">
        <v>-4.3801891434372102</v>
      </c>
      <c r="AG2856">
        <v>-1.1042521234680001</v>
      </c>
      <c r="AH2856">
        <v>16.271911436262901</v>
      </c>
      <c r="AI2856">
        <v>93.749219930266705</v>
      </c>
      <c r="AJ2856">
        <v>105.066156793061</v>
      </c>
      <c r="AK2856">
        <v>16.887289050467899</v>
      </c>
      <c r="AL2856">
        <v>84.319614644241099</v>
      </c>
      <c r="AM2856">
        <v>93.395549851705397</v>
      </c>
      <c r="AN2856">
        <v>1.0000000355277801</v>
      </c>
    </row>
    <row r="2857" spans="1:40" x14ac:dyDescent="0.3">
      <c r="A2857" t="str">
        <f>"20200111153933452"</f>
        <v>20200111153933452</v>
      </c>
      <c r="B2857" t="str">
        <f>"1578728373443383"</f>
        <v>1578728373443383</v>
      </c>
      <c r="C2857" t="s">
        <v>40</v>
      </c>
      <c r="D2857">
        <v>5.0430029999999997</v>
      </c>
      <c r="E2857">
        <v>0.41998999999999997</v>
      </c>
      <c r="F2857" t="s">
        <v>42</v>
      </c>
      <c r="G2857">
        <v>-376.6454</v>
      </c>
      <c r="H2857" s="1">
        <v>-1.9995570000000002E-6</v>
      </c>
      <c r="I2857">
        <v>136.357</v>
      </c>
      <c r="J2857">
        <v>-360.65820000000002</v>
      </c>
      <c r="K2857">
        <v>1.10425</v>
      </c>
      <c r="L2857">
        <v>140.99080000000001</v>
      </c>
      <c r="M2857">
        <v>-0.99970910000000002</v>
      </c>
      <c r="N2857">
        <v>0</v>
      </c>
      <c r="O2857">
        <v>-1.407601E-2</v>
      </c>
      <c r="P2857">
        <v>-0.99397630000000003</v>
      </c>
      <c r="Q2857">
        <v>7.8838770000000002E-2</v>
      </c>
      <c r="R2857">
        <v>-7.6131980000000002E-2</v>
      </c>
      <c r="S2857">
        <v>-2.9721679999999999</v>
      </c>
      <c r="T2857">
        <v>-0.1981031</v>
      </c>
      <c r="U2857">
        <v>-0.832763699999999</v>
      </c>
      <c r="V2857">
        <v>-6.2002120000000001E-2</v>
      </c>
      <c r="W2857">
        <v>9.8399249999999994E-2</v>
      </c>
      <c r="X2857">
        <v>0.99321369999999998</v>
      </c>
      <c r="Y2857">
        <v>-0.25571709999999997</v>
      </c>
      <c r="Z2857">
        <v>-7.433144E-3</v>
      </c>
      <c r="AA2857">
        <v>0.96672309999999995</v>
      </c>
      <c r="AB2857">
        <v>57</v>
      </c>
      <c r="AC2857">
        <v>-15.9871999999999</v>
      </c>
      <c r="AD2857">
        <v>-1.1042519995569999</v>
      </c>
      <c r="AE2857">
        <v>-4.6337999999999999</v>
      </c>
      <c r="AF2857">
        <v>-4.3889455239292996</v>
      </c>
      <c r="AG2857">
        <v>-1.1042519995569999</v>
      </c>
      <c r="AH2857">
        <v>15.980522024905101</v>
      </c>
      <c r="AI2857">
        <v>93.812128064243197</v>
      </c>
      <c r="AJ2857">
        <v>105.357256423113</v>
      </c>
      <c r="AK2857">
        <v>16.609012597954901</v>
      </c>
      <c r="AL2857">
        <v>84.353000745718305</v>
      </c>
      <c r="AM2857">
        <v>93.572097264143494</v>
      </c>
      <c r="AN2857">
        <v>1.00000006457637</v>
      </c>
    </row>
    <row r="2858" spans="1:40" x14ac:dyDescent="0.3">
      <c r="A2858" t="str">
        <f>"20200111153933473"</f>
        <v>20200111153933473</v>
      </c>
      <c r="B2858" t="str">
        <f>"1578728373463878"</f>
        <v>1578728373463878</v>
      </c>
      <c r="C2858" t="s">
        <v>40</v>
      </c>
      <c r="D2858">
        <v>5.0741480000000001</v>
      </c>
      <c r="E2858">
        <v>0.41955490000000001</v>
      </c>
      <c r="F2858" t="s">
        <v>42</v>
      </c>
      <c r="G2858">
        <v>-376.86509999999998</v>
      </c>
      <c r="H2858" s="1">
        <v>-1.9115729999999999E-6</v>
      </c>
      <c r="I2858">
        <v>136.38890000000001</v>
      </c>
      <c r="J2858">
        <v>-361.2122</v>
      </c>
      <c r="K2858">
        <v>1.1042639999999999</v>
      </c>
      <c r="L2858">
        <v>140.98330000000001</v>
      </c>
      <c r="M2858">
        <v>-0.9997066</v>
      </c>
      <c r="N2858">
        <v>0</v>
      </c>
      <c r="O2858">
        <v>-1.3674159999999999E-2</v>
      </c>
      <c r="P2858">
        <v>-0.99385250000000003</v>
      </c>
      <c r="Q2858">
        <v>7.7992119999999998E-2</v>
      </c>
      <c r="R2858">
        <v>-7.8580769999999994E-2</v>
      </c>
      <c r="S2858">
        <v>-2.9696660000000001</v>
      </c>
      <c r="T2858">
        <v>-0.20233699999999999</v>
      </c>
      <c r="U2858">
        <v>-0.84321590000000002</v>
      </c>
      <c r="V2858">
        <v>-6.4845780000000006E-2</v>
      </c>
      <c r="W2858">
        <v>9.7965060000000007E-2</v>
      </c>
      <c r="X2858">
        <v>0.99307500000000004</v>
      </c>
      <c r="Y2858">
        <v>-0.25943640000000001</v>
      </c>
      <c r="Z2858">
        <v>-7.74517E-3</v>
      </c>
      <c r="AA2858">
        <v>0.96572919999999995</v>
      </c>
      <c r="AB2858">
        <v>57</v>
      </c>
      <c r="AC2858">
        <v>-15.652899999999899</v>
      </c>
      <c r="AD2858">
        <v>-1.10426591157299</v>
      </c>
      <c r="AE2858">
        <v>-4.5944000000000003</v>
      </c>
      <c r="AF2858">
        <v>-4.3599095714366296</v>
      </c>
      <c r="AG2858">
        <v>-1.10426591157299</v>
      </c>
      <c r="AH2858">
        <v>15.642596729377299</v>
      </c>
      <c r="AI2858">
        <v>93.890213537655995</v>
      </c>
      <c r="AJ2858">
        <v>105.574234051348</v>
      </c>
      <c r="AK2858">
        <v>16.276333958004599</v>
      </c>
      <c r="AL2858">
        <v>84.377998649863002</v>
      </c>
      <c r="AM2858">
        <v>93.735994151192898</v>
      </c>
      <c r="AN2858">
        <v>1.0000000418948001</v>
      </c>
    </row>
    <row r="2859" spans="1:40" x14ac:dyDescent="0.3">
      <c r="A2859" t="str">
        <f>"20200111153933496"</f>
        <v>20200111153933496</v>
      </c>
      <c r="B2859" t="str">
        <f>"1578728373483399"</f>
        <v>1578728373483399</v>
      </c>
      <c r="C2859" t="s">
        <v>40</v>
      </c>
      <c r="D2859">
        <v>5.0654089999999998</v>
      </c>
      <c r="E2859">
        <v>0.41922029999999899</v>
      </c>
      <c r="F2859" t="s">
        <v>42</v>
      </c>
      <c r="G2859">
        <v>-377.15800000000002</v>
      </c>
      <c r="H2859" s="1">
        <v>-1.810597E-6</v>
      </c>
      <c r="I2859">
        <v>136.3939</v>
      </c>
      <c r="J2859">
        <v>-361.75630000000001</v>
      </c>
      <c r="K2859">
        <v>1.104284</v>
      </c>
      <c r="L2859">
        <v>140.9761</v>
      </c>
      <c r="M2859">
        <v>-0.99970360000000003</v>
      </c>
      <c r="N2859">
        <v>0</v>
      </c>
      <c r="O2859">
        <v>-1.327717E-2</v>
      </c>
      <c r="P2859">
        <v>-0.99369419999999997</v>
      </c>
      <c r="Q2859">
        <v>7.7976370000000003E-2</v>
      </c>
      <c r="R2859">
        <v>-8.0570719999999998E-2</v>
      </c>
      <c r="S2859">
        <v>-2.9671630000000002</v>
      </c>
      <c r="T2859">
        <v>-0.2054811</v>
      </c>
      <c r="U2859">
        <v>-0.85397339999999999</v>
      </c>
      <c r="V2859">
        <v>-6.7226759999999997E-2</v>
      </c>
      <c r="W2859">
        <v>9.8357020000000003E-2</v>
      </c>
      <c r="X2859">
        <v>0.99287780000000003</v>
      </c>
      <c r="Y2859">
        <v>-0.26324219999999998</v>
      </c>
      <c r="Z2859">
        <v>-8.0236879999999993E-3</v>
      </c>
      <c r="AA2859">
        <v>0.96469640000000001</v>
      </c>
      <c r="AB2859">
        <v>57</v>
      </c>
      <c r="AC2859">
        <v>-15.4017</v>
      </c>
      <c r="AD2859">
        <v>-1.1042858105969999</v>
      </c>
      <c r="AE2859">
        <v>-4.5822000000000003</v>
      </c>
      <c r="AF2859">
        <v>-4.3566869598390401</v>
      </c>
      <c r="AG2859">
        <v>-1.1042858105969999</v>
      </c>
      <c r="AH2859">
        <v>15.3885175799848</v>
      </c>
      <c r="AI2859">
        <v>93.949808049267403</v>
      </c>
      <c r="AJ2859">
        <v>105.80749889751</v>
      </c>
      <c r="AK2859">
        <v>16.0314266903173</v>
      </c>
      <c r="AL2859">
        <v>84.355431396731404</v>
      </c>
      <c r="AM2859">
        <v>93.873527577172396</v>
      </c>
      <c r="AN2859">
        <v>0.99999993318810598</v>
      </c>
    </row>
    <row r="2860" spans="1:40" x14ac:dyDescent="0.3">
      <c r="A2860" t="str">
        <f>"20200111153933518"</f>
        <v>20200111153933518</v>
      </c>
      <c r="B2860" t="str">
        <f>"1578728373513656"</f>
        <v>1578728373513656</v>
      </c>
      <c r="C2860" t="s">
        <v>40</v>
      </c>
      <c r="D2860">
        <v>5.0340400000000001</v>
      </c>
      <c r="E2860">
        <v>0.4192939</v>
      </c>
      <c r="F2860" t="s">
        <v>42</v>
      </c>
      <c r="G2860">
        <v>-377.61790000000002</v>
      </c>
      <c r="H2860" s="1">
        <v>-1.6619670000000001E-6</v>
      </c>
      <c r="I2860">
        <v>136.36420000000001</v>
      </c>
      <c r="J2860">
        <v>-362.33460000000002</v>
      </c>
      <c r="K2860">
        <v>1.104317</v>
      </c>
      <c r="L2860">
        <v>140.96870000000001</v>
      </c>
      <c r="M2860">
        <v>-0.99970020000000004</v>
      </c>
      <c r="N2860">
        <v>0</v>
      </c>
      <c r="O2860">
        <v>-1.285217E-2</v>
      </c>
      <c r="P2860">
        <v>-0.99351730000000005</v>
      </c>
      <c r="Q2860">
        <v>7.7802350000000006E-2</v>
      </c>
      <c r="R2860">
        <v>-8.2887180000000005E-2</v>
      </c>
      <c r="S2860">
        <v>-2.965363</v>
      </c>
      <c r="T2860">
        <v>-0.20644889999999999</v>
      </c>
      <c r="U2860">
        <v>-0.86218259999999902</v>
      </c>
      <c r="V2860">
        <v>-6.9963579999999997E-2</v>
      </c>
      <c r="W2860">
        <v>9.8610409999999996E-2</v>
      </c>
      <c r="X2860">
        <v>0.99266359999999998</v>
      </c>
      <c r="Y2860">
        <v>-0.26625779999999999</v>
      </c>
      <c r="Z2860">
        <v>-8.1947159999999995E-3</v>
      </c>
      <c r="AA2860">
        <v>0.96386700000000003</v>
      </c>
      <c r="AB2860">
        <v>56</v>
      </c>
      <c r="AC2860">
        <v>-15.283299999999899</v>
      </c>
      <c r="AD2860">
        <v>-1.104318661967</v>
      </c>
      <c r="AE2860">
        <v>-4.6044999999999998</v>
      </c>
      <c r="AF2860">
        <v>-4.3866563601500204</v>
      </c>
      <c r="AG2860">
        <v>-1.104318661967</v>
      </c>
      <c r="AH2860">
        <v>15.2681461373679</v>
      </c>
      <c r="AI2860">
        <v>93.976577929064504</v>
      </c>
      <c r="AJ2860">
        <v>106.029767406158</v>
      </c>
      <c r="AK2860">
        <v>15.9241502191243</v>
      </c>
      <c r="AL2860">
        <v>84.340842499639706</v>
      </c>
      <c r="AM2860">
        <v>94.031577196906497</v>
      </c>
      <c r="AN2860">
        <v>0.99999996912587097</v>
      </c>
    </row>
    <row r="2861" spans="1:40" x14ac:dyDescent="0.3">
      <c r="A2861" t="str">
        <f>"20200111153933540"</f>
        <v>20200111153933540</v>
      </c>
      <c r="B2861" t="str">
        <f>"1578728373533685"</f>
        <v>1578728373533685</v>
      </c>
      <c r="C2861" t="s">
        <v>40</v>
      </c>
      <c r="D2861">
        <v>5.0024629999999997</v>
      </c>
      <c r="E2861">
        <v>0.41928569999999998</v>
      </c>
      <c r="F2861" t="s">
        <v>42</v>
      </c>
      <c r="G2861">
        <v>-377.85599999999999</v>
      </c>
      <c r="H2861" s="1">
        <v>-1.565037E-6</v>
      </c>
      <c r="I2861">
        <v>136.42400000000001</v>
      </c>
      <c r="J2861">
        <v>-362.90339999999998</v>
      </c>
      <c r="K2861">
        <v>1.104358</v>
      </c>
      <c r="L2861">
        <v>140.96170000000001</v>
      </c>
      <c r="M2861">
        <v>-0.99969699999999995</v>
      </c>
      <c r="N2861">
        <v>0</v>
      </c>
      <c r="O2861">
        <v>-1.2431559999999999E-2</v>
      </c>
      <c r="P2861">
        <v>-0.99331210000000003</v>
      </c>
      <c r="Q2861">
        <v>7.7741050000000006E-2</v>
      </c>
      <c r="R2861">
        <v>-8.5365949999999996E-2</v>
      </c>
      <c r="S2861">
        <v>-2.9637150000000001</v>
      </c>
      <c r="T2861">
        <v>-0.21086260000000001</v>
      </c>
      <c r="U2861">
        <v>-0.86776730000000002</v>
      </c>
      <c r="V2861">
        <v>-7.2859519999999997E-2</v>
      </c>
      <c r="W2861">
        <v>9.8954420000000001E-2</v>
      </c>
      <c r="X2861">
        <v>0.992421</v>
      </c>
      <c r="Y2861">
        <v>-0.2684491</v>
      </c>
      <c r="Z2861">
        <v>-8.4773079999999994E-3</v>
      </c>
      <c r="AA2861">
        <v>0.96325660000000002</v>
      </c>
      <c r="AB2861">
        <v>56</v>
      </c>
      <c r="AC2861">
        <v>-14.9526</v>
      </c>
      <c r="AD2861">
        <v>-1.1043595650369999</v>
      </c>
      <c r="AE2861">
        <v>-4.5377000000000001</v>
      </c>
      <c r="AF2861">
        <v>-4.3297961752131</v>
      </c>
      <c r="AG2861">
        <v>-1.1043595650369999</v>
      </c>
      <c r="AH2861">
        <v>14.933277188018801</v>
      </c>
      <c r="AI2861">
        <v>94.062760670919701</v>
      </c>
      <c r="AJ2861">
        <v>106.16913580026301</v>
      </c>
      <c r="AK2861">
        <v>15.5874793517741</v>
      </c>
      <c r="AL2861">
        <v>84.321035273104499</v>
      </c>
      <c r="AM2861">
        <v>94.198890422506494</v>
      </c>
      <c r="AN2861">
        <v>0.99999996406658198</v>
      </c>
    </row>
    <row r="2862" spans="1:40" x14ac:dyDescent="0.3">
      <c r="A2862" t="str">
        <f>"20200111153933562"</f>
        <v>20200111153933562</v>
      </c>
      <c r="B2862" t="str">
        <f>"1578728373554178"</f>
        <v>1578728373554178</v>
      </c>
      <c r="C2862" t="s">
        <v>40</v>
      </c>
      <c r="D2862">
        <v>5.0605849999999997</v>
      </c>
      <c r="E2862">
        <v>0.41905949999999997</v>
      </c>
      <c r="F2862" t="s">
        <v>42</v>
      </c>
      <c r="G2862">
        <v>-378.27210000000002</v>
      </c>
      <c r="H2862" s="1">
        <v>-1.4243019999999999E-6</v>
      </c>
      <c r="I2862">
        <v>136.42080000000001</v>
      </c>
      <c r="J2862">
        <v>-363.44970000000001</v>
      </c>
      <c r="K2862">
        <v>1.10439</v>
      </c>
      <c r="L2862">
        <v>140.95519999999999</v>
      </c>
      <c r="M2862">
        <v>-0.99969399999999997</v>
      </c>
      <c r="N2862">
        <v>0</v>
      </c>
      <c r="O2862">
        <v>-1.202577E-2</v>
      </c>
      <c r="P2862">
        <v>-0.99304360000000003</v>
      </c>
      <c r="Q2862">
        <v>7.7826030000000004E-2</v>
      </c>
      <c r="R2862">
        <v>-8.8360469999999997E-2</v>
      </c>
      <c r="S2862">
        <v>-2.9616389999999999</v>
      </c>
      <c r="T2862">
        <v>-0.2128178</v>
      </c>
      <c r="U2862">
        <v>-0.87504579999999998</v>
      </c>
      <c r="V2862">
        <v>-7.6257630000000007E-2</v>
      </c>
      <c r="W2862">
        <v>9.9407560000000006E-2</v>
      </c>
      <c r="X2862">
        <v>0.99212040000000001</v>
      </c>
      <c r="Y2862">
        <v>-0.2711807</v>
      </c>
      <c r="Z2862">
        <v>-8.6830339999999992E-3</v>
      </c>
      <c r="AA2862">
        <v>0.96248929999999999</v>
      </c>
      <c r="AB2862">
        <v>56</v>
      </c>
      <c r="AC2862">
        <v>-14.8224</v>
      </c>
      <c r="AD2862">
        <v>-1.1043914243020001</v>
      </c>
      <c r="AE2862">
        <v>-4.5343999999999696</v>
      </c>
      <c r="AF2862">
        <v>-4.3337794743347198</v>
      </c>
      <c r="AG2862">
        <v>-1.1043914243020001</v>
      </c>
      <c r="AH2862">
        <v>14.800735441755499</v>
      </c>
      <c r="AI2862">
        <v>94.095994563384195</v>
      </c>
      <c r="AJ2862">
        <v>106.320473362624</v>
      </c>
      <c r="AK2862">
        <v>15.461665323213801</v>
      </c>
      <c r="AL2862">
        <v>84.294943755612096</v>
      </c>
      <c r="AM2862">
        <v>94.395299490845403</v>
      </c>
      <c r="AN2862">
        <v>0.99999998860726502</v>
      </c>
    </row>
    <row r="2863" spans="1:40" x14ac:dyDescent="0.3">
      <c r="A2863" t="str">
        <f>"20200111153933586"</f>
        <v>20200111153933586</v>
      </c>
      <c r="B2863" t="str">
        <f>"1578728373573698"</f>
        <v>1578728373573698</v>
      </c>
      <c r="C2863" t="s">
        <v>40</v>
      </c>
      <c r="D2863">
        <v>5.0693140000000003</v>
      </c>
      <c r="E2863">
        <v>0.418877</v>
      </c>
      <c r="F2863" t="s">
        <v>42</v>
      </c>
      <c r="G2863">
        <v>-378.74079999999998</v>
      </c>
      <c r="H2863" s="1">
        <v>-1.275764E-6</v>
      </c>
      <c r="I2863">
        <v>136.37960000000001</v>
      </c>
      <c r="J2863">
        <v>-364.01830000000001</v>
      </c>
      <c r="K2863">
        <v>1.104427</v>
      </c>
      <c r="L2863">
        <v>140.9487</v>
      </c>
      <c r="M2863">
        <v>-0.99969110000000005</v>
      </c>
      <c r="N2863">
        <v>0</v>
      </c>
      <c r="O2863">
        <v>-1.160185E-2</v>
      </c>
      <c r="P2863">
        <v>-0.99284050000000001</v>
      </c>
      <c r="Q2863">
        <v>7.7508549999999996E-2</v>
      </c>
      <c r="R2863">
        <v>-9.0886759999999997E-2</v>
      </c>
      <c r="S2863">
        <v>-2.9589840000000001</v>
      </c>
      <c r="T2863">
        <v>-0.21371209999999999</v>
      </c>
      <c r="U2863">
        <v>-0.88542180000000004</v>
      </c>
      <c r="V2863">
        <v>-7.9205609999999996E-2</v>
      </c>
      <c r="W2863">
        <v>9.9455000000000002E-2</v>
      </c>
      <c r="X2863">
        <v>0.99188460000000001</v>
      </c>
      <c r="Y2863">
        <v>-0.2749066</v>
      </c>
      <c r="Z2863">
        <v>-8.8840729999999993E-3</v>
      </c>
      <c r="AA2863">
        <v>0.96142989999999995</v>
      </c>
      <c r="AB2863">
        <v>56</v>
      </c>
      <c r="AC2863">
        <v>-14.722499999999901</v>
      </c>
      <c r="AD2863">
        <v>-1.104428275764</v>
      </c>
      <c r="AE2863">
        <v>-4.5690999999999899</v>
      </c>
      <c r="AF2863">
        <v>-4.3754832140794599</v>
      </c>
      <c r="AG2863">
        <v>-1.104428275764</v>
      </c>
      <c r="AH2863">
        <v>14.6990802317908</v>
      </c>
      <c r="AI2863">
        <v>94.118937714882094</v>
      </c>
      <c r="AJ2863">
        <v>106.57671817949</v>
      </c>
      <c r="AK2863">
        <v>15.3762015736534</v>
      </c>
      <c r="AL2863">
        <v>84.292211844022106</v>
      </c>
      <c r="AM2863">
        <v>94.565589497397994</v>
      </c>
      <c r="AN2863">
        <v>0.99999994269881398</v>
      </c>
    </row>
    <row r="2864" spans="1:40" x14ac:dyDescent="0.3">
      <c r="A2864" t="str">
        <f>"20200111153933607"</f>
        <v>20200111153933607</v>
      </c>
      <c r="B2864" t="str">
        <f>"1578728373603954"</f>
        <v>1578728373603954</v>
      </c>
      <c r="C2864" t="s">
        <v>40</v>
      </c>
      <c r="D2864">
        <v>5.0998380000000001</v>
      </c>
      <c r="E2864">
        <v>0.4186703</v>
      </c>
      <c r="F2864" t="s">
        <v>42</v>
      </c>
      <c r="G2864">
        <v>-379.24340000000001</v>
      </c>
      <c r="H2864" s="1">
        <v>-1.114559E-6</v>
      </c>
      <c r="I2864">
        <v>136.3426</v>
      </c>
      <c r="J2864">
        <v>-364.55270000000002</v>
      </c>
      <c r="K2864">
        <v>1.10446</v>
      </c>
      <c r="L2864">
        <v>140.94280000000001</v>
      </c>
      <c r="M2864">
        <v>-0.99968849999999998</v>
      </c>
      <c r="N2864">
        <v>0</v>
      </c>
      <c r="O2864">
        <v>-1.1201620000000001E-2</v>
      </c>
      <c r="P2864">
        <v>-0.99273880000000003</v>
      </c>
      <c r="Q2864">
        <v>7.6816140000000005E-2</v>
      </c>
      <c r="R2864">
        <v>-9.2570689999999997E-2</v>
      </c>
      <c r="S2864">
        <v>-2.956512</v>
      </c>
      <c r="T2864">
        <v>-0.21446680000000001</v>
      </c>
      <c r="U2864">
        <v>-0.89442440000000001</v>
      </c>
      <c r="V2864">
        <v>-8.1288520000000003E-2</v>
      </c>
      <c r="W2864">
        <v>9.9089640000000007E-2</v>
      </c>
      <c r="X2864">
        <v>0.99175270000000004</v>
      </c>
      <c r="Y2864">
        <v>-0.27818130000000002</v>
      </c>
      <c r="Z2864">
        <v>-9.0630490000000001E-3</v>
      </c>
      <c r="AA2864">
        <v>0.96048579999999995</v>
      </c>
      <c r="AB2864">
        <v>56</v>
      </c>
      <c r="AC2864">
        <v>-14.6906999999999</v>
      </c>
      <c r="AD2864">
        <v>-1.104461114559</v>
      </c>
      <c r="AE2864">
        <v>-4.6002000000000001</v>
      </c>
      <c r="AF2864">
        <v>-4.4125970465213404</v>
      </c>
      <c r="AG2864">
        <v>-1.104461114559</v>
      </c>
      <c r="AH2864">
        <v>14.6658287788146</v>
      </c>
      <c r="AI2864">
        <v>94.124745791464505</v>
      </c>
      <c r="AJ2864">
        <v>106.745284116759</v>
      </c>
      <c r="AK2864">
        <v>15.3550441490101</v>
      </c>
      <c r="AL2864">
        <v>84.313249672051995</v>
      </c>
      <c r="AM2864">
        <v>94.685745760923396</v>
      </c>
      <c r="AN2864">
        <v>0.99999999909820403</v>
      </c>
    </row>
    <row r="2865" spans="1:40" x14ac:dyDescent="0.3">
      <c r="A2865" t="str">
        <f>"20200111153933630"</f>
        <v>20200111153933630</v>
      </c>
      <c r="B2865" t="str">
        <f>"1578728373623473"</f>
        <v>1578728373623473</v>
      </c>
      <c r="C2865" t="s">
        <v>40</v>
      </c>
      <c r="D2865">
        <v>5.1096050000000002</v>
      </c>
      <c r="E2865">
        <v>0.41850599999999999</v>
      </c>
      <c r="F2865" t="s">
        <v>42</v>
      </c>
      <c r="G2865">
        <v>-379.58190000000002</v>
      </c>
      <c r="H2865" s="1">
        <v>-9.9469880000000007E-7</v>
      </c>
      <c r="I2865">
        <v>136.36009999999999</v>
      </c>
      <c r="J2865">
        <v>-365.142</v>
      </c>
      <c r="K2865">
        <v>1.104492</v>
      </c>
      <c r="L2865">
        <v>140.9366</v>
      </c>
      <c r="M2865">
        <v>-0.99968539999999995</v>
      </c>
      <c r="N2865">
        <v>0</v>
      </c>
      <c r="O2865">
        <v>-1.075833E-2</v>
      </c>
      <c r="P2865">
        <v>-0.99259370000000002</v>
      </c>
      <c r="Q2865">
        <v>7.6360020000000001E-2</v>
      </c>
      <c r="R2865">
        <v>-9.4483120000000004E-2</v>
      </c>
      <c r="S2865">
        <v>-2.954742</v>
      </c>
      <c r="T2865">
        <v>-0.21713740000000001</v>
      </c>
      <c r="U2865">
        <v>-0.90095519999999996</v>
      </c>
      <c r="V2865">
        <v>-8.3642869999999994E-2</v>
      </c>
      <c r="W2865">
        <v>9.8979570000000003E-2</v>
      </c>
      <c r="X2865">
        <v>0.99156789999999995</v>
      </c>
      <c r="Y2865">
        <v>-0.28068549999999998</v>
      </c>
      <c r="Z2865">
        <v>-9.2996420000000003E-3</v>
      </c>
      <c r="AA2865">
        <v>0.95975480000000002</v>
      </c>
      <c r="AB2865">
        <v>55</v>
      </c>
      <c r="AC2865">
        <v>-14.4399</v>
      </c>
      <c r="AD2865">
        <v>-1.1044929946988</v>
      </c>
      <c r="AE2865">
        <v>-4.5765000000000002</v>
      </c>
      <c r="AF2865">
        <v>-4.3974666465561798</v>
      </c>
      <c r="AG2865">
        <v>-1.1044929946988</v>
      </c>
      <c r="AH2865">
        <v>14.411691842715101</v>
      </c>
      <c r="AI2865">
        <v>94.192408098075902</v>
      </c>
      <c r="AJ2865">
        <v>106.968618785351</v>
      </c>
      <c r="AK2865">
        <v>15.108093177244299</v>
      </c>
      <c r="AL2865">
        <v>84.319587337943702</v>
      </c>
      <c r="AM2865">
        <v>94.821722032712302</v>
      </c>
      <c r="AN2865">
        <v>0.99999999264481498</v>
      </c>
    </row>
    <row r="2866" spans="1:40" x14ac:dyDescent="0.3">
      <c r="A2866" t="str">
        <f>"20200111153933652"</f>
        <v>20200111153933652</v>
      </c>
      <c r="B2866" t="str">
        <f>"1578728373643502"</f>
        <v>1578728373643502</v>
      </c>
      <c r="C2866" t="s">
        <v>40</v>
      </c>
      <c r="D2866">
        <v>5.1118880000000004</v>
      </c>
      <c r="E2866">
        <v>0.41844049999999999</v>
      </c>
      <c r="F2866" t="s">
        <v>42</v>
      </c>
      <c r="G2866">
        <v>-379.98270000000002</v>
      </c>
      <c r="H2866" s="1">
        <v>-4.8543960000000004E-6</v>
      </c>
      <c r="I2866">
        <v>136.37620000000001</v>
      </c>
      <c r="J2866">
        <v>-365.65820000000002</v>
      </c>
      <c r="K2866">
        <v>1.1045199999999999</v>
      </c>
      <c r="L2866">
        <v>140.9314</v>
      </c>
      <c r="M2866">
        <v>-0.99968270000000004</v>
      </c>
      <c r="N2866">
        <v>0</v>
      </c>
      <c r="O2866">
        <v>-1.036863E-2</v>
      </c>
      <c r="P2866">
        <v>-0.99252030000000002</v>
      </c>
      <c r="Q2866">
        <v>7.5728219999999999E-2</v>
      </c>
      <c r="R2866">
        <v>-9.5755000000000007E-2</v>
      </c>
      <c r="S2866">
        <v>-2.9529109999999998</v>
      </c>
      <c r="T2866">
        <v>-0.2197664</v>
      </c>
      <c r="U2866">
        <v>-0.90737920000000005</v>
      </c>
      <c r="V2866">
        <v>-8.5302799999999998E-2</v>
      </c>
      <c r="W2866">
        <v>9.8646949999999997E-2</v>
      </c>
      <c r="X2866">
        <v>0.9914596</v>
      </c>
      <c r="Y2866">
        <v>-0.28310990000000003</v>
      </c>
      <c r="Z2866">
        <v>-9.5309620000000005E-3</v>
      </c>
      <c r="AA2866">
        <v>0.95904009999999995</v>
      </c>
      <c r="AB2866">
        <v>55</v>
      </c>
      <c r="AC2866">
        <v>-14.3245</v>
      </c>
      <c r="AD2866">
        <v>-1.104524854396</v>
      </c>
      <c r="AE2866">
        <v>-4.5551999999999797</v>
      </c>
      <c r="AF2866">
        <v>-4.3827257684894603</v>
      </c>
      <c r="AG2866">
        <v>-1.104524854396</v>
      </c>
      <c r="AH2866">
        <v>14.2937934910568</v>
      </c>
      <c r="AI2866">
        <v>94.225235050344807</v>
      </c>
      <c r="AJ2866">
        <v>107.046450708753</v>
      </c>
      <c r="AK2866">
        <v>14.991357266129601</v>
      </c>
      <c r="AL2866">
        <v>84.3387386217439</v>
      </c>
      <c r="AM2866">
        <v>94.917481128171104</v>
      </c>
      <c r="AN2866">
        <v>0.99999996343215003</v>
      </c>
    </row>
    <row r="2867" spans="1:40" x14ac:dyDescent="0.3">
      <c r="A2867" t="str">
        <f>"20200111153933673"</f>
        <v>20200111153933673</v>
      </c>
      <c r="B2867" t="str">
        <f>"1578728373664002"</f>
        <v>1578728373664002</v>
      </c>
      <c r="C2867" t="s">
        <v>40</v>
      </c>
      <c r="D2867">
        <v>5.116161</v>
      </c>
      <c r="E2867">
        <v>0.41839860000000001</v>
      </c>
      <c r="F2867" t="s">
        <v>42</v>
      </c>
      <c r="G2867">
        <v>-380.28070000000002</v>
      </c>
      <c r="H2867" s="1">
        <v>-4.7191170000000001E-6</v>
      </c>
      <c r="I2867">
        <v>136.41820000000001</v>
      </c>
      <c r="J2867">
        <v>-366.19349999999997</v>
      </c>
      <c r="K2867">
        <v>1.10454599999999</v>
      </c>
      <c r="L2867">
        <v>140.92609999999999</v>
      </c>
      <c r="M2867">
        <v>-0.99967980000000001</v>
      </c>
      <c r="N2867">
        <v>0</v>
      </c>
      <c r="O2867">
        <v>-9.9641859999999999E-3</v>
      </c>
      <c r="P2867">
        <v>-0.99253159999999896</v>
      </c>
      <c r="Q2867">
        <v>7.4254909999999993E-2</v>
      </c>
      <c r="R2867">
        <v>-9.6786339999999998E-2</v>
      </c>
      <c r="S2867">
        <v>-2.951721</v>
      </c>
      <c r="T2867">
        <v>-0.2229621</v>
      </c>
      <c r="U2867">
        <v>-0.91101069999999995</v>
      </c>
      <c r="V2867">
        <v>-8.6738099999999999E-2</v>
      </c>
      <c r="W2867">
        <v>9.7481470000000001E-2</v>
      </c>
      <c r="X2867">
        <v>0.99145039999999995</v>
      </c>
      <c r="Y2867">
        <v>-0.28465829999999998</v>
      </c>
      <c r="Z2867">
        <v>-9.758068E-3</v>
      </c>
      <c r="AA2867">
        <v>0.95857939999999997</v>
      </c>
      <c r="AB2867">
        <v>55</v>
      </c>
      <c r="AC2867">
        <v>-14.087199999999999</v>
      </c>
      <c r="AD2867">
        <v>-1.1045507191170001</v>
      </c>
      <c r="AE2867">
        <v>-4.50789999999997</v>
      </c>
      <c r="AF2867">
        <v>-4.3430504243719801</v>
      </c>
      <c r="AG2867">
        <v>-1.1045507191170001</v>
      </c>
      <c r="AH2867">
        <v>14.053059292528699</v>
      </c>
      <c r="AI2867">
        <v>94.294522860534499</v>
      </c>
      <c r="AJ2867">
        <v>107.173587111841</v>
      </c>
      <c r="AK2867">
        <v>14.750274396060099</v>
      </c>
      <c r="AL2867">
        <v>84.405839422899305</v>
      </c>
      <c r="AM2867">
        <v>94.999852582496004</v>
      </c>
      <c r="AN2867">
        <v>1.0000000153225601</v>
      </c>
    </row>
    <row r="2868" spans="1:40" x14ac:dyDescent="0.3">
      <c r="A2868" t="str">
        <f>"20200111153933697"</f>
        <v>20200111153933697</v>
      </c>
      <c r="B2868" t="str">
        <f>"1578728373693279"</f>
        <v>1578728373693279</v>
      </c>
      <c r="C2868" t="s">
        <v>40</v>
      </c>
      <c r="D2868">
        <v>5.0999540000000003</v>
      </c>
      <c r="E2868">
        <v>0.41830879999999998</v>
      </c>
      <c r="F2868" t="s">
        <v>42</v>
      </c>
      <c r="G2868">
        <v>-380.4479</v>
      </c>
      <c r="H2868" s="1">
        <v>-4.6307530000000004E-6</v>
      </c>
      <c r="I2868">
        <v>136.5119</v>
      </c>
      <c r="J2868">
        <v>-366.74110000000002</v>
      </c>
      <c r="K2868">
        <v>1.1045769999999999</v>
      </c>
      <c r="L2868">
        <v>140.92099999999999</v>
      </c>
      <c r="M2868">
        <v>-0.99967629999999996</v>
      </c>
      <c r="N2868">
        <v>0</v>
      </c>
      <c r="O2868">
        <v>-9.5512119999999999E-3</v>
      </c>
      <c r="P2868">
        <v>-0.99259010000000003</v>
      </c>
      <c r="Q2868">
        <v>7.2537870000000004E-2</v>
      </c>
      <c r="R2868">
        <v>-9.7485039999999995E-2</v>
      </c>
      <c r="S2868">
        <v>-2.9505919999999999</v>
      </c>
      <c r="T2868">
        <v>-0.2286377</v>
      </c>
      <c r="U2868">
        <v>-0.91371150000000001</v>
      </c>
      <c r="V2868">
        <v>-8.7848750000000003E-2</v>
      </c>
      <c r="W2868">
        <v>9.6081879999999995E-2</v>
      </c>
      <c r="X2868">
        <v>0.99148919999999996</v>
      </c>
      <c r="Y2868">
        <v>-0.28591640000000001</v>
      </c>
      <c r="Z2868">
        <v>-1.0086879999999999E-2</v>
      </c>
      <c r="AA2868">
        <v>0.95820150000000004</v>
      </c>
      <c r="AB2868">
        <v>55</v>
      </c>
      <c r="AC2868">
        <v>-13.7067999999999</v>
      </c>
      <c r="AD2868">
        <v>-1.1045816307529901</v>
      </c>
      <c r="AE2868">
        <v>-4.4090999999999898</v>
      </c>
      <c r="AF2868">
        <v>-4.2529165130240099</v>
      </c>
      <c r="AG2868">
        <v>-1.1045816307529901</v>
      </c>
      <c r="AH2868">
        <v>13.667860214956599</v>
      </c>
      <c r="AI2868">
        <v>94.412574930668796</v>
      </c>
      <c r="AJ2868">
        <v>107.284148308341</v>
      </c>
      <c r="AK2868">
        <v>14.356803345499401</v>
      </c>
      <c r="AL2868">
        <v>84.4864080643774</v>
      </c>
      <c r="AM2868">
        <v>95.063346024309396</v>
      </c>
      <c r="AN2868">
        <v>0.99999998212876795</v>
      </c>
    </row>
    <row r="2869" spans="1:40" x14ac:dyDescent="0.3">
      <c r="A2869" t="str">
        <f>"20200111153933720"</f>
        <v>20200111153933720</v>
      </c>
      <c r="B2869" t="str">
        <f>"1578728373713775"</f>
        <v>1578728373713775</v>
      </c>
      <c r="C2869" t="s">
        <v>40</v>
      </c>
      <c r="D2869">
        <v>5.2340749999999998</v>
      </c>
      <c r="E2869">
        <v>0.41829650000000002</v>
      </c>
      <c r="F2869" t="s">
        <v>42</v>
      </c>
      <c r="G2869">
        <v>-380.60140000000001</v>
      </c>
      <c r="H2869" s="1">
        <v>-4.5465520000000002E-6</v>
      </c>
      <c r="I2869">
        <v>136.61539999999999</v>
      </c>
      <c r="J2869">
        <v>-367.31130000000002</v>
      </c>
      <c r="K2869">
        <v>1.1046149999999999</v>
      </c>
      <c r="L2869">
        <v>140.916</v>
      </c>
      <c r="M2869">
        <v>-0.99967269999999997</v>
      </c>
      <c r="N2869">
        <v>0</v>
      </c>
      <c r="O2869">
        <v>-9.1223640000000009E-3</v>
      </c>
      <c r="P2869">
        <v>-0.99261180000000004</v>
      </c>
      <c r="Q2869">
        <v>7.1703580000000003E-2</v>
      </c>
      <c r="R2869">
        <v>-9.7880170000000002E-2</v>
      </c>
      <c r="S2869">
        <v>-2.9496150000000001</v>
      </c>
      <c r="T2869">
        <v>-0.23506750000000001</v>
      </c>
      <c r="U2869">
        <v>-0.91625979999999996</v>
      </c>
      <c r="V2869">
        <v>-8.8671529999999998E-2</v>
      </c>
      <c r="W2869">
        <v>9.5566910000000005E-2</v>
      </c>
      <c r="X2869">
        <v>0.99146570000000001</v>
      </c>
      <c r="Y2869">
        <v>-0.28712389999999999</v>
      </c>
      <c r="Z2869">
        <v>-1.045196E-2</v>
      </c>
      <c r="AA2869">
        <v>0.95783640000000003</v>
      </c>
      <c r="AB2869">
        <v>54</v>
      </c>
      <c r="AC2869">
        <v>-13.290099999999899</v>
      </c>
      <c r="AD2869">
        <v>-1.1046195465519999</v>
      </c>
      <c r="AE2869">
        <v>-4.3006000000000002</v>
      </c>
      <c r="AF2869">
        <v>-4.1531775063422103</v>
      </c>
      <c r="AG2869">
        <v>-1.1046195465519999</v>
      </c>
      <c r="AH2869">
        <v>13.245956665046799</v>
      </c>
      <c r="AI2869">
        <v>94.549624742119207</v>
      </c>
      <c r="AJ2869">
        <v>107.40845330624001</v>
      </c>
      <c r="AK2869">
        <v>13.925675413211</v>
      </c>
      <c r="AL2869">
        <v>84.516049925281393</v>
      </c>
      <c r="AM2869">
        <v>95.110639187406406</v>
      </c>
      <c r="AN2869">
        <v>0.99999995439798794</v>
      </c>
    </row>
    <row r="2870" spans="1:40" x14ac:dyDescent="0.3">
      <c r="A2870" t="str">
        <f>"20200111153933742"</f>
        <v>20200111153933742</v>
      </c>
      <c r="B2870" t="str">
        <f>"1578728373733804"</f>
        <v>1578728373733804</v>
      </c>
      <c r="C2870" t="s">
        <v>40</v>
      </c>
      <c r="D2870">
        <v>5.1304150000000002</v>
      </c>
      <c r="E2870">
        <v>0.45010529999999999</v>
      </c>
      <c r="F2870" t="s">
        <v>42</v>
      </c>
      <c r="G2870">
        <v>-381.01060000000001</v>
      </c>
      <c r="H2870" s="1">
        <v>-4.3642279999999996E-6</v>
      </c>
      <c r="I2870">
        <v>136.65379999999999</v>
      </c>
      <c r="J2870">
        <v>-367.84309999999999</v>
      </c>
      <c r="K2870">
        <v>1.1046400000000001</v>
      </c>
      <c r="L2870">
        <v>140.91159999999999</v>
      </c>
      <c r="M2870">
        <v>-0.99966960000000005</v>
      </c>
      <c r="N2870">
        <v>0</v>
      </c>
      <c r="O2870">
        <v>-8.7221739999999992E-3</v>
      </c>
      <c r="P2870">
        <v>-0.99269490000000005</v>
      </c>
      <c r="Q2870">
        <v>6.9964170000000006E-2</v>
      </c>
      <c r="R2870">
        <v>-9.8296099999999997E-2</v>
      </c>
      <c r="S2870">
        <v>-2.9490660000000002</v>
      </c>
      <c r="T2870">
        <v>-0.23779400000000001</v>
      </c>
      <c r="U2870">
        <v>-0.91752619999999896</v>
      </c>
      <c r="V2870">
        <v>-8.9487230000000001E-2</v>
      </c>
      <c r="W2870">
        <v>9.4105800000000003E-2</v>
      </c>
      <c r="X2870">
        <v>0.99153219999999997</v>
      </c>
      <c r="Y2870">
        <v>-0.28791030000000001</v>
      </c>
      <c r="Z2870">
        <v>-1.0636430000000001E-2</v>
      </c>
      <c r="AA2870">
        <v>0.95759830000000001</v>
      </c>
      <c r="AB2870">
        <v>54</v>
      </c>
      <c r="AC2870">
        <v>-13.1675</v>
      </c>
      <c r="AD2870">
        <v>-1.1046443642279999</v>
      </c>
      <c r="AE2870">
        <v>-4.2577999999999996</v>
      </c>
      <c r="AF2870">
        <v>-4.116526233059</v>
      </c>
      <c r="AG2870">
        <v>-1.1046443642279999</v>
      </c>
      <c r="AH2870">
        <v>13.1205479532914</v>
      </c>
      <c r="AI2870">
        <v>94.5927627732638</v>
      </c>
      <c r="AJ2870">
        <v>107.419067628043</v>
      </c>
      <c r="AK2870">
        <v>13.7954632395401</v>
      </c>
      <c r="AL2870">
        <v>84.600144562043099</v>
      </c>
      <c r="AM2870">
        <v>95.157056144877899</v>
      </c>
      <c r="AN2870">
        <v>0.99999998478177599</v>
      </c>
    </row>
    <row r="2871" spans="1:40" x14ac:dyDescent="0.3">
      <c r="A2871" t="str">
        <f>"20200111153933764"</f>
        <v>20200111153933764</v>
      </c>
      <c r="B2871" t="str">
        <f>"1578728373753324"</f>
        <v>1578728373753324</v>
      </c>
      <c r="C2871" t="s">
        <v>40</v>
      </c>
      <c r="D2871">
        <v>5.2339539999999998</v>
      </c>
      <c r="E2871">
        <v>0.49780809999999998</v>
      </c>
      <c r="F2871" t="s">
        <v>42</v>
      </c>
      <c r="G2871">
        <v>-381.91320000000002</v>
      </c>
      <c r="H2871" s="1">
        <v>-3.7809889999999998E-6</v>
      </c>
      <c r="I2871">
        <v>137.75880000000001</v>
      </c>
      <c r="J2871">
        <v>-368.36290000000002</v>
      </c>
      <c r="K2871">
        <v>1.1046670000000001</v>
      </c>
      <c r="L2871">
        <v>140.9074</v>
      </c>
      <c r="M2871">
        <v>-0.99966690000000002</v>
      </c>
      <c r="N2871">
        <v>0</v>
      </c>
      <c r="O2871">
        <v>-8.33068E-3</v>
      </c>
      <c r="P2871">
        <v>-0.99272769999999999</v>
      </c>
      <c r="Q2871">
        <v>6.8696480000000004E-2</v>
      </c>
      <c r="R2871">
        <v>-9.8855440000000003E-2</v>
      </c>
      <c r="S2871">
        <v>-2.9725950000000001</v>
      </c>
      <c r="T2871">
        <v>-0.23337869999999999</v>
      </c>
      <c r="U2871">
        <v>-0.66607669999999997</v>
      </c>
      <c r="V2871">
        <v>-9.0437229999999993E-2</v>
      </c>
      <c r="W2871">
        <v>9.3087959999999997E-2</v>
      </c>
      <c r="X2871">
        <v>0.99154209999999998</v>
      </c>
      <c r="Y2871">
        <v>-0.209921</v>
      </c>
      <c r="Z2871">
        <v>-7.482374E-3</v>
      </c>
      <c r="AA2871">
        <v>0.97768969999999999</v>
      </c>
      <c r="AB2871">
        <v>54</v>
      </c>
      <c r="AC2871">
        <v>-13.550299999999901</v>
      </c>
      <c r="AD2871">
        <v>-1.104670780989</v>
      </c>
      <c r="AE2871">
        <v>-3.1485999999999801</v>
      </c>
      <c r="AF2871">
        <v>-3.01655243099199</v>
      </c>
      <c r="AG2871">
        <v>-1.104670780989</v>
      </c>
      <c r="AH2871">
        <v>13.490997745673001</v>
      </c>
      <c r="AI2871">
        <v>94.568733320489201</v>
      </c>
      <c r="AJ2871">
        <v>102.603871501519</v>
      </c>
      <c r="AK2871">
        <v>13.8681976578447</v>
      </c>
      <c r="AL2871">
        <v>84.658719709310006</v>
      </c>
      <c r="AM2871">
        <v>95.211452016626694</v>
      </c>
      <c r="AN2871">
        <v>0.99999999846972198</v>
      </c>
    </row>
    <row r="2872" spans="1:40" x14ac:dyDescent="0.3">
      <c r="A2872" t="str">
        <f>"20200111153933786"</f>
        <v>20200111153933786</v>
      </c>
      <c r="B2872" t="str">
        <f>"1578728373783580"</f>
        <v>1578728373783580</v>
      </c>
      <c r="C2872" t="s">
        <v>40</v>
      </c>
      <c r="D2872">
        <v>5.1418559999999998</v>
      </c>
      <c r="E2872">
        <v>0.496591</v>
      </c>
      <c r="F2872" t="s">
        <v>42</v>
      </c>
      <c r="G2872">
        <v>-383.21140000000003</v>
      </c>
      <c r="H2872" s="1">
        <v>-2.9185859999999999E-6</v>
      </c>
      <c r="I2872">
        <v>139.48099999999999</v>
      </c>
      <c r="J2872">
        <v>-368.90609999999998</v>
      </c>
      <c r="K2872">
        <v>1.1047009999999999</v>
      </c>
      <c r="L2872">
        <v>140.9032</v>
      </c>
      <c r="M2872">
        <v>-0.99966379999999999</v>
      </c>
      <c r="N2872">
        <v>0</v>
      </c>
      <c r="O2872">
        <v>-7.9200169999999997E-3</v>
      </c>
      <c r="P2872">
        <v>-0.99274059999999997</v>
      </c>
      <c r="Q2872">
        <v>6.7657930000000005E-2</v>
      </c>
      <c r="R2872">
        <v>-9.9441769999999999E-2</v>
      </c>
      <c r="S2872">
        <v>-3.008667</v>
      </c>
      <c r="T2872">
        <v>-0.22383449999999999</v>
      </c>
      <c r="U2872">
        <v>-0.28900150000000002</v>
      </c>
      <c r="V2872">
        <v>-9.1433959999999995E-2</v>
      </c>
      <c r="W2872">
        <v>9.2303620000000003E-2</v>
      </c>
      <c r="X2872">
        <v>0.99152399999999996</v>
      </c>
      <c r="Y2872">
        <v>-8.7509190000000001E-2</v>
      </c>
      <c r="Z2872">
        <v>-2.656084E-3</v>
      </c>
      <c r="AA2872">
        <v>0.99616009999999999</v>
      </c>
      <c r="AB2872">
        <v>54</v>
      </c>
      <c r="AC2872">
        <v>-14.305300000000001</v>
      </c>
      <c r="AD2872">
        <v>-1.1047039185859999</v>
      </c>
      <c r="AE2872">
        <v>-1.4221999999999999</v>
      </c>
      <c r="AF2872">
        <v>-1.3011392586707899</v>
      </c>
      <c r="AG2872">
        <v>-1.1047039185859999</v>
      </c>
      <c r="AH2872">
        <v>14.232076668067901</v>
      </c>
      <c r="AI2872">
        <v>94.420079685942397</v>
      </c>
      <c r="AJ2872">
        <v>95.2236314759854</v>
      </c>
      <c r="AK2872">
        <v>14.334062243619501</v>
      </c>
      <c r="AL2872">
        <v>84.703853334615005</v>
      </c>
      <c r="AM2872">
        <v>95.268662813511895</v>
      </c>
      <c r="AN2872">
        <v>0.99999998494119202</v>
      </c>
    </row>
    <row r="2873" spans="1:40" x14ac:dyDescent="0.3">
      <c r="A2873" t="str">
        <f>"20200111153933808"</f>
        <v>20200111153933808</v>
      </c>
      <c r="B2873" t="str">
        <f>"1578728373804076"</f>
        <v>1578728373804076</v>
      </c>
      <c r="C2873" t="s">
        <v>40</v>
      </c>
      <c r="D2873">
        <v>5.1087280000000002</v>
      </c>
      <c r="E2873">
        <v>0.49506899999999998</v>
      </c>
      <c r="F2873" t="s">
        <v>42</v>
      </c>
      <c r="G2873">
        <v>-383.57560000000001</v>
      </c>
      <c r="H2873" s="1">
        <v>-2.7698140000000001E-6</v>
      </c>
      <c r="I2873">
        <v>139.43889999999999</v>
      </c>
      <c r="J2873">
        <v>-369.42570000000001</v>
      </c>
      <c r="K2873">
        <v>1.104738</v>
      </c>
      <c r="L2873">
        <v>140.89949999999999</v>
      </c>
      <c r="M2873">
        <v>-0.99966080000000002</v>
      </c>
      <c r="N2873">
        <v>0</v>
      </c>
      <c r="O2873">
        <v>-7.5250239999999999E-3</v>
      </c>
      <c r="P2873">
        <v>-0.99272079999999996</v>
      </c>
      <c r="Q2873">
        <v>6.7134159999999998E-2</v>
      </c>
      <c r="R2873">
        <v>-9.9991389999999999E-2</v>
      </c>
      <c r="S2873">
        <v>-3.0073240000000001</v>
      </c>
      <c r="T2873">
        <v>-0.2264717</v>
      </c>
      <c r="U2873">
        <v>-0.30017090000000002</v>
      </c>
      <c r="V2873">
        <v>-9.237766E-2</v>
      </c>
      <c r="W2873">
        <v>9.202159E-2</v>
      </c>
      <c r="X2873">
        <v>0.99146279999999998</v>
      </c>
      <c r="Y2873">
        <v>-9.1591160000000005E-2</v>
      </c>
      <c r="Z2873">
        <v>-2.8707329999999999E-3</v>
      </c>
      <c r="AA2873">
        <v>0.99579260000000003</v>
      </c>
      <c r="AB2873">
        <v>54</v>
      </c>
      <c r="AC2873">
        <v>-14.149900000000001</v>
      </c>
      <c r="AD2873">
        <v>-1.1047407698139999</v>
      </c>
      <c r="AE2873">
        <v>-1.4605999999999899</v>
      </c>
      <c r="AF2873">
        <v>-1.3459294636566099</v>
      </c>
      <c r="AG2873">
        <v>-1.1047407698139999</v>
      </c>
      <c r="AH2873">
        <v>14.0755993976783</v>
      </c>
      <c r="AI2873">
        <v>94.467435640321</v>
      </c>
      <c r="AJ2873">
        <v>95.462099384228694</v>
      </c>
      <c r="AK2873">
        <v>14.1828938053399</v>
      </c>
      <c r="AL2873">
        <v>84.7200818463335</v>
      </c>
      <c r="AM2873">
        <v>95.323057186885904</v>
      </c>
      <c r="AN2873">
        <v>1.00000004443852</v>
      </c>
    </row>
    <row r="2874" spans="1:40" x14ac:dyDescent="0.3">
      <c r="A2874" t="str">
        <f>"20200111153933831"</f>
        <v>20200111153933831</v>
      </c>
      <c r="B2874" t="str">
        <f>"1578728373823605"</f>
        <v>1578728373823605</v>
      </c>
      <c r="C2874" t="s">
        <v>40</v>
      </c>
      <c r="D2874">
        <v>5.1226609999999999</v>
      </c>
      <c r="E2874">
        <v>0.49410589999999999</v>
      </c>
      <c r="F2874" t="s">
        <v>42</v>
      </c>
      <c r="G2874">
        <v>-384.22550000000001</v>
      </c>
      <c r="H2874" s="1">
        <v>-2.5059590000000002E-6</v>
      </c>
      <c r="I2874">
        <v>139.3546</v>
      </c>
      <c r="J2874">
        <v>-369.97489999999999</v>
      </c>
      <c r="K2874">
        <v>1.1047819999999999</v>
      </c>
      <c r="L2874">
        <v>140.89580000000001</v>
      </c>
      <c r="M2874">
        <v>-0.99965780000000004</v>
      </c>
      <c r="N2874">
        <v>0</v>
      </c>
      <c r="O2874">
        <v>-7.1057719999999998E-3</v>
      </c>
      <c r="P2874">
        <v>-0.99269819999999998</v>
      </c>
      <c r="Q2874">
        <v>6.69212E-2</v>
      </c>
      <c r="R2874">
        <v>-0.1003594</v>
      </c>
      <c r="S2874">
        <v>-3.005585</v>
      </c>
      <c r="T2874">
        <v>-0.22435550000000001</v>
      </c>
      <c r="U2874">
        <v>-0.31372070000000002</v>
      </c>
      <c r="V2874">
        <v>-9.3163590000000004E-2</v>
      </c>
      <c r="W2874">
        <v>9.2051480000000005E-2</v>
      </c>
      <c r="X2874">
        <v>0.9913864</v>
      </c>
      <c r="Y2874">
        <v>-9.6497050000000001E-2</v>
      </c>
      <c r="Z2874">
        <v>-3.0584940000000001E-3</v>
      </c>
      <c r="AA2874">
        <v>0.99532849999999995</v>
      </c>
      <c r="AB2874">
        <v>53</v>
      </c>
      <c r="AC2874">
        <v>-14.2506</v>
      </c>
      <c r="AD2874">
        <v>-1.104784505959</v>
      </c>
      <c r="AE2874">
        <v>-1.5411999999999999</v>
      </c>
      <c r="AF2874">
        <v>-1.4313641216680799</v>
      </c>
      <c r="AG2874">
        <v>-1.104784505959</v>
      </c>
      <c r="AH2874">
        <v>14.176973538241599</v>
      </c>
      <c r="AI2874">
        <v>94.433496272190993</v>
      </c>
      <c r="AJ2874">
        <v>95.765274832124206</v>
      </c>
      <c r="AK2874">
        <v>14.2918134173872</v>
      </c>
      <c r="AL2874">
        <v>84.718361538026301</v>
      </c>
      <c r="AM2874">
        <v>95.3684924726807</v>
      </c>
      <c r="AN2874">
        <v>0.99999996178841799</v>
      </c>
    </row>
    <row r="2875" spans="1:40" x14ac:dyDescent="0.3">
      <c r="A2875" t="str">
        <f>"20200111153933853"</f>
        <v>20200111153933853</v>
      </c>
      <c r="B2875" t="str">
        <f>"1578728373843623"</f>
        <v>1578728373843623</v>
      </c>
      <c r="C2875" t="s">
        <v>40</v>
      </c>
      <c r="D2875">
        <v>5.2391170000000002</v>
      </c>
      <c r="E2875">
        <v>0.49418430000000002</v>
      </c>
      <c r="F2875" t="s">
        <v>42</v>
      </c>
      <c r="G2875">
        <v>-384.73239999999998</v>
      </c>
      <c r="H2875" s="1">
        <v>-2.2960959999999998E-6</v>
      </c>
      <c r="I2875">
        <v>139.31180000000001</v>
      </c>
      <c r="J2875">
        <v>-370.48439999999999</v>
      </c>
      <c r="K2875">
        <v>1.1048199999999999</v>
      </c>
      <c r="L2875">
        <v>140.89250000000001</v>
      </c>
      <c r="M2875">
        <v>-0.99965519999999997</v>
      </c>
      <c r="N2875">
        <v>0</v>
      </c>
      <c r="O2875">
        <v>-6.716695E-3</v>
      </c>
      <c r="P2875">
        <v>-0.99271350000000003</v>
      </c>
      <c r="Q2875">
        <v>6.6106269999999995E-2</v>
      </c>
      <c r="R2875">
        <v>-0.10074909999999999</v>
      </c>
      <c r="S2875">
        <v>-3.0046689999999998</v>
      </c>
      <c r="T2875">
        <v>-0.22493830000000001</v>
      </c>
      <c r="U2875">
        <v>-0.32249450000000002</v>
      </c>
      <c r="V2875">
        <v>-9.3941750000000004E-2</v>
      </c>
      <c r="W2875">
        <v>9.144323E-2</v>
      </c>
      <c r="X2875">
        <v>0.99136930000000001</v>
      </c>
      <c r="Y2875">
        <v>-9.9777889999999994E-2</v>
      </c>
      <c r="Z2875">
        <v>-3.218168E-3</v>
      </c>
      <c r="AA2875">
        <v>0.99500449999999996</v>
      </c>
      <c r="AB2875">
        <v>53</v>
      </c>
      <c r="AC2875">
        <v>-14.2479999999999</v>
      </c>
      <c r="AD2875">
        <v>-1.1048222960959999</v>
      </c>
      <c r="AE2875">
        <v>-1.5807</v>
      </c>
      <c r="AF2875">
        <v>-1.4761660229264499</v>
      </c>
      <c r="AG2875">
        <v>-1.1048222960959999</v>
      </c>
      <c r="AH2875">
        <v>14.174108978181801</v>
      </c>
      <c r="AI2875">
        <v>94.433114008191694</v>
      </c>
      <c r="AJ2875">
        <v>95.945648738055297</v>
      </c>
      <c r="AK2875">
        <v>14.2935322351953</v>
      </c>
      <c r="AL2875">
        <v>84.753359523319304</v>
      </c>
      <c r="AM2875">
        <v>95.413161005512507</v>
      </c>
      <c r="AN2875">
        <v>1.00000000284419</v>
      </c>
    </row>
    <row r="2876" spans="1:40" x14ac:dyDescent="0.3">
      <c r="A2876" t="str">
        <f>"20200111153933875"</f>
        <v>20200111153933875</v>
      </c>
      <c r="B2876" t="str">
        <f>"1578728373864120"</f>
        <v>1578728373864120</v>
      </c>
      <c r="C2876" t="s">
        <v>40</v>
      </c>
      <c r="D2876">
        <v>5.1634349999999998</v>
      </c>
      <c r="E2876">
        <v>0.5319045</v>
      </c>
      <c r="F2876" t="s">
        <v>42</v>
      </c>
      <c r="G2876">
        <v>-385.3938</v>
      </c>
      <c r="H2876" s="1">
        <v>-2.0165500000000002E-6</v>
      </c>
      <c r="I2876">
        <v>139.28809999999999</v>
      </c>
      <c r="J2876">
        <v>-370.99470000000002</v>
      </c>
      <c r="K2876">
        <v>1.1048480000000001</v>
      </c>
      <c r="L2876">
        <v>140.8895</v>
      </c>
      <c r="M2876">
        <v>-0.99965289999999996</v>
      </c>
      <c r="N2876">
        <v>0</v>
      </c>
      <c r="O2876">
        <v>-6.3276280000000001E-3</v>
      </c>
      <c r="P2876">
        <v>-0.99273129999999998</v>
      </c>
      <c r="Q2876">
        <v>6.5510830000000006E-2</v>
      </c>
      <c r="R2876">
        <v>-0.1009594</v>
      </c>
      <c r="S2876">
        <v>-3.0040589999999998</v>
      </c>
      <c r="T2876">
        <v>-0.222609</v>
      </c>
      <c r="U2876">
        <v>-0.32325739999999997</v>
      </c>
      <c r="V2876">
        <v>-9.4539970000000001E-2</v>
      </c>
      <c r="W2876">
        <v>9.1033909999999996E-2</v>
      </c>
      <c r="X2876">
        <v>0.99135010000000001</v>
      </c>
      <c r="Y2876">
        <v>-0.10043870000000001</v>
      </c>
      <c r="Z2876">
        <v>-3.2386239999999998E-3</v>
      </c>
      <c r="AA2876">
        <v>0.99493799999999999</v>
      </c>
      <c r="AB2876">
        <v>53</v>
      </c>
      <c r="AC2876">
        <v>-14.399099999999899</v>
      </c>
      <c r="AD2876">
        <v>-1.1048500165499999</v>
      </c>
      <c r="AE2876">
        <v>-1.6014000000000099</v>
      </c>
      <c r="AF2876">
        <v>-1.50149382013675</v>
      </c>
      <c r="AG2876">
        <v>-1.1048500165499999</v>
      </c>
      <c r="AH2876">
        <v>14.325635250684799</v>
      </c>
      <c r="AI2876">
        <v>94.386216379808999</v>
      </c>
      <c r="AJ2876">
        <v>95.983420154369298</v>
      </c>
      <c r="AK2876">
        <v>14.4464183307366</v>
      </c>
      <c r="AL2876">
        <v>84.776910043396398</v>
      </c>
      <c r="AM2876">
        <v>95.447530116965396</v>
      </c>
      <c r="AN2876">
        <v>0.99999999973374898</v>
      </c>
    </row>
    <row r="2877" spans="1:40" x14ac:dyDescent="0.3">
      <c r="A2877" t="str">
        <f>"20200111153933898"</f>
        <v>20200111153933898</v>
      </c>
      <c r="B2877" t="str">
        <f>"1578728373893401"</f>
        <v>1578728373893401</v>
      </c>
      <c r="C2877" t="s">
        <v>40</v>
      </c>
      <c r="D2877">
        <v>5.1358610000000002</v>
      </c>
      <c r="E2877">
        <v>0.57558860000000001</v>
      </c>
      <c r="F2877" t="s">
        <v>41</v>
      </c>
      <c r="G2877">
        <v>-372.17230000000001</v>
      </c>
      <c r="H2877">
        <v>1.0200039999999999</v>
      </c>
      <c r="I2877">
        <v>140.88050000000001</v>
      </c>
      <c r="J2877">
        <v>-371.52550000000002</v>
      </c>
      <c r="K2877">
        <v>1.1048830000000001</v>
      </c>
      <c r="L2877">
        <v>140.88650000000001</v>
      </c>
      <c r="M2877">
        <v>-0.99965099999999996</v>
      </c>
      <c r="N2877">
        <v>0</v>
      </c>
      <c r="O2877">
        <v>-5.92116E-3</v>
      </c>
      <c r="P2877">
        <v>-0.99275349999999996</v>
      </c>
      <c r="Q2877">
        <v>6.4707029999999999E-2</v>
      </c>
      <c r="R2877">
        <v>-0.10125919999999999</v>
      </c>
      <c r="S2877">
        <v>-3.0339360000000002</v>
      </c>
      <c r="T2877">
        <v>-0.21863460000000001</v>
      </c>
      <c r="U2877">
        <v>-2.420044E-2</v>
      </c>
      <c r="V2877">
        <v>-9.5246020000000001E-2</v>
      </c>
      <c r="W2877">
        <v>9.0401380000000003E-2</v>
      </c>
      <c r="X2877">
        <v>0.99134040000000001</v>
      </c>
      <c r="Y2877">
        <v>-2.0632630000000001E-3</v>
      </c>
      <c r="Z2877">
        <v>3.5202939999999999E-4</v>
      </c>
      <c r="AA2877">
        <v>0.99999780000000005</v>
      </c>
      <c r="AB2877">
        <v>52</v>
      </c>
      <c r="AC2877">
        <v>-0.64679999999998405</v>
      </c>
      <c r="AD2877">
        <v>-8.4878999999999899E-2</v>
      </c>
      <c r="AE2877">
        <v>-6.0000000000002196E-3</v>
      </c>
      <c r="AF2877">
        <v>-2.1321046039711202E-3</v>
      </c>
      <c r="AG2877">
        <v>-8.4878999999999899E-2</v>
      </c>
      <c r="AH2877">
        <v>0.63587468353867005</v>
      </c>
      <c r="AI2877">
        <v>97.603074216824496</v>
      </c>
      <c r="AJ2877">
        <v>90.192113541622206</v>
      </c>
      <c r="AK2877">
        <v>0.64151820213961597</v>
      </c>
      <c r="AL2877">
        <v>84.813301405506706</v>
      </c>
      <c r="AM2877">
        <v>95.488019647902505</v>
      </c>
      <c r="AN2877">
        <v>1.0000000012519501</v>
      </c>
    </row>
    <row r="2878" spans="1:40" x14ac:dyDescent="0.3">
      <c r="A2878" t="str">
        <f>"20200111153933920"</f>
        <v>20200111153933920</v>
      </c>
      <c r="B2878" t="str">
        <f>"1578728373913894"</f>
        <v>1578728373913894</v>
      </c>
      <c r="C2878" t="s">
        <v>40</v>
      </c>
      <c r="D2878">
        <v>5.0946619999999996</v>
      </c>
      <c r="E2878">
        <v>0.57309869999999996</v>
      </c>
      <c r="F2878" t="s">
        <v>41</v>
      </c>
      <c r="G2878">
        <v>-372.64749999999998</v>
      </c>
      <c r="H2878">
        <v>1.035088</v>
      </c>
      <c r="I2878">
        <v>141.00380000000001</v>
      </c>
      <c r="J2878">
        <v>-372.05770000000001</v>
      </c>
      <c r="K2878">
        <v>1.104911</v>
      </c>
      <c r="L2878">
        <v>140.88380000000001</v>
      </c>
      <c r="M2878">
        <v>-0.99964929999999996</v>
      </c>
      <c r="N2878">
        <v>0</v>
      </c>
      <c r="O2878">
        <v>-5.5112729999999997E-3</v>
      </c>
      <c r="P2878">
        <v>-0.99277119999999996</v>
      </c>
      <c r="Q2878">
        <v>6.4585660000000003E-2</v>
      </c>
      <c r="R2878">
        <v>-0.1011628</v>
      </c>
      <c r="S2878">
        <v>-3.066986</v>
      </c>
      <c r="T2878">
        <v>-0.19082009999999999</v>
      </c>
      <c r="U2878">
        <v>0.32038879999999997</v>
      </c>
      <c r="V2878">
        <v>-9.5557749999999997E-2</v>
      </c>
      <c r="W2878">
        <v>9.0431780000000003E-2</v>
      </c>
      <c r="X2878">
        <v>0.99130759999999996</v>
      </c>
      <c r="Y2878">
        <v>0.1091607</v>
      </c>
      <c r="Z2878">
        <v>3.725169E-3</v>
      </c>
      <c r="AA2878">
        <v>0.99401709999999999</v>
      </c>
      <c r="AB2878">
        <v>52</v>
      </c>
      <c r="AC2878">
        <v>-0.58979999999996802</v>
      </c>
      <c r="AD2878">
        <v>-6.9822999999999899E-2</v>
      </c>
      <c r="AE2878">
        <v>0.12000000000000401</v>
      </c>
      <c r="AF2878">
        <v>0.121613178859038</v>
      </c>
      <c r="AG2878">
        <v>-6.9822999999999899E-2</v>
      </c>
      <c r="AH2878">
        <v>0.58130639781239002</v>
      </c>
      <c r="AI2878">
        <v>96.705405595237295</v>
      </c>
      <c r="AJ2878">
        <v>78.183762108899998</v>
      </c>
      <c r="AK2878">
        <v>0.59798172609103795</v>
      </c>
      <c r="AL2878">
        <v>84.811552308980296</v>
      </c>
      <c r="AM2878">
        <v>95.506052209528605</v>
      </c>
      <c r="AN2878">
        <v>0.99999997411839503</v>
      </c>
    </row>
    <row r="2879" spans="1:40" x14ac:dyDescent="0.3">
      <c r="A2879" t="str">
        <f>"20200111153933943"</f>
        <v>20200111153933943</v>
      </c>
      <c r="B2879" t="str">
        <f>"1578728373933923"</f>
        <v>1578728373933923</v>
      </c>
      <c r="C2879" t="s">
        <v>40</v>
      </c>
      <c r="D2879">
        <v>5.1585710000000002</v>
      </c>
      <c r="E2879">
        <v>0.57176249999999995</v>
      </c>
      <c r="F2879" t="s">
        <v>42</v>
      </c>
      <c r="G2879">
        <v>-390.77670000000001</v>
      </c>
      <c r="H2879" s="1">
        <v>-4.5621389999999999E-6</v>
      </c>
      <c r="I2879">
        <v>142.7192</v>
      </c>
      <c r="J2879">
        <v>-372.57260000000002</v>
      </c>
      <c r="K2879">
        <v>1.1049389999999999</v>
      </c>
      <c r="L2879">
        <v>140.88140000000001</v>
      </c>
      <c r="M2879">
        <v>-0.99964799999999998</v>
      </c>
      <c r="N2879">
        <v>0</v>
      </c>
      <c r="O2879">
        <v>-5.1118420000000001E-3</v>
      </c>
      <c r="P2879">
        <v>-0.99282769999999998</v>
      </c>
      <c r="Q2879">
        <v>6.4373429999999995E-2</v>
      </c>
      <c r="R2879">
        <v>-0.10074429999999999</v>
      </c>
      <c r="S2879">
        <v>-3.0642399999999999</v>
      </c>
      <c r="T2879">
        <v>-0.1808718</v>
      </c>
      <c r="U2879">
        <v>0.30046079999999997</v>
      </c>
      <c r="V2879">
        <v>-9.553673E-2</v>
      </c>
      <c r="W2879">
        <v>9.0348680000000001E-2</v>
      </c>
      <c r="X2879">
        <v>0.99131720000000001</v>
      </c>
      <c r="Y2879">
        <v>0.1024883</v>
      </c>
      <c r="Z2879">
        <v>3.3158049999999998E-3</v>
      </c>
      <c r="AA2879">
        <v>0.99472870000000002</v>
      </c>
      <c r="AB2879">
        <v>52</v>
      </c>
      <c r="AC2879">
        <v>-18.204099999999901</v>
      </c>
      <c r="AD2879">
        <v>-1.10494356213899</v>
      </c>
      <c r="AE2879">
        <v>1.8377999999999799</v>
      </c>
      <c r="AF2879">
        <v>1.9238476987733399</v>
      </c>
      <c r="AG2879">
        <v>-1.10494356213899</v>
      </c>
      <c r="AH2879">
        <v>18.1283498533234</v>
      </c>
      <c r="AI2879">
        <v>93.468499093560695</v>
      </c>
      <c r="AJ2879">
        <v>83.942232895983693</v>
      </c>
      <c r="AK2879">
        <v>18.263602017347999</v>
      </c>
      <c r="AL2879">
        <v>84.816333142355006</v>
      </c>
      <c r="AM2879">
        <v>95.504795492518895</v>
      </c>
      <c r="AN2879">
        <v>0.99999997088633696</v>
      </c>
    </row>
    <row r="2880" spans="1:40" x14ac:dyDescent="0.3">
      <c r="A2880" t="str">
        <f>"20200111153933964"</f>
        <v>20200111153933964</v>
      </c>
      <c r="B2880" t="str">
        <f>"1578728373953443"</f>
        <v>1578728373953443</v>
      </c>
      <c r="C2880" t="s">
        <v>40</v>
      </c>
      <c r="D2880">
        <v>5.1672710000000004</v>
      </c>
      <c r="E2880">
        <v>0.57125619999999999</v>
      </c>
      <c r="F2880" t="s">
        <v>42</v>
      </c>
      <c r="G2880">
        <v>-391.84339999999997</v>
      </c>
      <c r="H2880" s="1">
        <v>-4.1976040000000004E-6</v>
      </c>
      <c r="I2880">
        <v>142.7107</v>
      </c>
      <c r="J2880">
        <v>-373.05680000000001</v>
      </c>
      <c r="K2880">
        <v>1.1049639999999901</v>
      </c>
      <c r="L2880">
        <v>140.8793</v>
      </c>
      <c r="M2880">
        <v>-0.99964719999999996</v>
      </c>
      <c r="N2880">
        <v>0</v>
      </c>
      <c r="O2880">
        <v>-4.7348850000000003E-3</v>
      </c>
      <c r="P2880">
        <v>-0.99290750000000005</v>
      </c>
      <c r="Q2880">
        <v>6.3878489999999996E-2</v>
      </c>
      <c r="R2880">
        <v>-0.1002726</v>
      </c>
      <c r="S2880">
        <v>-3.062592</v>
      </c>
      <c r="T2880">
        <v>-0.17560209999999901</v>
      </c>
      <c r="U2880">
        <v>0.29072569999999998</v>
      </c>
      <c r="V2880">
        <v>-9.5440819999999996E-2</v>
      </c>
      <c r="W2880">
        <v>8.9960209999999999E-2</v>
      </c>
      <c r="X2880">
        <v>0.99136179999999996</v>
      </c>
      <c r="Y2880">
        <v>9.9048460000000005E-2</v>
      </c>
      <c r="Z2880">
        <v>3.1016939999999999E-3</v>
      </c>
      <c r="AA2880">
        <v>0.99507780000000001</v>
      </c>
      <c r="AB2880">
        <v>52</v>
      </c>
      <c r="AC2880">
        <v>-18.7865999999999</v>
      </c>
      <c r="AD2880">
        <v>-1.10496819760399</v>
      </c>
      <c r="AE2880">
        <v>1.8313999999999999</v>
      </c>
      <c r="AF2880">
        <v>1.91380391776318</v>
      </c>
      <c r="AG2880">
        <v>-1.10496819760399</v>
      </c>
      <c r="AH2880">
        <v>18.713586124482902</v>
      </c>
      <c r="AI2880">
        <v>93.361687524445202</v>
      </c>
      <c r="AJ2880">
        <v>84.160766974869205</v>
      </c>
      <c r="AK2880">
        <v>18.843617110093302</v>
      </c>
      <c r="AL2880">
        <v>84.838682014461597</v>
      </c>
      <c r="AM2880">
        <v>95.499057194335904</v>
      </c>
      <c r="AN2880">
        <v>1.00000000400237</v>
      </c>
    </row>
    <row r="2881" spans="1:40" x14ac:dyDescent="0.3">
      <c r="A2881" t="str">
        <f>"20200111153933987"</f>
        <v>20200111153933987</v>
      </c>
      <c r="B2881" t="str">
        <f>"1578728373983699"</f>
        <v>1578728373983699</v>
      </c>
      <c r="C2881" t="s">
        <v>40</v>
      </c>
      <c r="D2881">
        <v>5.1465829999999997</v>
      </c>
      <c r="E2881">
        <v>0.57103510000000002</v>
      </c>
      <c r="F2881" t="s">
        <v>42</v>
      </c>
      <c r="G2881">
        <v>-392.46699999999998</v>
      </c>
      <c r="H2881" s="1">
        <v>-3.9846029999999998E-6</v>
      </c>
      <c r="I2881">
        <v>142.7062</v>
      </c>
      <c r="J2881">
        <v>-373.57929999999999</v>
      </c>
      <c r="K2881">
        <v>1.1049880000000001</v>
      </c>
      <c r="L2881">
        <v>140.87729999999999</v>
      </c>
      <c r="M2881">
        <v>-0.99964640000000005</v>
      </c>
      <c r="N2881">
        <v>0</v>
      </c>
      <c r="O2881">
        <v>-4.326384E-3</v>
      </c>
      <c r="P2881">
        <v>-0.9929886</v>
      </c>
      <c r="Q2881">
        <v>6.3183729999999994E-2</v>
      </c>
      <c r="R2881">
        <v>-9.9908800000000006E-2</v>
      </c>
      <c r="S2881">
        <v>-3.0617070000000002</v>
      </c>
      <c r="T2881">
        <v>-0.17429410000000001</v>
      </c>
      <c r="U2881">
        <v>0.28817749999999998</v>
      </c>
      <c r="V2881">
        <v>-9.5484719999999995E-2</v>
      </c>
      <c r="W2881">
        <v>8.9365620000000007E-2</v>
      </c>
      <c r="X2881">
        <v>0.9914113</v>
      </c>
      <c r="Y2881">
        <v>9.7852939999999999E-2</v>
      </c>
      <c r="Z2881">
        <v>3.0225130000000001E-3</v>
      </c>
      <c r="AA2881">
        <v>0.99519630000000003</v>
      </c>
      <c r="AB2881">
        <v>51</v>
      </c>
      <c r="AC2881">
        <v>-18.887699999999899</v>
      </c>
      <c r="AD2881">
        <v>-1.1049919846030001</v>
      </c>
      <c r="AE2881">
        <v>1.8289</v>
      </c>
      <c r="AF2881">
        <v>1.90416972236116</v>
      </c>
      <c r="AG2881">
        <v>-1.1049919846030001</v>
      </c>
      <c r="AH2881">
        <v>18.815806503921401</v>
      </c>
      <c r="AI2881">
        <v>93.343896523261805</v>
      </c>
      <c r="AJ2881">
        <v>84.221310331952694</v>
      </c>
      <c r="AK2881">
        <v>18.9441664902578</v>
      </c>
      <c r="AL2881">
        <v>84.872887037523697</v>
      </c>
      <c r="AM2881">
        <v>95.501298083676801</v>
      </c>
      <c r="AN2881">
        <v>0.99999995577957501</v>
      </c>
    </row>
    <row r="2882" spans="1:40" x14ac:dyDescent="0.3">
      <c r="A2882" t="str">
        <f>"20200111153934011"</f>
        <v>20200111153934011</v>
      </c>
      <c r="B2882" t="str">
        <f>"1578728374004195"</f>
        <v>1578728374004195</v>
      </c>
      <c r="C2882" t="s">
        <v>40</v>
      </c>
      <c r="D2882">
        <v>5.168863</v>
      </c>
      <c r="E2882">
        <v>0.57078790000000001</v>
      </c>
      <c r="F2882" t="s">
        <v>42</v>
      </c>
      <c r="G2882">
        <v>-391.9083</v>
      </c>
      <c r="H2882" s="1">
        <v>-4.1562479999999998E-6</v>
      </c>
      <c r="I2882">
        <v>142.6019</v>
      </c>
      <c r="J2882">
        <v>-374.1087</v>
      </c>
      <c r="K2882">
        <v>1.105003</v>
      </c>
      <c r="L2882">
        <v>140.87540000000001</v>
      </c>
      <c r="M2882">
        <v>-0.99964609999999998</v>
      </c>
      <c r="N2882">
        <v>0</v>
      </c>
      <c r="O2882">
        <v>-3.9113419999999999E-3</v>
      </c>
      <c r="P2882">
        <v>-0.99305270000000001</v>
      </c>
      <c r="Q2882">
        <v>6.2806609999999999E-2</v>
      </c>
      <c r="R2882">
        <v>-9.9508379999999994E-2</v>
      </c>
      <c r="S2882">
        <v>-3.06189</v>
      </c>
      <c r="T2882">
        <v>-0.1845919</v>
      </c>
      <c r="U2882">
        <v>0.2881165</v>
      </c>
      <c r="V2882">
        <v>-9.5497730000000003E-2</v>
      </c>
      <c r="W2882">
        <v>8.9061669999999996E-2</v>
      </c>
      <c r="X2882">
        <v>0.99143740000000002</v>
      </c>
      <c r="Y2882">
        <v>9.7396189999999994E-2</v>
      </c>
      <c r="Z2882">
        <v>3.1619119999999998E-3</v>
      </c>
      <c r="AA2882">
        <v>0.99524069999999998</v>
      </c>
      <c r="AB2882">
        <v>51</v>
      </c>
      <c r="AC2882">
        <v>-17.799599999999899</v>
      </c>
      <c r="AD2882">
        <v>-1.1050071562479999</v>
      </c>
      <c r="AE2882">
        <v>1.7264999999999799</v>
      </c>
      <c r="AF2882">
        <v>1.7892995675305601</v>
      </c>
      <c r="AG2882">
        <v>-1.1050071562479999</v>
      </c>
      <c r="AH2882">
        <v>17.725033229845</v>
      </c>
      <c r="AI2882">
        <v>93.549302535741006</v>
      </c>
      <c r="AJ2882">
        <v>84.235655990036506</v>
      </c>
      <c r="AK2882">
        <v>17.849353959088699</v>
      </c>
      <c r="AL2882">
        <v>84.890371821257801</v>
      </c>
      <c r="AM2882">
        <v>95.501899093397796</v>
      </c>
      <c r="AN2882">
        <v>0.99999995780855</v>
      </c>
    </row>
    <row r="2883" spans="1:40" x14ac:dyDescent="0.3">
      <c r="A2883" t="str">
        <f>"20200111153934031"</f>
        <v>20200111153934031</v>
      </c>
      <c r="B2883" t="str">
        <f>"1578728374023718"</f>
        <v>1578728374023718</v>
      </c>
      <c r="C2883" t="s">
        <v>40</v>
      </c>
      <c r="D2883">
        <v>5.1453660000000001</v>
      </c>
      <c r="E2883">
        <v>0.57077540000000004</v>
      </c>
      <c r="F2883" t="s">
        <v>42</v>
      </c>
      <c r="G2883">
        <v>-392.53390000000002</v>
      </c>
      <c r="H2883" s="1">
        <v>-3.943767E-6</v>
      </c>
      <c r="I2883">
        <v>142.60419999999999</v>
      </c>
      <c r="J2883">
        <v>-374.59829999999999</v>
      </c>
      <c r="K2883">
        <v>1.10502099999999</v>
      </c>
      <c r="L2883">
        <v>140.87389999999999</v>
      </c>
      <c r="M2883">
        <v>-0.99964679999999995</v>
      </c>
      <c r="N2883">
        <v>0</v>
      </c>
      <c r="O2883">
        <v>-3.5257740000000002E-3</v>
      </c>
      <c r="P2883">
        <v>-0.99310699999999996</v>
      </c>
      <c r="Q2883">
        <v>6.2853489999999998E-2</v>
      </c>
      <c r="R2883">
        <v>-9.8935430000000005E-2</v>
      </c>
      <c r="S2883">
        <v>-3.0613709999999998</v>
      </c>
      <c r="T2883">
        <v>-0.1835986</v>
      </c>
      <c r="U2883">
        <v>0.28726200000000002</v>
      </c>
      <c r="V2883">
        <v>-9.5308450000000003E-2</v>
      </c>
      <c r="W2883">
        <v>8.9137640000000004E-2</v>
      </c>
      <c r="X2883">
        <v>0.99144880000000002</v>
      </c>
      <c r="Y2883">
        <v>9.6756380000000003E-2</v>
      </c>
      <c r="Z2883">
        <v>3.1033100000000002E-3</v>
      </c>
      <c r="AA2883">
        <v>0.9953033</v>
      </c>
      <c r="AB2883">
        <v>51</v>
      </c>
      <c r="AC2883">
        <v>-17.935600000000001</v>
      </c>
      <c r="AD2883">
        <v>-1.1050249437669999</v>
      </c>
      <c r="AE2883">
        <v>1.73029999999999</v>
      </c>
      <c r="AF2883">
        <v>1.7868280204814</v>
      </c>
      <c r="AG2883">
        <v>-1.1050249437669999</v>
      </c>
      <c r="AH2883">
        <v>17.862208123715199</v>
      </c>
      <c r="AI2883">
        <v>93.522490032618407</v>
      </c>
      <c r="AJ2883">
        <v>84.287478439890094</v>
      </c>
      <c r="AK2883">
        <v>17.985336070144601</v>
      </c>
      <c r="AL2883">
        <v>84.886001748401796</v>
      </c>
      <c r="AM2883">
        <v>95.490998091579996</v>
      </c>
      <c r="AN2883">
        <v>0.99999997126380502</v>
      </c>
    </row>
    <row r="2884" spans="1:40" x14ac:dyDescent="0.3">
      <c r="A2884" t="str">
        <f>"20200111153934054"</f>
        <v>20200111153934054</v>
      </c>
      <c r="B2884" t="str">
        <f>"1578728374043553"</f>
        <v>1578728374043553</v>
      </c>
      <c r="C2884" t="s">
        <v>40</v>
      </c>
      <c r="D2884">
        <v>5.1201699999999999</v>
      </c>
      <c r="E2884">
        <v>0.57071229999999995</v>
      </c>
      <c r="F2884" t="s">
        <v>42</v>
      </c>
      <c r="G2884">
        <v>-393.19850000000002</v>
      </c>
      <c r="H2884" s="1">
        <v>-3.7012240000000001E-6</v>
      </c>
      <c r="I2884">
        <v>142.62700000000001</v>
      </c>
      <c r="J2884">
        <v>-375.0883</v>
      </c>
      <c r="K2884">
        <v>1.1050340000000001</v>
      </c>
      <c r="L2884">
        <v>140.8725</v>
      </c>
      <c r="M2884">
        <v>-0.99964830000000005</v>
      </c>
      <c r="N2884">
        <v>0</v>
      </c>
      <c r="O2884">
        <v>-3.136822E-3</v>
      </c>
      <c r="P2884">
        <v>-0.99321170000000003</v>
      </c>
      <c r="Q2884">
        <v>6.2643760000000007E-2</v>
      </c>
      <c r="R2884">
        <v>-9.801269E-2</v>
      </c>
      <c r="S2884">
        <v>-3.061035</v>
      </c>
      <c r="T2884">
        <v>-0.18185370000000001</v>
      </c>
      <c r="U2884">
        <v>0.28852840000000002</v>
      </c>
      <c r="V2884">
        <v>-9.4772800000000004E-2</v>
      </c>
      <c r="W2884">
        <v>8.8916330000000002E-2</v>
      </c>
      <c r="X2884">
        <v>0.99151999999999996</v>
      </c>
      <c r="Y2884">
        <v>9.6791450000000001E-2</v>
      </c>
      <c r="Z2884">
        <v>3.052136E-3</v>
      </c>
      <c r="AA2884">
        <v>0.99529999999999996</v>
      </c>
      <c r="AB2884">
        <v>51</v>
      </c>
      <c r="AC2884">
        <v>-18.110199999999999</v>
      </c>
      <c r="AD2884">
        <v>-1.105037701224</v>
      </c>
      <c r="AE2884">
        <v>1.7544999999999999</v>
      </c>
      <c r="AF2884">
        <v>1.80466303054218</v>
      </c>
      <c r="AG2884">
        <v>-1.105037701224</v>
      </c>
      <c r="AH2884">
        <v>18.038071821720699</v>
      </c>
      <c r="AI2884">
        <v>93.488267969562401</v>
      </c>
      <c r="AJ2884">
        <v>84.286715290918707</v>
      </c>
      <c r="AK2884">
        <v>18.161771720305499</v>
      </c>
      <c r="AL2884">
        <v>84.898732339648006</v>
      </c>
      <c r="AM2884">
        <v>95.4599350368849</v>
      </c>
      <c r="AN2884">
        <v>0.99999995388025298</v>
      </c>
    </row>
    <row r="2885" spans="1:40" x14ac:dyDescent="0.3">
      <c r="A2885" t="str">
        <f>"20200111153934076"</f>
        <v>20200111153934076</v>
      </c>
      <c r="B2885" t="str">
        <f>"1578728374064049"</f>
        <v>1578728374064049</v>
      </c>
      <c r="C2885" t="s">
        <v>40</v>
      </c>
      <c r="D2885">
        <v>5.1420459999999997</v>
      </c>
      <c r="E2885">
        <v>0.57079449999999998</v>
      </c>
      <c r="F2885" t="s">
        <v>42</v>
      </c>
      <c r="G2885">
        <v>-393.8073</v>
      </c>
      <c r="H2885" s="1">
        <v>-3.4455470000000001E-6</v>
      </c>
      <c r="I2885">
        <v>142.64769999999999</v>
      </c>
      <c r="J2885">
        <v>-375.58330000000001</v>
      </c>
      <c r="K2885">
        <v>1.105032</v>
      </c>
      <c r="L2885">
        <v>140.87139999999999</v>
      </c>
      <c r="M2885">
        <v>-0.99965150000000003</v>
      </c>
      <c r="N2885">
        <v>0</v>
      </c>
      <c r="O2885">
        <v>-2.739025E-3</v>
      </c>
      <c r="P2885">
        <v>-0.99322869999999996</v>
      </c>
      <c r="Q2885">
        <v>6.2880770000000002E-2</v>
      </c>
      <c r="R2885">
        <v>-9.768839E-2</v>
      </c>
      <c r="S2885">
        <v>-3.0605769999999999</v>
      </c>
      <c r="T2885">
        <v>-0.18067510000000001</v>
      </c>
      <c r="U2885">
        <v>0.29025269999999997</v>
      </c>
      <c r="V2885">
        <v>-9.4844680000000001E-2</v>
      </c>
      <c r="W2885">
        <v>8.9079690000000003E-2</v>
      </c>
      <c r="X2885">
        <v>0.99149849999999995</v>
      </c>
      <c r="Y2885">
        <v>9.6967629999999999E-2</v>
      </c>
      <c r="Z2885">
        <v>3.0145250000000001E-3</v>
      </c>
      <c r="AA2885">
        <v>0.99528289999999997</v>
      </c>
      <c r="AB2885">
        <v>50</v>
      </c>
      <c r="AC2885">
        <v>-18.223999999999901</v>
      </c>
      <c r="AD2885">
        <v>-1.105035445547</v>
      </c>
      <c r="AE2885">
        <v>1.77629999999999</v>
      </c>
      <c r="AF2885">
        <v>1.81959927480151</v>
      </c>
      <c r="AG2885">
        <v>-1.105035445547</v>
      </c>
      <c r="AH2885">
        <v>18.1529487230675</v>
      </c>
      <c r="AI2885">
        <v>93.466175150339694</v>
      </c>
      <c r="AJ2885">
        <v>84.275955795115905</v>
      </c>
      <c r="AK2885">
        <v>18.277351892413002</v>
      </c>
      <c r="AL2885">
        <v>84.889335396090402</v>
      </c>
      <c r="AM2885">
        <v>95.464168814584198</v>
      </c>
      <c r="AN2885">
        <v>0.99999998999852402</v>
      </c>
    </row>
    <row r="2886" spans="1:40" x14ac:dyDescent="0.3">
      <c r="A2886" t="str">
        <f>"20200111153934099"</f>
        <v>20200111153934099</v>
      </c>
      <c r="B2886" t="str">
        <f>"1578728374093330"</f>
        <v>1578728374093330</v>
      </c>
      <c r="C2886" t="s">
        <v>40</v>
      </c>
      <c r="D2886">
        <v>5.1173010000000003</v>
      </c>
      <c r="E2886">
        <v>0.54453739999999995</v>
      </c>
      <c r="F2886" t="s">
        <v>41</v>
      </c>
      <c r="G2886">
        <v>-376.7319</v>
      </c>
      <c r="H2886">
        <v>1.0380480000000001</v>
      </c>
      <c r="I2886">
        <v>140.9813</v>
      </c>
      <c r="J2886">
        <v>-376.08730000000003</v>
      </c>
      <c r="K2886">
        <v>1.1050219999999999</v>
      </c>
      <c r="L2886">
        <v>140.87039999999999</v>
      </c>
      <c r="M2886">
        <v>-0.99965599999999999</v>
      </c>
      <c r="N2886">
        <v>0</v>
      </c>
      <c r="O2886">
        <v>-2.328554E-3</v>
      </c>
      <c r="P2886">
        <v>-0.99325399999999997</v>
      </c>
      <c r="Q2886">
        <v>6.2622979999999995E-2</v>
      </c>
      <c r="R2886">
        <v>-9.759524E-2</v>
      </c>
      <c r="S2886">
        <v>-3.0604550000000001</v>
      </c>
      <c r="T2886">
        <v>-0.17854200000000001</v>
      </c>
      <c r="U2886">
        <v>0.2919312</v>
      </c>
      <c r="V2886">
        <v>-9.5160990000000001E-2</v>
      </c>
      <c r="W2886">
        <v>8.8688820000000002E-2</v>
      </c>
      <c r="X2886">
        <v>0.99150320000000003</v>
      </c>
      <c r="Y2886">
        <v>9.7108130000000001E-2</v>
      </c>
      <c r="Z2886">
        <v>2.9592389999999998E-3</v>
      </c>
      <c r="AA2886">
        <v>0.99526939999999997</v>
      </c>
      <c r="AB2886">
        <v>50</v>
      </c>
      <c r="AC2886">
        <v>-0.64459999999996798</v>
      </c>
      <c r="AD2886">
        <v>-6.6974000000000006E-2</v>
      </c>
      <c r="AE2886">
        <v>0.110900000000015</v>
      </c>
      <c r="AF2886">
        <v>0.111234912402335</v>
      </c>
      <c r="AG2886">
        <v>-6.6974000000000006E-2</v>
      </c>
      <c r="AH2886">
        <v>0.63765419654917299</v>
      </c>
      <c r="AI2886">
        <v>95.907334466640705</v>
      </c>
      <c r="AJ2886">
        <v>80.104670410285493</v>
      </c>
      <c r="AK2886">
        <v>0.650739269438941</v>
      </c>
      <c r="AL2886">
        <v>84.911819428939793</v>
      </c>
      <c r="AM2886">
        <v>95.482255319998501</v>
      </c>
      <c r="AN2886">
        <v>0.99999995821050502</v>
      </c>
    </row>
    <row r="2887" spans="1:40" x14ac:dyDescent="0.3">
      <c r="A2887" t="str">
        <f>"20200111153934122"</f>
        <v>20200111153934122</v>
      </c>
      <c r="B2887" t="str">
        <f>"1578728374113826"</f>
        <v>1578728374113826</v>
      </c>
      <c r="C2887" t="s">
        <v>40</v>
      </c>
      <c r="D2887">
        <v>5.1496559999999896</v>
      </c>
      <c r="E2887">
        <v>0.48628900000000003</v>
      </c>
      <c r="F2887" t="s">
        <v>62</v>
      </c>
      <c r="G2887">
        <v>-402.40820000000002</v>
      </c>
      <c r="H2887" s="1">
        <v>-7.2338409999999997E-6</v>
      </c>
      <c r="I2887">
        <v>141.5625</v>
      </c>
      <c r="J2887">
        <v>-376.62380000000002</v>
      </c>
      <c r="K2887">
        <v>1.104997</v>
      </c>
      <c r="L2887">
        <v>140.86959999999999</v>
      </c>
      <c r="M2887">
        <v>-0.99966160000000004</v>
      </c>
      <c r="N2887">
        <v>0</v>
      </c>
      <c r="O2887">
        <v>-1.8870239999999999E-3</v>
      </c>
      <c r="P2887">
        <v>-0.99321740000000003</v>
      </c>
      <c r="Q2887">
        <v>6.2075739999999997E-2</v>
      </c>
      <c r="R2887">
        <v>-9.8316329999999993E-2</v>
      </c>
      <c r="S2887">
        <v>-3.0362550000000001</v>
      </c>
      <c r="T2887">
        <v>-0.127470899999999</v>
      </c>
      <c r="U2887">
        <v>7.9833979999999999E-2</v>
      </c>
      <c r="V2887">
        <v>-9.6322660000000004E-2</v>
      </c>
      <c r="W2887">
        <v>8.7961639999999994E-2</v>
      </c>
      <c r="X2887">
        <v>0.99145589999999995</v>
      </c>
      <c r="Y2887">
        <v>2.8145010000000002E-2</v>
      </c>
      <c r="Z2887">
        <v>6.6964420000000001E-4</v>
      </c>
      <c r="AA2887">
        <v>0.99960360000000004</v>
      </c>
      <c r="AB2887">
        <v>50</v>
      </c>
      <c r="AC2887">
        <v>-25.784400000000002</v>
      </c>
      <c r="AD2887">
        <v>-1.105004233841</v>
      </c>
      <c r="AE2887">
        <v>0.69290000000000795</v>
      </c>
      <c r="AF2887">
        <v>0.74021244033883105</v>
      </c>
      <c r="AG2887">
        <v>-1.105004233841</v>
      </c>
      <c r="AH2887">
        <v>25.735813897658002</v>
      </c>
      <c r="AI2887">
        <v>92.457551682935403</v>
      </c>
      <c r="AJ2887">
        <v>88.352515296653607</v>
      </c>
      <c r="AK2887">
        <v>25.770158435456398</v>
      </c>
      <c r="AL2887">
        <v>84.953647733777601</v>
      </c>
      <c r="AM2887">
        <v>95.549027401680704</v>
      </c>
      <c r="AN2887">
        <v>1.0000000532928801</v>
      </c>
    </row>
    <row r="2888" spans="1:40" x14ac:dyDescent="0.3">
      <c r="A2888" t="str">
        <f>"20200111153934143"</f>
        <v>20200111153934143</v>
      </c>
      <c r="B2888" t="str">
        <f>"1578728374133853"</f>
        <v>1578728374133853</v>
      </c>
      <c r="C2888" t="s">
        <v>40</v>
      </c>
      <c r="D2888">
        <v>5.0898490000000001</v>
      </c>
      <c r="E2888">
        <v>0.48012630000000001</v>
      </c>
      <c r="F2888" t="s">
        <v>42</v>
      </c>
      <c r="G2888">
        <v>-394.82740000000001</v>
      </c>
      <c r="H2888" s="1">
        <v>-2.3916110000000002E-6</v>
      </c>
      <c r="I2888">
        <v>138.5436</v>
      </c>
      <c r="J2888">
        <v>-377.07490000000001</v>
      </c>
      <c r="K2888">
        <v>1.1049719999999901</v>
      </c>
      <c r="L2888">
        <v>140.8691</v>
      </c>
      <c r="M2888">
        <v>-0.99966630000000001</v>
      </c>
      <c r="N2888">
        <v>0</v>
      </c>
      <c r="O2888">
        <v>-1.512939E-3</v>
      </c>
      <c r="P2888">
        <v>-0.99326409999999998</v>
      </c>
      <c r="Q2888">
        <v>6.036739E-2</v>
      </c>
      <c r="R2888">
        <v>-9.8905530000000005E-2</v>
      </c>
      <c r="S2888">
        <v>-2.9939879999999999</v>
      </c>
      <c r="T2888">
        <v>-0.1817425</v>
      </c>
      <c r="U2888">
        <v>-0.38255309999999998</v>
      </c>
      <c r="V2888">
        <v>-9.7286890000000001E-2</v>
      </c>
      <c r="W2888">
        <v>8.6096210000000006E-2</v>
      </c>
      <c r="X2888">
        <v>0.99152549999999995</v>
      </c>
      <c r="Y2888">
        <v>-0.1250183</v>
      </c>
      <c r="Z2888">
        <v>-3.6842540000000001E-3</v>
      </c>
      <c r="AA2888">
        <v>0.99214760000000002</v>
      </c>
      <c r="AB2888">
        <v>50</v>
      </c>
      <c r="AC2888">
        <v>-17.752499999999898</v>
      </c>
      <c r="AD2888">
        <v>-1.10497439161099</v>
      </c>
      <c r="AE2888">
        <v>-2.3254999999999999</v>
      </c>
      <c r="AF2888">
        <v>-2.2899079899435901</v>
      </c>
      <c r="AG2888">
        <v>-1.10497439161099</v>
      </c>
      <c r="AH2888">
        <v>17.6886255005554</v>
      </c>
      <c r="AI2888">
        <v>93.545006782438804</v>
      </c>
      <c r="AJ2888">
        <v>97.376288682322894</v>
      </c>
      <c r="AK2888">
        <v>17.870425823338</v>
      </c>
      <c r="AL2888">
        <v>85.060936102150606</v>
      </c>
      <c r="AM2888">
        <v>95.603832714952105</v>
      </c>
      <c r="AN2888">
        <v>1.0000000567462399</v>
      </c>
    </row>
    <row r="2889" spans="1:40" x14ac:dyDescent="0.3">
      <c r="A2889" t="str">
        <f>"20200111153934165"</f>
        <v>20200111153934165</v>
      </c>
      <c r="B2889" t="str">
        <f>"1578728374153372"</f>
        <v>1578728374153372</v>
      </c>
      <c r="C2889" t="s">
        <v>40</v>
      </c>
      <c r="D2889">
        <v>5.0034150000000004</v>
      </c>
      <c r="E2889">
        <v>0.47992240000000003</v>
      </c>
      <c r="F2889" t="s">
        <v>42</v>
      </c>
      <c r="G2889">
        <v>-393.29930000000002</v>
      </c>
      <c r="H2889" s="1">
        <v>-3.0509420000000002E-6</v>
      </c>
      <c r="I2889">
        <v>138.52209999999999</v>
      </c>
      <c r="J2889">
        <v>-377.55869999999999</v>
      </c>
      <c r="K2889">
        <v>1.1049639999999901</v>
      </c>
      <c r="L2889">
        <v>140.86879999999999</v>
      </c>
      <c r="M2889">
        <v>-0.99967130000000004</v>
      </c>
      <c r="N2889">
        <v>0</v>
      </c>
      <c r="O2889">
        <v>-1.110223E-3</v>
      </c>
      <c r="P2889">
        <v>-0.99329270000000003</v>
      </c>
      <c r="Q2889">
        <v>5.905618E-2</v>
      </c>
      <c r="R2889">
        <v>-9.9407899999999993E-2</v>
      </c>
      <c r="S2889">
        <v>-2.989655</v>
      </c>
      <c r="T2889">
        <v>-0.2036126</v>
      </c>
      <c r="U2889">
        <v>-0.43246459999999998</v>
      </c>
      <c r="V2889">
        <v>-9.8192459999999995E-2</v>
      </c>
      <c r="W2889">
        <v>8.4614380000000003E-2</v>
      </c>
      <c r="X2889">
        <v>0.99156369999999905</v>
      </c>
      <c r="Y2889">
        <v>-0.14174529999999999</v>
      </c>
      <c r="Z2889">
        <v>-4.7212160000000003E-3</v>
      </c>
      <c r="AA2889">
        <v>0.98989190000000005</v>
      </c>
      <c r="AB2889">
        <v>49</v>
      </c>
      <c r="AC2889">
        <v>-15.740600000000001</v>
      </c>
      <c r="AD2889">
        <v>-1.10496705094199</v>
      </c>
      <c r="AE2889">
        <v>-2.34669999999999</v>
      </c>
      <c r="AF2889">
        <v>-2.3180426833774899</v>
      </c>
      <c r="AG2889">
        <v>-1.10496705094199</v>
      </c>
      <c r="AH2889">
        <v>15.667667588706699</v>
      </c>
      <c r="AI2889">
        <v>93.990823605712393</v>
      </c>
      <c r="AJ2889">
        <v>98.415899781979604</v>
      </c>
      <c r="AK2889">
        <v>15.8767150801367</v>
      </c>
      <c r="AL2889">
        <v>85.146149228812106</v>
      </c>
      <c r="AM2889">
        <v>95.655441451529995</v>
      </c>
      <c r="AN2889">
        <v>0.99999996183066198</v>
      </c>
    </row>
    <row r="2890" spans="1:40" x14ac:dyDescent="0.3">
      <c r="A2890" t="str">
        <f>"20200111153934188"</f>
        <v>20200111153934188</v>
      </c>
      <c r="B2890" t="str">
        <f>"1578728374183629"</f>
        <v>1578728374183629</v>
      </c>
      <c r="C2890" t="s">
        <v>40</v>
      </c>
      <c r="D2890">
        <v>5.0349560000000002</v>
      </c>
      <c r="E2890">
        <v>0.47955199999999998</v>
      </c>
      <c r="F2890" t="s">
        <v>42</v>
      </c>
      <c r="G2890">
        <v>-394.2715</v>
      </c>
      <c r="H2890" s="1">
        <v>-2.6504699999999999E-6</v>
      </c>
      <c r="I2890">
        <v>138.42859999999999</v>
      </c>
      <c r="J2890">
        <v>-378.0643</v>
      </c>
      <c r="K2890">
        <v>1.104954</v>
      </c>
      <c r="L2890">
        <v>140.86859999999999</v>
      </c>
      <c r="M2890">
        <v>-0.99967620000000001</v>
      </c>
      <c r="N2890">
        <v>0</v>
      </c>
      <c r="O2890">
        <v>-6.8933099999999995E-4</v>
      </c>
      <c r="P2890">
        <v>-0.99314959999999997</v>
      </c>
      <c r="Q2890">
        <v>5.9309899999999999E-2</v>
      </c>
      <c r="R2890">
        <v>-0.1006799</v>
      </c>
      <c r="S2890">
        <v>-2.9883730000000002</v>
      </c>
      <c r="T2890">
        <v>-0.19757659999999999</v>
      </c>
      <c r="U2890">
        <v>-0.43630980000000003</v>
      </c>
      <c r="V2890">
        <v>-9.9882460000000006E-2</v>
      </c>
      <c r="W2890">
        <v>8.4690879999999996E-2</v>
      </c>
      <c r="X2890">
        <v>0.99138839999999995</v>
      </c>
      <c r="Y2890">
        <v>-0.14348320000000001</v>
      </c>
      <c r="Z2890">
        <v>-4.6678279999999997E-3</v>
      </c>
      <c r="AA2890">
        <v>0.98964169999999996</v>
      </c>
      <c r="AB2890">
        <v>49</v>
      </c>
      <c r="AC2890">
        <v>-16.2072</v>
      </c>
      <c r="AD2890">
        <v>-1.1049566504699999</v>
      </c>
      <c r="AE2890">
        <v>-2.4399999999999902</v>
      </c>
      <c r="AF2890">
        <v>-2.4178344427717899</v>
      </c>
      <c r="AG2890">
        <v>-1.1049566504699999</v>
      </c>
      <c r="AH2890">
        <v>16.135541434106599</v>
      </c>
      <c r="AI2890">
        <v>93.874359171386402</v>
      </c>
      <c r="AJ2890">
        <v>98.522094702049401</v>
      </c>
      <c r="AK2890">
        <v>16.353059345695598</v>
      </c>
      <c r="AL2890">
        <v>85.141750523456395</v>
      </c>
      <c r="AM2890">
        <v>95.753140844099207</v>
      </c>
      <c r="AN2890">
        <v>1.0000000053126901</v>
      </c>
    </row>
    <row r="2891" spans="1:40" x14ac:dyDescent="0.3">
      <c r="A2891" t="str">
        <f>"20200111153934210"</f>
        <v>20200111153934210</v>
      </c>
      <c r="B2891" t="str">
        <f>"1578728374204127"</f>
        <v>1578728374204127</v>
      </c>
      <c r="C2891" t="s">
        <v>40</v>
      </c>
      <c r="D2891">
        <v>5.014589</v>
      </c>
      <c r="E2891">
        <v>0.47970699999999999</v>
      </c>
      <c r="F2891" t="s">
        <v>42</v>
      </c>
      <c r="G2891">
        <v>-395.43150000000003</v>
      </c>
      <c r="H2891" s="1">
        <v>-2.177435E-6</v>
      </c>
      <c r="I2891">
        <v>138.28980000000001</v>
      </c>
      <c r="J2891">
        <v>-378.56310000000002</v>
      </c>
      <c r="K2891">
        <v>1.1049469999999999</v>
      </c>
      <c r="L2891">
        <v>140.86859999999999</v>
      </c>
      <c r="M2891">
        <v>-0.99968060000000003</v>
      </c>
      <c r="N2891">
        <v>0</v>
      </c>
      <c r="O2891">
        <v>-2.7521819999999999E-4</v>
      </c>
      <c r="P2891">
        <v>-0.99301669999999997</v>
      </c>
      <c r="Q2891">
        <v>5.9258970000000001E-2</v>
      </c>
      <c r="R2891">
        <v>-0.1020129</v>
      </c>
      <c r="S2891">
        <v>-2.9870909999999999</v>
      </c>
      <c r="T2891">
        <v>-0.1900481</v>
      </c>
      <c r="U2891">
        <v>-0.44352720000000001</v>
      </c>
      <c r="V2891">
        <v>-0.1016271</v>
      </c>
      <c r="W2891">
        <v>8.4473740000000005E-2</v>
      </c>
      <c r="X2891">
        <v>0.99122960000000004</v>
      </c>
      <c r="Y2891">
        <v>-0.14630989999999999</v>
      </c>
      <c r="Z2891">
        <v>-4.6069709999999996E-3</v>
      </c>
      <c r="AA2891">
        <v>0.98922810000000005</v>
      </c>
      <c r="AB2891">
        <v>49</v>
      </c>
      <c r="AC2891">
        <v>-16.868400000000001</v>
      </c>
      <c r="AD2891">
        <v>-1.104949177435</v>
      </c>
      <c r="AE2891">
        <v>-2.57879999999997</v>
      </c>
      <c r="AF2891">
        <v>-2.5634080874432899</v>
      </c>
      <c r="AG2891">
        <v>-1.104949177435</v>
      </c>
      <c r="AH2891">
        <v>16.798675939131599</v>
      </c>
      <c r="AI2891">
        <v>93.720321944564901</v>
      </c>
      <c r="AJ2891">
        <v>98.676167873596299</v>
      </c>
      <c r="AK2891">
        <v>17.029018968086302</v>
      </c>
      <c r="AL2891">
        <v>85.154236446916897</v>
      </c>
      <c r="AM2891">
        <v>95.853870005926794</v>
      </c>
      <c r="AN2891">
        <v>1.0000000000600699</v>
      </c>
    </row>
    <row r="2892" spans="1:40" x14ac:dyDescent="0.3">
      <c r="A2892" t="str">
        <f>"20200111153934232"</f>
        <v>20200111153934232</v>
      </c>
      <c r="B2892" t="str">
        <f>"1578728374223647"</f>
        <v>1578728374223647</v>
      </c>
      <c r="C2892" t="s">
        <v>40</v>
      </c>
      <c r="D2892">
        <v>5.0384719999999996</v>
      </c>
      <c r="E2892">
        <v>0.4798383</v>
      </c>
      <c r="F2892" t="s">
        <v>42</v>
      </c>
      <c r="G2892">
        <v>-396.29689999999999</v>
      </c>
      <c r="H2892" s="1">
        <v>-1.819244E-6</v>
      </c>
      <c r="I2892">
        <v>138.21629999999999</v>
      </c>
      <c r="J2892">
        <v>-379.03480000000002</v>
      </c>
      <c r="K2892">
        <v>1.104946</v>
      </c>
      <c r="L2892">
        <v>140.86879999999999</v>
      </c>
      <c r="M2892">
        <v>-0.99968440000000003</v>
      </c>
      <c r="N2892">
        <v>0</v>
      </c>
      <c r="O2892">
        <v>1.155532E-4</v>
      </c>
      <c r="P2892">
        <v>-0.9928555</v>
      </c>
      <c r="Q2892">
        <v>5.9299339999999999E-2</v>
      </c>
      <c r="R2892">
        <v>-0.1035461</v>
      </c>
      <c r="S2892">
        <v>-2.9862980000000001</v>
      </c>
      <c r="T2892">
        <v>-0.1860696</v>
      </c>
      <c r="U2892">
        <v>-0.44662479999999899</v>
      </c>
      <c r="V2892">
        <v>-0.10354919999999999</v>
      </c>
      <c r="W2892">
        <v>8.4365419999999997E-2</v>
      </c>
      <c r="X2892">
        <v>0.99103989999999997</v>
      </c>
      <c r="Y2892">
        <v>-0.14774679999999901</v>
      </c>
      <c r="Z2892">
        <v>-4.5802270000000001E-3</v>
      </c>
      <c r="AA2892">
        <v>0.98901459999999997</v>
      </c>
      <c r="AB2892">
        <v>49</v>
      </c>
      <c r="AC2892">
        <v>-17.262099999999901</v>
      </c>
      <c r="AD2892">
        <v>-1.1049478192440001</v>
      </c>
      <c r="AE2892">
        <v>-2.6524999999999999</v>
      </c>
      <c r="AF2892">
        <v>-2.6439123180236401</v>
      </c>
      <c r="AG2892">
        <v>-1.1049478192440001</v>
      </c>
      <c r="AH2892">
        <v>17.192973686061102</v>
      </c>
      <c r="AI2892">
        <v>93.634586576501107</v>
      </c>
      <c r="AJ2892">
        <v>98.742384079252702</v>
      </c>
      <c r="AK2892">
        <v>17.430132707418998</v>
      </c>
      <c r="AL2892">
        <v>85.160465066875005</v>
      </c>
      <c r="AM2892">
        <v>95.964928484649207</v>
      </c>
      <c r="AN2892">
        <v>1.0000000221522101</v>
      </c>
    </row>
    <row r="2893" spans="1:40" x14ac:dyDescent="0.3">
      <c r="A2893" t="str">
        <f>"20200111153934256"</f>
        <v>20200111153934256</v>
      </c>
      <c r="B2893" t="str">
        <f>"1578728374243673"</f>
        <v>1578728374243673</v>
      </c>
      <c r="C2893" t="s">
        <v>40</v>
      </c>
      <c r="D2893">
        <v>5.0514960000000002</v>
      </c>
      <c r="E2893">
        <v>0.47996309999999898</v>
      </c>
      <c r="F2893" t="s">
        <v>42</v>
      </c>
      <c r="G2893">
        <v>-397.0881</v>
      </c>
      <c r="H2893" s="1">
        <v>-1.492434E-6</v>
      </c>
      <c r="I2893">
        <v>138.14510000000001</v>
      </c>
      <c r="J2893">
        <v>-379.524</v>
      </c>
      <c r="K2893">
        <v>1.104951</v>
      </c>
      <c r="L2893">
        <v>140.86920000000001</v>
      </c>
      <c r="M2893">
        <v>-0.99968769999999996</v>
      </c>
      <c r="N2893">
        <v>0</v>
      </c>
      <c r="O2893">
        <v>5.1944959999999896E-4</v>
      </c>
      <c r="P2893">
        <v>-0.99276209999999998</v>
      </c>
      <c r="Q2893">
        <v>5.8388370000000002E-2</v>
      </c>
      <c r="R2893">
        <v>-0.10494920000000001</v>
      </c>
      <c r="S2893">
        <v>-2.9855040000000002</v>
      </c>
      <c r="T2893">
        <v>-0.1827269</v>
      </c>
      <c r="U2893">
        <v>-0.4504089</v>
      </c>
      <c r="V2893">
        <v>-0.10535559999999999</v>
      </c>
      <c r="W2893">
        <v>8.3313399999999996E-2</v>
      </c>
      <c r="X2893">
        <v>0.99093850000000006</v>
      </c>
      <c r="Y2893">
        <v>-0.14941660000000001</v>
      </c>
      <c r="Z2893">
        <v>-4.5741890000000002E-3</v>
      </c>
      <c r="AA2893">
        <v>0.98876370000000002</v>
      </c>
      <c r="AB2893">
        <v>49</v>
      </c>
      <c r="AC2893">
        <v>-17.5640999999999</v>
      </c>
      <c r="AD2893">
        <v>-1.104952492434</v>
      </c>
      <c r="AE2893">
        <v>-2.7240999999999902</v>
      </c>
      <c r="AF2893">
        <v>-2.7227037949668298</v>
      </c>
      <c r="AG2893">
        <v>-1.104952492434</v>
      </c>
      <c r="AH2893">
        <v>17.495069488612302</v>
      </c>
      <c r="AI2893">
        <v>93.571010640126701</v>
      </c>
      <c r="AJ2893">
        <v>98.845806843933104</v>
      </c>
      <c r="AK2893">
        <v>17.740109705890699</v>
      </c>
      <c r="AL2893">
        <v>85.220954319970303</v>
      </c>
      <c r="AM2893">
        <v>96.068832243741994</v>
      </c>
      <c r="AN2893">
        <v>1.00000001792658</v>
      </c>
    </row>
    <row r="2894" spans="1:40" x14ac:dyDescent="0.3">
      <c r="A2894" t="str">
        <f>"20200111153934278"</f>
        <v>20200111153934278</v>
      </c>
      <c r="B2894" t="str">
        <f>"1578728374273928"</f>
        <v>1578728374273928</v>
      </c>
      <c r="C2894" t="s">
        <v>40</v>
      </c>
      <c r="D2894">
        <v>5.1631470000000004</v>
      </c>
      <c r="E2894">
        <v>0.47983940000000003</v>
      </c>
      <c r="F2894" t="s">
        <v>42</v>
      </c>
      <c r="G2894">
        <v>-397.55130000000003</v>
      </c>
      <c r="H2894" s="1">
        <v>-1.296755E-6</v>
      </c>
      <c r="I2894">
        <v>138.12809999999999</v>
      </c>
      <c r="J2894">
        <v>-380.00619999999998</v>
      </c>
      <c r="K2894">
        <v>1.104965</v>
      </c>
      <c r="L2894">
        <v>140.8699</v>
      </c>
      <c r="M2894">
        <v>-0.99969059999999998</v>
      </c>
      <c r="N2894">
        <v>0</v>
      </c>
      <c r="O2894">
        <v>9.1224299999999997E-4</v>
      </c>
      <c r="P2894">
        <v>-0.99252119999999999</v>
      </c>
      <c r="Q2894">
        <v>5.9213849999999998E-2</v>
      </c>
      <c r="R2894">
        <v>-0.10675</v>
      </c>
      <c r="S2894">
        <v>-2.9847109999999999</v>
      </c>
      <c r="T2894">
        <v>-0.18294360000000001</v>
      </c>
      <c r="U2894">
        <v>-0.45382689999999998</v>
      </c>
      <c r="V2894">
        <v>-0.10754619999999999</v>
      </c>
      <c r="W2894">
        <v>8.4007159999999997E-2</v>
      </c>
      <c r="X2894">
        <v>0.99064450000000004</v>
      </c>
      <c r="Y2894">
        <v>-0.15094630000000001</v>
      </c>
      <c r="Z2894">
        <v>-4.6509129999999996E-3</v>
      </c>
      <c r="AA2894">
        <v>0.98853100000000005</v>
      </c>
      <c r="AB2894">
        <v>48</v>
      </c>
      <c r="AC2894">
        <v>-17.545100000000001</v>
      </c>
      <c r="AD2894">
        <v>-1.104966296755</v>
      </c>
      <c r="AE2894">
        <v>-2.7418000000000098</v>
      </c>
      <c r="AF2894">
        <v>-2.7471728171969598</v>
      </c>
      <c r="AG2894">
        <v>-1.104966296755</v>
      </c>
      <c r="AH2894">
        <v>17.474932061043202</v>
      </c>
      <c r="AI2894">
        <v>93.574299728806906</v>
      </c>
      <c r="AJ2894">
        <v>98.934148369852295</v>
      </c>
      <c r="AK2894">
        <v>17.724027746045401</v>
      </c>
      <c r="AL2894">
        <v>85.181064665467503</v>
      </c>
      <c r="AM2894">
        <v>96.195871032879396</v>
      </c>
      <c r="AN2894">
        <v>0.99999995672297604</v>
      </c>
    </row>
    <row r="2895" spans="1:40" x14ac:dyDescent="0.3">
      <c r="A2895" t="str">
        <f>"20200111153934301"</f>
        <v>20200111153934301</v>
      </c>
      <c r="B2895" t="str">
        <f>"1578728374293449"</f>
        <v>1578728374293449</v>
      </c>
      <c r="C2895" t="s">
        <v>40</v>
      </c>
      <c r="D2895">
        <v>5.071866</v>
      </c>
      <c r="E2895">
        <v>0.47992449999999998</v>
      </c>
      <c r="F2895" t="s">
        <v>42</v>
      </c>
      <c r="G2895">
        <v>-398.49430000000001</v>
      </c>
      <c r="H2895" s="1">
        <v>-9.2379579999999996E-7</v>
      </c>
      <c r="I2895">
        <v>138.01759999999999</v>
      </c>
      <c r="J2895">
        <v>-380.49939999999998</v>
      </c>
      <c r="K2895">
        <v>1.1049850000000001</v>
      </c>
      <c r="L2895">
        <v>140.8707</v>
      </c>
      <c r="M2895">
        <v>-0.9996931</v>
      </c>
      <c r="N2895">
        <v>0</v>
      </c>
      <c r="O2895">
        <v>1.3074549999999999E-3</v>
      </c>
      <c r="P2895">
        <v>-0.99219299999999999</v>
      </c>
      <c r="Q2895">
        <v>5.9911140000000002E-2</v>
      </c>
      <c r="R2895">
        <v>-0.10937819999999999</v>
      </c>
      <c r="S2895">
        <v>-2.9837340000000001</v>
      </c>
      <c r="T2895">
        <v>-0.17832700000000001</v>
      </c>
      <c r="U2895">
        <v>-0.4603119</v>
      </c>
      <c r="V2895">
        <v>-0.110566899999999</v>
      </c>
      <c r="W2895">
        <v>8.4580169999999996E-2</v>
      </c>
      <c r="X2895">
        <v>0.99026320000000001</v>
      </c>
      <c r="Y2895">
        <v>-0.15349260000000001</v>
      </c>
      <c r="Z2895">
        <v>-4.6335229999999996E-3</v>
      </c>
      <c r="AA2895">
        <v>0.98813890000000004</v>
      </c>
      <c r="AB2895">
        <v>48</v>
      </c>
      <c r="AC2895">
        <v>-17.994900000000001</v>
      </c>
      <c r="AD2895">
        <v>-1.1049859237958</v>
      </c>
      <c r="AE2895">
        <v>-2.8531000000000102</v>
      </c>
      <c r="AF2895">
        <v>-2.8660903079987601</v>
      </c>
      <c r="AG2895">
        <v>-1.1049859237958</v>
      </c>
      <c r="AH2895">
        <v>17.925221100204801</v>
      </c>
      <c r="AI2895">
        <v>93.4833544235033</v>
      </c>
      <c r="AJ2895">
        <v>99.084214832691501</v>
      </c>
      <c r="AK2895">
        <v>18.186506509954501</v>
      </c>
      <c r="AL2895">
        <v>85.148116676016002</v>
      </c>
      <c r="AM2895">
        <v>96.370918831874405</v>
      </c>
      <c r="AN2895">
        <v>1.0000000249035299</v>
      </c>
    </row>
    <row r="2896" spans="1:40" x14ac:dyDescent="0.3">
      <c r="A2896" t="str">
        <f>"20200111153934323"</f>
        <v>20200111153934323</v>
      </c>
      <c r="B2896" t="str">
        <f>"1578728374313945"</f>
        <v>1578728374313945</v>
      </c>
      <c r="C2896" t="s">
        <v>40</v>
      </c>
      <c r="D2896">
        <v>5.1065300000000002</v>
      </c>
      <c r="E2896">
        <v>0.48000759999999998</v>
      </c>
      <c r="F2896" t="s">
        <v>42</v>
      </c>
      <c r="G2896">
        <v>-399.34140000000002</v>
      </c>
      <c r="H2896" s="1">
        <v>-6.6179929999999996E-7</v>
      </c>
      <c r="I2896">
        <v>137.91890000000001</v>
      </c>
      <c r="J2896">
        <v>-380.97460000000001</v>
      </c>
      <c r="K2896">
        <v>1.1050059999999999</v>
      </c>
      <c r="L2896">
        <v>140.8717</v>
      </c>
      <c r="M2896">
        <v>-0.99969509999999995</v>
      </c>
      <c r="N2896">
        <v>0</v>
      </c>
      <c r="O2896">
        <v>1.672242E-3</v>
      </c>
      <c r="P2896">
        <v>-0.99188500000000002</v>
      </c>
      <c r="Q2896">
        <v>5.984751E-2</v>
      </c>
      <c r="R2896">
        <v>-0.1121728</v>
      </c>
      <c r="S2896">
        <v>-2.982666</v>
      </c>
      <c r="T2896">
        <v>-0.17491809999999999</v>
      </c>
      <c r="U2896">
        <v>-0.46725460000000002</v>
      </c>
      <c r="V2896">
        <v>-0.11372549999999999</v>
      </c>
      <c r="W2896">
        <v>8.4406259999999997E-2</v>
      </c>
      <c r="X2896">
        <v>0.98992029999999998</v>
      </c>
      <c r="Y2896">
        <v>-0.15615679999999901</v>
      </c>
      <c r="Z2896">
        <v>-4.6447329999999998E-3</v>
      </c>
      <c r="AA2896">
        <v>0.98772139999999997</v>
      </c>
      <c r="AB2896">
        <v>48</v>
      </c>
      <c r="AC2896">
        <v>-18.366800000000001</v>
      </c>
      <c r="AD2896">
        <v>-1.1050066617993</v>
      </c>
      <c r="AE2896">
        <v>-2.9527999999999901</v>
      </c>
      <c r="AF2896">
        <v>-2.9730288295156702</v>
      </c>
      <c r="AG2896">
        <v>-1.1050066617993</v>
      </c>
      <c r="AH2896">
        <v>18.297274515669699</v>
      </c>
      <c r="AI2896">
        <v>93.411370697100907</v>
      </c>
      <c r="AJ2896">
        <v>99.229037260992897</v>
      </c>
      <c r="AK2896">
        <v>18.5701425639527</v>
      </c>
      <c r="AL2896">
        <v>85.158116881899701</v>
      </c>
      <c r="AM2896">
        <v>96.553607977436698</v>
      </c>
      <c r="AN2896">
        <v>1.0000000532147599</v>
      </c>
    </row>
    <row r="2897" spans="1:40" x14ac:dyDescent="0.3">
      <c r="A2897" t="str">
        <f>"20200111153934344"</f>
        <v>20200111153934344</v>
      </c>
      <c r="B2897" t="str">
        <f>"1578728374333973"</f>
        <v>1578728374333973</v>
      </c>
      <c r="C2897" t="s">
        <v>40</v>
      </c>
      <c r="D2897">
        <v>5.1008519999999997</v>
      </c>
      <c r="E2897">
        <v>0.48007109999999897</v>
      </c>
      <c r="F2897" t="s">
        <v>42</v>
      </c>
      <c r="G2897">
        <v>-399.90929999999997</v>
      </c>
      <c r="H2897" s="1">
        <v>-4.8558540000000004E-7</v>
      </c>
      <c r="I2897">
        <v>137.85480000000001</v>
      </c>
      <c r="J2897">
        <v>-381.42720000000003</v>
      </c>
      <c r="K2897">
        <v>1.105029</v>
      </c>
      <c r="L2897">
        <v>140.87270000000001</v>
      </c>
      <c r="M2897">
        <v>-0.99969669999999999</v>
      </c>
      <c r="N2897">
        <v>0</v>
      </c>
      <c r="O2897">
        <v>1.992958E-3</v>
      </c>
      <c r="P2897">
        <v>-0.99164030000000003</v>
      </c>
      <c r="Q2897">
        <v>5.9441309999999997E-2</v>
      </c>
      <c r="R2897">
        <v>-0.114527</v>
      </c>
      <c r="S2897">
        <v>-2.981293</v>
      </c>
      <c r="T2897">
        <v>-0.17398520000000001</v>
      </c>
      <c r="U2897">
        <v>-0.47499079999999999</v>
      </c>
      <c r="V2897">
        <v>-0.1164023</v>
      </c>
      <c r="W2897">
        <v>8.3902610000000002E-2</v>
      </c>
      <c r="X2897">
        <v>0.98965190000000003</v>
      </c>
      <c r="Y2897">
        <v>-0.1590405</v>
      </c>
      <c r="Z2897">
        <v>-4.7233140000000002E-3</v>
      </c>
      <c r="AA2897">
        <v>0.98726080000000005</v>
      </c>
      <c r="AB2897">
        <v>48</v>
      </c>
      <c r="AC2897">
        <v>-18.4820999999999</v>
      </c>
      <c r="AD2897">
        <v>-1.1050294855853999</v>
      </c>
      <c r="AE2897">
        <v>-3.0178999999999898</v>
      </c>
      <c r="AF2897">
        <v>-3.0441397407136601</v>
      </c>
      <c r="AG2897">
        <v>-1.1050294855853999</v>
      </c>
      <c r="AH2897">
        <v>18.411938245077899</v>
      </c>
      <c r="AI2897">
        <v>93.388706809921203</v>
      </c>
      <c r="AJ2897">
        <v>99.388075316216998</v>
      </c>
      <c r="AK2897">
        <v>18.694580681726201</v>
      </c>
      <c r="AL2897">
        <v>85.187076435634097</v>
      </c>
      <c r="AM2897">
        <v>96.708275834239899</v>
      </c>
      <c r="AN2897">
        <v>1.0000000132918501</v>
      </c>
    </row>
    <row r="2898" spans="1:40" x14ac:dyDescent="0.3">
      <c r="A2898" t="str">
        <f>"20200111153934367"</f>
        <v>20200111153934367</v>
      </c>
      <c r="B2898" t="str">
        <f>"1578728374363252"</f>
        <v>1578728374363252</v>
      </c>
      <c r="C2898" t="s">
        <v>40</v>
      </c>
      <c r="D2898">
        <v>5.1028440000000002</v>
      </c>
      <c r="E2898">
        <v>0.48022599999999999</v>
      </c>
      <c r="F2898" t="s">
        <v>62</v>
      </c>
      <c r="G2898">
        <v>-400.20260000000002</v>
      </c>
      <c r="H2898" s="1">
        <v>-4.5444379999999998E-6</v>
      </c>
      <c r="I2898">
        <v>137.8389</v>
      </c>
      <c r="J2898">
        <v>-381.90019999999998</v>
      </c>
      <c r="K2898">
        <v>1.1050660000000001</v>
      </c>
      <c r="L2898">
        <v>140.87389999999999</v>
      </c>
      <c r="M2898">
        <v>-0.99969810000000003</v>
      </c>
      <c r="N2898">
        <v>0</v>
      </c>
      <c r="O2898">
        <v>2.284936E-3</v>
      </c>
      <c r="P2898">
        <v>-0.99140850000000003</v>
      </c>
      <c r="Q2898">
        <v>5.8633690000000002E-2</v>
      </c>
      <c r="R2898">
        <v>-0.1169244</v>
      </c>
      <c r="S2898">
        <v>-2.980194</v>
      </c>
      <c r="T2898">
        <v>-0.17540039999999901</v>
      </c>
      <c r="U2898">
        <v>-0.48155209999999998</v>
      </c>
      <c r="V2898">
        <v>-0.11909699999999999</v>
      </c>
      <c r="W2898">
        <v>8.2998370000000002E-2</v>
      </c>
      <c r="X2898">
        <v>0.9894075</v>
      </c>
      <c r="Y2898">
        <v>-0.1614949</v>
      </c>
      <c r="Z2898">
        <v>-4.8513380000000002E-3</v>
      </c>
      <c r="AA2898">
        <v>0.98686160000000001</v>
      </c>
      <c r="AB2898">
        <v>48</v>
      </c>
      <c r="AC2898">
        <v>-18.302399999999999</v>
      </c>
      <c r="AD2898">
        <v>-1.10507054443799</v>
      </c>
      <c r="AE2898">
        <v>-3.0349999999999899</v>
      </c>
      <c r="AF2898">
        <v>-3.0659464441462401</v>
      </c>
      <c r="AG2898">
        <v>-1.10507054443799</v>
      </c>
      <c r="AH2898">
        <v>18.2307327981028</v>
      </c>
      <c r="AI2898">
        <v>93.420863680138794</v>
      </c>
      <c r="AJ2898">
        <v>99.546365484058299</v>
      </c>
      <c r="AK2898">
        <v>18.5197415441571</v>
      </c>
      <c r="AL2898">
        <v>85.239066917492707</v>
      </c>
      <c r="AM2898">
        <v>96.863786258664803</v>
      </c>
      <c r="AN2898">
        <v>1.0000000129439499</v>
      </c>
    </row>
    <row r="2899" spans="1:40" x14ac:dyDescent="0.3">
      <c r="A2899" t="str">
        <f>"20200111153934390"</f>
        <v>20200111153934390</v>
      </c>
      <c r="B2899" t="str">
        <f>"1578728374383748"</f>
        <v>1578728374383748</v>
      </c>
      <c r="C2899" t="s">
        <v>40</v>
      </c>
      <c r="D2899">
        <v>5.0766489999999997</v>
      </c>
      <c r="E2899">
        <v>0.48029110000000003</v>
      </c>
      <c r="F2899" t="s">
        <v>62</v>
      </c>
      <c r="G2899">
        <v>-400.53550000000001</v>
      </c>
      <c r="H2899" s="1">
        <v>-4.7266730000000003E-6</v>
      </c>
      <c r="I2899">
        <v>137.82470000000001</v>
      </c>
      <c r="J2899">
        <v>-382.39330000000001</v>
      </c>
      <c r="K2899">
        <v>1.105118</v>
      </c>
      <c r="L2899">
        <v>140.87530000000001</v>
      </c>
      <c r="M2899">
        <v>-0.99969949999999996</v>
      </c>
      <c r="N2899">
        <v>0</v>
      </c>
      <c r="O2899">
        <v>2.5264860000000001E-3</v>
      </c>
      <c r="P2899">
        <v>-0.99116709999999997</v>
      </c>
      <c r="Q2899">
        <v>5.7263300000000003E-2</v>
      </c>
      <c r="R2899">
        <v>-0.119620699999999</v>
      </c>
      <c r="S2899">
        <v>-2.9789729999999999</v>
      </c>
      <c r="T2899">
        <v>-0.17665320000000001</v>
      </c>
      <c r="U2899">
        <v>-0.48744199999999999</v>
      </c>
      <c r="V2899">
        <v>-0.122043899999999</v>
      </c>
      <c r="W2899">
        <v>8.153183E-2</v>
      </c>
      <c r="X2899">
        <v>0.98917029999999995</v>
      </c>
      <c r="Y2899">
        <v>-0.16368920000000001</v>
      </c>
      <c r="Z2899">
        <v>-4.965934E-3</v>
      </c>
      <c r="AA2899">
        <v>0.98649949999999997</v>
      </c>
      <c r="AB2899">
        <v>47</v>
      </c>
      <c r="AC2899">
        <v>-18.142199999999999</v>
      </c>
      <c r="AD2899">
        <v>-1.1051227266729999</v>
      </c>
      <c r="AE2899">
        <v>-3.0506000000000002</v>
      </c>
      <c r="AF2899">
        <v>-3.0853064354468098</v>
      </c>
      <c r="AG2899">
        <v>-1.1051227266729999</v>
      </c>
      <c r="AH2899">
        <v>18.0692288407364</v>
      </c>
      <c r="AI2899">
        <v>93.450068583899196</v>
      </c>
      <c r="AJ2899">
        <v>99.689760631016796</v>
      </c>
      <c r="AK2899">
        <v>18.364025782505301</v>
      </c>
      <c r="AL2899">
        <v>85.323379276684307</v>
      </c>
      <c r="AM2899">
        <v>97.033610926869002</v>
      </c>
      <c r="AN2899">
        <v>1.00000001761622</v>
      </c>
    </row>
    <row r="2900" spans="1:40" x14ac:dyDescent="0.3">
      <c r="A2900" t="str">
        <f>"20200111153934413"</f>
        <v>20200111153934413</v>
      </c>
      <c r="B2900" t="str">
        <f>"1578728374403268"</f>
        <v>1578728374403268</v>
      </c>
      <c r="C2900" t="s">
        <v>40</v>
      </c>
      <c r="D2900">
        <v>5.0697570000000001</v>
      </c>
      <c r="E2900">
        <v>0.4803327</v>
      </c>
      <c r="F2900" t="s">
        <v>62</v>
      </c>
      <c r="G2900">
        <v>-400.5736</v>
      </c>
      <c r="H2900" s="1">
        <v>-4.7629980000000003E-6</v>
      </c>
      <c r="I2900">
        <v>137.85220000000001</v>
      </c>
      <c r="J2900">
        <v>-382.86040000000003</v>
      </c>
      <c r="K2900">
        <v>1.105178</v>
      </c>
      <c r="L2900">
        <v>140.8766</v>
      </c>
      <c r="M2900">
        <v>-0.9997007</v>
      </c>
      <c r="N2900">
        <v>0</v>
      </c>
      <c r="O2900">
        <v>2.6931149999999998E-3</v>
      </c>
      <c r="P2900">
        <v>-0.99084729999999999</v>
      </c>
      <c r="Q2900">
        <v>5.5600959999999998E-2</v>
      </c>
      <c r="R2900">
        <v>-0.1230049</v>
      </c>
      <c r="S2900">
        <v>-2.9773860000000001</v>
      </c>
      <c r="T2900">
        <v>-0.18098600000000001</v>
      </c>
      <c r="U2900">
        <v>-0.49508669999999999</v>
      </c>
      <c r="V2900">
        <v>-0.12560560000000001</v>
      </c>
      <c r="W2900">
        <v>7.9780879999999998E-2</v>
      </c>
      <c r="X2900">
        <v>0.98886719999999895</v>
      </c>
      <c r="Y2900">
        <v>-0.16638320000000001</v>
      </c>
      <c r="Z2900">
        <v>-5.1804379999999999E-3</v>
      </c>
      <c r="AA2900">
        <v>0.98604760000000002</v>
      </c>
      <c r="AB2900">
        <v>47</v>
      </c>
      <c r="AC2900">
        <v>-17.713199999999901</v>
      </c>
      <c r="AD2900">
        <v>-1.105182762998</v>
      </c>
      <c r="AE2900">
        <v>-3.02439999999998</v>
      </c>
      <c r="AF2900">
        <v>-3.0605299583696901</v>
      </c>
      <c r="AG2900">
        <v>-1.105182762998</v>
      </c>
      <c r="AH2900">
        <v>17.638269165896698</v>
      </c>
      <c r="AI2900">
        <v>93.532714689379105</v>
      </c>
      <c r="AJ2900">
        <v>99.843749778454097</v>
      </c>
      <c r="AK2900">
        <v>17.935908444635</v>
      </c>
      <c r="AL2900">
        <v>85.424029390543197</v>
      </c>
      <c r="AM2900">
        <v>97.238926996530907</v>
      </c>
      <c r="AN2900">
        <v>1.0000000474003801</v>
      </c>
    </row>
    <row r="2901" spans="1:40" x14ac:dyDescent="0.3">
      <c r="A2901" t="str">
        <f>"20200111153934433"</f>
        <v>20200111153934433</v>
      </c>
      <c r="B2901" t="str">
        <f>"1578728374423764"</f>
        <v>1578728374423764</v>
      </c>
      <c r="C2901" t="s">
        <v>40</v>
      </c>
      <c r="D2901">
        <v>5.111605</v>
      </c>
      <c r="E2901">
        <v>0.48041489999999998</v>
      </c>
      <c r="F2901" t="s">
        <v>62</v>
      </c>
      <c r="G2901">
        <v>-400.54390000000001</v>
      </c>
      <c r="H2901" s="1">
        <v>-4.7593140000000003E-6</v>
      </c>
      <c r="I2901">
        <v>137.87719999999999</v>
      </c>
      <c r="J2901">
        <v>-383.30110000000002</v>
      </c>
      <c r="K2901">
        <v>1.1052409999999999</v>
      </c>
      <c r="L2901">
        <v>140.87790000000001</v>
      </c>
      <c r="M2901">
        <v>-0.99970199999999998</v>
      </c>
      <c r="N2901">
        <v>0</v>
      </c>
      <c r="O2901">
        <v>2.7805159999999998E-3</v>
      </c>
      <c r="P2901">
        <v>-0.99054500000000001</v>
      </c>
      <c r="Q2901">
        <v>5.4505390000000001E-2</v>
      </c>
      <c r="R2901">
        <v>-0.12589589999999901</v>
      </c>
      <c r="S2901">
        <v>-2.9754939999999999</v>
      </c>
      <c r="T2901">
        <v>-0.1859614</v>
      </c>
      <c r="U2901">
        <v>-0.50469969999999997</v>
      </c>
      <c r="V2901">
        <v>-0.12859580000000001</v>
      </c>
      <c r="W2901">
        <v>7.8593949999999996E-2</v>
      </c>
      <c r="X2901">
        <v>0.98857779999999995</v>
      </c>
      <c r="Y2901">
        <v>-0.16964470000000001</v>
      </c>
      <c r="Z2901">
        <v>-5.4310239999999996E-3</v>
      </c>
      <c r="AA2901">
        <v>0.98549030000000004</v>
      </c>
      <c r="AB2901">
        <v>47</v>
      </c>
      <c r="AC2901">
        <v>-17.2427999999999</v>
      </c>
      <c r="AD2901">
        <v>-1.1052457593139999</v>
      </c>
      <c r="AE2901">
        <v>-3.0007000000000201</v>
      </c>
      <c r="AF2901">
        <v>-3.03653696290367</v>
      </c>
      <c r="AG2901">
        <v>-1.1052457593139999</v>
      </c>
      <c r="AH2901">
        <v>17.165931270784501</v>
      </c>
      <c r="AI2901">
        <v>93.627793436586202</v>
      </c>
      <c r="AJ2901">
        <v>100.031462135533</v>
      </c>
      <c r="AK2901">
        <v>17.467436025612301</v>
      </c>
      <c r="AL2901">
        <v>85.492249385240299</v>
      </c>
      <c r="AM2901">
        <v>97.411510744909094</v>
      </c>
      <c r="AN2901">
        <v>0.99999997770353999</v>
      </c>
    </row>
    <row r="2902" spans="1:40" x14ac:dyDescent="0.3">
      <c r="A2902" t="str">
        <f>"20200111153934457"</f>
        <v>20200111153934457</v>
      </c>
      <c r="B2902" t="str">
        <f>"1578728374453324"</f>
        <v>1578728374453324</v>
      </c>
      <c r="C2902" t="s">
        <v>40</v>
      </c>
      <c r="D2902">
        <v>5.1278329999999999</v>
      </c>
      <c r="E2902">
        <v>0.48037730000000001</v>
      </c>
      <c r="F2902" t="s">
        <v>62</v>
      </c>
      <c r="G2902">
        <v>-400.59109999999998</v>
      </c>
      <c r="H2902" s="1">
        <v>-4.7976280000000004E-6</v>
      </c>
      <c r="I2902">
        <v>137.89869999999999</v>
      </c>
      <c r="J2902">
        <v>-383.7672</v>
      </c>
      <c r="K2902">
        <v>1.105326</v>
      </c>
      <c r="L2902">
        <v>140.8792</v>
      </c>
      <c r="M2902">
        <v>-0.99970409999999998</v>
      </c>
      <c r="N2902">
        <v>0</v>
      </c>
      <c r="O2902">
        <v>2.7711089999999999E-3</v>
      </c>
      <c r="P2902">
        <v>-0.99008070000000004</v>
      </c>
      <c r="Q2902">
        <v>5.4895989999999999E-2</v>
      </c>
      <c r="R2902">
        <v>-0.12933239999999999</v>
      </c>
      <c r="S2902">
        <v>-2.97403</v>
      </c>
      <c r="T2902">
        <v>-0.190112</v>
      </c>
      <c r="U2902">
        <v>-0.5124512</v>
      </c>
      <c r="V2902">
        <v>-0.1320385</v>
      </c>
      <c r="W2902">
        <v>7.8864899999999905E-2</v>
      </c>
      <c r="X2902">
        <v>0.98810229999999999</v>
      </c>
      <c r="Y2902">
        <v>-0.1721905</v>
      </c>
      <c r="Z2902">
        <v>-5.6335839999999996E-3</v>
      </c>
      <c r="AA2902">
        <v>0.98504760000000002</v>
      </c>
      <c r="AB2902">
        <v>47</v>
      </c>
      <c r="AC2902">
        <v>-16.823899999999899</v>
      </c>
      <c r="AD2902">
        <v>-1.105330797628</v>
      </c>
      <c r="AE2902">
        <v>-2.9805000000000001</v>
      </c>
      <c r="AF2902">
        <v>-3.01450688826991</v>
      </c>
      <c r="AG2902">
        <v>-1.105330797628</v>
      </c>
      <c r="AH2902">
        <v>16.745491388906299</v>
      </c>
      <c r="AI2902">
        <v>93.716907388008707</v>
      </c>
      <c r="AJ2902">
        <v>100.20502908154199</v>
      </c>
      <c r="AK2902">
        <v>17.050527552177002</v>
      </c>
      <c r="AL2902">
        <v>85.4766768419302</v>
      </c>
      <c r="AM2902">
        <v>97.611251824086594</v>
      </c>
      <c r="AN2902">
        <v>0.99999999659977401</v>
      </c>
    </row>
    <row r="2903" spans="1:40" x14ac:dyDescent="0.3">
      <c r="A2903" t="str">
        <f>"20200111153934478"</f>
        <v>20200111153934478</v>
      </c>
      <c r="B2903" t="str">
        <f>"1578728374473821"</f>
        <v>1578728374473821</v>
      </c>
      <c r="C2903" t="s">
        <v>40</v>
      </c>
      <c r="D2903">
        <v>5.1404860000000001</v>
      </c>
      <c r="E2903">
        <v>0.4805082</v>
      </c>
      <c r="F2903" t="s">
        <v>62</v>
      </c>
      <c r="G2903">
        <v>-401.0763</v>
      </c>
      <c r="H2903" s="1">
        <v>-5.0106830000000003E-6</v>
      </c>
      <c r="I2903">
        <v>137.8331</v>
      </c>
      <c r="J2903">
        <v>-384.2353</v>
      </c>
      <c r="K2903">
        <v>1.1054269999999999</v>
      </c>
      <c r="L2903">
        <v>140.88040000000001</v>
      </c>
      <c r="M2903">
        <v>-0.99970729999999997</v>
      </c>
      <c r="N2903">
        <v>0</v>
      </c>
      <c r="O2903">
        <v>2.6275729999999998E-3</v>
      </c>
      <c r="P2903">
        <v>-0.98952589999999996</v>
      </c>
      <c r="Q2903">
        <v>5.5302450000000003E-2</v>
      </c>
      <c r="R2903">
        <v>-0.13334370000000001</v>
      </c>
      <c r="S2903">
        <v>-2.9722599999999999</v>
      </c>
      <c r="T2903">
        <v>-0.18980459999999999</v>
      </c>
      <c r="U2903">
        <v>-0.52307130000000002</v>
      </c>
      <c r="V2903">
        <v>-0.13592660000000001</v>
      </c>
      <c r="W2903">
        <v>7.9111619999999994E-2</v>
      </c>
      <c r="X2903">
        <v>0.98755519999999997</v>
      </c>
      <c r="Y2903">
        <v>-0.17555680000000001</v>
      </c>
      <c r="Z2903">
        <v>-5.7235469999999998E-3</v>
      </c>
      <c r="AA2903">
        <v>0.98445269999999996</v>
      </c>
      <c r="AB2903">
        <v>46</v>
      </c>
      <c r="AC2903">
        <v>-16.841000000000001</v>
      </c>
      <c r="AD2903">
        <v>-1.105432010683</v>
      </c>
      <c r="AE2903">
        <v>-3.0472999999999999</v>
      </c>
      <c r="AF2903">
        <v>-3.0787090814982498</v>
      </c>
      <c r="AG2903">
        <v>-1.105432010683</v>
      </c>
      <c r="AH2903">
        <v>16.762998485520001</v>
      </c>
      <c r="AI2903">
        <v>93.711002319825994</v>
      </c>
      <c r="AJ2903">
        <v>100.407020238553</v>
      </c>
      <c r="AK2903">
        <v>17.079184634059299</v>
      </c>
      <c r="AL2903">
        <v>85.462496450557893</v>
      </c>
      <c r="AM2903">
        <v>97.836920589476804</v>
      </c>
      <c r="AN2903">
        <v>0.99999998102681198</v>
      </c>
    </row>
    <row r="2904" spans="1:40" x14ac:dyDescent="0.3">
      <c r="A2904" t="str">
        <f>"20200111153934501"</f>
        <v>20200111153934501</v>
      </c>
      <c r="B2904" t="str">
        <f>"1578728374493340"</f>
        <v>1578728374493340</v>
      </c>
      <c r="C2904" t="s">
        <v>40</v>
      </c>
      <c r="D2904">
        <v>5.1852390000000002</v>
      </c>
      <c r="E2904">
        <v>0.48045480000000002</v>
      </c>
      <c r="F2904" t="s">
        <v>62</v>
      </c>
      <c r="G2904">
        <v>-401.6397</v>
      </c>
      <c r="H2904" s="1">
        <v>-5.2233340000000001E-6</v>
      </c>
      <c r="I2904">
        <v>137.7534</v>
      </c>
      <c r="J2904">
        <v>-384.70280000000002</v>
      </c>
      <c r="K2904">
        <v>1.105553</v>
      </c>
      <c r="L2904">
        <v>140.88140000000001</v>
      </c>
      <c r="M2904">
        <v>-0.99971109999999996</v>
      </c>
      <c r="N2904">
        <v>0</v>
      </c>
      <c r="O2904">
        <v>2.3613140000000002E-3</v>
      </c>
      <c r="P2904">
        <v>-0.98889039999999995</v>
      </c>
      <c r="Q2904">
        <v>5.6195769999999999E-2</v>
      </c>
      <c r="R2904">
        <v>-0.13761419999999999</v>
      </c>
      <c r="S2904">
        <v>-2.9704280000000001</v>
      </c>
      <c r="T2904">
        <v>-0.188665</v>
      </c>
      <c r="U2904">
        <v>-0.53369140000000004</v>
      </c>
      <c r="V2904">
        <v>-0.139956</v>
      </c>
      <c r="W2904">
        <v>7.9817959999999993E-2</v>
      </c>
      <c r="X2904">
        <v>0.98693540000000002</v>
      </c>
      <c r="Y2904">
        <v>-0.1788072</v>
      </c>
      <c r="Z2904">
        <v>-5.7764699999999997E-3</v>
      </c>
      <c r="AA2904">
        <v>0.98386719999999905</v>
      </c>
      <c r="AB2904">
        <v>46</v>
      </c>
      <c r="AC2904">
        <v>-16.936899999999898</v>
      </c>
      <c r="AD2904">
        <v>-1.105558223334</v>
      </c>
      <c r="AE2904">
        <v>-3.1280000000000099</v>
      </c>
      <c r="AF2904">
        <v>-3.1549965168386702</v>
      </c>
      <c r="AG2904">
        <v>-1.105558223334</v>
      </c>
      <c r="AH2904">
        <v>16.8599961529121</v>
      </c>
      <c r="AI2904">
        <v>93.687844942658899</v>
      </c>
      <c r="AJ2904">
        <v>100.599126630634</v>
      </c>
      <c r="AK2904">
        <v>17.188244013937499</v>
      </c>
      <c r="AL2904">
        <v>85.421898014945199</v>
      </c>
      <c r="AM2904">
        <v>98.071222325853995</v>
      </c>
      <c r="AN2904">
        <v>1.0000000362238599</v>
      </c>
    </row>
    <row r="2905" spans="1:40" x14ac:dyDescent="0.3">
      <c r="A2905" t="str">
        <f>"20200111153934523"</f>
        <v>20200111153934523</v>
      </c>
      <c r="B2905" t="str">
        <f>"1578728374513836"</f>
        <v>1578728374513836</v>
      </c>
      <c r="C2905" t="s">
        <v>40</v>
      </c>
      <c r="D2905">
        <v>5.2138260000000001</v>
      </c>
      <c r="E2905">
        <v>0.48043170000000002</v>
      </c>
      <c r="F2905" t="s">
        <v>62</v>
      </c>
      <c r="G2905">
        <v>-402.22280000000001</v>
      </c>
      <c r="H2905" s="1">
        <v>-5.4357149999999997E-6</v>
      </c>
      <c r="I2905">
        <v>137.65440000000001</v>
      </c>
      <c r="J2905">
        <v>-385.14929999999998</v>
      </c>
      <c r="K2905">
        <v>1.1056859999999999</v>
      </c>
      <c r="L2905">
        <v>140.88220000000001</v>
      </c>
      <c r="M2905">
        <v>-0.99971500000000002</v>
      </c>
      <c r="N2905">
        <v>0</v>
      </c>
      <c r="O2905">
        <v>1.964398E-3</v>
      </c>
      <c r="P2905">
        <v>-0.98818850000000003</v>
      </c>
      <c r="Q2905">
        <v>5.6775180000000001E-2</v>
      </c>
      <c r="R2905">
        <v>-0.14233789999999999</v>
      </c>
      <c r="S2905">
        <v>-2.9682620000000002</v>
      </c>
      <c r="T2905">
        <v>-0.18730430000000001</v>
      </c>
      <c r="U2905">
        <v>-0.54672240000000005</v>
      </c>
      <c r="V2905">
        <v>-0.14431279999999999</v>
      </c>
      <c r="W2905">
        <v>8.0201049999999996E-2</v>
      </c>
      <c r="X2905">
        <v>0.98627659999999995</v>
      </c>
      <c r="Y2905">
        <v>-0.1827191</v>
      </c>
      <c r="Z2905">
        <v>-5.8342250000000002E-3</v>
      </c>
      <c r="AA2905">
        <v>0.98314789999999996</v>
      </c>
      <c r="AB2905">
        <v>46</v>
      </c>
      <c r="AC2905">
        <v>-17.073499999999999</v>
      </c>
      <c r="AD2905">
        <v>-1.1056914357150001</v>
      </c>
      <c r="AE2905">
        <v>-3.2277999999999998</v>
      </c>
      <c r="AF2905">
        <v>-3.2481897739752998</v>
      </c>
      <c r="AG2905">
        <v>-1.1056914357150001</v>
      </c>
      <c r="AH2905">
        <v>16.9982946960662</v>
      </c>
      <c r="AI2905">
        <v>93.655724973300195</v>
      </c>
      <c r="AJ2905">
        <v>100.818184745027</v>
      </c>
      <c r="AK2905">
        <v>17.341145087135502</v>
      </c>
      <c r="AL2905">
        <v>85.399877640107306</v>
      </c>
      <c r="AM2905">
        <v>98.324492296749497</v>
      </c>
      <c r="AN2905">
        <v>0.99999996218624998</v>
      </c>
    </row>
    <row r="2906" spans="1:40" x14ac:dyDescent="0.3">
      <c r="A2906" t="str">
        <f>"20200111153934544"</f>
        <v>20200111153934544</v>
      </c>
      <c r="B2906" t="str">
        <f>"1578728374533864"</f>
        <v>1578728374533864</v>
      </c>
      <c r="C2906" t="s">
        <v>40</v>
      </c>
      <c r="D2906">
        <v>5.1017029999999997</v>
      </c>
      <c r="E2906">
        <v>0.48047220000000002</v>
      </c>
      <c r="F2906" t="s">
        <v>62</v>
      </c>
      <c r="G2906">
        <v>-402.74669999999998</v>
      </c>
      <c r="H2906" s="1">
        <v>-5.6204469999999998E-6</v>
      </c>
      <c r="I2906">
        <v>137.55250000000001</v>
      </c>
      <c r="J2906">
        <v>-385.5933</v>
      </c>
      <c r="K2906">
        <v>1.105844</v>
      </c>
      <c r="L2906">
        <v>140.88249999999999</v>
      </c>
      <c r="M2906">
        <v>-0.99971960000000004</v>
      </c>
      <c r="N2906">
        <v>0</v>
      </c>
      <c r="O2906">
        <v>1.3887280000000001E-3</v>
      </c>
      <c r="P2906">
        <v>-0.98734860000000002</v>
      </c>
      <c r="Q2906">
        <v>5.740253E-2</v>
      </c>
      <c r="R2906">
        <v>-0.1478111</v>
      </c>
      <c r="S2906">
        <v>-2.9656980000000002</v>
      </c>
      <c r="T2906">
        <v>-0.1863426</v>
      </c>
      <c r="U2906">
        <v>-0.56114200000000003</v>
      </c>
      <c r="V2906">
        <v>-0.14924789999999999</v>
      </c>
      <c r="W2906">
        <v>8.0607429999999994E-2</v>
      </c>
      <c r="X2906">
        <v>0.98550870000000002</v>
      </c>
      <c r="Y2906">
        <v>-0.18691830000000001</v>
      </c>
      <c r="Z2906">
        <v>-5.901496E-3</v>
      </c>
      <c r="AA2906">
        <v>0.9823577</v>
      </c>
      <c r="AB2906">
        <v>46</v>
      </c>
      <c r="AC2906">
        <v>-17.153399999999898</v>
      </c>
      <c r="AD2906">
        <v>-1.1058496204469901</v>
      </c>
      <c r="AE2906">
        <v>-3.3299999999999801</v>
      </c>
      <c r="AF2906">
        <v>-3.3404456606128199</v>
      </c>
      <c r="AG2906">
        <v>-1.1058496204469901</v>
      </c>
      <c r="AH2906">
        <v>17.080347287571399</v>
      </c>
      <c r="AI2906">
        <v>93.635698711368605</v>
      </c>
      <c r="AJ2906">
        <v>101.065804029711</v>
      </c>
      <c r="AK2906">
        <v>17.439029332465601</v>
      </c>
      <c r="AL2906">
        <v>85.376518073191704</v>
      </c>
      <c r="AM2906">
        <v>98.611578857503005</v>
      </c>
      <c r="AN2906">
        <v>0.99999994560065097</v>
      </c>
    </row>
    <row r="2907" spans="1:40" x14ac:dyDescent="0.3">
      <c r="A2907" t="str">
        <f>"20200111153934568"</f>
        <v>20200111153934568</v>
      </c>
      <c r="B2907" t="str">
        <f>"1578728374564120"</f>
        <v>1578728374564120</v>
      </c>
      <c r="C2907" t="s">
        <v>40</v>
      </c>
      <c r="D2907">
        <v>4.873507</v>
      </c>
      <c r="E2907">
        <v>0.42883549999999998</v>
      </c>
      <c r="F2907" t="s">
        <v>62</v>
      </c>
      <c r="G2907">
        <v>-403.3809</v>
      </c>
      <c r="H2907" s="1">
        <v>-5.8379709999999997E-6</v>
      </c>
      <c r="I2907">
        <v>137.416</v>
      </c>
      <c r="J2907">
        <v>-386.06700000000001</v>
      </c>
      <c r="K2907">
        <v>1.106047</v>
      </c>
      <c r="L2907">
        <v>140.88249999999999</v>
      </c>
      <c r="M2907">
        <v>-0.99972419999999995</v>
      </c>
      <c r="N2907">
        <v>0</v>
      </c>
      <c r="O2907">
        <v>5.3189049999999999E-4</v>
      </c>
      <c r="P2907">
        <v>-0.98633459999999995</v>
      </c>
      <c r="Q2907">
        <v>5.644739E-2</v>
      </c>
      <c r="R2907">
        <v>-0.154784</v>
      </c>
      <c r="S2907">
        <v>-2.9626769999999998</v>
      </c>
      <c r="T2907">
        <v>-0.1841884</v>
      </c>
      <c r="U2907">
        <v>-0.57737729999999998</v>
      </c>
      <c r="V2907">
        <v>-0.15541429999999901</v>
      </c>
      <c r="W2907">
        <v>7.9387319999999997E-2</v>
      </c>
      <c r="X2907">
        <v>0.98465429999999998</v>
      </c>
      <c r="Y2907">
        <v>-0.19145010000000001</v>
      </c>
      <c r="Z2907">
        <v>-5.922938E-3</v>
      </c>
      <c r="AA2907">
        <v>0.98148449999999998</v>
      </c>
      <c r="AB2907">
        <v>46</v>
      </c>
      <c r="AC2907">
        <v>-17.3139</v>
      </c>
      <c r="AD2907">
        <v>-1.106052837971</v>
      </c>
      <c r="AE2907">
        <v>-3.4664999999999901</v>
      </c>
      <c r="AF2907">
        <v>-3.4621268972700201</v>
      </c>
      <c r="AG2907">
        <v>-1.106052837971</v>
      </c>
      <c r="AH2907">
        <v>17.2443919053526</v>
      </c>
      <c r="AI2907">
        <v>93.598306693342494</v>
      </c>
      <c r="AJ2907">
        <v>101.352252352343</v>
      </c>
      <c r="AK2907">
        <v>17.6232439612739</v>
      </c>
      <c r="AL2907">
        <v>85.446650346065397</v>
      </c>
      <c r="AM2907">
        <v>98.969366003916406</v>
      </c>
      <c r="AN2907">
        <v>1.00000002086488</v>
      </c>
    </row>
    <row r="2908" spans="1:40" x14ac:dyDescent="0.3">
      <c r="A2908" t="str">
        <f>"20200111153934591"</f>
        <v>20200111153934591</v>
      </c>
      <c r="B2908" t="str">
        <f>"1578728374583639"</f>
        <v>1578728374583639</v>
      </c>
      <c r="C2908" t="s">
        <v>40</v>
      </c>
      <c r="D2908">
        <v>4.9478660000000003</v>
      </c>
      <c r="E2908">
        <v>0.33982420000000002</v>
      </c>
      <c r="F2908" t="s">
        <v>62</v>
      </c>
      <c r="G2908">
        <v>-400.43619999999999</v>
      </c>
      <c r="H2908" s="1">
        <v>-3.6517589999999998E-6</v>
      </c>
      <c r="I2908">
        <v>135.9041</v>
      </c>
      <c r="J2908">
        <v>-386.53410000000002</v>
      </c>
      <c r="K2908">
        <v>1.106298</v>
      </c>
      <c r="L2908">
        <v>140.8817</v>
      </c>
      <c r="M2908">
        <v>-0.99972819999999996</v>
      </c>
      <c r="N2908">
        <v>0</v>
      </c>
      <c r="O2908">
        <v>-6.0698040000000005E-4</v>
      </c>
      <c r="P2908">
        <v>-0.98522310000000002</v>
      </c>
      <c r="Q2908">
        <v>5.4715859999999998E-2</v>
      </c>
      <c r="R2908">
        <v>-0.162301</v>
      </c>
      <c r="S2908">
        <v>-2.8967900000000002</v>
      </c>
      <c r="T2908">
        <v>-0.22297600000000001</v>
      </c>
      <c r="U2908">
        <v>-1.0036160000000001</v>
      </c>
      <c r="V2908">
        <v>-0.16185339999999901</v>
      </c>
      <c r="W2908">
        <v>7.7348459999999994E-2</v>
      </c>
      <c r="X2908">
        <v>0.98377879999999995</v>
      </c>
      <c r="Y2908">
        <v>-0.32593420000000001</v>
      </c>
      <c r="Z2908">
        <v>-1.212687E-2</v>
      </c>
      <c r="AA2908">
        <v>0.9453146</v>
      </c>
      <c r="AB2908">
        <v>46</v>
      </c>
      <c r="AC2908">
        <v>-13.9020999999999</v>
      </c>
      <c r="AD2908">
        <v>-1.1063016517590001</v>
      </c>
      <c r="AE2908">
        <v>-4.97759999999999</v>
      </c>
      <c r="AF2908">
        <v>-4.9414218923713999</v>
      </c>
      <c r="AG2908">
        <v>-1.1063016517590001</v>
      </c>
      <c r="AH2908">
        <v>13.8275046770617</v>
      </c>
      <c r="AI2908">
        <v>94.308582804873595</v>
      </c>
      <c r="AJ2908">
        <v>109.66494847501799</v>
      </c>
      <c r="AK2908">
        <v>14.725536976873</v>
      </c>
      <c r="AL2908">
        <v>85.5638288032155</v>
      </c>
      <c r="AM2908">
        <v>99.342729709256204</v>
      </c>
      <c r="AN2908">
        <v>1.00000001734268</v>
      </c>
    </row>
    <row r="2909" spans="1:40" x14ac:dyDescent="0.3">
      <c r="A2909" t="str">
        <f>"20200111153934612"</f>
        <v>20200111153934612</v>
      </c>
      <c r="B2909" t="str">
        <f>"1578728374604135"</f>
        <v>1578728374604135</v>
      </c>
      <c r="C2909" t="s">
        <v>40</v>
      </c>
      <c r="D2909">
        <v>4.8435629999999996</v>
      </c>
      <c r="E2909">
        <v>0.33793339999999999</v>
      </c>
      <c r="F2909" t="s">
        <v>41</v>
      </c>
      <c r="G2909">
        <v>-387.3177</v>
      </c>
      <c r="H2909">
        <v>1.050872</v>
      </c>
      <c r="I2909">
        <v>140.39259999999999</v>
      </c>
      <c r="J2909">
        <v>-386.97039999999998</v>
      </c>
      <c r="K2909">
        <v>1.1065940000000001</v>
      </c>
      <c r="L2909">
        <v>140.88030000000001</v>
      </c>
      <c r="M2909">
        <v>-0.9997317</v>
      </c>
      <c r="N2909">
        <v>0</v>
      </c>
      <c r="O2909">
        <v>-1.9965410000000001E-3</v>
      </c>
      <c r="P2909">
        <v>-0.98418910000000004</v>
      </c>
      <c r="Q2909">
        <v>5.3164749999999997E-2</v>
      </c>
      <c r="R2909">
        <v>-0.1689552</v>
      </c>
      <c r="S2909">
        <v>-2.7709350000000001</v>
      </c>
      <c r="T2909">
        <v>-0.19597319999999999</v>
      </c>
      <c r="U2909">
        <v>-1.7295069999999999</v>
      </c>
      <c r="V2909">
        <v>-0.16718920000000001</v>
      </c>
      <c r="W2909">
        <v>7.5434780000000007E-2</v>
      </c>
      <c r="X2909">
        <v>0.98303479999999999</v>
      </c>
      <c r="Y2909">
        <v>-0.52684790000000004</v>
      </c>
      <c r="Z2909">
        <v>-1.695551E-2</v>
      </c>
      <c r="AA2909">
        <v>0.8497905</v>
      </c>
      <c r="AB2909">
        <v>45</v>
      </c>
      <c r="AC2909">
        <v>-0.34730000000001798</v>
      </c>
      <c r="AD2909">
        <v>-5.5722000000000001E-2</v>
      </c>
      <c r="AE2909">
        <v>-0.48770000000001701</v>
      </c>
      <c r="AF2909">
        <v>-0.48282338088111498</v>
      </c>
      <c r="AG2909">
        <v>-5.5722000000000001E-2</v>
      </c>
      <c r="AH2909">
        <v>0.34528255176729</v>
      </c>
      <c r="AI2909">
        <v>95.362884284944798</v>
      </c>
      <c r="AJ2909">
        <v>144.430219752883</v>
      </c>
      <c r="AK2909">
        <v>0.59619074042155495</v>
      </c>
      <c r="AL2909">
        <v>85.673795980664593</v>
      </c>
      <c r="AM2909">
        <v>99.652196618672505</v>
      </c>
      <c r="AN2909">
        <v>1.0000000263206601</v>
      </c>
    </row>
    <row r="2910" spans="1:40" x14ac:dyDescent="0.3">
      <c r="A2910" t="str">
        <f>"20200111153934634"</f>
        <v>20200111153934634</v>
      </c>
      <c r="B2910" t="str">
        <f>"1578728374623656"</f>
        <v>1578728374623656</v>
      </c>
      <c r="C2910" t="s">
        <v>40</v>
      </c>
      <c r="D2910">
        <v>4.7442760000000002</v>
      </c>
      <c r="E2910">
        <v>0.33756999999999998</v>
      </c>
      <c r="F2910" t="s">
        <v>41</v>
      </c>
      <c r="G2910">
        <v>-387.72269999999997</v>
      </c>
      <c r="H2910">
        <v>1.046772</v>
      </c>
      <c r="I2910">
        <v>140.3997</v>
      </c>
      <c r="J2910">
        <v>-387.40300000000002</v>
      </c>
      <c r="K2910">
        <v>1.1069180000000001</v>
      </c>
      <c r="L2910">
        <v>140.87799999999999</v>
      </c>
      <c r="M2910">
        <v>-0.99973350000000005</v>
      </c>
      <c r="N2910">
        <v>0</v>
      </c>
      <c r="O2910">
        <v>-3.7290909999999999E-3</v>
      </c>
      <c r="P2910">
        <v>-0.98314140000000005</v>
      </c>
      <c r="Q2910">
        <v>5.2575440000000001E-2</v>
      </c>
      <c r="R2910">
        <v>-0.17512539999999999</v>
      </c>
      <c r="S2910">
        <v>-2.7575069999999999</v>
      </c>
      <c r="T2910">
        <v>-0.21925339999999999</v>
      </c>
      <c r="U2910">
        <v>-1.762283</v>
      </c>
      <c r="V2910">
        <v>-0.17171500000000001</v>
      </c>
      <c r="W2910">
        <v>7.4389170000000004E-2</v>
      </c>
      <c r="X2910">
        <v>0.98233409999999999</v>
      </c>
      <c r="Y2910">
        <v>-0.53417179999999997</v>
      </c>
      <c r="Z2910">
        <v>-1.912813E-2</v>
      </c>
      <c r="AA2910">
        <v>0.84515949999999995</v>
      </c>
      <c r="AB2910">
        <v>45</v>
      </c>
      <c r="AC2910">
        <v>-0.31969999999995402</v>
      </c>
      <c r="AD2910">
        <v>-6.0145999999999998E-2</v>
      </c>
      <c r="AE2910">
        <v>-0.47829999999999001</v>
      </c>
      <c r="AF2910">
        <v>-0.47194588819127298</v>
      </c>
      <c r="AG2910">
        <v>-6.0145999999999998E-2</v>
      </c>
      <c r="AH2910">
        <v>0.31800611303105603</v>
      </c>
      <c r="AI2910">
        <v>96.033105606328704</v>
      </c>
      <c r="AJ2910">
        <v>146.02716101194</v>
      </c>
      <c r="AK2910">
        <v>0.57225724165078995</v>
      </c>
      <c r="AL2910">
        <v>85.733873876960502</v>
      </c>
      <c r="AM2910">
        <v>99.915296233822005</v>
      </c>
      <c r="AN2910">
        <v>1.00000003693054</v>
      </c>
    </row>
    <row r="2911" spans="1:40" x14ac:dyDescent="0.3">
      <c r="A2911" t="str">
        <f>"20200111153934656"</f>
        <v>20200111153934656</v>
      </c>
      <c r="B2911" t="str">
        <f>"1578728374653912"</f>
        <v>1578728374653912</v>
      </c>
      <c r="C2911" t="s">
        <v>40</v>
      </c>
      <c r="D2911">
        <v>4.7313179999999999</v>
      </c>
      <c r="E2911">
        <v>0.3388408</v>
      </c>
      <c r="F2911" t="s">
        <v>41</v>
      </c>
      <c r="G2911">
        <v>-388.12709999999998</v>
      </c>
      <c r="H2911">
        <v>1.047776</v>
      </c>
      <c r="I2911">
        <v>140.40819999999999</v>
      </c>
      <c r="J2911">
        <v>-387.8544</v>
      </c>
      <c r="K2911">
        <v>1.107264</v>
      </c>
      <c r="L2911">
        <v>140.87430000000001</v>
      </c>
      <c r="M2911">
        <v>-0.99973120000000004</v>
      </c>
      <c r="N2911">
        <v>0</v>
      </c>
      <c r="O2911">
        <v>-5.9713149999999996E-3</v>
      </c>
      <c r="P2911">
        <v>-0.98180659999999997</v>
      </c>
      <c r="Q2911">
        <v>5.1658790000000003E-2</v>
      </c>
      <c r="R2911">
        <v>-0.18272089999999999</v>
      </c>
      <c r="S2911">
        <v>-2.745911</v>
      </c>
      <c r="T2911">
        <v>-0.2242635</v>
      </c>
      <c r="U2911">
        <v>-1.782532</v>
      </c>
      <c r="V2911">
        <v>-0.17717449999999901</v>
      </c>
      <c r="W2911">
        <v>7.2883610000000001E-2</v>
      </c>
      <c r="X2911">
        <v>0.98147700000000004</v>
      </c>
      <c r="Y2911">
        <v>-0.53822650000000005</v>
      </c>
      <c r="Z2911">
        <v>-1.9581919999999999E-2</v>
      </c>
      <c r="AA2911">
        <v>0.84257269999999895</v>
      </c>
      <c r="AB2911">
        <v>45</v>
      </c>
      <c r="AC2911">
        <v>-0.27269999999998601</v>
      </c>
      <c r="AD2911">
        <v>-5.9487999999999902E-2</v>
      </c>
      <c r="AE2911">
        <v>-0.46610000000001101</v>
      </c>
      <c r="AF2911">
        <v>-0.45889409359988098</v>
      </c>
      <c r="AG2911">
        <v>-5.9487999999999902E-2</v>
      </c>
      <c r="AH2911">
        <v>0.27217613212865299</v>
      </c>
      <c r="AI2911">
        <v>96.362033749603199</v>
      </c>
      <c r="AJ2911">
        <v>149.32726201153801</v>
      </c>
      <c r="AK2911">
        <v>0.53684491073807405</v>
      </c>
      <c r="AL2911">
        <v>85.820370631519495</v>
      </c>
      <c r="AM2911">
        <v>100.232732189586</v>
      </c>
      <c r="AN2911">
        <v>0.99999996279294001</v>
      </c>
    </row>
    <row r="2912" spans="1:40" x14ac:dyDescent="0.3">
      <c r="A2912" t="str">
        <f>"20200111153934680"</f>
        <v>20200111153934680</v>
      </c>
      <c r="B2912" t="str">
        <f>"1578728374673431"</f>
        <v>1578728374673431</v>
      </c>
      <c r="C2912" t="s">
        <v>40</v>
      </c>
      <c r="D2912">
        <v>4.7108860000000004</v>
      </c>
      <c r="E2912">
        <v>0.34007549999999998</v>
      </c>
      <c r="F2912" t="s">
        <v>62</v>
      </c>
      <c r="G2912">
        <v>-400.94409999999999</v>
      </c>
      <c r="H2912" s="1">
        <v>-2.025525E-6</v>
      </c>
      <c r="I2912">
        <v>132.291</v>
      </c>
      <c r="J2912">
        <v>-388.30739999999997</v>
      </c>
      <c r="K2912">
        <v>1.1076060000000001</v>
      </c>
      <c r="L2912">
        <v>140.86930000000001</v>
      </c>
      <c r="M2912">
        <v>-0.99972269999999996</v>
      </c>
      <c r="N2912">
        <v>0</v>
      </c>
      <c r="O2912">
        <v>-8.6717719999999995E-3</v>
      </c>
      <c r="P2912">
        <v>-0.98003720000000005</v>
      </c>
      <c r="Q2912">
        <v>5.2160390000000001E-2</v>
      </c>
      <c r="R2912">
        <v>-0.1918513</v>
      </c>
      <c r="S2912">
        <v>-2.7341609999999998</v>
      </c>
      <c r="T2912">
        <v>-0.23128489999999999</v>
      </c>
      <c r="U2912">
        <v>-1.7928770000000001</v>
      </c>
      <c r="V2912">
        <v>-0.1837358</v>
      </c>
      <c r="W2912">
        <v>7.2665800000000003E-2</v>
      </c>
      <c r="X2912">
        <v>0.98028610000000005</v>
      </c>
      <c r="Y2912">
        <v>-0.53975430000000002</v>
      </c>
      <c r="Z2912">
        <v>-2.0098049999999999E-2</v>
      </c>
      <c r="AA2912">
        <v>0.84158269999999902</v>
      </c>
      <c r="AB2912">
        <v>45</v>
      </c>
      <c r="AC2912">
        <v>-12.636699999999999</v>
      </c>
      <c r="AD2912">
        <v>-1.10760802552499</v>
      </c>
      <c r="AE2912">
        <v>-8.5783000000000094</v>
      </c>
      <c r="AF2912">
        <v>-8.4240658967590694</v>
      </c>
      <c r="AG2912">
        <v>-1.10760802552499</v>
      </c>
      <c r="AH2912">
        <v>12.64413543733</v>
      </c>
      <c r="AI2912">
        <v>94.169524232857199</v>
      </c>
      <c r="AJ2912">
        <v>123.673256343872</v>
      </c>
      <c r="AK2912">
        <v>15.233707451854601</v>
      </c>
      <c r="AL2912">
        <v>85.832883561001694</v>
      </c>
      <c r="AM2912">
        <v>100.615824567102</v>
      </c>
      <c r="AN2912">
        <v>1.00000000027224</v>
      </c>
    </row>
    <row r="2913" spans="1:40" x14ac:dyDescent="0.3">
      <c r="A2913" t="str">
        <f>"20200111153934702"</f>
        <v>20200111153934702</v>
      </c>
      <c r="B2913" t="str">
        <f>"1578728374693927"</f>
        <v>1578728374693927</v>
      </c>
      <c r="C2913" t="s">
        <v>40</v>
      </c>
      <c r="D2913">
        <v>4.6199379999999897</v>
      </c>
      <c r="E2913">
        <v>0.34060269999999998</v>
      </c>
      <c r="F2913" t="s">
        <v>62</v>
      </c>
      <c r="G2913">
        <v>-401.10539999999997</v>
      </c>
      <c r="H2913" s="1">
        <v>-2.158441E-6</v>
      </c>
      <c r="I2913">
        <v>132.3682</v>
      </c>
      <c r="J2913">
        <v>-388.7629</v>
      </c>
      <c r="K2913">
        <v>1.1079239999999999</v>
      </c>
      <c r="L2913">
        <v>140.86269999999999</v>
      </c>
      <c r="M2913">
        <v>-0.99970309999999996</v>
      </c>
      <c r="N2913">
        <v>0</v>
      </c>
      <c r="O2913">
        <v>-1.1783500000000001E-2</v>
      </c>
      <c r="P2913">
        <v>-0.97822589999999998</v>
      </c>
      <c r="Q2913">
        <v>5.4608860000000002E-2</v>
      </c>
      <c r="R2913">
        <v>-0.20023009999999999</v>
      </c>
      <c r="S2913">
        <v>-2.7199399999999998</v>
      </c>
      <c r="T2913">
        <v>-0.23539869999999999</v>
      </c>
      <c r="U2913">
        <v>-1.8067169999999999</v>
      </c>
      <c r="V2913">
        <v>-0.18915969999999999</v>
      </c>
      <c r="W2913">
        <v>7.4317369999999994E-2</v>
      </c>
      <c r="X2913">
        <v>0.97912999999999994</v>
      </c>
      <c r="Y2913">
        <v>-0.54207550000000004</v>
      </c>
      <c r="Z2913">
        <v>-2.03646E-2</v>
      </c>
      <c r="AA2913">
        <v>0.84008289999999997</v>
      </c>
      <c r="AB2913">
        <v>45</v>
      </c>
      <c r="AC2913">
        <v>-12.3424999999999</v>
      </c>
      <c r="AD2913">
        <v>-1.1079261584409901</v>
      </c>
      <c r="AE2913">
        <v>-8.4944999999999808</v>
      </c>
      <c r="AF2913">
        <v>-8.3030392021564001</v>
      </c>
      <c r="AG2913">
        <v>-1.1079261584409901</v>
      </c>
      <c r="AH2913">
        <v>12.374100587716599</v>
      </c>
      <c r="AI2913">
        <v>94.252076864982101</v>
      </c>
      <c r="AJ2913">
        <v>123.86166780048499</v>
      </c>
      <c r="AK2913">
        <v>14.942768341911499</v>
      </c>
      <c r="AL2913">
        <v>85.737999018682601</v>
      </c>
      <c r="AM2913">
        <v>100.934357568667</v>
      </c>
      <c r="AN2913">
        <v>1.0000000102439</v>
      </c>
    </row>
    <row r="2914" spans="1:40" x14ac:dyDescent="0.3">
      <c r="A2914" t="str">
        <f>"20200111153934727"</f>
        <v>20200111153934727</v>
      </c>
      <c r="B2914" t="str">
        <f>"1578728374713447"</f>
        <v>1578728374713447</v>
      </c>
      <c r="C2914" t="s">
        <v>40</v>
      </c>
      <c r="D2914">
        <v>4.5447449999999998</v>
      </c>
      <c r="E2914">
        <v>0.34077750000000001</v>
      </c>
      <c r="F2914" t="s">
        <v>62</v>
      </c>
      <c r="G2914">
        <v>-401.8381</v>
      </c>
      <c r="H2914" s="1">
        <v>-2.4032510000000001E-6</v>
      </c>
      <c r="I2914">
        <v>132.0421</v>
      </c>
      <c r="J2914">
        <v>-389.21749999999997</v>
      </c>
      <c r="K2914">
        <v>1.108223</v>
      </c>
      <c r="L2914">
        <v>140.8545</v>
      </c>
      <c r="M2914">
        <v>-0.99966880000000002</v>
      </c>
      <c r="N2914">
        <v>0</v>
      </c>
      <c r="O2914">
        <v>-1.5273159999999999E-2</v>
      </c>
      <c r="P2914">
        <v>-0.97650590000000004</v>
      </c>
      <c r="Q2914">
        <v>5.778995E-2</v>
      </c>
      <c r="R2914">
        <v>-0.20759710000000001</v>
      </c>
      <c r="S2914">
        <v>-2.7059329999999999</v>
      </c>
      <c r="T2914">
        <v>-0.22928680000000001</v>
      </c>
      <c r="U2914">
        <v>-1.8254239999999999</v>
      </c>
      <c r="V2914">
        <v>-0.19321379999999999</v>
      </c>
      <c r="W2914">
        <v>7.6679049999999999E-2</v>
      </c>
      <c r="X2914">
        <v>0.97815580000000002</v>
      </c>
      <c r="Y2914">
        <v>-0.54521350000000002</v>
      </c>
      <c r="Z2914">
        <v>-1.9741060000000001E-2</v>
      </c>
      <c r="AA2914">
        <v>0.83806480000000005</v>
      </c>
      <c r="AB2914">
        <v>45</v>
      </c>
      <c r="AC2914">
        <v>-12.6206</v>
      </c>
      <c r="AD2914">
        <v>-1.1082254032509999</v>
      </c>
      <c r="AE2914">
        <v>-8.8123999999999896</v>
      </c>
      <c r="AF2914">
        <v>-8.5741300136261103</v>
      </c>
      <c r="AG2914">
        <v>-1.1082254032509999</v>
      </c>
      <c r="AH2914">
        <v>12.687981434648201</v>
      </c>
      <c r="AI2914">
        <v>94.139256164962603</v>
      </c>
      <c r="AJ2914">
        <v>124.049563304336</v>
      </c>
      <c r="AK2914">
        <v>15.353460258878201</v>
      </c>
      <c r="AL2914">
        <v>85.602297385555005</v>
      </c>
      <c r="AM2914">
        <v>101.173716442581</v>
      </c>
      <c r="AN2914">
        <v>1.00000000914649</v>
      </c>
    </row>
    <row r="2915" spans="1:40" x14ac:dyDescent="0.3">
      <c r="A2915" t="str">
        <f>"20200111153934746"</f>
        <v>20200111153934746</v>
      </c>
      <c r="B2915" t="str">
        <f>"1578728374743704"</f>
        <v>1578728374743704</v>
      </c>
      <c r="C2915" t="s">
        <v>40</v>
      </c>
      <c r="D2915">
        <v>4.5411739999999998</v>
      </c>
      <c r="E2915">
        <v>0.34137800000000001</v>
      </c>
      <c r="F2915" t="s">
        <v>41</v>
      </c>
      <c r="G2915">
        <v>-390.09460000000001</v>
      </c>
      <c r="H2915">
        <v>1.037128</v>
      </c>
      <c r="I2915">
        <v>140.2535</v>
      </c>
      <c r="J2915">
        <v>-389.6454</v>
      </c>
      <c r="K2915">
        <v>1.108479</v>
      </c>
      <c r="L2915">
        <v>140.8451</v>
      </c>
      <c r="M2915">
        <v>-0.99961880000000003</v>
      </c>
      <c r="N2915">
        <v>0</v>
      </c>
      <c r="O2915">
        <v>-1.891379E-2</v>
      </c>
      <c r="P2915">
        <v>-0.97469229999999996</v>
      </c>
      <c r="Q2915">
        <v>5.8768569999999999E-2</v>
      </c>
      <c r="R2915">
        <v>-0.21568870000000001</v>
      </c>
      <c r="S2915">
        <v>-2.6928100000000001</v>
      </c>
      <c r="T2915">
        <v>-0.2182653</v>
      </c>
      <c r="U2915">
        <v>-1.8453059999999999</v>
      </c>
      <c r="V2915">
        <v>-0.1978364</v>
      </c>
      <c r="W2915">
        <v>7.6846880000000006E-2</v>
      </c>
      <c r="X2915">
        <v>0.97721820000000004</v>
      </c>
      <c r="Y2915">
        <v>-0.54839519999999997</v>
      </c>
      <c r="Z2915">
        <v>-1.8685509999999999E-2</v>
      </c>
      <c r="AA2915">
        <v>0.83601049999999999</v>
      </c>
      <c r="AB2915">
        <v>45</v>
      </c>
      <c r="AC2915">
        <v>-0.44920000000001797</v>
      </c>
      <c r="AD2915">
        <v>-7.1350999999999901E-2</v>
      </c>
      <c r="AE2915">
        <v>-0.59159999999999902</v>
      </c>
      <c r="AF2915">
        <v>-0.57766644735757799</v>
      </c>
      <c r="AG2915">
        <v>-7.1350999999999901E-2</v>
      </c>
      <c r="AH2915">
        <v>0.456103001637094</v>
      </c>
      <c r="AI2915">
        <v>95.537030647778906</v>
      </c>
      <c r="AJ2915">
        <v>141.70674865124701</v>
      </c>
      <c r="AK2915">
        <v>0.73947240496592803</v>
      </c>
      <c r="AL2915">
        <v>85.592653146242398</v>
      </c>
      <c r="AM2915">
        <v>101.444764057491</v>
      </c>
      <c r="AN2915">
        <v>1.00000004727096</v>
      </c>
    </row>
    <row r="2916" spans="1:40" x14ac:dyDescent="0.3">
      <c r="A2916" t="str">
        <f>"20200111153934770"</f>
        <v>20200111153934770</v>
      </c>
      <c r="B2916" t="str">
        <f>"1578728374764201"</f>
        <v>1578728374764201</v>
      </c>
      <c r="C2916" t="s">
        <v>40</v>
      </c>
      <c r="D2916">
        <v>4.6517850000000003</v>
      </c>
      <c r="E2916">
        <v>0.34094419999999998</v>
      </c>
      <c r="F2916" t="s">
        <v>41</v>
      </c>
      <c r="G2916">
        <v>-390.49439999999998</v>
      </c>
      <c r="H2916">
        <v>1.0395760000000001</v>
      </c>
      <c r="I2916">
        <v>140.25489999999999</v>
      </c>
      <c r="J2916">
        <v>-390.1071</v>
      </c>
      <c r="K2916">
        <v>1.1087670000000001</v>
      </c>
      <c r="L2916">
        <v>140.83320000000001</v>
      </c>
      <c r="M2916">
        <v>-0.99954129999999997</v>
      </c>
      <c r="N2916">
        <v>0</v>
      </c>
      <c r="O2916">
        <v>-2.3199330000000001E-2</v>
      </c>
      <c r="P2916">
        <v>-0.97257380000000004</v>
      </c>
      <c r="Q2916">
        <v>5.8416940000000001E-2</v>
      </c>
      <c r="R2916">
        <v>-0.2251396</v>
      </c>
      <c r="S2916">
        <v>-2.6788639999999999</v>
      </c>
      <c r="T2916">
        <v>-0.21743119999999999</v>
      </c>
      <c r="U2916">
        <v>-1.8624270000000001</v>
      </c>
      <c r="V2916">
        <v>-0.20319770000000001</v>
      </c>
      <c r="W2916">
        <v>7.5620229999999997E-2</v>
      </c>
      <c r="X2916">
        <v>0.9762132</v>
      </c>
      <c r="Y2916">
        <v>-0.55046059999999997</v>
      </c>
      <c r="Z2916">
        <v>-1.8426669999999999E-2</v>
      </c>
      <c r="AA2916">
        <v>0.83465780000000001</v>
      </c>
      <c r="AB2916">
        <v>45</v>
      </c>
      <c r="AC2916">
        <v>-0.38729999999998199</v>
      </c>
      <c r="AD2916">
        <v>-6.9191000000000003E-2</v>
      </c>
      <c r="AE2916">
        <v>-0.57830000000001203</v>
      </c>
      <c r="AF2916">
        <v>-0.56358784408561102</v>
      </c>
      <c r="AG2916">
        <v>-6.9191000000000003E-2</v>
      </c>
      <c r="AH2916">
        <v>0.39669411356552697</v>
      </c>
      <c r="AI2916">
        <v>95.732893430215199</v>
      </c>
      <c r="AJ2916">
        <v>144.85933045556001</v>
      </c>
      <c r="AK2916">
        <v>0.69266505052558103</v>
      </c>
      <c r="AL2916">
        <v>85.663139789556297</v>
      </c>
      <c r="AM2916">
        <v>101.758160666389</v>
      </c>
      <c r="AN2916">
        <v>0.99999996816239001</v>
      </c>
    </row>
    <row r="2917" spans="1:40" x14ac:dyDescent="0.3">
      <c r="A2917" t="str">
        <f>"20200111153934792"</f>
        <v>20200111153934792</v>
      </c>
      <c r="B2917" t="str">
        <f>"1578728374783720"</f>
        <v>1578728374783720</v>
      </c>
      <c r="C2917" t="s">
        <v>40</v>
      </c>
      <c r="D2917">
        <v>4.538144</v>
      </c>
      <c r="E2917">
        <v>0.34153679999999997</v>
      </c>
      <c r="F2917" t="s">
        <v>41</v>
      </c>
      <c r="G2917">
        <v>-390.89760000000001</v>
      </c>
      <c r="H2917">
        <v>1.0466200000000001</v>
      </c>
      <c r="I2917">
        <v>140.27109999999999</v>
      </c>
      <c r="J2917">
        <v>-390.55459999999999</v>
      </c>
      <c r="K2917">
        <v>1.109059</v>
      </c>
      <c r="L2917">
        <v>140.81960000000001</v>
      </c>
      <c r="M2917">
        <v>-0.9994383</v>
      </c>
      <c r="N2917">
        <v>0</v>
      </c>
      <c r="O2917">
        <v>-2.7688770000000001E-2</v>
      </c>
      <c r="P2917">
        <v>-0.97036239999999996</v>
      </c>
      <c r="Q2917">
        <v>5.7450210000000002E-2</v>
      </c>
      <c r="R2917">
        <v>-0.23472709999999999</v>
      </c>
      <c r="S2917">
        <v>-2.6592709999999999</v>
      </c>
      <c r="T2917">
        <v>-0.2090236</v>
      </c>
      <c r="U2917">
        <v>-1.8917390000000001</v>
      </c>
      <c r="V2917">
        <v>-0.20850189999999999</v>
      </c>
      <c r="W2917">
        <v>7.3831389999999997E-2</v>
      </c>
      <c r="X2917">
        <v>0.97523119999999996</v>
      </c>
      <c r="Y2917">
        <v>-0.55580109999999905</v>
      </c>
      <c r="Z2917">
        <v>-1.764493E-2</v>
      </c>
      <c r="AA2917">
        <v>0.83112809999999904</v>
      </c>
      <c r="AB2917">
        <v>45</v>
      </c>
      <c r="AC2917">
        <v>-0.34300000000001701</v>
      </c>
      <c r="AD2917">
        <v>-6.2438999999999897E-2</v>
      </c>
      <c r="AE2917">
        <v>-0.54850000000001797</v>
      </c>
      <c r="AF2917">
        <v>-0.53381780274275803</v>
      </c>
      <c r="AG2917">
        <v>-6.2438999999999897E-2</v>
      </c>
      <c r="AH2917">
        <v>0.35475366603467701</v>
      </c>
      <c r="AI2917">
        <v>95.564024150896998</v>
      </c>
      <c r="AJ2917">
        <v>146.39359924501699</v>
      </c>
      <c r="AK2917">
        <v>0.64397999876638201</v>
      </c>
      <c r="AL2917">
        <v>85.765920306838197</v>
      </c>
      <c r="AM2917">
        <v>102.068004655763</v>
      </c>
      <c r="AN2917">
        <v>1.0000000049531901</v>
      </c>
    </row>
    <row r="2918" spans="1:40" x14ac:dyDescent="0.3">
      <c r="A2918" t="str">
        <f>"20200111153934813"</f>
        <v>20200111153934813</v>
      </c>
      <c r="B2918" t="str">
        <f>"1578728374803240"</f>
        <v>1578728374803240</v>
      </c>
      <c r="C2918" t="s">
        <v>40</v>
      </c>
      <c r="D2918">
        <v>4.5521770000000004</v>
      </c>
      <c r="E2918">
        <v>0.34210689999999999</v>
      </c>
      <c r="F2918" t="s">
        <v>41</v>
      </c>
      <c r="G2918">
        <v>-391.29930000000002</v>
      </c>
      <c r="H2918">
        <v>1.048551</v>
      </c>
      <c r="I2918">
        <v>140.28049999999999</v>
      </c>
      <c r="J2918">
        <v>-390.97629999999998</v>
      </c>
      <c r="K2918">
        <v>1.109356</v>
      </c>
      <c r="L2918">
        <v>140.8048</v>
      </c>
      <c r="M2918">
        <v>-0.99931219999999998</v>
      </c>
      <c r="N2918">
        <v>0</v>
      </c>
      <c r="O2918">
        <v>-3.2212289999999998E-2</v>
      </c>
      <c r="P2918">
        <v>-0.96838729999999995</v>
      </c>
      <c r="Q2918">
        <v>5.6773499999999998E-2</v>
      </c>
      <c r="R2918">
        <v>-0.2429056</v>
      </c>
      <c r="S2918">
        <v>-2.6416019999999998</v>
      </c>
      <c r="T2918">
        <v>-0.21461240000000001</v>
      </c>
      <c r="U2918">
        <v>-1.9128270000000001</v>
      </c>
      <c r="V2918">
        <v>-0.21236749999999999</v>
      </c>
      <c r="W2918">
        <v>7.2426110000000002E-2</v>
      </c>
      <c r="X2918">
        <v>0.97450210000000004</v>
      </c>
      <c r="Y2918">
        <v>-0.55896630000000003</v>
      </c>
      <c r="Z2918">
        <v>-1.7964210000000001E-2</v>
      </c>
      <c r="AA2918">
        <v>0.8289957</v>
      </c>
      <c r="AB2918">
        <v>45</v>
      </c>
      <c r="AC2918">
        <v>-0.32300000000003498</v>
      </c>
      <c r="AD2918">
        <v>-6.0804999999999998E-2</v>
      </c>
      <c r="AE2918">
        <v>-0.52430000000000998</v>
      </c>
      <c r="AF2918">
        <v>-0.50866223025435098</v>
      </c>
      <c r="AG2918">
        <v>-6.0804999999999998E-2</v>
      </c>
      <c r="AH2918">
        <v>0.33644387492928601</v>
      </c>
      <c r="AI2918">
        <v>95.693737019095494</v>
      </c>
      <c r="AJ2918">
        <v>146.51819981649001</v>
      </c>
      <c r="AK2918">
        <v>0.61288579155480805</v>
      </c>
      <c r="AL2918">
        <v>85.846652732806106</v>
      </c>
      <c r="AM2918">
        <v>102.293920262298</v>
      </c>
      <c r="AN2918">
        <v>0.99999991968519197</v>
      </c>
    </row>
    <row r="2919" spans="1:40" x14ac:dyDescent="0.3">
      <c r="A2919" t="str">
        <f>"20200111153934835"</f>
        <v>20200111153934835</v>
      </c>
      <c r="B2919" t="str">
        <f>"1578728374823736"</f>
        <v>1578728374823736</v>
      </c>
      <c r="C2919" t="s">
        <v>40</v>
      </c>
      <c r="D2919">
        <v>4.5768089999999999</v>
      </c>
      <c r="E2919">
        <v>0.34286369999999999</v>
      </c>
      <c r="F2919" t="s">
        <v>41</v>
      </c>
      <c r="G2919">
        <v>-391.69729999999998</v>
      </c>
      <c r="H2919">
        <v>1.049142</v>
      </c>
      <c r="I2919">
        <v>140.27529999999999</v>
      </c>
      <c r="J2919">
        <v>-391.41329999999999</v>
      </c>
      <c r="K2919">
        <v>1.1096699999999999</v>
      </c>
      <c r="L2919">
        <v>140.78729999999999</v>
      </c>
      <c r="M2919">
        <v>-0.99914829999999999</v>
      </c>
      <c r="N2919">
        <v>0</v>
      </c>
      <c r="O2919">
        <v>-3.7181579999999999E-2</v>
      </c>
      <c r="P2919">
        <v>-0.96621860000000004</v>
      </c>
      <c r="Q2919">
        <v>5.6603380000000002E-2</v>
      </c>
      <c r="R2919">
        <v>-0.25143140000000003</v>
      </c>
      <c r="S2919">
        <v>-2.626617</v>
      </c>
      <c r="T2919">
        <v>-0.219335</v>
      </c>
      <c r="U2919">
        <v>-1.9303129999999999</v>
      </c>
      <c r="V2919">
        <v>-0.21616969999999999</v>
      </c>
      <c r="W2919">
        <v>7.1540530000000005E-2</v>
      </c>
      <c r="X2919">
        <v>0.97373129999999997</v>
      </c>
      <c r="Y2919">
        <v>-0.56063540000000001</v>
      </c>
      <c r="Z2919">
        <v>-1.8105349999999999E-2</v>
      </c>
      <c r="AA2919">
        <v>0.82786479999999996</v>
      </c>
      <c r="AB2919">
        <v>45</v>
      </c>
      <c r="AC2919">
        <v>-0.28399999999999098</v>
      </c>
      <c r="AD2919">
        <v>-6.0528000000000103E-2</v>
      </c>
      <c r="AE2919">
        <v>-0.51200000000000001</v>
      </c>
      <c r="AF2919">
        <v>-0.495785932354391</v>
      </c>
      <c r="AG2919">
        <v>-6.0528000000000103E-2</v>
      </c>
      <c r="AH2919">
        <v>0.299641192424902</v>
      </c>
      <c r="AI2919">
        <v>95.964889735678298</v>
      </c>
      <c r="AJ2919">
        <v>148.85223549227399</v>
      </c>
      <c r="AK2919">
        <v>0.58245358072753795</v>
      </c>
      <c r="AL2919">
        <v>85.897525099481598</v>
      </c>
      <c r="AM2919">
        <v>102.51674969786001</v>
      </c>
      <c r="AN2919">
        <v>1.00000001561523</v>
      </c>
    </row>
    <row r="2920" spans="1:40" x14ac:dyDescent="0.3">
      <c r="A2920" t="str">
        <f>"20200111153934857"</f>
        <v>20200111153934857</v>
      </c>
      <c r="B2920" t="str">
        <f>"1578728374853993"</f>
        <v>1578728374853993</v>
      </c>
      <c r="C2920" t="s">
        <v>40</v>
      </c>
      <c r="D2920">
        <v>4.5923309999999997</v>
      </c>
      <c r="E2920">
        <v>0.34400039999999998</v>
      </c>
      <c r="F2920" t="s">
        <v>62</v>
      </c>
      <c r="G2920">
        <v>-404.50920000000002</v>
      </c>
      <c r="H2920" s="1">
        <v>-3.3523329999999999E-6</v>
      </c>
      <c r="I2920">
        <v>131.02070000000001</v>
      </c>
      <c r="J2920">
        <v>-391.8603</v>
      </c>
      <c r="K2920">
        <v>1.1100000000000001</v>
      </c>
      <c r="L2920">
        <v>140.76679999999999</v>
      </c>
      <c r="M2920">
        <v>-0.99894150000000004</v>
      </c>
      <c r="N2920">
        <v>0</v>
      </c>
      <c r="O2920">
        <v>-4.2557850000000001E-2</v>
      </c>
      <c r="P2920">
        <v>-0.96387610000000001</v>
      </c>
      <c r="Q2920">
        <v>5.7356369999999997E-2</v>
      </c>
      <c r="R2920">
        <v>-0.26010220000000001</v>
      </c>
      <c r="S2920">
        <v>-2.611145</v>
      </c>
      <c r="T2920">
        <v>-0.2212538</v>
      </c>
      <c r="U2920">
        <v>-1.947311</v>
      </c>
      <c r="V2920">
        <v>-0.21975020000000001</v>
      </c>
      <c r="W2920">
        <v>7.1615199999999907E-2</v>
      </c>
      <c r="X2920">
        <v>0.97292400000000001</v>
      </c>
      <c r="Y2920">
        <v>-0.56197719999999995</v>
      </c>
      <c r="Z2920">
        <v>-1.7967219999999999E-2</v>
      </c>
      <c r="AA2920">
        <v>0.82695750000000001</v>
      </c>
      <c r="AB2920">
        <v>45</v>
      </c>
      <c r="AC2920">
        <v>-12.648899999999999</v>
      </c>
      <c r="AD2920">
        <v>-1.110003352333</v>
      </c>
      <c r="AE2920">
        <v>-9.7460999999999807</v>
      </c>
      <c r="AF2920">
        <v>-9.1546387609984201</v>
      </c>
      <c r="AG2920">
        <v>-1.110003352333</v>
      </c>
      <c r="AH2920">
        <v>12.9895056678054</v>
      </c>
      <c r="AI2920">
        <v>93.995596331841497</v>
      </c>
      <c r="AJ2920">
        <v>125.175106095782</v>
      </c>
      <c r="AK2920">
        <v>15.930058875613501</v>
      </c>
      <c r="AL2920">
        <v>85.893235751446696</v>
      </c>
      <c r="AM2920">
        <v>102.72758785839</v>
      </c>
      <c r="AN2920">
        <v>0.99999999852353905</v>
      </c>
    </row>
    <row r="2921" spans="1:40" x14ac:dyDescent="0.3">
      <c r="A2921" t="str">
        <f>"20200111153934881"</f>
        <v>20200111153934881</v>
      </c>
      <c r="B2921" t="str">
        <f>"1578728374873511"</f>
        <v>1578728374873511</v>
      </c>
      <c r="C2921" t="s">
        <v>40</v>
      </c>
      <c r="D2921">
        <v>4.5938829999999999</v>
      </c>
      <c r="E2921">
        <v>0.34482210000000002</v>
      </c>
      <c r="F2921" t="s">
        <v>62</v>
      </c>
      <c r="G2921">
        <v>-405.0068</v>
      </c>
      <c r="H2921" s="1">
        <v>-3.4947799999999999E-6</v>
      </c>
      <c r="I2921">
        <v>130.82810000000001</v>
      </c>
      <c r="J2921">
        <v>-392.31990000000002</v>
      </c>
      <c r="K2921">
        <v>1.110333</v>
      </c>
      <c r="L2921">
        <v>140.7432</v>
      </c>
      <c r="M2921">
        <v>-0.99868559999999995</v>
      </c>
      <c r="N2921">
        <v>0</v>
      </c>
      <c r="O2921">
        <v>-4.8334889999999998E-2</v>
      </c>
      <c r="P2921">
        <v>-0.96158929999999998</v>
      </c>
      <c r="Q2921">
        <v>5.797596E-2</v>
      </c>
      <c r="R2921">
        <v>-0.26829979999999998</v>
      </c>
      <c r="S2921">
        <v>-2.5958860000000001</v>
      </c>
      <c r="T2921">
        <v>-0.21917929999999999</v>
      </c>
      <c r="U2921">
        <v>-1.9624790000000001</v>
      </c>
      <c r="V2921">
        <v>-0.22247539999999999</v>
      </c>
      <c r="W2921">
        <v>7.1606639999999999E-2</v>
      </c>
      <c r="X2921">
        <v>0.97230510000000003</v>
      </c>
      <c r="Y2921">
        <v>-0.56263430000000003</v>
      </c>
      <c r="Z2921">
        <v>-1.7450859999999999E-2</v>
      </c>
      <c r="AA2921">
        <v>0.82652169999999903</v>
      </c>
      <c r="AB2921">
        <v>45</v>
      </c>
      <c r="AC2921">
        <v>-12.6868999999999</v>
      </c>
      <c r="AD2921">
        <v>-1.1103364947799901</v>
      </c>
      <c r="AE2921">
        <v>-9.91509999999999</v>
      </c>
      <c r="AF2921">
        <v>-9.2462315667860899</v>
      </c>
      <c r="AG2921">
        <v>-1.1103364947799901</v>
      </c>
      <c r="AH2921">
        <v>13.089141430099801</v>
      </c>
      <c r="AI2921">
        <v>93.963425178675095</v>
      </c>
      <c r="AJ2921">
        <v>125.237564861783</v>
      </c>
      <c r="AK2921">
        <v>16.063974249712501</v>
      </c>
      <c r="AL2921">
        <v>85.893727517011698</v>
      </c>
      <c r="AM2921">
        <v>102.888118452463</v>
      </c>
      <c r="AN2921">
        <v>1.0000000109916201</v>
      </c>
    </row>
    <row r="2922" spans="1:40" x14ac:dyDescent="0.3">
      <c r="A2922" t="str">
        <f>"20200111153934902"</f>
        <v>20200111153934902</v>
      </c>
      <c r="B2922" t="str">
        <f>"1578728374894007"</f>
        <v>1578728374894007</v>
      </c>
      <c r="C2922" t="s">
        <v>40</v>
      </c>
      <c r="D2922">
        <v>4.6385259999999997</v>
      </c>
      <c r="E2922">
        <v>0.34573599999999999</v>
      </c>
      <c r="F2922" t="s">
        <v>62</v>
      </c>
      <c r="G2922">
        <v>-405.52690000000001</v>
      </c>
      <c r="H2922" s="1">
        <v>-3.7510880000000001E-6</v>
      </c>
      <c r="I2922">
        <v>130.6172</v>
      </c>
      <c r="J2922">
        <v>-392.75650000000002</v>
      </c>
      <c r="K2922">
        <v>1.11063</v>
      </c>
      <c r="L2922">
        <v>140.7182</v>
      </c>
      <c r="M2922">
        <v>-0.99839849999999997</v>
      </c>
      <c r="N2922">
        <v>0</v>
      </c>
      <c r="O2922">
        <v>-5.4048520000000003E-2</v>
      </c>
      <c r="P2922">
        <v>-0.95923340000000001</v>
      </c>
      <c r="Q2922">
        <v>5.8228189999999999E-2</v>
      </c>
      <c r="R2922">
        <v>-0.2765512</v>
      </c>
      <c r="S2922">
        <v>-2.5808110000000002</v>
      </c>
      <c r="T2922">
        <v>-0.21697340000000001</v>
      </c>
      <c r="U2922">
        <v>-1.978745</v>
      </c>
      <c r="V2922">
        <v>-0.2253233</v>
      </c>
      <c r="W2922">
        <v>7.1304140000000002E-2</v>
      </c>
      <c r="X2922">
        <v>0.97167130000000002</v>
      </c>
      <c r="Y2922">
        <v>-0.5635462</v>
      </c>
      <c r="Z2922">
        <v>-1.6940090000000001E-2</v>
      </c>
      <c r="AA2922">
        <v>0.8259109</v>
      </c>
      <c r="AB2922">
        <v>45</v>
      </c>
      <c r="AC2922">
        <v>-12.770399999999899</v>
      </c>
      <c r="AD2922">
        <v>-1.110633751088</v>
      </c>
      <c r="AE2922">
        <v>-10.101000000000001</v>
      </c>
      <c r="AF2922">
        <v>-9.3523993320858096</v>
      </c>
      <c r="AG2922">
        <v>-1.110633751088</v>
      </c>
      <c r="AH2922">
        <v>13.236164121933699</v>
      </c>
      <c r="AI2922">
        <v>93.920263409968001</v>
      </c>
      <c r="AJ2922">
        <v>125.24423565946999</v>
      </c>
      <c r="AK2922">
        <v>16.244904470590701</v>
      </c>
      <c r="AL2922">
        <v>85.911103832344196</v>
      </c>
      <c r="AM2922">
        <v>103.055706965494</v>
      </c>
      <c r="AN2922">
        <v>0.99999999257385896</v>
      </c>
    </row>
    <row r="2923" spans="1:40" x14ac:dyDescent="0.3">
      <c r="A2923" t="str">
        <f>"20200111153934925"</f>
        <v>20200111153934925</v>
      </c>
      <c r="B2923" t="str">
        <f>"1578728374913528"</f>
        <v>1578728374913528</v>
      </c>
      <c r="C2923" t="s">
        <v>40</v>
      </c>
      <c r="D2923">
        <v>4.7091690000000002</v>
      </c>
      <c r="E2923">
        <v>0.34615240000000003</v>
      </c>
      <c r="F2923" t="s">
        <v>62</v>
      </c>
      <c r="G2923">
        <v>-405.8562</v>
      </c>
      <c r="H2923" s="1">
        <v>-3.9384149999999996E-6</v>
      </c>
      <c r="I2923">
        <v>130.53729999999999</v>
      </c>
      <c r="J2923">
        <v>-393.18830000000003</v>
      </c>
      <c r="K2923">
        <v>1.1109290000000001</v>
      </c>
      <c r="L2923">
        <v>140.6909</v>
      </c>
      <c r="M2923">
        <v>-0.9980677</v>
      </c>
      <c r="N2923">
        <v>0</v>
      </c>
      <c r="O2923">
        <v>-5.9929400000000001E-2</v>
      </c>
      <c r="P2923">
        <v>-0.95677389999999995</v>
      </c>
      <c r="Q2923">
        <v>5.8556150000000001E-2</v>
      </c>
      <c r="R2923">
        <v>-0.2848772</v>
      </c>
      <c r="S2923">
        <v>-2.5658259999999999</v>
      </c>
      <c r="T2923">
        <v>-0.21753839999999999</v>
      </c>
      <c r="U2923">
        <v>-1.99411</v>
      </c>
      <c r="V2923">
        <v>-0.22810069999999999</v>
      </c>
      <c r="W2923">
        <v>7.1122469999999993E-2</v>
      </c>
      <c r="X2923">
        <v>0.97103640000000002</v>
      </c>
      <c r="Y2923">
        <v>-0.5641022</v>
      </c>
      <c r="Z2923">
        <v>-1.6621250000000001E-2</v>
      </c>
      <c r="AA2923">
        <v>0.82553770000000004</v>
      </c>
      <c r="AB2923">
        <v>45</v>
      </c>
      <c r="AC2923">
        <v>-12.6678999999999</v>
      </c>
      <c r="AD2923">
        <v>-1.110932938415</v>
      </c>
      <c r="AE2923">
        <v>-10.153600000000001</v>
      </c>
      <c r="AF2923">
        <v>-9.3323645025667297</v>
      </c>
      <c r="AG2923">
        <v>-1.110932938415</v>
      </c>
      <c r="AH2923">
        <v>13.1919347173431</v>
      </c>
      <c r="AI2923">
        <v>93.932850522398297</v>
      </c>
      <c r="AJ2923">
        <v>125.27671684649199</v>
      </c>
      <c r="AK2923">
        <v>16.197355981426899</v>
      </c>
      <c r="AL2923">
        <v>85.921539332907898</v>
      </c>
      <c r="AM2923">
        <v>103.21935898620799</v>
      </c>
      <c r="AN2923">
        <v>1.00000001260217</v>
      </c>
    </row>
    <row r="2924" spans="1:40" x14ac:dyDescent="0.3">
      <c r="A2924" t="str">
        <f>"20200111153934947"</f>
        <v>20200111153934947</v>
      </c>
      <c r="B2924" t="str">
        <f>"1578728374943784"</f>
        <v>1578728374943784</v>
      </c>
      <c r="C2924" t="s">
        <v>40</v>
      </c>
      <c r="D2924">
        <v>4.7099399999999996</v>
      </c>
      <c r="E2924">
        <v>0.34741100000000003</v>
      </c>
      <c r="F2924" t="s">
        <v>62</v>
      </c>
      <c r="G2924">
        <v>-406.57119999999998</v>
      </c>
      <c r="H2924" s="1">
        <v>-4.2313079999999998E-6</v>
      </c>
      <c r="I2924">
        <v>130.12010000000001</v>
      </c>
      <c r="J2924">
        <v>-393.63760000000002</v>
      </c>
      <c r="K2924">
        <v>1.111251</v>
      </c>
      <c r="L2924">
        <v>140.65969999999999</v>
      </c>
      <c r="M2924">
        <v>-0.99766929999999998</v>
      </c>
      <c r="N2924">
        <v>0</v>
      </c>
      <c r="O2924">
        <v>-6.6297889999999998E-2</v>
      </c>
      <c r="P2924">
        <v>-0.95425190000000004</v>
      </c>
      <c r="Q2924">
        <v>5.9969410000000001E-2</v>
      </c>
      <c r="R2924">
        <v>-0.29292810000000002</v>
      </c>
      <c r="S2924">
        <v>-2.5490110000000001</v>
      </c>
      <c r="T2924">
        <v>-0.2115968</v>
      </c>
      <c r="U2924">
        <v>-2.0133969999999999</v>
      </c>
      <c r="V2924">
        <v>-0.23016639999999999</v>
      </c>
      <c r="W2924">
        <v>7.2056079999999995E-2</v>
      </c>
      <c r="X2924">
        <v>0.97048000000000001</v>
      </c>
      <c r="Y2924">
        <v>-0.56539640000000002</v>
      </c>
      <c r="Z2924">
        <v>-1.5807720000000001E-2</v>
      </c>
      <c r="AA2924">
        <v>0.82466790000000001</v>
      </c>
      <c r="AB2924">
        <v>45</v>
      </c>
      <c r="AC2924">
        <v>-12.933599999999901</v>
      </c>
      <c r="AD2924">
        <v>-1.111255231308</v>
      </c>
      <c r="AE2924">
        <v>-10.539599999999901</v>
      </c>
      <c r="AF2924">
        <v>-9.6161633905506196</v>
      </c>
      <c r="AG2924">
        <v>-1.111255231308</v>
      </c>
      <c r="AH2924">
        <v>13.5438968041392</v>
      </c>
      <c r="AI2924">
        <v>93.827435095906296</v>
      </c>
      <c r="AJ2924">
        <v>125.374742448822</v>
      </c>
      <c r="AK2924">
        <v>16.647601244144699</v>
      </c>
      <c r="AL2924">
        <v>85.867909931039407</v>
      </c>
      <c r="AM2924">
        <v>103.342188189029</v>
      </c>
      <c r="AN2924">
        <v>1.00000004037696</v>
      </c>
    </row>
    <row r="2925" spans="1:40" x14ac:dyDescent="0.3">
      <c r="A2925" t="str">
        <f>"20200111153934970"</f>
        <v>20200111153934970</v>
      </c>
      <c r="B2925" t="str">
        <f>"1578728374963303"</f>
        <v>1578728374963303</v>
      </c>
      <c r="C2925" t="s">
        <v>40</v>
      </c>
      <c r="D2925">
        <v>4.7123999999999997</v>
      </c>
      <c r="E2925">
        <v>0.34813769999999999</v>
      </c>
      <c r="F2925" t="s">
        <v>41</v>
      </c>
      <c r="G2925">
        <v>-394.42860000000002</v>
      </c>
      <c r="H2925">
        <v>1.0461149999999999</v>
      </c>
      <c r="I2925">
        <v>140.02780000000001</v>
      </c>
      <c r="J2925">
        <v>-394.08429999999998</v>
      </c>
      <c r="K2925">
        <v>1.111577</v>
      </c>
      <c r="L2925">
        <v>140.62559999999999</v>
      </c>
      <c r="M2925">
        <v>-0.9972126</v>
      </c>
      <c r="N2925">
        <v>0</v>
      </c>
      <c r="O2925">
        <v>-7.2895109999999999E-2</v>
      </c>
      <c r="P2925">
        <v>-0.9515865</v>
      </c>
      <c r="Q2925">
        <v>6.1387480000000001E-2</v>
      </c>
      <c r="R2925">
        <v>-0.30118859999999997</v>
      </c>
      <c r="S2925">
        <v>-2.5351560000000002</v>
      </c>
      <c r="T2925">
        <v>-0.2087724</v>
      </c>
      <c r="U2925">
        <v>-2.0255429999999999</v>
      </c>
      <c r="V2925">
        <v>-0.23224529999999999</v>
      </c>
      <c r="W2925">
        <v>7.3025809999999997E-2</v>
      </c>
      <c r="X2925">
        <v>0.96991210000000005</v>
      </c>
      <c r="Y2925">
        <v>-0.56458920000000001</v>
      </c>
      <c r="Z2925">
        <v>-1.514504E-2</v>
      </c>
      <c r="AA2925">
        <v>0.82523310000000005</v>
      </c>
      <c r="AB2925">
        <v>45</v>
      </c>
      <c r="AC2925">
        <v>-0.34430000000003202</v>
      </c>
      <c r="AD2925">
        <v>-6.5462000000000103E-2</v>
      </c>
      <c r="AE2925">
        <v>-0.59779999999997802</v>
      </c>
      <c r="AF2925">
        <v>-0.56601163962713996</v>
      </c>
      <c r="AG2925">
        <v>-6.5462000000000103E-2</v>
      </c>
      <c r="AH2925">
        <v>0.383512701108775</v>
      </c>
      <c r="AI2925">
        <v>95.469176194701404</v>
      </c>
      <c r="AJ2925">
        <v>145.87959763754901</v>
      </c>
      <c r="AK2925">
        <v>0.68683072263051304</v>
      </c>
      <c r="AL2925">
        <v>85.812201831284398</v>
      </c>
      <c r="AM2925">
        <v>103.465924646857</v>
      </c>
      <c r="AN2925">
        <v>1.00000006501232</v>
      </c>
    </row>
    <row r="2926" spans="1:40" x14ac:dyDescent="0.3">
      <c r="A2926" t="str">
        <f>"20200111153934992"</f>
        <v>20200111153934992</v>
      </c>
      <c r="B2926" t="str">
        <f>"1578728374983799"</f>
        <v>1578728374983799</v>
      </c>
      <c r="C2926" t="s">
        <v>40</v>
      </c>
      <c r="D2926">
        <v>4.69062</v>
      </c>
      <c r="E2926">
        <v>0.34862870000000001</v>
      </c>
      <c r="F2926" t="s">
        <v>41</v>
      </c>
      <c r="G2926">
        <v>-394.82749999999999</v>
      </c>
      <c r="H2926">
        <v>1.0510250000000001</v>
      </c>
      <c r="I2926">
        <v>140.0232</v>
      </c>
      <c r="J2926">
        <v>-394.52330000000001</v>
      </c>
      <c r="K2926">
        <v>1.11191</v>
      </c>
      <c r="L2926">
        <v>140.5891</v>
      </c>
      <c r="M2926">
        <v>-0.99669719999999995</v>
      </c>
      <c r="N2926">
        <v>0</v>
      </c>
      <c r="O2926">
        <v>-7.9670699999999997E-2</v>
      </c>
      <c r="P2926">
        <v>-0.94851540000000001</v>
      </c>
      <c r="Q2926">
        <v>6.2939599999999998E-2</v>
      </c>
      <c r="R2926">
        <v>-0.31041489999999999</v>
      </c>
      <c r="S2926">
        <v>-2.519409</v>
      </c>
      <c r="T2926">
        <v>-0.2052225</v>
      </c>
      <c r="U2926">
        <v>-2.0425420000000001</v>
      </c>
      <c r="V2926">
        <v>-0.2351644</v>
      </c>
      <c r="W2926">
        <v>7.4140949999999997E-2</v>
      </c>
      <c r="X2926">
        <v>0.96912370000000003</v>
      </c>
      <c r="Y2926">
        <v>-0.56490759999999995</v>
      </c>
      <c r="Z2926">
        <v>-1.4469930000000001E-2</v>
      </c>
      <c r="AA2926">
        <v>0.82502730000000002</v>
      </c>
      <c r="AB2926">
        <v>44</v>
      </c>
      <c r="AC2926">
        <v>-0.30419999999997999</v>
      </c>
      <c r="AD2926">
        <v>-6.08849999999998E-2</v>
      </c>
      <c r="AE2926">
        <v>-0.56589999999999896</v>
      </c>
      <c r="AF2926">
        <v>-0.53505678048122796</v>
      </c>
      <c r="AG2926">
        <v>-6.08849999999998E-2</v>
      </c>
      <c r="AH2926">
        <v>0.34522371665048002</v>
      </c>
      <c r="AI2926">
        <v>95.461825992083405</v>
      </c>
      <c r="AJ2926">
        <v>147.16950794582201</v>
      </c>
      <c r="AK2926">
        <v>0.63966565962376598</v>
      </c>
      <c r="AL2926">
        <v>85.748134892287894</v>
      </c>
      <c r="AM2926">
        <v>103.639576027359</v>
      </c>
      <c r="AN2926">
        <v>0.99999996069797503</v>
      </c>
    </row>
    <row r="2927" spans="1:40" x14ac:dyDescent="0.3">
      <c r="A2927" t="str">
        <f>"20200111153935014"</f>
        <v>20200111153935014</v>
      </c>
      <c r="B2927" t="str">
        <f>"1578728375003320"</f>
        <v>1578728375003320</v>
      </c>
      <c r="C2927" t="s">
        <v>40</v>
      </c>
      <c r="D2927">
        <v>4.7459889999999998</v>
      </c>
      <c r="E2927">
        <v>0.3491977</v>
      </c>
      <c r="F2927" t="s">
        <v>41</v>
      </c>
      <c r="G2927">
        <v>-395.22449999999998</v>
      </c>
      <c r="H2927">
        <v>1.0556110000000001</v>
      </c>
      <c r="I2927">
        <v>140.0104</v>
      </c>
      <c r="J2927">
        <v>-394.94549999999998</v>
      </c>
      <c r="K2927">
        <v>1.112239</v>
      </c>
      <c r="L2927">
        <v>140.55099999999999</v>
      </c>
      <c r="M2927">
        <v>-0.99613079999999998</v>
      </c>
      <c r="N2927">
        <v>0</v>
      </c>
      <c r="O2927">
        <v>-8.6493819999999999E-2</v>
      </c>
      <c r="P2927">
        <v>-0.94507980000000003</v>
      </c>
      <c r="Q2927">
        <v>6.4641290000000004E-2</v>
      </c>
      <c r="R2927">
        <v>-0.3203838</v>
      </c>
      <c r="S2927">
        <v>-2.5008240000000002</v>
      </c>
      <c r="T2927">
        <v>-0.20079910000000001</v>
      </c>
      <c r="U2927">
        <v>-2.0635530000000002</v>
      </c>
      <c r="V2927">
        <v>-0.2388335</v>
      </c>
      <c r="W2927">
        <v>7.5417200000000004E-2</v>
      </c>
      <c r="X2927">
        <v>0.96812750000000003</v>
      </c>
      <c r="Y2927">
        <v>-0.56643929999999998</v>
      </c>
      <c r="Z2927">
        <v>-1.379272E-2</v>
      </c>
      <c r="AA2927">
        <v>0.823988099999999</v>
      </c>
      <c r="AB2927">
        <v>44</v>
      </c>
      <c r="AC2927">
        <v>-0.27899999999999597</v>
      </c>
      <c r="AD2927">
        <v>-5.6627999999999901E-2</v>
      </c>
      <c r="AE2927">
        <v>-0.54060000000001196</v>
      </c>
      <c r="AF2927">
        <v>-0.51001965855667197</v>
      </c>
      <c r="AG2927">
        <v>-5.6627999999999901E-2</v>
      </c>
      <c r="AH2927">
        <v>0.321928953246367</v>
      </c>
      <c r="AI2927">
        <v>95.363843094679794</v>
      </c>
      <c r="AJ2927">
        <v>147.73951415873699</v>
      </c>
      <c r="AK2927">
        <v>0.60577638897250397</v>
      </c>
      <c r="AL2927">
        <v>85.674806114434105</v>
      </c>
      <c r="AM2927">
        <v>103.85795352711099</v>
      </c>
      <c r="AN2927">
        <v>1.0000000255171599</v>
      </c>
    </row>
    <row r="2928" spans="1:40" x14ac:dyDescent="0.3">
      <c r="A2928" t="str">
        <f>"20200111153935037"</f>
        <v>20200111153935037</v>
      </c>
      <c r="B2928" t="str">
        <f>"1578728375033576"</f>
        <v>1578728375033576</v>
      </c>
      <c r="C2928" t="s">
        <v>40</v>
      </c>
      <c r="D2928">
        <v>4.6993169999999997</v>
      </c>
      <c r="E2928">
        <v>0.34998459999999998</v>
      </c>
      <c r="F2928" t="s">
        <v>41</v>
      </c>
      <c r="G2928">
        <v>-395.61829999999998</v>
      </c>
      <c r="H2928">
        <v>1.058719</v>
      </c>
      <c r="I2928">
        <v>139.98570000000001</v>
      </c>
      <c r="J2928">
        <v>-395.38560000000001</v>
      </c>
      <c r="K2928">
        <v>1.112609</v>
      </c>
      <c r="L2928">
        <v>140.5077</v>
      </c>
      <c r="M2928">
        <v>-0.99545399999999995</v>
      </c>
      <c r="N2928">
        <v>0</v>
      </c>
      <c r="O2928">
        <v>-9.3983280000000002E-2</v>
      </c>
      <c r="P2928">
        <v>-0.94138909999999998</v>
      </c>
      <c r="Q2928">
        <v>6.5408709999999995E-2</v>
      </c>
      <c r="R2928">
        <v>-0.33091999999999999</v>
      </c>
      <c r="S2928">
        <v>-2.480896</v>
      </c>
      <c r="T2928">
        <v>-0.1973335</v>
      </c>
      <c r="U2928">
        <v>-2.0852360000000001</v>
      </c>
      <c r="V2928">
        <v>-0.24245349999999999</v>
      </c>
      <c r="W2928">
        <v>7.5757640000000001E-2</v>
      </c>
      <c r="X2928">
        <v>0.96720059999999997</v>
      </c>
      <c r="Y2928">
        <v>-0.5677605</v>
      </c>
      <c r="Z2928">
        <v>-1.314565E-2</v>
      </c>
      <c r="AA2928">
        <v>0.82308879999999995</v>
      </c>
      <c r="AB2928">
        <v>44</v>
      </c>
      <c r="AC2928">
        <v>-0.23269999999996499</v>
      </c>
      <c r="AD2928">
        <v>-5.3889999999999903E-2</v>
      </c>
      <c r="AE2928">
        <v>-0.52199999999999103</v>
      </c>
      <c r="AF2928">
        <v>-0.49342930753069297</v>
      </c>
      <c r="AG2928">
        <v>-5.3889999999999903E-2</v>
      </c>
      <c r="AH2928">
        <v>0.278260846910236</v>
      </c>
      <c r="AI2928">
        <v>95.434253428274403</v>
      </c>
      <c r="AJ2928">
        <v>150.57993382405999</v>
      </c>
      <c r="AK2928">
        <v>0.56903928911229096</v>
      </c>
      <c r="AL2928">
        <v>85.655244092523901</v>
      </c>
      <c r="AM2928">
        <v>104.072664642782</v>
      </c>
      <c r="AN2928">
        <v>0.99999996016048798</v>
      </c>
    </row>
    <row r="2929" spans="1:40" x14ac:dyDescent="0.3">
      <c r="A2929" t="str">
        <f>"20200111153935059"</f>
        <v>20200111153935059</v>
      </c>
      <c r="B2929" t="str">
        <f>"1578728375054072"</f>
        <v>1578728375054072</v>
      </c>
      <c r="C2929" t="s">
        <v>40</v>
      </c>
      <c r="D2929">
        <v>4.7547499999999996</v>
      </c>
      <c r="E2929">
        <v>0.35064390000000001</v>
      </c>
      <c r="F2929" t="s">
        <v>62</v>
      </c>
      <c r="G2929">
        <v>-409.30829999999997</v>
      </c>
      <c r="H2929" s="1">
        <v>-5.5237780000000002E-6</v>
      </c>
      <c r="I2929">
        <v>128.58269999999999</v>
      </c>
      <c r="J2929">
        <v>-395.8272</v>
      </c>
      <c r="K2929">
        <v>1.1129929999999999</v>
      </c>
      <c r="L2929">
        <v>140.4606</v>
      </c>
      <c r="M2929">
        <v>-0.99467740000000004</v>
      </c>
      <c r="N2929">
        <v>0</v>
      </c>
      <c r="O2929">
        <v>-0.1018915</v>
      </c>
      <c r="P2929">
        <v>-0.93761689999999998</v>
      </c>
      <c r="Q2929">
        <v>6.6539109999999999E-2</v>
      </c>
      <c r="R2929">
        <v>-0.34124379999999999</v>
      </c>
      <c r="S2929">
        <v>-2.459778</v>
      </c>
      <c r="T2929">
        <v>-0.19656999999999999</v>
      </c>
      <c r="U2929">
        <v>-2.106827</v>
      </c>
      <c r="V2929">
        <v>-0.2454973</v>
      </c>
      <c r="W2929">
        <v>7.6483640000000006E-2</v>
      </c>
      <c r="X2929">
        <v>0.9663754</v>
      </c>
      <c r="Y2929">
        <v>-0.56889119999999904</v>
      </c>
      <c r="Z2929">
        <v>-1.2654510000000001E-2</v>
      </c>
      <c r="AA2929">
        <v>0.82231549999999998</v>
      </c>
      <c r="AB2929">
        <v>44</v>
      </c>
      <c r="AC2929">
        <v>-13.4810999999999</v>
      </c>
      <c r="AD2929">
        <v>-1.112998523778</v>
      </c>
      <c r="AE2929">
        <v>-11.8779</v>
      </c>
      <c r="AF2929">
        <v>-10.4023794289087</v>
      </c>
      <c r="AG2929">
        <v>-1.112998523778</v>
      </c>
      <c r="AH2929">
        <v>14.565429078452199</v>
      </c>
      <c r="AI2929">
        <v>93.558266010978201</v>
      </c>
      <c r="AJ2929">
        <v>125.533774446143</v>
      </c>
      <c r="AK2929">
        <v>17.933209075241798</v>
      </c>
      <c r="AL2929">
        <v>85.6135266770345</v>
      </c>
      <c r="AM2929">
        <v>104.253854944439</v>
      </c>
      <c r="AN2929">
        <v>1.0000000426100399</v>
      </c>
    </row>
    <row r="2930" spans="1:40" x14ac:dyDescent="0.3">
      <c r="A2930" t="str">
        <f>"20200111153935082"</f>
        <v>20200111153935082</v>
      </c>
      <c r="B2930" t="str">
        <f>"1578728375073609"</f>
        <v>1578728375073609</v>
      </c>
      <c r="C2930" t="s">
        <v>40</v>
      </c>
      <c r="D2930">
        <v>4.7168869999999998</v>
      </c>
      <c r="E2930">
        <v>0.35082269999999999</v>
      </c>
      <c r="F2930" t="s">
        <v>62</v>
      </c>
      <c r="G2930">
        <v>-409.77420000000001</v>
      </c>
      <c r="H2930" s="1">
        <v>-5.7235320000000004E-6</v>
      </c>
      <c r="I2930">
        <v>128.28280000000001</v>
      </c>
      <c r="J2930">
        <v>-396.26620000000003</v>
      </c>
      <c r="K2930">
        <v>1.11337</v>
      </c>
      <c r="L2930">
        <v>140.4101</v>
      </c>
      <c r="M2930">
        <v>-0.99380190000000002</v>
      </c>
      <c r="N2930">
        <v>0</v>
      </c>
      <c r="O2930">
        <v>-0.1101153</v>
      </c>
      <c r="P2930">
        <v>-0.93357349999999995</v>
      </c>
      <c r="Q2930">
        <v>6.7785999999999999E-2</v>
      </c>
      <c r="R2930">
        <v>-0.35191800000000001</v>
      </c>
      <c r="S2930">
        <v>-2.4385379999999999</v>
      </c>
      <c r="T2930">
        <v>-0.19460050000000001</v>
      </c>
      <c r="U2930">
        <v>-2.1292110000000002</v>
      </c>
      <c r="V2930">
        <v>-0.248636</v>
      </c>
      <c r="W2930">
        <v>7.7343700000000001E-2</v>
      </c>
      <c r="X2930">
        <v>0.96550409999999998</v>
      </c>
      <c r="Y2930">
        <v>-0.56994719999999999</v>
      </c>
      <c r="Z2930">
        <v>-1.206491E-2</v>
      </c>
      <c r="AA2930">
        <v>0.82159269999999995</v>
      </c>
      <c r="AB2930">
        <v>44</v>
      </c>
      <c r="AC2930">
        <v>-13.5079999999999</v>
      </c>
      <c r="AD2930">
        <v>-1.1133757235320001</v>
      </c>
      <c r="AE2930">
        <v>-12.1272999999999</v>
      </c>
      <c r="AF2930">
        <v>-10.5263277747231</v>
      </c>
      <c r="AG2930">
        <v>-1.1133757235320001</v>
      </c>
      <c r="AH2930">
        <v>14.7060736067868</v>
      </c>
      <c r="AI2930">
        <v>93.522855407809502</v>
      </c>
      <c r="AJ2930">
        <v>125.59436670424699</v>
      </c>
      <c r="AK2930">
        <v>18.119375895733501</v>
      </c>
      <c r="AL2930">
        <v>85.564102441386197</v>
      </c>
      <c r="AM2930">
        <v>104.441005502382</v>
      </c>
      <c r="AN2930">
        <v>1.0000000377712399</v>
      </c>
    </row>
    <row r="2931" spans="1:40" x14ac:dyDescent="0.3">
      <c r="A2931" t="str">
        <f>"20200111153935103"</f>
        <v>20200111153935103</v>
      </c>
      <c r="B2931" t="str">
        <f>"1578728375094087"</f>
        <v>1578728375094087</v>
      </c>
      <c r="C2931" t="s">
        <v>40</v>
      </c>
      <c r="D2931">
        <v>4.7589839999999999</v>
      </c>
      <c r="E2931">
        <v>0.35121269999999999</v>
      </c>
      <c r="F2931" t="s">
        <v>62</v>
      </c>
      <c r="G2931">
        <v>-410.34930000000003</v>
      </c>
      <c r="H2931" s="1">
        <v>-5.6344779999999998E-6</v>
      </c>
      <c r="I2931">
        <v>127.8383</v>
      </c>
      <c r="J2931">
        <v>-396.69069999999999</v>
      </c>
      <c r="K2931">
        <v>1.113729</v>
      </c>
      <c r="L2931">
        <v>140.35759999999999</v>
      </c>
      <c r="M2931">
        <v>-0.99284669999999997</v>
      </c>
      <c r="N2931">
        <v>0</v>
      </c>
      <c r="O2931">
        <v>-0.11842560000000001</v>
      </c>
      <c r="P2931">
        <v>-0.92934720000000004</v>
      </c>
      <c r="Q2931">
        <v>6.8790180000000006E-2</v>
      </c>
      <c r="R2931">
        <v>-0.36274139999999999</v>
      </c>
      <c r="S2931">
        <v>-2.4147340000000002</v>
      </c>
      <c r="T2931">
        <v>-0.19090370000000001</v>
      </c>
      <c r="U2931">
        <v>-2.1556090000000001</v>
      </c>
      <c r="V2931">
        <v>-0.2518784</v>
      </c>
      <c r="W2931">
        <v>7.7977399999999905E-2</v>
      </c>
      <c r="X2931">
        <v>0.96461220000000003</v>
      </c>
      <c r="Y2931">
        <v>-0.57213389999999997</v>
      </c>
      <c r="Z2931">
        <v>-1.1415460000000001E-2</v>
      </c>
      <c r="AA2931">
        <v>0.82008080000000005</v>
      </c>
      <c r="AB2931">
        <v>44</v>
      </c>
      <c r="AC2931">
        <v>-13.6586</v>
      </c>
      <c r="AD2931">
        <v>-1.1137346344779999</v>
      </c>
      <c r="AE2931">
        <v>-12.5192999999999</v>
      </c>
      <c r="AF2931">
        <v>-10.774534333235801</v>
      </c>
      <c r="AG2931">
        <v>-1.1137346344779999</v>
      </c>
      <c r="AH2931">
        <v>14.991070942242301</v>
      </c>
      <c r="AI2931">
        <v>93.452343534872</v>
      </c>
      <c r="AJ2931">
        <v>125.70594063815</v>
      </c>
      <c r="AK2931">
        <v>18.494950741471499</v>
      </c>
      <c r="AL2931">
        <v>85.527683724146897</v>
      </c>
      <c r="AM2931">
        <v>104.634244498059</v>
      </c>
      <c r="AN2931">
        <v>0.99999994984307805</v>
      </c>
    </row>
    <row r="2932" spans="1:40" x14ac:dyDescent="0.3">
      <c r="A2932" t="str">
        <f>"20200111153935127"</f>
        <v>20200111153935127</v>
      </c>
      <c r="B2932" t="str">
        <f>"1578728375123368"</f>
        <v>1578728375123368</v>
      </c>
      <c r="C2932" t="s">
        <v>40</v>
      </c>
      <c r="D2932">
        <v>4.7596699999999998</v>
      </c>
      <c r="E2932">
        <v>0.35161249999999999</v>
      </c>
      <c r="F2932" t="s">
        <v>62</v>
      </c>
      <c r="G2932">
        <v>-410.87790000000001</v>
      </c>
      <c r="H2932" s="1">
        <v>-5.4147159999999996E-6</v>
      </c>
      <c r="I2932">
        <v>127.4173</v>
      </c>
      <c r="J2932">
        <v>-397.142</v>
      </c>
      <c r="K2932">
        <v>1.1141160000000001</v>
      </c>
      <c r="L2932">
        <v>140.29759999999999</v>
      </c>
      <c r="M2932">
        <v>-0.99169949999999996</v>
      </c>
      <c r="N2932">
        <v>0</v>
      </c>
      <c r="O2932">
        <v>-0.12768260000000001</v>
      </c>
      <c r="P2932">
        <v>-0.92479469999999997</v>
      </c>
      <c r="Q2932">
        <v>6.9586029999999993E-2</v>
      </c>
      <c r="R2932">
        <v>-0.37404860000000001</v>
      </c>
      <c r="S2932">
        <v>-2.3908079999999998</v>
      </c>
      <c r="T2932">
        <v>-0.1876845</v>
      </c>
      <c r="U2932">
        <v>-2.180679</v>
      </c>
      <c r="V2932">
        <v>-0.25474730000000001</v>
      </c>
      <c r="W2932">
        <v>7.8399540000000004E-2</v>
      </c>
      <c r="X2932">
        <v>0.96382429999999997</v>
      </c>
      <c r="Y2932">
        <v>-0.57330009999999998</v>
      </c>
      <c r="Z2932">
        <v>-1.071389E-2</v>
      </c>
      <c r="AA2932">
        <v>0.81927539999999999</v>
      </c>
      <c r="AB2932">
        <v>44</v>
      </c>
      <c r="AC2932">
        <v>-13.735900000000001</v>
      </c>
      <c r="AD2932">
        <v>-1.1141214147159999</v>
      </c>
      <c r="AE2932">
        <v>-12.880299999999901</v>
      </c>
      <c r="AF2932">
        <v>-10.982369072747501</v>
      </c>
      <c r="AG2932">
        <v>-1.1141214147159999</v>
      </c>
      <c r="AH2932">
        <v>15.214962658692</v>
      </c>
      <c r="AI2932">
        <v>93.397879322233294</v>
      </c>
      <c r="AJ2932">
        <v>125.822268573068</v>
      </c>
      <c r="AK2932">
        <v>18.797573930754002</v>
      </c>
      <c r="AL2932">
        <v>85.503422736162307</v>
      </c>
      <c r="AM2932">
        <v>104.805219611007</v>
      </c>
      <c r="AN2932">
        <v>0.99999997799999496</v>
      </c>
    </row>
    <row r="2933" spans="1:40" x14ac:dyDescent="0.3">
      <c r="A2933" t="str">
        <f>"20200111153935148"</f>
        <v>20200111153935148</v>
      </c>
      <c r="B2933" t="str">
        <f>"1578728375143864"</f>
        <v>1578728375143864</v>
      </c>
      <c r="C2933" t="s">
        <v>40</v>
      </c>
      <c r="D2933">
        <v>4.8253459999999997</v>
      </c>
      <c r="E2933">
        <v>0.32522519999999999</v>
      </c>
      <c r="F2933" t="s">
        <v>41</v>
      </c>
      <c r="G2933">
        <v>-397.9006</v>
      </c>
      <c r="H2933">
        <v>1.0536209999999999</v>
      </c>
      <c r="I2933">
        <v>139.59030000000001</v>
      </c>
      <c r="J2933">
        <v>-397.56</v>
      </c>
      <c r="K2933">
        <v>1.1144959999999999</v>
      </c>
      <c r="L2933">
        <v>140.2381</v>
      </c>
      <c r="M2933">
        <v>-0.99050179999999999</v>
      </c>
      <c r="N2933">
        <v>0</v>
      </c>
      <c r="O2933">
        <v>-0.13666689999999901</v>
      </c>
      <c r="P2933">
        <v>-0.92048059999999998</v>
      </c>
      <c r="Q2933">
        <v>7.0690199999999995E-2</v>
      </c>
      <c r="R2933">
        <v>-0.38434190000000001</v>
      </c>
      <c r="S2933">
        <v>-2.3658450000000002</v>
      </c>
      <c r="T2933">
        <v>-0.18866250000000001</v>
      </c>
      <c r="U2933">
        <v>-2.2062840000000001</v>
      </c>
      <c r="V2933">
        <v>-0.25687490000000002</v>
      </c>
      <c r="W2933">
        <v>7.9173889999999997E-2</v>
      </c>
      <c r="X2933">
        <v>0.96319619999999995</v>
      </c>
      <c r="Y2933">
        <v>-0.57492869999999996</v>
      </c>
      <c r="Z2933">
        <v>-1.029036E-2</v>
      </c>
      <c r="AA2933">
        <v>0.81813880000000005</v>
      </c>
      <c r="AB2933">
        <v>44</v>
      </c>
      <c r="AC2933">
        <v>-0.34059999999999402</v>
      </c>
      <c r="AD2933">
        <v>-6.0874999999999999E-2</v>
      </c>
      <c r="AE2933">
        <v>-0.64779999999998905</v>
      </c>
      <c r="AF2933">
        <v>-0.59107707462538495</v>
      </c>
      <c r="AG2933">
        <v>-6.0874999999999999E-2</v>
      </c>
      <c r="AH2933">
        <v>0.42301982118226</v>
      </c>
      <c r="AI2933">
        <v>94.787420846171997</v>
      </c>
      <c r="AJ2933">
        <v>144.40960142236199</v>
      </c>
      <c r="AK2933">
        <v>0.72939950842167001</v>
      </c>
      <c r="AL2933">
        <v>85.458917818072095</v>
      </c>
      <c r="AM2933">
        <v>104.93267117009199</v>
      </c>
      <c r="AN2933">
        <v>1.00000006940108</v>
      </c>
    </row>
    <row r="2934" spans="1:40" x14ac:dyDescent="0.3">
      <c r="A2934" t="str">
        <f>"20200111153935171"</f>
        <v>20200111153935171</v>
      </c>
      <c r="B2934" t="str">
        <f>"1578728375164359"</f>
        <v>1578728375164359</v>
      </c>
      <c r="C2934" t="s">
        <v>40</v>
      </c>
      <c r="D2934">
        <v>4.6884379999999997</v>
      </c>
      <c r="E2934">
        <v>0.32396999999999998</v>
      </c>
      <c r="F2934" t="s">
        <v>62</v>
      </c>
      <c r="G2934">
        <v>-412.05040000000002</v>
      </c>
      <c r="H2934" s="1">
        <v>-4.2967690000000003E-6</v>
      </c>
      <c r="I2934">
        <v>124.6671</v>
      </c>
      <c r="J2934">
        <v>-398.00420000000003</v>
      </c>
      <c r="K2934">
        <v>1.1149199999999999</v>
      </c>
      <c r="L2934">
        <v>140.1705</v>
      </c>
      <c r="M2934">
        <v>-0.98907259999999997</v>
      </c>
      <c r="N2934">
        <v>0</v>
      </c>
      <c r="O2934">
        <v>-0.14665439999999999</v>
      </c>
      <c r="P2934">
        <v>-0.91520840000000003</v>
      </c>
      <c r="Q2934">
        <v>7.3133959999999998E-2</v>
      </c>
      <c r="R2934">
        <v>-0.39628920000000001</v>
      </c>
      <c r="S2934">
        <v>-2.2589419999999998</v>
      </c>
      <c r="T2934">
        <v>-0.17374310000000001</v>
      </c>
      <c r="U2934">
        <v>-2.4274140000000002</v>
      </c>
      <c r="V2934">
        <v>-0.25986550000000003</v>
      </c>
      <c r="W2934">
        <v>8.1246680000000002E-2</v>
      </c>
      <c r="X2934">
        <v>0.96222079999999999</v>
      </c>
      <c r="Y2934">
        <v>-0.62358590000000003</v>
      </c>
      <c r="Z2934">
        <v>-1.04499E-2</v>
      </c>
      <c r="AA2934">
        <v>0.78168490000000002</v>
      </c>
      <c r="AB2934">
        <v>44</v>
      </c>
      <c r="AC2934">
        <v>-14.046200000000001</v>
      </c>
      <c r="AD2934">
        <v>-1.1149242967690001</v>
      </c>
      <c r="AE2934">
        <v>-15.503399999999999</v>
      </c>
      <c r="AF2934">
        <v>-13.2379641524868</v>
      </c>
      <c r="AG2934">
        <v>-1.1149242967690001</v>
      </c>
      <c r="AH2934">
        <v>16.122403377675401</v>
      </c>
      <c r="AI2934">
        <v>93.059304805501895</v>
      </c>
      <c r="AJ2934">
        <v>129.389118029608</v>
      </c>
      <c r="AK2934">
        <v>20.890635264695302</v>
      </c>
      <c r="AL2934">
        <v>85.339771396586997</v>
      </c>
      <c r="AM2934">
        <v>105.113231584818</v>
      </c>
      <c r="AN2934">
        <v>0.99999998452695604</v>
      </c>
    </row>
    <row r="2935" spans="1:40" x14ac:dyDescent="0.3">
      <c r="A2935" t="str">
        <f>"20200111153935193"</f>
        <v>20200111153935193</v>
      </c>
      <c r="B2935" t="str">
        <f>"1578728375183879"</f>
        <v>1578728375183879</v>
      </c>
      <c r="C2935" t="s">
        <v>40</v>
      </c>
      <c r="D2935">
        <v>4.8394240000000002</v>
      </c>
      <c r="E2935">
        <v>0.32730330000000002</v>
      </c>
      <c r="F2935" t="s">
        <v>62</v>
      </c>
      <c r="G2935">
        <v>-408.87700000000001</v>
      </c>
      <c r="H2935">
        <v>7.9987130000000004E-2</v>
      </c>
      <c r="I2935">
        <v>128.14320000000001</v>
      </c>
      <c r="J2935">
        <v>-398.42520000000002</v>
      </c>
      <c r="K2935">
        <v>1.115334</v>
      </c>
      <c r="L2935">
        <v>140.102</v>
      </c>
      <c r="M2935">
        <v>-0.98755400000000004</v>
      </c>
      <c r="N2935">
        <v>0</v>
      </c>
      <c r="O2935">
        <v>-0.15655450000000001</v>
      </c>
      <c r="P2935">
        <v>-0.90957120000000002</v>
      </c>
      <c r="Q2935">
        <v>7.6031119999999994E-2</v>
      </c>
      <c r="R2935">
        <v>-0.40853349999999999</v>
      </c>
      <c r="S2935">
        <v>-2.227814</v>
      </c>
      <c r="T2935">
        <v>-0.21205589999999999</v>
      </c>
      <c r="U2935">
        <v>-2.4643709999999999</v>
      </c>
      <c r="V2935">
        <v>-0.26333450000000003</v>
      </c>
      <c r="W2935">
        <v>8.377337E-2</v>
      </c>
      <c r="X2935">
        <v>0.96106029999999998</v>
      </c>
      <c r="Y2935">
        <v>-0.62674430000000003</v>
      </c>
      <c r="Z2935">
        <v>-1.2205300000000001E-2</v>
      </c>
      <c r="AA2935">
        <v>0.77912939999999997</v>
      </c>
      <c r="AB2935">
        <v>44</v>
      </c>
      <c r="AC2935">
        <v>-10.451799999999899</v>
      </c>
      <c r="AD2935">
        <v>-1.0353468699999999</v>
      </c>
      <c r="AE2935">
        <v>-11.958799999999901</v>
      </c>
      <c r="AF2935">
        <v>-10.1317885678591</v>
      </c>
      <c r="AG2935">
        <v>-1.0353468699999999</v>
      </c>
      <c r="AH2935">
        <v>12.143705504660399</v>
      </c>
      <c r="AI2935">
        <v>93.745524725855105</v>
      </c>
      <c r="AJ2935">
        <v>129.83906314177699</v>
      </c>
      <c r="AK2935">
        <v>15.8491219349508</v>
      </c>
      <c r="AL2935">
        <v>85.1945072873134</v>
      </c>
      <c r="AM2935">
        <v>105.32319079662</v>
      </c>
      <c r="AN2935">
        <v>0.99999996832374705</v>
      </c>
    </row>
    <row r="2936" spans="1:40" x14ac:dyDescent="0.3">
      <c r="A2936" t="str">
        <f>"20200111153935260"</f>
        <v>20200111153935260</v>
      </c>
      <c r="B2936" t="str">
        <f>"1578728375254155"</f>
        <v>1578728375254155</v>
      </c>
      <c r="C2936" t="s">
        <v>40</v>
      </c>
      <c r="D2936">
        <v>5.1383710000000002</v>
      </c>
      <c r="E2936">
        <v>0.33613690000000002</v>
      </c>
      <c r="F2936" t="s">
        <v>62</v>
      </c>
      <c r="G2936">
        <v>-410.18290000000002</v>
      </c>
      <c r="H2936" s="1">
        <v>-5.4409550000000003E-6</v>
      </c>
      <c r="I2936">
        <v>127.2141</v>
      </c>
      <c r="J2936">
        <v>-399.70609999999999</v>
      </c>
      <c r="K2936">
        <v>1.116598</v>
      </c>
      <c r="L2936">
        <v>139.86439999999999</v>
      </c>
      <c r="M2936">
        <v>-0.98180590000000001</v>
      </c>
      <c r="N2936">
        <v>0</v>
      </c>
      <c r="O2936">
        <v>-0.18928130000000001</v>
      </c>
      <c r="P2936">
        <v>-0.88861730000000005</v>
      </c>
      <c r="Q2936">
        <v>8.3339620000000003E-2</v>
      </c>
      <c r="R2936">
        <v>-0.45101400000000003</v>
      </c>
      <c r="S2936">
        <v>-2.1479189999999999</v>
      </c>
      <c r="T2936">
        <v>-0.2197336</v>
      </c>
      <c r="U2936">
        <v>-2.5071870000000001</v>
      </c>
      <c r="V2936">
        <v>-0.2773602</v>
      </c>
      <c r="W2936">
        <v>8.9860490000000001E-2</v>
      </c>
      <c r="X2936">
        <v>0.95655449999999997</v>
      </c>
      <c r="Y2936">
        <v>-0.62161529999999998</v>
      </c>
      <c r="Z2936">
        <v>-1.01729E-2</v>
      </c>
      <c r="AA2936">
        <v>0.78325659999999997</v>
      </c>
      <c r="AB2936">
        <v>44</v>
      </c>
      <c r="AC2936">
        <v>-10.476800000000001</v>
      </c>
      <c r="AD2936">
        <v>-1.1166034409550001</v>
      </c>
      <c r="AE2936">
        <v>-12.6502999999999</v>
      </c>
      <c r="AF2936">
        <v>-10.390259322734501</v>
      </c>
      <c r="AG2936">
        <v>-1.1166034409550001</v>
      </c>
      <c r="AH2936">
        <v>12.6237677735351</v>
      </c>
      <c r="AI2936">
        <v>93.906919486546499</v>
      </c>
      <c r="AJ2936">
        <v>129.456811439055</v>
      </c>
      <c r="AK2936">
        <v>16.387916427605099</v>
      </c>
      <c r="AL2936">
        <v>84.844419021232099</v>
      </c>
      <c r="AM2936">
        <v>106.16991550575401</v>
      </c>
      <c r="AN2936">
        <v>1.0000000498386601</v>
      </c>
    </row>
    <row r="2937" spans="1:40" x14ac:dyDescent="0.3">
      <c r="A2937" t="str">
        <f>"20200111153935282"</f>
        <v>20200111153935282</v>
      </c>
      <c r="B2937" t="str">
        <f>"1578728375273671"</f>
        <v>1578728375273671</v>
      </c>
      <c r="C2937" t="s">
        <v>40</v>
      </c>
      <c r="D2937">
        <v>4.988861</v>
      </c>
      <c r="E2937">
        <v>0.33978570000000002</v>
      </c>
      <c r="F2937" t="s">
        <v>62</v>
      </c>
      <c r="G2937">
        <v>-410.221</v>
      </c>
      <c r="H2937" s="1">
        <v>-5.5226439999999998E-6</v>
      </c>
      <c r="I2937">
        <v>127.46469999999999</v>
      </c>
      <c r="J2937">
        <v>-400.12610000000001</v>
      </c>
      <c r="K2937">
        <v>1.116968</v>
      </c>
      <c r="L2937">
        <v>139.7766</v>
      </c>
      <c r="M2937">
        <v>-0.97952039999999996</v>
      </c>
      <c r="N2937">
        <v>0</v>
      </c>
      <c r="O2937">
        <v>-0.20077100000000001</v>
      </c>
      <c r="P2937">
        <v>-0.88060799999999995</v>
      </c>
      <c r="Q2937">
        <v>8.4427139999999998E-2</v>
      </c>
      <c r="R2937">
        <v>-0.4662637</v>
      </c>
      <c r="S2937">
        <v>-2.1252140000000002</v>
      </c>
      <c r="T2937">
        <v>-0.22568050000000001</v>
      </c>
      <c r="U2937">
        <v>-2.5061490000000002</v>
      </c>
      <c r="V2937">
        <v>-0.28278130000000001</v>
      </c>
      <c r="W2937">
        <v>9.0530540000000007E-2</v>
      </c>
      <c r="X2937">
        <v>0.95490260000000005</v>
      </c>
      <c r="Y2937">
        <v>-0.61635879999999998</v>
      </c>
      <c r="Z2937">
        <v>-9.4015650000000006E-3</v>
      </c>
      <c r="AA2937">
        <v>0.78740929999999998</v>
      </c>
      <c r="AB2937">
        <v>44</v>
      </c>
      <c r="AC2937">
        <v>-10.0948999999999</v>
      </c>
      <c r="AD2937">
        <v>-1.1169735226439901</v>
      </c>
      <c r="AE2937">
        <v>-12.3119</v>
      </c>
      <c r="AF2937">
        <v>-9.9850076688129707</v>
      </c>
      <c r="AG2937">
        <v>-1.1169735226439901</v>
      </c>
      <c r="AH2937">
        <v>12.3009166903866</v>
      </c>
      <c r="AI2937">
        <v>94.032733040219597</v>
      </c>
      <c r="AJ2937">
        <v>129.06723107151899</v>
      </c>
      <c r="AK2937">
        <v>15.882712596416701</v>
      </c>
      <c r="AL2937">
        <v>84.805870652828204</v>
      </c>
      <c r="AM2937">
        <v>106.495932485561</v>
      </c>
      <c r="AN2937">
        <v>1.00000000889457</v>
      </c>
    </row>
    <row r="2938" spans="1:40" x14ac:dyDescent="0.3">
      <c r="A2938" t="str">
        <f>"20200111153935303"</f>
        <v>20200111153935303</v>
      </c>
      <c r="B2938" t="str">
        <f>"1578728375294167"</f>
        <v>1578728375294167</v>
      </c>
      <c r="C2938" t="s">
        <v>40</v>
      </c>
      <c r="D2938">
        <v>4.9868370000000004</v>
      </c>
      <c r="E2938">
        <v>0.34116920000000001</v>
      </c>
      <c r="F2938" t="s">
        <v>62</v>
      </c>
      <c r="G2938">
        <v>-410.33710000000002</v>
      </c>
      <c r="H2938" s="1">
        <v>-5.5242219999999997E-6</v>
      </c>
      <c r="I2938">
        <v>127.5158</v>
      </c>
      <c r="J2938">
        <v>-400.54199999999997</v>
      </c>
      <c r="K2938">
        <v>1.117319</v>
      </c>
      <c r="L2938">
        <v>139.68459999999999</v>
      </c>
      <c r="M2938">
        <v>-0.97704369999999996</v>
      </c>
      <c r="N2938">
        <v>0</v>
      </c>
      <c r="O2938">
        <v>-0.21249399999999999</v>
      </c>
      <c r="P2938">
        <v>-0.87256440000000002</v>
      </c>
      <c r="Q2938">
        <v>8.3877770000000004E-2</v>
      </c>
      <c r="R2938">
        <v>-0.4812439</v>
      </c>
      <c r="S2938">
        <v>-2.096069</v>
      </c>
      <c r="T2938">
        <v>-0.22928709999999999</v>
      </c>
      <c r="U2938">
        <v>-2.5168460000000001</v>
      </c>
      <c r="V2938">
        <v>-0.28771350000000001</v>
      </c>
      <c r="W2938">
        <v>8.9584070000000002E-2</v>
      </c>
      <c r="X2938">
        <v>0.95351750000000002</v>
      </c>
      <c r="Y2938">
        <v>-0.61392840000000004</v>
      </c>
      <c r="Z2938">
        <v>-8.5845790000000002E-3</v>
      </c>
      <c r="AA2938">
        <v>0.78931499999999999</v>
      </c>
      <c r="AB2938">
        <v>44</v>
      </c>
      <c r="AC2938">
        <v>-9.7951000000000406</v>
      </c>
      <c r="AD2938">
        <v>-1.117324524222</v>
      </c>
      <c r="AE2938">
        <v>-12.1687999999999</v>
      </c>
      <c r="AF2938">
        <v>-9.7592589515977703</v>
      </c>
      <c r="AG2938">
        <v>-1.117324524222</v>
      </c>
      <c r="AH2938">
        <v>12.0955671467943</v>
      </c>
      <c r="AI2938">
        <v>94.112023704098902</v>
      </c>
      <c r="AJ2938">
        <v>128.89818283026599</v>
      </c>
      <c r="AK2938">
        <v>15.5818578474898</v>
      </c>
      <c r="AL2938">
        <v>84.860320563105503</v>
      </c>
      <c r="AM2938">
        <v>106.79061542371601</v>
      </c>
      <c r="AN2938">
        <v>0.99999999324313205</v>
      </c>
    </row>
    <row r="2939" spans="1:40" x14ac:dyDescent="0.3">
      <c r="A2939" t="str">
        <f>"20200111153935327"</f>
        <v>20200111153935327</v>
      </c>
      <c r="B2939" t="str">
        <f>"1578728375323447"</f>
        <v>1578728375323447</v>
      </c>
      <c r="C2939" t="s">
        <v>40</v>
      </c>
      <c r="D2939">
        <v>5.0021789999999999</v>
      </c>
      <c r="E2939">
        <v>0.36137590000000003</v>
      </c>
      <c r="F2939" t="s">
        <v>62</v>
      </c>
      <c r="G2939">
        <v>-410.38389999999998</v>
      </c>
      <c r="H2939" s="1">
        <v>-5.5212289999999999E-6</v>
      </c>
      <c r="I2939">
        <v>127.526</v>
      </c>
      <c r="J2939">
        <v>-400.96980000000002</v>
      </c>
      <c r="K2939">
        <v>1.1176740000000001</v>
      </c>
      <c r="L2939">
        <v>139.58449999999999</v>
      </c>
      <c r="M2939">
        <v>-0.97426259999999998</v>
      </c>
      <c r="N2939">
        <v>0</v>
      </c>
      <c r="O2939">
        <v>-0.22489870000000001</v>
      </c>
      <c r="P2939">
        <v>-0.86370279999999999</v>
      </c>
      <c r="Q2939">
        <v>8.3648420000000001E-2</v>
      </c>
      <c r="R2939">
        <v>-0.49701190000000001</v>
      </c>
      <c r="S2939">
        <v>-2.0582280000000002</v>
      </c>
      <c r="T2939">
        <v>-0.23366400000000001</v>
      </c>
      <c r="U2939">
        <v>-2.5427089999999999</v>
      </c>
      <c r="V2939">
        <v>-0.29298030000000003</v>
      </c>
      <c r="W2939">
        <v>8.8940560000000002E-2</v>
      </c>
      <c r="X2939">
        <v>0.95197270000000001</v>
      </c>
      <c r="Y2939">
        <v>-0.61489369999999999</v>
      </c>
      <c r="Z2939">
        <v>-7.8529310000000005E-3</v>
      </c>
      <c r="AA2939">
        <v>0.78857089999999996</v>
      </c>
      <c r="AB2939">
        <v>44</v>
      </c>
      <c r="AC2939">
        <v>-9.4140999999999604</v>
      </c>
      <c r="AD2939">
        <v>-1.1176795212290001</v>
      </c>
      <c r="AE2939">
        <v>-12.058499999999899</v>
      </c>
      <c r="AF2939">
        <v>-9.5809082505393697</v>
      </c>
      <c r="AG2939">
        <v>-1.1176795212290001</v>
      </c>
      <c r="AH2939">
        <v>11.8220279804437</v>
      </c>
      <c r="AI2939">
        <v>94.200823873788494</v>
      </c>
      <c r="AJ2939">
        <v>129.02229373278101</v>
      </c>
      <c r="AK2939">
        <v>15.2578948740586</v>
      </c>
      <c r="AL2939">
        <v>84.897338523207196</v>
      </c>
      <c r="AM2939">
        <v>107.10633692551799</v>
      </c>
      <c r="AN2939">
        <v>0.99999995047324497</v>
      </c>
    </row>
    <row r="2940" spans="1:40" x14ac:dyDescent="0.3">
      <c r="A2940" t="str">
        <f>"20200111153935349"</f>
        <v>20200111153935349</v>
      </c>
      <c r="B2940" t="str">
        <f>"1578728375343943"</f>
        <v>1578728375343943</v>
      </c>
      <c r="C2940" t="s">
        <v>40</v>
      </c>
      <c r="D2940">
        <v>5.0463500000000003</v>
      </c>
      <c r="E2940">
        <v>0.36257149999999999</v>
      </c>
      <c r="F2940" t="s">
        <v>62</v>
      </c>
      <c r="G2940">
        <v>-409.27499999999998</v>
      </c>
      <c r="H2940" s="1">
        <v>-5.9868720000000003E-6</v>
      </c>
      <c r="I2940">
        <v>129.9299</v>
      </c>
      <c r="J2940">
        <v>-401.3954</v>
      </c>
      <c r="K2940">
        <v>1.1180139999999901</v>
      </c>
      <c r="L2940">
        <v>139.47929999999999</v>
      </c>
      <c r="M2940">
        <v>-0.97124889999999997</v>
      </c>
      <c r="N2940">
        <v>0</v>
      </c>
      <c r="O2940">
        <v>-0.23757339999999999</v>
      </c>
      <c r="P2940">
        <v>-0.8544062</v>
      </c>
      <c r="Q2940">
        <v>8.4241969999999999E-2</v>
      </c>
      <c r="R2940">
        <v>-0.5127311</v>
      </c>
      <c r="S2940">
        <v>-2.0975950000000001</v>
      </c>
      <c r="T2940">
        <v>-0.28228560000000003</v>
      </c>
      <c r="U2940">
        <v>-2.4384160000000001</v>
      </c>
      <c r="V2940">
        <v>-0.29810819999999999</v>
      </c>
      <c r="W2940">
        <v>8.9126259999999999E-2</v>
      </c>
      <c r="X2940">
        <v>0.95036200000000004</v>
      </c>
      <c r="Y2940">
        <v>-0.58018859999999906</v>
      </c>
      <c r="Z2940">
        <v>-6.3961929999999997E-3</v>
      </c>
      <c r="AA2940">
        <v>0.81445710000000004</v>
      </c>
      <c r="AB2940">
        <v>44</v>
      </c>
      <c r="AC2940">
        <v>-7.8795999999999804</v>
      </c>
      <c r="AD2940">
        <v>-1.11801998687199</v>
      </c>
      <c r="AE2940">
        <v>-9.5493999999999897</v>
      </c>
      <c r="AF2940">
        <v>-7.3438409136790002</v>
      </c>
      <c r="AG2940">
        <v>-1.11801998687199</v>
      </c>
      <c r="AH2940">
        <v>9.8426343302355104</v>
      </c>
      <c r="AI2940">
        <v>95.201904097481801</v>
      </c>
      <c r="AJ2940">
        <v>126.72755971494</v>
      </c>
      <c r="AK2940">
        <v>12.3312375135345</v>
      </c>
      <c r="AL2940">
        <v>84.886656322632305</v>
      </c>
      <c r="AM2940">
        <v>107.415523692939</v>
      </c>
      <c r="AN2940">
        <v>0.99999996008641301</v>
      </c>
    </row>
    <row r="2941" spans="1:40" x14ac:dyDescent="0.3">
      <c r="A2941" t="str">
        <f>"20200111153935372"</f>
        <v>20200111153935372</v>
      </c>
      <c r="B2941" t="str">
        <f>"1578728375363464"</f>
        <v>1578728375363464</v>
      </c>
      <c r="C2941" t="s">
        <v>40</v>
      </c>
      <c r="D2941">
        <v>4.7377510000000003</v>
      </c>
      <c r="E2941">
        <v>0.34875119999999998</v>
      </c>
      <c r="F2941" t="s">
        <v>41</v>
      </c>
      <c r="G2941">
        <v>-402.0249</v>
      </c>
      <c r="H2941">
        <v>1.0322789999999999</v>
      </c>
      <c r="I2941">
        <v>138.72409999999999</v>
      </c>
      <c r="J2941">
        <v>-401.81</v>
      </c>
      <c r="K2941">
        <v>1.1183289999999999</v>
      </c>
      <c r="L2941">
        <v>139.37129999999999</v>
      </c>
      <c r="M2941">
        <v>-0.96806539999999996</v>
      </c>
      <c r="N2941">
        <v>0</v>
      </c>
      <c r="O2941">
        <v>-0.25022719999999998</v>
      </c>
      <c r="P2941">
        <v>-0.84509500000000004</v>
      </c>
      <c r="Q2941">
        <v>8.3692719999999998E-2</v>
      </c>
      <c r="R2941">
        <v>-0.52802519999999997</v>
      </c>
      <c r="S2941">
        <v>-2.0577700000000001</v>
      </c>
      <c r="T2941">
        <v>-0.28029130000000002</v>
      </c>
      <c r="U2941">
        <v>-2.4680019999999998</v>
      </c>
      <c r="V2941">
        <v>-0.30285590000000001</v>
      </c>
      <c r="W2941">
        <v>8.8192019999999996E-2</v>
      </c>
      <c r="X2941">
        <v>0.94894699999999998</v>
      </c>
      <c r="Y2941">
        <v>-0.58215660000000002</v>
      </c>
      <c r="Z2941">
        <v>-5.2788590000000003E-3</v>
      </c>
      <c r="AA2941">
        <v>0.81305959999999999</v>
      </c>
      <c r="AB2941">
        <v>44</v>
      </c>
      <c r="AC2941">
        <v>-0.21490000000000001</v>
      </c>
      <c r="AD2941">
        <v>-8.6049999999999904E-2</v>
      </c>
      <c r="AE2941">
        <v>-0.647199999999997</v>
      </c>
      <c r="AF2941">
        <v>-0.56384793917209597</v>
      </c>
      <c r="AG2941">
        <v>-8.6049999999999904E-2</v>
      </c>
      <c r="AH2941">
        <v>0.36422860460589501</v>
      </c>
      <c r="AI2941">
        <v>97.305030064749801</v>
      </c>
      <c r="AJ2941">
        <v>147.13877055754401</v>
      </c>
      <c r="AK2941">
        <v>0.67675074984943895</v>
      </c>
      <c r="AL2941">
        <v>84.940396004827704</v>
      </c>
      <c r="AM2941">
        <v>107.700453788033</v>
      </c>
      <c r="AN2941">
        <v>0.99999996868274399</v>
      </c>
    </row>
    <row r="2942" spans="1:40" x14ac:dyDescent="0.3">
      <c r="A2942" t="str">
        <f>"20200111153935393"</f>
        <v>20200111153935393</v>
      </c>
      <c r="B2942" t="str">
        <f>"1578728375383960"</f>
        <v>1578728375383960</v>
      </c>
      <c r="C2942" t="s">
        <v>40</v>
      </c>
      <c r="D2942">
        <v>4.7103739999999998</v>
      </c>
      <c r="E2942">
        <v>0.34849380000000002</v>
      </c>
      <c r="F2942" t="s">
        <v>41</v>
      </c>
      <c r="G2942">
        <v>-402.38369999999998</v>
      </c>
      <c r="H2942">
        <v>1.0386280000000001</v>
      </c>
      <c r="I2942">
        <v>138.60810000000001</v>
      </c>
      <c r="J2942">
        <v>-402.21539999999999</v>
      </c>
      <c r="K2942">
        <v>1.1186290000000001</v>
      </c>
      <c r="L2942">
        <v>139.26009999999999</v>
      </c>
      <c r="M2942">
        <v>-0.96470359999999999</v>
      </c>
      <c r="N2942">
        <v>0</v>
      </c>
      <c r="O2942">
        <v>-0.26288689999999998</v>
      </c>
      <c r="P2942">
        <v>-0.83583770000000002</v>
      </c>
      <c r="Q2942">
        <v>8.220893E-2</v>
      </c>
      <c r="R2942">
        <v>-0.5427864</v>
      </c>
      <c r="S2942">
        <v>-1.953247</v>
      </c>
      <c r="T2942">
        <v>-0.27134639999999999</v>
      </c>
      <c r="U2942">
        <v>-2.5984500000000001</v>
      </c>
      <c r="V2942">
        <v>-0.30707430000000002</v>
      </c>
      <c r="W2942">
        <v>8.6350360000000001E-2</v>
      </c>
      <c r="X2942">
        <v>0.94776000000000005</v>
      </c>
      <c r="Y2942">
        <v>-0.61210359999999997</v>
      </c>
      <c r="Z2942">
        <v>-5.5736120000000004E-3</v>
      </c>
      <c r="AA2942">
        <v>0.79075799999999996</v>
      </c>
      <c r="AB2942">
        <v>44</v>
      </c>
      <c r="AC2942">
        <v>-0.16829999999998699</v>
      </c>
      <c r="AD2942">
        <v>-8.0000999999999906E-2</v>
      </c>
      <c r="AE2942">
        <v>-0.65199999999998604</v>
      </c>
      <c r="AF2942">
        <v>-0.57667256797681399</v>
      </c>
      <c r="AG2942">
        <v>-8.0000999999999906E-2</v>
      </c>
      <c r="AH2942">
        <v>0.32915546868940998</v>
      </c>
      <c r="AI2942">
        <v>96.870088372233397</v>
      </c>
      <c r="AJ2942">
        <v>150.28296736916101</v>
      </c>
      <c r="AK2942">
        <v>0.66880096682504797</v>
      </c>
      <c r="AL2942">
        <v>85.046319735351702</v>
      </c>
      <c r="AM2942">
        <v>107.952327591995</v>
      </c>
      <c r="AN2942">
        <v>1.0000000139962999</v>
      </c>
    </row>
    <row r="2943" spans="1:40" x14ac:dyDescent="0.3">
      <c r="A2943" t="str">
        <f>"20200111153935416"</f>
        <v>20200111153935416</v>
      </c>
      <c r="B2943" t="str">
        <f>"1578728375403479"</f>
        <v>1578728375403479</v>
      </c>
      <c r="C2943" t="s">
        <v>40</v>
      </c>
      <c r="D2943">
        <v>4.8059370000000001</v>
      </c>
      <c r="E2943">
        <v>0.35272199999999998</v>
      </c>
      <c r="F2943" t="s">
        <v>41</v>
      </c>
      <c r="G2943">
        <v>-402.75439999999998</v>
      </c>
      <c r="H2943">
        <v>1.0405979999999999</v>
      </c>
      <c r="I2943">
        <v>138.5154</v>
      </c>
      <c r="J2943">
        <v>-402.62049999999999</v>
      </c>
      <c r="K2943">
        <v>1.1189150000000001</v>
      </c>
      <c r="L2943">
        <v>139.1431</v>
      </c>
      <c r="M2943">
        <v>-0.96108669999999996</v>
      </c>
      <c r="N2943">
        <v>0</v>
      </c>
      <c r="O2943">
        <v>-0.275814</v>
      </c>
      <c r="P2943">
        <v>-0.82632169999999905</v>
      </c>
      <c r="Q2943">
        <v>8.1421149999999998E-2</v>
      </c>
      <c r="R2943">
        <v>-0.55728230000000001</v>
      </c>
      <c r="S2943">
        <v>-1.905975</v>
      </c>
      <c r="T2943">
        <v>-0.27592240000000001</v>
      </c>
      <c r="U2943">
        <v>-2.6338200000000001</v>
      </c>
      <c r="V2943">
        <v>-0.31090089999999998</v>
      </c>
      <c r="W2943">
        <v>8.5223469999999996E-2</v>
      </c>
      <c r="X2943">
        <v>0.9466137</v>
      </c>
      <c r="Y2943">
        <v>-0.61583299999999996</v>
      </c>
      <c r="Z2943">
        <v>-4.6811999999999999E-3</v>
      </c>
      <c r="AA2943">
        <v>0.78786279999999997</v>
      </c>
      <c r="AB2943">
        <v>44</v>
      </c>
      <c r="AC2943">
        <v>-0.13389999999998201</v>
      </c>
      <c r="AD2943">
        <v>-7.8316999999999901E-2</v>
      </c>
      <c r="AE2943">
        <v>-0.62770000000000403</v>
      </c>
      <c r="AF2943">
        <v>-0.55810044587248497</v>
      </c>
      <c r="AG2943">
        <v>-7.8316999999999901E-2</v>
      </c>
      <c r="AH2943">
        <v>0.29742549528753398</v>
      </c>
      <c r="AI2943">
        <v>97.059546270099105</v>
      </c>
      <c r="AJ2943">
        <v>151.94574563524699</v>
      </c>
      <c r="AK2943">
        <v>0.63723746391678904</v>
      </c>
      <c r="AL2943">
        <v>85.111124384149704</v>
      </c>
      <c r="AM2943">
        <v>108.181980979217</v>
      </c>
      <c r="AN2943">
        <v>0.99999995324366897</v>
      </c>
    </row>
    <row r="2944" spans="1:40" x14ac:dyDescent="0.3">
      <c r="A2944" t="str">
        <f>"20200111153935575"</f>
        <v>20200111153935575</v>
      </c>
      <c r="B2944" t="str">
        <f>"1578728375563543"</f>
        <v>1578728375563543</v>
      </c>
      <c r="C2944" t="s">
        <v>40</v>
      </c>
      <c r="D2944">
        <v>4.829923</v>
      </c>
      <c r="E2944">
        <v>0.3582494</v>
      </c>
      <c r="F2944" t="s">
        <v>62</v>
      </c>
      <c r="G2944">
        <v>-410.00560000000002</v>
      </c>
      <c r="H2944" s="1">
        <v>-6.0071270000000002E-6</v>
      </c>
      <c r="I2944">
        <v>128.7739</v>
      </c>
      <c r="J2944">
        <v>-405.4984</v>
      </c>
      <c r="K2944">
        <v>1.120539</v>
      </c>
      <c r="L2944">
        <v>138.13380000000001</v>
      </c>
      <c r="M2944">
        <v>-0.92728160000000004</v>
      </c>
      <c r="N2944">
        <v>0</v>
      </c>
      <c r="O2944">
        <v>-0.37402980000000002</v>
      </c>
      <c r="P2944">
        <v>-0.75135850000000004</v>
      </c>
      <c r="Q2944">
        <v>7.9036369999999995E-2</v>
      </c>
      <c r="R2944">
        <v>-0.65514410000000001</v>
      </c>
      <c r="S2944">
        <v>-1.879181</v>
      </c>
      <c r="T2944">
        <v>-0.28471619999999997</v>
      </c>
      <c r="U2944">
        <v>-2.6385040000000002</v>
      </c>
      <c r="V2944">
        <v>-0.3299704</v>
      </c>
      <c r="W2944">
        <v>8.0958189999999999E-2</v>
      </c>
      <c r="X2944">
        <v>0.9405133</v>
      </c>
      <c r="Y2944">
        <v>-0.53776259999999998</v>
      </c>
      <c r="Z2944">
        <v>9.0781879999999992E-3</v>
      </c>
      <c r="AA2944">
        <v>0.8430474</v>
      </c>
      <c r="AB2944">
        <v>43</v>
      </c>
      <c r="AC2944">
        <v>-4.5072000000000099</v>
      </c>
      <c r="AD2944">
        <v>-1.120545007127</v>
      </c>
      <c r="AE2944">
        <v>-9.3599000000000103</v>
      </c>
      <c r="AF2944">
        <v>-6.9138729863002997</v>
      </c>
      <c r="AG2944">
        <v>-1.120545007127</v>
      </c>
      <c r="AH2944">
        <v>7.5929476018298496</v>
      </c>
      <c r="AI2944">
        <v>96.227368172300402</v>
      </c>
      <c r="AJ2944">
        <v>132.31990014802901</v>
      </c>
      <c r="AK2944">
        <v>10.330058764006299</v>
      </c>
      <c r="AL2944">
        <v>85.356355268442798</v>
      </c>
      <c r="AM2944">
        <v>109.332949833361</v>
      </c>
      <c r="AN2944">
        <v>0.99999998044056204</v>
      </c>
    </row>
    <row r="2945" spans="1:40" x14ac:dyDescent="0.3">
      <c r="A2945" t="str">
        <f>"20200111153935617"</f>
        <v>20200111153935617</v>
      </c>
      <c r="B2945" t="str">
        <f>"1578728375614295"</f>
        <v>1578728375614295</v>
      </c>
      <c r="C2945" t="s">
        <v>40</v>
      </c>
      <c r="D2945">
        <v>4.6740950000000003</v>
      </c>
      <c r="E2945">
        <v>0.35813279999999997</v>
      </c>
      <c r="F2945" t="s">
        <v>62</v>
      </c>
      <c r="G2945">
        <v>-412.15660000000003</v>
      </c>
      <c r="H2945" s="1">
        <v>-4.785064E-6</v>
      </c>
      <c r="I2945">
        <v>126.1163</v>
      </c>
      <c r="J2945">
        <v>-406.23</v>
      </c>
      <c r="K2945">
        <v>1.120868</v>
      </c>
      <c r="L2945">
        <v>137.8219</v>
      </c>
      <c r="M2945">
        <v>-0.91615100000000005</v>
      </c>
      <c r="N2945">
        <v>0</v>
      </c>
      <c r="O2945">
        <v>-0.4005167</v>
      </c>
      <c r="P2945">
        <v>-0.73046739999999999</v>
      </c>
      <c r="Q2945">
        <v>7.8968410000000003E-2</v>
      </c>
      <c r="R2945">
        <v>-0.67836680000000005</v>
      </c>
      <c r="S2945">
        <v>-1.562073</v>
      </c>
      <c r="T2945">
        <v>-0.26289220000000002</v>
      </c>
      <c r="U2945">
        <v>-2.8194270000000001</v>
      </c>
      <c r="V2945">
        <v>-0.33249309999999999</v>
      </c>
      <c r="W2945">
        <v>8.0566559999999995E-2</v>
      </c>
      <c r="X2945">
        <v>0.93965810000000005</v>
      </c>
      <c r="Y2945">
        <v>-0.60669399999999996</v>
      </c>
      <c r="Z2945">
        <v>7.398946E-3</v>
      </c>
      <c r="AA2945">
        <v>0.79490099999999997</v>
      </c>
      <c r="AB2945">
        <v>43</v>
      </c>
      <c r="AC2945">
        <v>-5.9265999999999996</v>
      </c>
      <c r="AD2945">
        <v>-1.1208727850639999</v>
      </c>
      <c r="AE2945">
        <v>-11.7056</v>
      </c>
      <c r="AF2945">
        <v>-8.2909453063316203</v>
      </c>
      <c r="AG2945">
        <v>-1.1208727850639999</v>
      </c>
      <c r="AH2945">
        <v>10.0459153616283</v>
      </c>
      <c r="AI2945">
        <v>94.918361033597407</v>
      </c>
      <c r="AJ2945">
        <v>129.53303158808799</v>
      </c>
      <c r="AK2945">
        <v>13.0735054719795</v>
      </c>
      <c r="AL2945">
        <v>85.378867591557196</v>
      </c>
      <c r="AM2945">
        <v>109.48605887513899</v>
      </c>
      <c r="AN2945">
        <v>0.999999988516726</v>
      </c>
    </row>
    <row r="2946" spans="1:40" x14ac:dyDescent="0.3">
      <c r="A2946" t="str">
        <f>"20200111153935641"</f>
        <v>20200111153935641</v>
      </c>
      <c r="B2946" t="str">
        <f>"1578728375633815"</f>
        <v>1578728375633815</v>
      </c>
      <c r="C2946" t="s">
        <v>40</v>
      </c>
      <c r="D2946">
        <v>4.6111050000000002</v>
      </c>
      <c r="E2946">
        <v>0.35766619999999999</v>
      </c>
      <c r="F2946" t="s">
        <v>62</v>
      </c>
      <c r="G2946">
        <v>-413.4314</v>
      </c>
      <c r="H2946" s="1">
        <v>-3.5287819999999999E-6</v>
      </c>
      <c r="I2946">
        <v>123.7383</v>
      </c>
      <c r="J2946">
        <v>-406.65219999999999</v>
      </c>
      <c r="K2946">
        <v>1.121043</v>
      </c>
      <c r="L2946">
        <v>137.63050000000001</v>
      </c>
      <c r="M2946">
        <v>-0.90920310000000004</v>
      </c>
      <c r="N2946">
        <v>0</v>
      </c>
      <c r="O2946">
        <v>-0.41604619999999998</v>
      </c>
      <c r="P2946">
        <v>-0.71905430000000004</v>
      </c>
      <c r="Q2946">
        <v>7.8562199999999999E-2</v>
      </c>
      <c r="R2946">
        <v>-0.69049899999999997</v>
      </c>
      <c r="S2946">
        <v>-1.4671019999999999</v>
      </c>
      <c r="T2946">
        <v>-0.22834779999999999</v>
      </c>
      <c r="U2946">
        <v>-2.8691559999999998</v>
      </c>
      <c r="V2946">
        <v>-0.33223989999999998</v>
      </c>
      <c r="W2946">
        <v>8.0065120000000004E-2</v>
      </c>
      <c r="X2946">
        <v>0.93979049999999997</v>
      </c>
      <c r="Y2946">
        <v>-0.61968760000000001</v>
      </c>
      <c r="Z2946">
        <v>7.1047150000000002E-3</v>
      </c>
      <c r="AA2946">
        <v>0.78481639999999997</v>
      </c>
      <c r="AB2946">
        <v>43</v>
      </c>
      <c r="AC2946">
        <v>-6.7792000000000003</v>
      </c>
      <c r="AD2946">
        <v>-1.121046528782</v>
      </c>
      <c r="AE2946">
        <v>-13.892200000000001</v>
      </c>
      <c r="AF2946">
        <v>-9.7602897748150692</v>
      </c>
      <c r="AG2946">
        <v>-1.121046528782</v>
      </c>
      <c r="AH2946">
        <v>11.8824962657472</v>
      </c>
      <c r="AI2946">
        <v>94.169678425510597</v>
      </c>
      <c r="AJ2946">
        <v>129.39970431396</v>
      </c>
      <c r="AK2946">
        <v>15.417967418358</v>
      </c>
      <c r="AL2946">
        <v>85.407691060561504</v>
      </c>
      <c r="AM2946">
        <v>109.469799818531</v>
      </c>
      <c r="AN2946">
        <v>0.99999997924143702</v>
      </c>
    </row>
    <row r="2947" spans="1:40" x14ac:dyDescent="0.3">
      <c r="A2947" t="str">
        <f>"20200111153935665"</f>
        <v>20200111153935665</v>
      </c>
      <c r="B2947" t="str">
        <f>"1578728375654312"</f>
        <v>1578728375654312</v>
      </c>
      <c r="C2947" t="s">
        <v>40</v>
      </c>
      <c r="D2947">
        <v>4.6930620000000003</v>
      </c>
      <c r="E2947">
        <v>0.35758659999999998</v>
      </c>
      <c r="F2947" t="s">
        <v>62</v>
      </c>
      <c r="G2947">
        <v>-413.89710000000002</v>
      </c>
      <c r="H2947" s="1">
        <v>-2.8644550000000001E-6</v>
      </c>
      <c r="I2947">
        <v>122.79519999999999</v>
      </c>
      <c r="J2947">
        <v>-407.05689999999998</v>
      </c>
      <c r="K2947">
        <v>1.1212</v>
      </c>
      <c r="L2947">
        <v>137.4392</v>
      </c>
      <c r="M2947">
        <v>-0.90217579999999997</v>
      </c>
      <c r="N2947">
        <v>0</v>
      </c>
      <c r="O2947">
        <v>-0.43107069999999997</v>
      </c>
      <c r="P2947">
        <v>-0.7079645</v>
      </c>
      <c r="Q2947">
        <v>7.8046180000000007E-2</v>
      </c>
      <c r="R2947">
        <v>-0.70192270000000001</v>
      </c>
      <c r="S2947">
        <v>-1.4145509999999999</v>
      </c>
      <c r="T2947">
        <v>-0.2188814</v>
      </c>
      <c r="U2947">
        <v>-2.8965450000000001</v>
      </c>
      <c r="V2947">
        <v>-0.3316867</v>
      </c>
      <c r="W2947">
        <v>7.9480960000000003E-2</v>
      </c>
      <c r="X2947">
        <v>0.94003550000000002</v>
      </c>
      <c r="Y2947">
        <v>-0.62115980000000004</v>
      </c>
      <c r="Z2947">
        <v>7.9288069999999995E-3</v>
      </c>
      <c r="AA2947">
        <v>0.7836438</v>
      </c>
      <c r="AB2947">
        <v>43</v>
      </c>
      <c r="AC2947">
        <v>-6.8402000000000296</v>
      </c>
      <c r="AD2947">
        <v>-1.1212028644550001</v>
      </c>
      <c r="AE2947">
        <v>-14.644</v>
      </c>
      <c r="AF2947">
        <v>-10.2150150838945</v>
      </c>
      <c r="AG2947">
        <v>-1.1212028644550001</v>
      </c>
      <c r="AH2947">
        <v>12.425473001602899</v>
      </c>
      <c r="AI2947">
        <v>93.987255686904007</v>
      </c>
      <c r="AJ2947">
        <v>129.423716583703</v>
      </c>
      <c r="AK2947">
        <v>16.124391720031401</v>
      </c>
      <c r="AL2947">
        <v>85.441268138300501</v>
      </c>
      <c r="AM2947">
        <v>109.435127739541</v>
      </c>
      <c r="AN2947">
        <v>1.0000000156098301</v>
      </c>
    </row>
    <row r="2948" spans="1:40" x14ac:dyDescent="0.3">
      <c r="A2948" t="str">
        <f>"20200111153935686"</f>
        <v>20200111153935686</v>
      </c>
      <c r="B2948" t="str">
        <f>"1578728375683592"</f>
        <v>1578728375683592</v>
      </c>
      <c r="C2948" t="s">
        <v>40</v>
      </c>
      <c r="D2948">
        <v>4.7229749999999999</v>
      </c>
      <c r="E2948">
        <v>0.35784169999999998</v>
      </c>
      <c r="F2948" t="s">
        <v>62</v>
      </c>
      <c r="G2948">
        <v>-414.20260000000002</v>
      </c>
      <c r="H2948" s="1">
        <v>-2.5027799999999999E-6</v>
      </c>
      <c r="I2948">
        <v>122.1598</v>
      </c>
      <c r="J2948">
        <v>-407.41129999999998</v>
      </c>
      <c r="K2948">
        <v>1.121321</v>
      </c>
      <c r="L2948">
        <v>137.26499999999999</v>
      </c>
      <c r="M2948">
        <v>-0.89571069999999997</v>
      </c>
      <c r="N2948">
        <v>0</v>
      </c>
      <c r="O2948">
        <v>-0.44434699999999999</v>
      </c>
      <c r="P2948">
        <v>-0.69788399999999995</v>
      </c>
      <c r="Q2948">
        <v>7.7386269999999993E-2</v>
      </c>
      <c r="R2948">
        <v>-0.71201809999999999</v>
      </c>
      <c r="S2948">
        <v>-1.365753</v>
      </c>
      <c r="T2948">
        <v>-0.21429409999999999</v>
      </c>
      <c r="U2948">
        <v>-2.920334</v>
      </c>
      <c r="V2948">
        <v>-0.33127489999999998</v>
      </c>
      <c r="W2948">
        <v>7.8762239999999997E-2</v>
      </c>
      <c r="X2948">
        <v>0.9402412</v>
      </c>
      <c r="Y2948">
        <v>-0.62281799999999998</v>
      </c>
      <c r="Z2948">
        <v>8.7222900000000006E-3</v>
      </c>
      <c r="AA2948">
        <v>0.78231819999999996</v>
      </c>
      <c r="AB2948">
        <v>43</v>
      </c>
      <c r="AC2948">
        <v>-6.7913000000000299</v>
      </c>
      <c r="AD2948">
        <v>-1.1213235027799999</v>
      </c>
      <c r="AE2948">
        <v>-15.1051999999999</v>
      </c>
      <c r="AF2948">
        <v>-10.4655770559252</v>
      </c>
      <c r="AG2948">
        <v>-1.1213235027799999</v>
      </c>
      <c r="AH2948">
        <v>12.738248443187301</v>
      </c>
      <c r="AI2948">
        <v>93.891055500612097</v>
      </c>
      <c r="AJ2948">
        <v>129.40607425482301</v>
      </c>
      <c r="AK2948">
        <v>16.524183577767499</v>
      </c>
      <c r="AL2948">
        <v>85.482577340676301</v>
      </c>
      <c r="AM2948">
        <v>109.408874636742</v>
      </c>
      <c r="AN2948">
        <v>1.00000003199863</v>
      </c>
    </row>
    <row r="2949" spans="1:40" x14ac:dyDescent="0.3">
      <c r="A2949" t="str">
        <f>"20200111153935708"</f>
        <v>20200111153935708</v>
      </c>
      <c r="B2949" t="str">
        <f>"1578728375704088"</f>
        <v>1578728375704088</v>
      </c>
      <c r="C2949" t="s">
        <v>40</v>
      </c>
      <c r="D2949">
        <v>4.792948</v>
      </c>
      <c r="E2949">
        <v>0.3584464</v>
      </c>
      <c r="F2949" t="s">
        <v>62</v>
      </c>
      <c r="G2949">
        <v>-414.3571</v>
      </c>
      <c r="H2949" s="1">
        <v>-2.3424269999999999E-6</v>
      </c>
      <c r="I2949">
        <v>121.8475</v>
      </c>
      <c r="J2949">
        <v>-407.78919999999999</v>
      </c>
      <c r="K2949">
        <v>1.121443</v>
      </c>
      <c r="L2949">
        <v>137.07230000000001</v>
      </c>
      <c r="M2949">
        <v>-0.88848579999999999</v>
      </c>
      <c r="N2949">
        <v>0</v>
      </c>
      <c r="O2949">
        <v>-0.458621</v>
      </c>
      <c r="P2949">
        <v>-0.68730919999999995</v>
      </c>
      <c r="Q2949">
        <v>7.596514E-2</v>
      </c>
      <c r="R2949">
        <v>-0.72238169999999902</v>
      </c>
      <c r="S2949">
        <v>-1.3240050000000001</v>
      </c>
      <c r="T2949">
        <v>-0.21374699999999999</v>
      </c>
      <c r="U2949">
        <v>-2.9388890000000001</v>
      </c>
      <c r="V2949">
        <v>-0.33019890000000002</v>
      </c>
      <c r="W2949">
        <v>7.7314690000000005E-2</v>
      </c>
      <c r="X2949">
        <v>0.94073960000000001</v>
      </c>
      <c r="Y2949">
        <v>-0.62141389999999996</v>
      </c>
      <c r="Z2949">
        <v>9.8733209999999991E-3</v>
      </c>
      <c r="AA2949">
        <v>0.78342029999999996</v>
      </c>
      <c r="AB2949">
        <v>43</v>
      </c>
      <c r="AC2949">
        <v>-6.5678999999999998</v>
      </c>
      <c r="AD2949">
        <v>-1.1214453424269999</v>
      </c>
      <c r="AE2949">
        <v>-15.2248</v>
      </c>
      <c r="AF2949">
        <v>-10.4683217196269</v>
      </c>
      <c r="AG2949">
        <v>-1.1214453424269999</v>
      </c>
      <c r="AH2949">
        <v>12.761189622054101</v>
      </c>
      <c r="AI2949">
        <v>93.886899992524604</v>
      </c>
      <c r="AJ2949">
        <v>129.36288212147599</v>
      </c>
      <c r="AK2949">
        <v>16.543619913781999</v>
      </c>
      <c r="AL2949">
        <v>85.565769127017802</v>
      </c>
      <c r="AM2949">
        <v>109.341035370461</v>
      </c>
      <c r="AN2949">
        <v>0.99999993492958095</v>
      </c>
    </row>
    <row r="2950" spans="1:40" x14ac:dyDescent="0.3">
      <c r="A2950" t="str">
        <f>"20200111153935752"</f>
        <v>20200111153935752</v>
      </c>
      <c r="B2950" t="str">
        <f>"1578728375744103"</f>
        <v>1578728375744103</v>
      </c>
      <c r="C2950" t="s">
        <v>40</v>
      </c>
      <c r="D2950">
        <v>4.7267239999999999</v>
      </c>
      <c r="E2950">
        <v>0.35919990000000002</v>
      </c>
      <c r="F2950" t="s">
        <v>62</v>
      </c>
      <c r="G2950">
        <v>-414.39049999999997</v>
      </c>
      <c r="H2950" s="1">
        <v>-2.3433909999999998E-6</v>
      </c>
      <c r="I2950">
        <v>121.8734</v>
      </c>
      <c r="J2950">
        <v>-408.52249999999998</v>
      </c>
      <c r="K2950">
        <v>1.1216820000000001</v>
      </c>
      <c r="L2950">
        <v>136.67679999999999</v>
      </c>
      <c r="M2950">
        <v>-0.87344449999999996</v>
      </c>
      <c r="N2950">
        <v>0</v>
      </c>
      <c r="O2950">
        <v>-0.48665399999999998</v>
      </c>
      <c r="P2950">
        <v>-0.66669250000000002</v>
      </c>
      <c r="Q2950">
        <v>7.0904209999999995E-2</v>
      </c>
      <c r="R2950">
        <v>-0.74195250000000001</v>
      </c>
      <c r="S2950">
        <v>-1.2833559999999999</v>
      </c>
      <c r="T2950">
        <v>-0.21801960000000001</v>
      </c>
      <c r="U2950">
        <v>-2.9548190000000001</v>
      </c>
      <c r="V2950">
        <v>-0.3270364</v>
      </c>
      <c r="W2950">
        <v>7.2275329999999999E-2</v>
      </c>
      <c r="X2950">
        <v>0.94224390000000002</v>
      </c>
      <c r="Y2950">
        <v>-0.60704799999999903</v>
      </c>
      <c r="Z2950">
        <v>1.292546E-2</v>
      </c>
      <c r="AA2950">
        <v>0.79456000000000004</v>
      </c>
      <c r="AB2950">
        <v>43</v>
      </c>
      <c r="AC2950">
        <v>-5.8679999999999897</v>
      </c>
      <c r="AD2950">
        <v>-1.121684343391</v>
      </c>
      <c r="AE2950">
        <v>-14.8033999999999</v>
      </c>
      <c r="AF2950">
        <v>-10.0258397067595</v>
      </c>
      <c r="AG2950">
        <v>-1.121684343391</v>
      </c>
      <c r="AH2950">
        <v>12.270243167691</v>
      </c>
      <c r="AI2950">
        <v>94.049174940239396</v>
      </c>
      <c r="AJ2950">
        <v>129.251765602229</v>
      </c>
      <c r="AK2950">
        <v>15.8850402890931</v>
      </c>
      <c r="AL2950">
        <v>85.855315026962501</v>
      </c>
      <c r="AM2950">
        <v>109.14099469318801</v>
      </c>
      <c r="AN2950">
        <v>1.0000000486693801</v>
      </c>
    </row>
    <row r="2951" spans="1:40" x14ac:dyDescent="0.3">
      <c r="A2951" t="str">
        <f>"20200111153935779"</f>
        <v>20200111153935779</v>
      </c>
      <c r="B2951" t="str">
        <f>"1578728375774359"</f>
        <v>1578728375774359</v>
      </c>
      <c r="C2951" t="s">
        <v>40</v>
      </c>
      <c r="D2951">
        <v>4.7898889999999996</v>
      </c>
      <c r="E2951">
        <v>0.36009400000000003</v>
      </c>
      <c r="F2951" t="s">
        <v>41</v>
      </c>
      <c r="G2951">
        <v>-408.87279999999998</v>
      </c>
      <c r="H2951">
        <v>1.054155</v>
      </c>
      <c r="I2951">
        <v>135.80600000000001</v>
      </c>
      <c r="J2951">
        <v>-408.93810000000002</v>
      </c>
      <c r="K2951">
        <v>1.121802</v>
      </c>
      <c r="L2951">
        <v>136.43879999999999</v>
      </c>
      <c r="M2951">
        <v>-0.86428640000000001</v>
      </c>
      <c r="N2951">
        <v>0</v>
      </c>
      <c r="O2951">
        <v>-0.5027372</v>
      </c>
      <c r="P2951">
        <v>-0.6542635</v>
      </c>
      <c r="Q2951">
        <v>7.0612789999999995E-2</v>
      </c>
      <c r="R2951">
        <v>-0.7529633</v>
      </c>
      <c r="S2951">
        <v>-1.201538</v>
      </c>
      <c r="T2951">
        <v>-0.2315778</v>
      </c>
      <c r="U2951">
        <v>-2.9858090000000002</v>
      </c>
      <c r="V2951">
        <v>-0.3253007</v>
      </c>
      <c r="W2951">
        <v>7.2007580000000002E-2</v>
      </c>
      <c r="X2951">
        <v>0.94286499999999995</v>
      </c>
      <c r="Y2951">
        <v>-0.61386700000000005</v>
      </c>
      <c r="Z2951">
        <v>1.481918E-2</v>
      </c>
      <c r="AA2951">
        <v>0.78927029999999998</v>
      </c>
      <c r="AB2951">
        <v>43</v>
      </c>
      <c r="AC2951">
        <v>6.5300000000036107E-2</v>
      </c>
      <c r="AD2951">
        <v>-6.7646999999999999E-2</v>
      </c>
      <c r="AE2951">
        <v>-0.63279999999997405</v>
      </c>
      <c r="AF2951">
        <v>-0.57334277582828996</v>
      </c>
      <c r="AG2951">
        <v>-6.7646999999999999E-2</v>
      </c>
      <c r="AH2951">
        <v>0.25880240111416603</v>
      </c>
      <c r="AI2951">
        <v>96.137930859004996</v>
      </c>
      <c r="AJ2951">
        <v>155.70595943058899</v>
      </c>
      <c r="AK2951">
        <v>0.63267427482548</v>
      </c>
      <c r="AL2951">
        <v>85.870695940059306</v>
      </c>
      <c r="AM2951">
        <v>109.035100936074</v>
      </c>
      <c r="AN2951">
        <v>1.00000002261147</v>
      </c>
    </row>
    <row r="2952" spans="1:40" x14ac:dyDescent="0.3">
      <c r="A2952" t="str">
        <f>"20200111153935796"</f>
        <v>20200111153935796</v>
      </c>
      <c r="B2952" t="str">
        <f>"1578728375793881"</f>
        <v>1578728375793881</v>
      </c>
      <c r="C2952" t="s">
        <v>40</v>
      </c>
      <c r="D2952">
        <v>4.759646</v>
      </c>
      <c r="E2952">
        <v>0.36025269999999998</v>
      </c>
      <c r="F2952" t="s">
        <v>62</v>
      </c>
      <c r="G2952">
        <v>-414.55790000000002</v>
      </c>
      <c r="H2952" s="1">
        <v>-2.2943889999999999E-6</v>
      </c>
      <c r="I2952">
        <v>121.8617</v>
      </c>
      <c r="J2952">
        <v>-409.23579999999998</v>
      </c>
      <c r="K2952">
        <v>1.121891</v>
      </c>
      <c r="L2952">
        <v>136.26240000000001</v>
      </c>
      <c r="M2952">
        <v>-0.85743719999999901</v>
      </c>
      <c r="N2952">
        <v>0</v>
      </c>
      <c r="O2952">
        <v>-0.51433050000000002</v>
      </c>
      <c r="P2952">
        <v>-0.64573559999999997</v>
      </c>
      <c r="Q2952">
        <v>7.1198330000000004E-2</v>
      </c>
      <c r="R2952">
        <v>-0.76023450000000004</v>
      </c>
      <c r="S2952">
        <v>-1.15683</v>
      </c>
      <c r="T2952">
        <v>-0.2309234</v>
      </c>
      <c r="U2952">
        <v>-3.000702</v>
      </c>
      <c r="V2952">
        <v>-0.3232256</v>
      </c>
      <c r="W2952">
        <v>7.2653430000000005E-2</v>
      </c>
      <c r="X2952">
        <v>0.94352879999999995</v>
      </c>
      <c r="Y2952">
        <v>-0.6147994</v>
      </c>
      <c r="Z2952">
        <v>1.5747859999999999E-2</v>
      </c>
      <c r="AA2952">
        <v>0.78852630000000001</v>
      </c>
      <c r="AB2952">
        <v>43</v>
      </c>
      <c r="AC2952">
        <v>-5.32210000000003</v>
      </c>
      <c r="AD2952">
        <v>-1.1218932943890001</v>
      </c>
      <c r="AE2952">
        <v>-14.400700000000001</v>
      </c>
      <c r="AF2952">
        <v>-9.5606011583035393</v>
      </c>
      <c r="AG2952">
        <v>-1.1218932943890001</v>
      </c>
      <c r="AH2952">
        <v>11.9080874126618</v>
      </c>
      <c r="AI2952">
        <v>94.201683242120296</v>
      </c>
      <c r="AJ2952">
        <v>128.759803984656</v>
      </c>
      <c r="AK2952">
        <v>15.3122919544967</v>
      </c>
      <c r="AL2952">
        <v>85.833593990437805</v>
      </c>
      <c r="AM2952">
        <v>108.90997260886201</v>
      </c>
      <c r="AN2952">
        <v>0.99999995290778099</v>
      </c>
    </row>
    <row r="2953" spans="1:40" x14ac:dyDescent="0.3">
      <c r="A2953" t="str">
        <f>"20200111153935821"</f>
        <v>20200111153935821</v>
      </c>
      <c r="B2953" t="str">
        <f>"1578728375813400"</f>
        <v>1578728375813400</v>
      </c>
      <c r="C2953" t="s">
        <v>40</v>
      </c>
      <c r="D2953">
        <v>4.818956</v>
      </c>
      <c r="E2953">
        <v>0.36034500000000003</v>
      </c>
      <c r="F2953" t="s">
        <v>62</v>
      </c>
      <c r="G2953">
        <v>-414.78230000000002</v>
      </c>
      <c r="H2953" s="1">
        <v>-2.0522629999999999E-6</v>
      </c>
      <c r="I2953">
        <v>121.384</v>
      </c>
      <c r="J2953">
        <v>-409.6207</v>
      </c>
      <c r="K2953">
        <v>1.122001</v>
      </c>
      <c r="L2953">
        <v>136.0257</v>
      </c>
      <c r="M2953">
        <v>-0.84819469999999997</v>
      </c>
      <c r="N2953">
        <v>0</v>
      </c>
      <c r="O2953">
        <v>-0.52943240000000003</v>
      </c>
      <c r="P2953">
        <v>-0.63357589999999997</v>
      </c>
      <c r="Q2953">
        <v>7.1535479999999999E-2</v>
      </c>
      <c r="R2953">
        <v>-0.77036640000000001</v>
      </c>
      <c r="S2953">
        <v>-1.1233219999999999</v>
      </c>
      <c r="T2953">
        <v>-0.22721620000000001</v>
      </c>
      <c r="U2953">
        <v>-3.013306</v>
      </c>
      <c r="V2953">
        <v>-0.32151869999999999</v>
      </c>
      <c r="W2953">
        <v>7.3029120000000003E-2</v>
      </c>
      <c r="X2953">
        <v>0.94408289999999995</v>
      </c>
      <c r="Y2953">
        <v>-0.60964379999999996</v>
      </c>
      <c r="Z2953">
        <v>1.7003319999999999E-2</v>
      </c>
      <c r="AA2953">
        <v>0.79249320000000001</v>
      </c>
      <c r="AB2953">
        <v>43</v>
      </c>
      <c r="AC2953">
        <v>-5.1616000000000204</v>
      </c>
      <c r="AD2953">
        <v>-1.122003052263</v>
      </c>
      <c r="AE2953">
        <v>-14.6417</v>
      </c>
      <c r="AF2953">
        <v>-9.6372510675457601</v>
      </c>
      <c r="AG2953">
        <v>-1.122003052263</v>
      </c>
      <c r="AH2953">
        <v>12.068417180627</v>
      </c>
      <c r="AI2953">
        <v>94.155171555063404</v>
      </c>
      <c r="AJ2953">
        <v>128.60916247085899</v>
      </c>
      <c r="AK2953">
        <v>15.484902073757199</v>
      </c>
      <c r="AL2953">
        <v>85.812011504336198</v>
      </c>
      <c r="AM2953">
        <v>108.806888578448</v>
      </c>
      <c r="AN2953">
        <v>1.00000002444503</v>
      </c>
    </row>
    <row r="2954" spans="1:40" x14ac:dyDescent="0.3">
      <c r="A2954" t="str">
        <f>"20200111153935843"</f>
        <v>20200111153935843</v>
      </c>
      <c r="B2954" t="str">
        <f>"1578728375833895"</f>
        <v>1578728375833895</v>
      </c>
      <c r="C2954" t="s">
        <v>40</v>
      </c>
      <c r="D2954">
        <v>4.8172490000000003</v>
      </c>
      <c r="E2954">
        <v>0.36047109999999999</v>
      </c>
      <c r="F2954" t="s">
        <v>62</v>
      </c>
      <c r="G2954">
        <v>-415.0487</v>
      </c>
      <c r="H2954" s="1">
        <v>-1.72638E-6</v>
      </c>
      <c r="I2954">
        <v>120.7165</v>
      </c>
      <c r="J2954">
        <v>-409.97750000000002</v>
      </c>
      <c r="K2954">
        <v>1.1220840000000001</v>
      </c>
      <c r="L2954">
        <v>135.79810000000001</v>
      </c>
      <c r="M2954">
        <v>-0.83924279999999996</v>
      </c>
      <c r="N2954">
        <v>0</v>
      </c>
      <c r="O2954">
        <v>-0.54350980000000004</v>
      </c>
      <c r="P2954">
        <v>-0.62135479999999998</v>
      </c>
      <c r="Q2954">
        <v>7.0551909999999995E-2</v>
      </c>
      <c r="R2954">
        <v>-0.780346599999999</v>
      </c>
      <c r="S2954">
        <v>-1.0746770000000001</v>
      </c>
      <c r="T2954">
        <v>-0.22214210000000001</v>
      </c>
      <c r="U2954">
        <v>-3.031021</v>
      </c>
      <c r="V2954">
        <v>-0.32069920000000002</v>
      </c>
      <c r="W2954">
        <v>7.2048470000000003E-2</v>
      </c>
      <c r="X2954">
        <v>0.94443690000000002</v>
      </c>
      <c r="Y2954">
        <v>-0.60921040000000004</v>
      </c>
      <c r="Z2954">
        <v>1.7822890000000001E-2</v>
      </c>
      <c r="AA2954">
        <v>0.79280839999999997</v>
      </c>
      <c r="AB2954">
        <v>42</v>
      </c>
      <c r="AC2954">
        <v>-5.07119999999997</v>
      </c>
      <c r="AD2954">
        <v>-1.1220857263799999</v>
      </c>
      <c r="AE2954">
        <v>-15.0816</v>
      </c>
      <c r="AF2954">
        <v>-9.8532053020475399</v>
      </c>
      <c r="AG2954">
        <v>-1.1220857263799999</v>
      </c>
      <c r="AH2954">
        <v>12.393005353242</v>
      </c>
      <c r="AI2954">
        <v>94.053871754697298</v>
      </c>
      <c r="AJ2954">
        <v>128.48686945545501</v>
      </c>
      <c r="AK2954">
        <v>15.8723442750946</v>
      </c>
      <c r="AL2954">
        <v>85.868346956186898</v>
      </c>
      <c r="AM2954">
        <v>108.75576994589601</v>
      </c>
      <c r="AN2954">
        <v>1.0000000084957901</v>
      </c>
    </row>
    <row r="2955" spans="1:40" x14ac:dyDescent="0.3">
      <c r="A2955" t="str">
        <f>"20200111153935885"</f>
        <v>20200111153935885</v>
      </c>
      <c r="B2955" t="str">
        <f>"1578728375873911"</f>
        <v>1578728375873911</v>
      </c>
      <c r="C2955" t="s">
        <v>40</v>
      </c>
      <c r="D2955">
        <v>4.8633620000000004</v>
      </c>
      <c r="E2955">
        <v>0.36071379999999997</v>
      </c>
      <c r="F2955" t="s">
        <v>62</v>
      </c>
      <c r="G2955">
        <v>-415.19319999999999</v>
      </c>
      <c r="H2955" s="1">
        <v>-1.528843E-6</v>
      </c>
      <c r="I2955">
        <v>120.29989999999999</v>
      </c>
      <c r="J2955">
        <v>-410.61610000000002</v>
      </c>
      <c r="K2955">
        <v>1.1222190000000001</v>
      </c>
      <c r="L2955">
        <v>135.3698</v>
      </c>
      <c r="M2955">
        <v>-0.82223860000000004</v>
      </c>
      <c r="N2955">
        <v>0</v>
      </c>
      <c r="O2955">
        <v>-0.56890490000000005</v>
      </c>
      <c r="P2955">
        <v>-0.59855559999999997</v>
      </c>
      <c r="Q2955">
        <v>6.953413E-2</v>
      </c>
      <c r="R2955">
        <v>-0.79805809999999999</v>
      </c>
      <c r="S2955">
        <v>-1.025665</v>
      </c>
      <c r="T2955">
        <v>-0.22065750000000001</v>
      </c>
      <c r="U2955">
        <v>-3.0476990000000002</v>
      </c>
      <c r="V2955">
        <v>-0.31917390000000001</v>
      </c>
      <c r="W2955">
        <v>7.1048739999999999E-2</v>
      </c>
      <c r="X2955">
        <v>0.94502909999999996</v>
      </c>
      <c r="Y2955">
        <v>-0.5977306</v>
      </c>
      <c r="Z2955">
        <v>2.0291859999999998E-2</v>
      </c>
      <c r="AA2955">
        <v>0.80144019999999905</v>
      </c>
      <c r="AB2955">
        <v>42</v>
      </c>
      <c r="AC2955">
        <v>-4.5770999999999704</v>
      </c>
      <c r="AD2955">
        <v>-1.1222205288429901</v>
      </c>
      <c r="AE2955">
        <v>-15.069900000000001</v>
      </c>
      <c r="AF2955">
        <v>-9.7389990975411198</v>
      </c>
      <c r="AG2955">
        <v>-1.1222205288429901</v>
      </c>
      <c r="AH2955">
        <v>12.276152575004399</v>
      </c>
      <c r="AI2955">
        <v>94.096267039946895</v>
      </c>
      <c r="AJ2955">
        <v>128.42590524819701</v>
      </c>
      <c r="AK2955">
        <v>15.7102324738385</v>
      </c>
      <c r="AL2955">
        <v>85.925774212708603</v>
      </c>
      <c r="AM2955">
        <v>108.66187026895</v>
      </c>
      <c r="AN2955">
        <v>0.99999995087180205</v>
      </c>
    </row>
    <row r="2956" spans="1:40" x14ac:dyDescent="0.3">
      <c r="A2956" t="str">
        <f>"20200111153935909"</f>
        <v>20200111153935909</v>
      </c>
      <c r="B2956" t="str">
        <f>"1578728375904167"</f>
        <v>1578728375904167</v>
      </c>
      <c r="C2956" t="s">
        <v>40</v>
      </c>
      <c r="D2956">
        <v>4.8771570000000004</v>
      </c>
      <c r="E2956">
        <v>0.36082730000000002</v>
      </c>
      <c r="F2956" t="s">
        <v>42</v>
      </c>
      <c r="G2956">
        <v>-415.49700000000001</v>
      </c>
      <c r="H2956" s="1">
        <v>-4.9545130000000003E-6</v>
      </c>
      <c r="I2956">
        <v>119.3199</v>
      </c>
      <c r="J2956">
        <v>-410.97590000000002</v>
      </c>
      <c r="K2956">
        <v>1.122288</v>
      </c>
      <c r="L2956">
        <v>135.11600000000001</v>
      </c>
      <c r="M2956">
        <v>-0.81207510000000005</v>
      </c>
      <c r="N2956">
        <v>0</v>
      </c>
      <c r="O2956">
        <v>-0.58331949999999999</v>
      </c>
      <c r="P2956">
        <v>-0.58663279999999995</v>
      </c>
      <c r="Q2956">
        <v>6.9523160000000001E-2</v>
      </c>
      <c r="R2956">
        <v>-0.80686349999999996</v>
      </c>
      <c r="S2956">
        <v>-0.93551640000000003</v>
      </c>
      <c r="T2956">
        <v>-0.2150939</v>
      </c>
      <c r="U2956">
        <v>-3.0762330000000002</v>
      </c>
      <c r="V2956">
        <v>-0.3165597</v>
      </c>
      <c r="W2956">
        <v>7.1141960000000004E-2</v>
      </c>
      <c r="X2956">
        <v>0.94590099999999999</v>
      </c>
      <c r="Y2956">
        <v>-0.60712900000000003</v>
      </c>
      <c r="Z2956">
        <v>2.0616229999999999E-2</v>
      </c>
      <c r="AA2956">
        <v>0.79433580000000004</v>
      </c>
      <c r="AB2956">
        <v>42</v>
      </c>
      <c r="AC2956">
        <v>-4.5210999999999304</v>
      </c>
      <c r="AD2956">
        <v>-1.122292954513</v>
      </c>
      <c r="AE2956">
        <v>-15.796099999999999</v>
      </c>
      <c r="AF2956">
        <v>-10.1444309051967</v>
      </c>
      <c r="AG2956">
        <v>-1.122292954513</v>
      </c>
      <c r="AH2956">
        <v>12.827551598132301</v>
      </c>
      <c r="AI2956">
        <v>93.925750495015095</v>
      </c>
      <c r="AJ2956">
        <v>128.338055105519</v>
      </c>
      <c r="AK2956">
        <v>16.392531832173098</v>
      </c>
      <c r="AL2956">
        <v>85.920419595379101</v>
      </c>
      <c r="AM2956">
        <v>108.503576296803</v>
      </c>
      <c r="AN2956">
        <v>0.99999996196886498</v>
      </c>
    </row>
    <row r="2957" spans="1:40" x14ac:dyDescent="0.3">
      <c r="A2957" t="str">
        <f>"20200111153935932"</f>
        <v>20200111153935932</v>
      </c>
      <c r="B2957" t="str">
        <f>"1578728375923687"</f>
        <v>1578728375923687</v>
      </c>
      <c r="C2957" t="s">
        <v>40</v>
      </c>
      <c r="D2957">
        <v>4.9605430000000004</v>
      </c>
      <c r="E2957">
        <v>0.36091129999999999</v>
      </c>
      <c r="F2957" t="s">
        <v>42</v>
      </c>
      <c r="G2957">
        <v>-415.73989999999998</v>
      </c>
      <c r="H2957" s="1">
        <v>-4.5799890000000001E-6</v>
      </c>
      <c r="I2957">
        <v>118.54730000000001</v>
      </c>
      <c r="J2957">
        <v>-411.33210000000003</v>
      </c>
      <c r="K2957">
        <v>1.122341</v>
      </c>
      <c r="L2957">
        <v>134.85550000000001</v>
      </c>
      <c r="M2957">
        <v>-0.80158300000000005</v>
      </c>
      <c r="N2957">
        <v>0</v>
      </c>
      <c r="O2957">
        <v>-0.59765419999999903</v>
      </c>
      <c r="P2957">
        <v>-0.57524549999999997</v>
      </c>
      <c r="Q2957">
        <v>6.8258540000000006E-2</v>
      </c>
      <c r="R2957">
        <v>-0.81512769999999901</v>
      </c>
      <c r="S2957">
        <v>-0.88851930000000001</v>
      </c>
      <c r="T2957">
        <v>-0.20931640000000001</v>
      </c>
      <c r="U2957">
        <v>-3.090179</v>
      </c>
      <c r="V2957">
        <v>-0.31307800000000002</v>
      </c>
      <c r="W2957">
        <v>7.0031319999999994E-2</v>
      </c>
      <c r="X2957">
        <v>0.94714189999999998</v>
      </c>
      <c r="Y2957">
        <v>-0.60514999999999997</v>
      </c>
      <c r="Z2957">
        <v>2.1298170000000002E-2</v>
      </c>
      <c r="AA2957">
        <v>0.79582649999999999</v>
      </c>
      <c r="AB2957">
        <v>42</v>
      </c>
      <c r="AC2957">
        <v>-4.4077999999999502</v>
      </c>
      <c r="AD2957">
        <v>-1.1223455799889901</v>
      </c>
      <c r="AE2957">
        <v>-16.308199999999999</v>
      </c>
      <c r="AF2957">
        <v>-10.393590743076301</v>
      </c>
      <c r="AG2957">
        <v>-1.1223455799889901</v>
      </c>
      <c r="AH2957">
        <v>13.2233362912819</v>
      </c>
      <c r="AI2957">
        <v>93.817703110242803</v>
      </c>
      <c r="AJ2957">
        <v>128.16747651208999</v>
      </c>
      <c r="AK2957">
        <v>16.856542077419601</v>
      </c>
      <c r="AL2957">
        <v>85.984213860574897</v>
      </c>
      <c r="AM2957">
        <v>108.291316610447</v>
      </c>
      <c r="AN2957">
        <v>0.99999999930027605</v>
      </c>
    </row>
    <row r="2958" spans="1:40" x14ac:dyDescent="0.3">
      <c r="A2958" t="str">
        <f>"20200111153935953"</f>
        <v>20200111153935953</v>
      </c>
      <c r="B2958" t="str">
        <f>"1578728375944183"</f>
        <v>1578728375944183</v>
      </c>
      <c r="C2958" t="s">
        <v>40</v>
      </c>
      <c r="D2958">
        <v>4.963082</v>
      </c>
      <c r="E2958">
        <v>0.3609909</v>
      </c>
      <c r="F2958" t="s">
        <v>41</v>
      </c>
      <c r="G2958">
        <v>-411.57859999999999</v>
      </c>
      <c r="H2958">
        <v>1.06158</v>
      </c>
      <c r="I2958">
        <v>133.9496</v>
      </c>
      <c r="J2958">
        <v>-411.65190000000001</v>
      </c>
      <c r="K2958">
        <v>1.1223810000000001</v>
      </c>
      <c r="L2958">
        <v>134.61320000000001</v>
      </c>
      <c r="M2958">
        <v>-0.79177609999999998</v>
      </c>
      <c r="N2958">
        <v>0</v>
      </c>
      <c r="O2958">
        <v>-0.61058610000000002</v>
      </c>
      <c r="P2958">
        <v>-0.56504569999999998</v>
      </c>
      <c r="Q2958">
        <v>6.5881190000000006E-2</v>
      </c>
      <c r="R2958">
        <v>-0.82242539999999997</v>
      </c>
      <c r="S2958">
        <v>-0.84344479999999999</v>
      </c>
      <c r="T2958">
        <v>-0.2079587</v>
      </c>
      <c r="U2958">
        <v>-3.102554</v>
      </c>
      <c r="V2958">
        <v>-0.3095618</v>
      </c>
      <c r="W2958">
        <v>6.7815500000000001E-2</v>
      </c>
      <c r="X2958">
        <v>0.94845800000000002</v>
      </c>
      <c r="Y2958">
        <v>-0.60381439999999997</v>
      </c>
      <c r="Z2958">
        <v>2.2257900000000001E-2</v>
      </c>
      <c r="AA2958">
        <v>0.79681409999999997</v>
      </c>
      <c r="AB2958">
        <v>42</v>
      </c>
      <c r="AC2958">
        <v>7.3300000000017407E-2</v>
      </c>
      <c r="AD2958">
        <v>-6.08009999999998E-2</v>
      </c>
      <c r="AE2958">
        <v>-0.66360000000000197</v>
      </c>
      <c r="AF2958">
        <v>-0.56556649035227402</v>
      </c>
      <c r="AG2958">
        <v>-6.08009999999998E-2</v>
      </c>
      <c r="AH2958">
        <v>0.34433972072147601</v>
      </c>
      <c r="AI2958">
        <v>95.246436488693305</v>
      </c>
      <c r="AJ2958">
        <v>148.66525672384401</v>
      </c>
      <c r="AK2958">
        <v>0.66493011653626699</v>
      </c>
      <c r="AL2958">
        <v>86.111473707806098</v>
      </c>
      <c r="AM2958">
        <v>108.075869662597</v>
      </c>
      <c r="AN2958">
        <v>1.00000001391174</v>
      </c>
    </row>
    <row r="2959" spans="1:40" x14ac:dyDescent="0.3">
      <c r="A2959" t="str">
        <f>"20200111153935976"</f>
        <v>20200111153935976</v>
      </c>
      <c r="B2959" t="str">
        <f>"1578728375973463"</f>
        <v>1578728375973463</v>
      </c>
      <c r="C2959" t="s">
        <v>40</v>
      </c>
      <c r="D2959">
        <v>5.0607040000000003</v>
      </c>
      <c r="E2959">
        <v>0.36119059999999997</v>
      </c>
      <c r="F2959" t="s">
        <v>41</v>
      </c>
      <c r="G2959">
        <v>-411.87810000000002</v>
      </c>
      <c r="H2959">
        <v>1.0626679999999999</v>
      </c>
      <c r="I2959">
        <v>133.73769999999999</v>
      </c>
      <c r="J2959">
        <v>-411.97489999999999</v>
      </c>
      <c r="K2959">
        <v>1.1224080000000001</v>
      </c>
      <c r="L2959">
        <v>134.35980000000001</v>
      </c>
      <c r="M2959">
        <v>-0.78147789999999995</v>
      </c>
      <c r="N2959">
        <v>0</v>
      </c>
      <c r="O2959">
        <v>-0.62371140000000003</v>
      </c>
      <c r="P2959">
        <v>-0.55342499999999994</v>
      </c>
      <c r="Q2959">
        <v>6.3535930000000004E-2</v>
      </c>
      <c r="R2959">
        <v>-0.8304724</v>
      </c>
      <c r="S2959">
        <v>-0.80386349999999995</v>
      </c>
      <c r="T2959">
        <v>-0.2122647</v>
      </c>
      <c r="U2959">
        <v>-3.1124420000000002</v>
      </c>
      <c r="V2959">
        <v>-0.30712200000000001</v>
      </c>
      <c r="W2959">
        <v>6.5581730000000005E-2</v>
      </c>
      <c r="X2959">
        <v>0.94940780000000002</v>
      </c>
      <c r="Y2959">
        <v>-0.60063330000000004</v>
      </c>
      <c r="Z2959">
        <v>2.392878E-2</v>
      </c>
      <c r="AA2959">
        <v>0.7991665</v>
      </c>
      <c r="AB2959">
        <v>42</v>
      </c>
      <c r="AC2959">
        <v>9.6799999999973296E-2</v>
      </c>
      <c r="AD2959">
        <v>-5.9740000000000099E-2</v>
      </c>
      <c r="AE2959">
        <v>-0.62210000000001697</v>
      </c>
      <c r="AF2959">
        <v>-0.54173063571763003</v>
      </c>
      <c r="AG2959">
        <v>-5.9740000000000099E-2</v>
      </c>
      <c r="AH2959">
        <v>0.30961926232907899</v>
      </c>
      <c r="AI2959">
        <v>95.468947108296902</v>
      </c>
      <c r="AJ2959">
        <v>150.25042289868</v>
      </c>
      <c r="AK2959">
        <v>0.62682137557699102</v>
      </c>
      <c r="AL2959">
        <v>86.239745019784607</v>
      </c>
      <c r="AM2959">
        <v>107.925770178508</v>
      </c>
      <c r="AN2959">
        <v>1.0000000284473101</v>
      </c>
    </row>
    <row r="2960" spans="1:40" x14ac:dyDescent="0.3">
      <c r="A2960" t="str">
        <f>"20200111153935998"</f>
        <v>20200111153935998</v>
      </c>
      <c r="B2960" t="str">
        <f>"1578728375993959"</f>
        <v>1578728375993959</v>
      </c>
      <c r="C2960" t="s">
        <v>40</v>
      </c>
      <c r="D2960">
        <v>5.0938480000000004</v>
      </c>
      <c r="E2960">
        <v>0.36144330000000002</v>
      </c>
      <c r="F2960" t="s">
        <v>42</v>
      </c>
      <c r="G2960">
        <v>-415.9128</v>
      </c>
      <c r="H2960" s="1">
        <v>-4.3957430000000002E-6</v>
      </c>
      <c r="I2960">
        <v>118.18940000000001</v>
      </c>
      <c r="J2960">
        <v>-412.29640000000001</v>
      </c>
      <c r="K2960">
        <v>1.1224419999999999</v>
      </c>
      <c r="L2960">
        <v>134.0985</v>
      </c>
      <c r="M2960">
        <v>-0.77082269999999997</v>
      </c>
      <c r="N2960">
        <v>0</v>
      </c>
      <c r="O2960">
        <v>-0.63683190000000001</v>
      </c>
      <c r="P2960">
        <v>-0.54049630000000004</v>
      </c>
      <c r="Q2960">
        <v>6.1931350000000003E-2</v>
      </c>
      <c r="R2960">
        <v>-0.83906389999999997</v>
      </c>
      <c r="S2960">
        <v>-0.76034550000000001</v>
      </c>
      <c r="T2960">
        <v>-0.21671899999999999</v>
      </c>
      <c r="U2960">
        <v>-3.1222379999999998</v>
      </c>
      <c r="V2960">
        <v>-0.30580780000000002</v>
      </c>
      <c r="W2960">
        <v>6.4035739999999994E-2</v>
      </c>
      <c r="X2960">
        <v>0.94993729999999998</v>
      </c>
      <c r="Y2960">
        <v>-0.59821599999999997</v>
      </c>
      <c r="Z2960">
        <v>2.5647059999999999E-2</v>
      </c>
      <c r="AA2960">
        <v>0.80092439999999998</v>
      </c>
      <c r="AB2960">
        <v>42</v>
      </c>
      <c r="AC2960">
        <v>-3.6163999999999898</v>
      </c>
      <c r="AD2960">
        <v>-1.122446395743</v>
      </c>
      <c r="AE2960">
        <v>-15.909099999999899</v>
      </c>
      <c r="AF2960">
        <v>-9.9145109098327193</v>
      </c>
      <c r="AG2960">
        <v>-1.122446395743</v>
      </c>
      <c r="AH2960">
        <v>12.8599491129686</v>
      </c>
      <c r="AI2960">
        <v>93.9542380378209</v>
      </c>
      <c r="AJ2960">
        <v>127.63079851527</v>
      </c>
      <c r="AK2960">
        <v>16.276845630546799</v>
      </c>
      <c r="AL2960">
        <v>86.328509978279797</v>
      </c>
      <c r="AM2960">
        <v>107.844623148899</v>
      </c>
      <c r="AN2960">
        <v>0.99999993023473599</v>
      </c>
    </row>
    <row r="2961" spans="1:40" x14ac:dyDescent="0.3">
      <c r="A2961" t="str">
        <f>"20200111153936025"</f>
        <v>20200111153936025</v>
      </c>
      <c r="B2961" t="str">
        <f>"1578728376013479"</f>
        <v>1578728376013479</v>
      </c>
      <c r="C2961" t="s">
        <v>40</v>
      </c>
      <c r="D2961">
        <v>5.10175</v>
      </c>
      <c r="E2961">
        <v>0.36173519999999998</v>
      </c>
      <c r="F2961" t="s">
        <v>42</v>
      </c>
      <c r="G2961">
        <v>-415.92669999999998</v>
      </c>
      <c r="H2961" s="1">
        <v>-4.3806729999999997E-6</v>
      </c>
      <c r="I2961">
        <v>118.16</v>
      </c>
      <c r="J2961">
        <v>-412.66180000000003</v>
      </c>
      <c r="K2961">
        <v>1.1224860000000001</v>
      </c>
      <c r="L2961">
        <v>133.79050000000001</v>
      </c>
      <c r="M2961">
        <v>-0.75820730000000003</v>
      </c>
      <c r="N2961">
        <v>0</v>
      </c>
      <c r="O2961">
        <v>-0.65179980000000004</v>
      </c>
      <c r="P2961">
        <v>-0.52399359999999995</v>
      </c>
      <c r="Q2961">
        <v>6.0922999999999998E-2</v>
      </c>
      <c r="R2961">
        <v>-0.84954069999999904</v>
      </c>
      <c r="S2961">
        <v>-0.71340939999999997</v>
      </c>
      <c r="T2961">
        <v>-0.22057499999999999</v>
      </c>
      <c r="U2961">
        <v>-3.132126</v>
      </c>
      <c r="V2961">
        <v>-0.30579820000000002</v>
      </c>
      <c r="W2961">
        <v>6.3023079999999995E-2</v>
      </c>
      <c r="X2961">
        <v>0.95000819999999997</v>
      </c>
      <c r="Y2961">
        <v>-0.59449229999999997</v>
      </c>
      <c r="Z2961">
        <v>2.7557430000000001E-2</v>
      </c>
      <c r="AA2961">
        <v>0.80362900000000004</v>
      </c>
      <c r="AB2961">
        <v>42</v>
      </c>
      <c r="AC2961">
        <v>-3.2648999999999502</v>
      </c>
      <c r="AD2961">
        <v>-1.122490380673</v>
      </c>
      <c r="AE2961">
        <v>-15.6305</v>
      </c>
      <c r="AF2961">
        <v>-9.6766346770994094</v>
      </c>
      <c r="AG2961">
        <v>-1.122490380673</v>
      </c>
      <c r="AH2961">
        <v>12.6029135993558</v>
      </c>
      <c r="AI2961">
        <v>94.040907123885901</v>
      </c>
      <c r="AJ2961">
        <v>127.517390498643</v>
      </c>
      <c r="AK2961">
        <v>15.9289257177492</v>
      </c>
      <c r="AL2961">
        <v>86.386648873553597</v>
      </c>
      <c r="AM2961">
        <v>107.842851219753</v>
      </c>
      <c r="AN2961">
        <v>1.0000000139015801</v>
      </c>
    </row>
    <row r="2962" spans="1:40" x14ac:dyDescent="0.3">
      <c r="A2962" t="str">
        <f>"20200111153936050"</f>
        <v>20200111153936050</v>
      </c>
      <c r="B2962" t="str">
        <f>"1578728376043735"</f>
        <v>1578728376043735</v>
      </c>
      <c r="C2962" t="s">
        <v>40</v>
      </c>
      <c r="D2962">
        <v>5.0633210000000002</v>
      </c>
      <c r="E2962">
        <v>0.36217389999999999</v>
      </c>
      <c r="F2962" t="s">
        <v>42</v>
      </c>
      <c r="G2962">
        <v>-415.94600000000003</v>
      </c>
      <c r="H2962" s="1">
        <v>-4.3047079999999998E-6</v>
      </c>
      <c r="I2962">
        <v>117.9909</v>
      </c>
      <c r="J2962">
        <v>-413.01100000000002</v>
      </c>
      <c r="K2962">
        <v>1.1225160000000001</v>
      </c>
      <c r="L2962">
        <v>133.48500000000001</v>
      </c>
      <c r="M2962">
        <v>-0.74564129999999995</v>
      </c>
      <c r="N2962">
        <v>0</v>
      </c>
      <c r="O2962">
        <v>-0.66613730000000004</v>
      </c>
      <c r="P2962">
        <v>-0.50747589999999998</v>
      </c>
      <c r="Q2962">
        <v>6.0384729999999998E-2</v>
      </c>
      <c r="R2962">
        <v>-0.85954759999999997</v>
      </c>
      <c r="S2962">
        <v>-0.65356449999999999</v>
      </c>
      <c r="T2962">
        <v>-0.22338440000000001</v>
      </c>
      <c r="U2962">
        <v>-3.1442410000000001</v>
      </c>
      <c r="V2962">
        <v>-0.30605979999999999</v>
      </c>
      <c r="W2962">
        <v>6.2468669999999997E-2</v>
      </c>
      <c r="X2962">
        <v>0.94996049999999999</v>
      </c>
      <c r="Y2962">
        <v>-0.59444859999999999</v>
      </c>
      <c r="Z2962">
        <v>2.9198910000000002E-2</v>
      </c>
      <c r="AA2962">
        <v>0.80360339999999997</v>
      </c>
      <c r="AB2962">
        <v>42</v>
      </c>
      <c r="AC2962">
        <v>-2.9350000000000001</v>
      </c>
      <c r="AD2962">
        <v>-1.1225203047079999</v>
      </c>
      <c r="AE2962">
        <v>-15.4941</v>
      </c>
      <c r="AF2962">
        <v>-9.5508789342677805</v>
      </c>
      <c r="AG2962">
        <v>-1.1225203047079999</v>
      </c>
      <c r="AH2962">
        <v>12.448332937894</v>
      </c>
      <c r="AI2962">
        <v>94.092143723208494</v>
      </c>
      <c r="AJ2962">
        <v>127.49692072371001</v>
      </c>
      <c r="AK2962">
        <v>15.730236272357001</v>
      </c>
      <c r="AL2962">
        <v>86.418476691065806</v>
      </c>
      <c r="AM2962">
        <v>107.857985826533</v>
      </c>
      <c r="AN2962">
        <v>0.99999994373392698</v>
      </c>
    </row>
    <row r="2963" spans="1:40" x14ac:dyDescent="0.3">
      <c r="A2963" t="str">
        <f>"20200111153936072"</f>
        <v>20200111153936072</v>
      </c>
      <c r="B2963" t="str">
        <f>"1578728376064231"</f>
        <v>1578728376064231</v>
      </c>
      <c r="C2963" t="s">
        <v>40</v>
      </c>
      <c r="D2963">
        <v>5.1412630000000004</v>
      </c>
      <c r="E2963">
        <v>0.36248979999999997</v>
      </c>
      <c r="F2963" t="s">
        <v>41</v>
      </c>
      <c r="G2963">
        <v>-413.19319999999999</v>
      </c>
      <c r="H2963">
        <v>1.0540529999999999</v>
      </c>
      <c r="I2963">
        <v>132.52109999999999</v>
      </c>
      <c r="J2963">
        <v>-413.31709999999998</v>
      </c>
      <c r="K2963">
        <v>1.12253799999999</v>
      </c>
      <c r="L2963">
        <v>133.20750000000001</v>
      </c>
      <c r="M2963">
        <v>-0.73418739999999905</v>
      </c>
      <c r="N2963">
        <v>0</v>
      </c>
      <c r="O2963">
        <v>-0.6787398</v>
      </c>
      <c r="P2963">
        <v>-0.4924249</v>
      </c>
      <c r="Q2963">
        <v>5.979508E-2</v>
      </c>
      <c r="R2963">
        <v>-0.86829849999999997</v>
      </c>
      <c r="S2963">
        <v>-0.59573359999999997</v>
      </c>
      <c r="T2963">
        <v>-0.2239469</v>
      </c>
      <c r="U2963">
        <v>-3.1542050000000001</v>
      </c>
      <c r="V2963">
        <v>-0.30643979999999998</v>
      </c>
      <c r="W2963">
        <v>6.1857589999999997E-2</v>
      </c>
      <c r="X2963">
        <v>0.949878</v>
      </c>
      <c r="Y2963">
        <v>-0.59544629999999998</v>
      </c>
      <c r="Z2963">
        <v>3.0390190000000001E-2</v>
      </c>
      <c r="AA2963">
        <v>0.80282010000000004</v>
      </c>
      <c r="AB2963">
        <v>42</v>
      </c>
      <c r="AC2963">
        <v>0.123899999999991</v>
      </c>
      <c r="AD2963">
        <v>-6.8484999999999602E-2</v>
      </c>
      <c r="AE2963">
        <v>-0.68640000000001999</v>
      </c>
      <c r="AF2963">
        <v>-0.58250894094895</v>
      </c>
      <c r="AG2963">
        <v>-6.8484999999999602E-2</v>
      </c>
      <c r="AH2963">
        <v>0.37139337842533099</v>
      </c>
      <c r="AI2963">
        <v>95.661461988591796</v>
      </c>
      <c r="AJ2963">
        <v>147.47941724162999</v>
      </c>
      <c r="AK2963">
        <v>0.694218915795765</v>
      </c>
      <c r="AL2963">
        <v>86.453556914277897</v>
      </c>
      <c r="AM2963">
        <v>107.880201308533</v>
      </c>
      <c r="AN2963">
        <v>0.99999996367432298</v>
      </c>
    </row>
    <row r="2964" spans="1:40" x14ac:dyDescent="0.3">
      <c r="A2964" t="str">
        <f>"20200111153936092"</f>
        <v>20200111153936092</v>
      </c>
      <c r="B2964" t="str">
        <f>"1578728376083751"</f>
        <v>1578728376083751</v>
      </c>
      <c r="C2964" t="s">
        <v>40</v>
      </c>
      <c r="D2964">
        <v>5.1096059999999897</v>
      </c>
      <c r="E2964">
        <v>0.36285119999999998</v>
      </c>
      <c r="F2964" t="s">
        <v>41</v>
      </c>
      <c r="G2964">
        <v>-413.47480000000002</v>
      </c>
      <c r="H2964">
        <v>1.0570389999999901</v>
      </c>
      <c r="I2964">
        <v>132.2895</v>
      </c>
      <c r="J2964">
        <v>-413.58339999999998</v>
      </c>
      <c r="K2964">
        <v>1.12256</v>
      </c>
      <c r="L2964">
        <v>132.9579</v>
      </c>
      <c r="M2964">
        <v>-0.72386319999999904</v>
      </c>
      <c r="N2964">
        <v>0</v>
      </c>
      <c r="O2964">
        <v>-0.68973899999999999</v>
      </c>
      <c r="P2964">
        <v>-0.47907739999999999</v>
      </c>
      <c r="Q2964">
        <v>5.9683809999999997E-2</v>
      </c>
      <c r="R2964">
        <v>-0.87574129999999994</v>
      </c>
      <c r="S2964">
        <v>-0.54315190000000002</v>
      </c>
      <c r="T2964">
        <v>-0.225635</v>
      </c>
      <c r="U2964">
        <v>-3.1625519999999998</v>
      </c>
      <c r="V2964">
        <v>-0.30665360000000003</v>
      </c>
      <c r="W2964">
        <v>6.1734810000000001E-2</v>
      </c>
      <c r="X2964">
        <v>0.94981700000000002</v>
      </c>
      <c r="Y2964">
        <v>-0.59664740000000005</v>
      </c>
      <c r="Z2964">
        <v>3.1597510000000002E-2</v>
      </c>
      <c r="AA2964">
        <v>0.80188119999999996</v>
      </c>
      <c r="AB2964">
        <v>42</v>
      </c>
      <c r="AC2964">
        <v>0.108599999999967</v>
      </c>
      <c r="AD2964">
        <v>-6.5521000000000107E-2</v>
      </c>
      <c r="AE2964">
        <v>-0.668399999999991</v>
      </c>
      <c r="AF2964">
        <v>-0.553631528969178</v>
      </c>
      <c r="AG2964">
        <v>-6.5521000000000107E-2</v>
      </c>
      <c r="AH2964">
        <v>0.37891652606714399</v>
      </c>
      <c r="AI2964">
        <v>95.578025153549802</v>
      </c>
      <c r="AJ2964">
        <v>145.611478688201</v>
      </c>
      <c r="AK2964">
        <v>0.674076112198424</v>
      </c>
      <c r="AL2964">
        <v>86.460605202322895</v>
      </c>
      <c r="AM2964">
        <v>107.892956891544</v>
      </c>
      <c r="AN2964">
        <v>0.99999997532384699</v>
      </c>
    </row>
    <row r="2965" spans="1:40" x14ac:dyDescent="0.3">
      <c r="A2965" t="str">
        <f>"20200111153936132"</f>
        <v>20200111153936132</v>
      </c>
      <c r="B2965" t="str">
        <f>"1578728376123770"</f>
        <v>1578728376123770</v>
      </c>
      <c r="C2965" t="s">
        <v>40</v>
      </c>
      <c r="D2965">
        <v>5.1030280000000001</v>
      </c>
      <c r="E2965">
        <v>0.36362410000000001</v>
      </c>
      <c r="F2965" t="s">
        <v>41</v>
      </c>
      <c r="G2965">
        <v>-413.7278</v>
      </c>
      <c r="H2965">
        <v>1.056905</v>
      </c>
      <c r="I2965">
        <v>132.03700000000001</v>
      </c>
      <c r="J2965">
        <v>-414.09730000000002</v>
      </c>
      <c r="K2965">
        <v>1.1226119999999999</v>
      </c>
      <c r="L2965">
        <v>132.45400000000001</v>
      </c>
      <c r="M2965">
        <v>-0.70296689999999995</v>
      </c>
      <c r="N2965">
        <v>0</v>
      </c>
      <c r="O2965">
        <v>-0.71102330000000002</v>
      </c>
      <c r="P2965">
        <v>-0.45423029999999998</v>
      </c>
      <c r="Q2965">
        <v>6.038748E-2</v>
      </c>
      <c r="R2965">
        <v>-0.88883509999999999</v>
      </c>
      <c r="S2965">
        <v>-0.49670409999999998</v>
      </c>
      <c r="T2965">
        <v>-0.2259148</v>
      </c>
      <c r="U2965">
        <v>-3.169327</v>
      </c>
      <c r="V2965">
        <v>-0.3050717</v>
      </c>
      <c r="W2965">
        <v>6.2518160000000003E-2</v>
      </c>
      <c r="X2965">
        <v>0.95027510000000004</v>
      </c>
      <c r="Y2965">
        <v>-0.58440269999999905</v>
      </c>
      <c r="Z2965">
        <v>3.4040569999999999E-2</v>
      </c>
      <c r="AA2965">
        <v>0.81074950000000001</v>
      </c>
      <c r="AB2965">
        <v>42</v>
      </c>
      <c r="AC2965">
        <v>0.36950000000001598</v>
      </c>
      <c r="AD2965">
        <v>-6.5707000000000099E-2</v>
      </c>
      <c r="AE2965">
        <v>-0.41700000000000098</v>
      </c>
      <c r="AF2965">
        <v>-0.54831297838178406</v>
      </c>
      <c r="AG2965">
        <v>-6.5707000000000099E-2</v>
      </c>
      <c r="AH2965">
        <v>3.62514584394905E-2</v>
      </c>
      <c r="AI2965">
        <v>96.818698943306202</v>
      </c>
      <c r="AJ2965">
        <v>176.21742106659499</v>
      </c>
      <c r="AK2965">
        <v>0.55342452091490602</v>
      </c>
      <c r="AL2965">
        <v>86.415635821912204</v>
      </c>
      <c r="AM2965">
        <v>107.79845549135</v>
      </c>
      <c r="AN2965">
        <v>1.00000001407534</v>
      </c>
    </row>
    <row r="2966" spans="1:40" x14ac:dyDescent="0.3">
      <c r="A2966" t="str">
        <f>"20200111153936154"</f>
        <v>20200111153936154</v>
      </c>
      <c r="B2966" t="str">
        <f>"1578728376144264"</f>
        <v>1578728376144264</v>
      </c>
      <c r="C2966" t="s">
        <v>40</v>
      </c>
      <c r="D2966">
        <v>5.0692309999999896</v>
      </c>
      <c r="E2966">
        <v>0.36380649999999998</v>
      </c>
      <c r="F2966" t="s">
        <v>41</v>
      </c>
      <c r="G2966">
        <v>-414.21859999999998</v>
      </c>
      <c r="H2966">
        <v>1.057218</v>
      </c>
      <c r="I2966">
        <v>131.52019999999999</v>
      </c>
      <c r="J2966">
        <v>-414.38600000000002</v>
      </c>
      <c r="K2966">
        <v>1.1226370000000001</v>
      </c>
      <c r="L2966">
        <v>132.15770000000001</v>
      </c>
      <c r="M2966">
        <v>-0.69063529999999995</v>
      </c>
      <c r="N2966">
        <v>0</v>
      </c>
      <c r="O2966">
        <v>-0.72300679999999995</v>
      </c>
      <c r="P2966">
        <v>-0.4401582</v>
      </c>
      <c r="Q2966">
        <v>6.1520730000000003E-2</v>
      </c>
      <c r="R2966">
        <v>-0.89581010000000005</v>
      </c>
      <c r="S2966">
        <v>-0.41281129999999999</v>
      </c>
      <c r="T2966">
        <v>-0.22260240000000001</v>
      </c>
      <c r="U2966">
        <v>-3.1793670000000001</v>
      </c>
      <c r="V2966">
        <v>-0.30371700000000001</v>
      </c>
      <c r="W2966">
        <v>6.3720250000000006E-2</v>
      </c>
      <c r="X2966">
        <v>0.9506291</v>
      </c>
      <c r="Y2966">
        <v>-0.5917829</v>
      </c>
      <c r="Z2966">
        <v>3.442767E-2</v>
      </c>
      <c r="AA2966">
        <v>0.80536189999999996</v>
      </c>
      <c r="AB2966">
        <v>42</v>
      </c>
      <c r="AC2966">
        <v>0.167399999999986</v>
      </c>
      <c r="AD2966">
        <v>-6.5419000000000102E-2</v>
      </c>
      <c r="AE2966">
        <v>-0.63750000000001705</v>
      </c>
      <c r="AF2966">
        <v>-0.55591465465031298</v>
      </c>
      <c r="AG2966">
        <v>-6.5419000000000102E-2</v>
      </c>
      <c r="AH2966">
        <v>0.34198458070292298</v>
      </c>
      <c r="AI2966">
        <v>95.723694671341207</v>
      </c>
      <c r="AJ2966">
        <v>148.40122596336099</v>
      </c>
      <c r="AK2966">
        <v>0.655952896368733</v>
      </c>
      <c r="AL2966">
        <v>86.346623421710106</v>
      </c>
      <c r="AM2966">
        <v>107.718188956033</v>
      </c>
      <c r="AN2966">
        <v>0.99999998605793605</v>
      </c>
    </row>
    <row r="2967" spans="1:40" x14ac:dyDescent="0.3">
      <c r="A2967" t="str">
        <f>"20200111153936177"</f>
        <v>20200111153936177</v>
      </c>
      <c r="B2967" t="str">
        <f>"1578728376173544"</f>
        <v>1578728376173544</v>
      </c>
      <c r="C2967" t="s">
        <v>40</v>
      </c>
      <c r="D2967">
        <v>4.8977430000000002</v>
      </c>
      <c r="E2967">
        <v>0.3787954</v>
      </c>
      <c r="F2967" t="s">
        <v>41</v>
      </c>
      <c r="G2967">
        <v>-414.48700000000002</v>
      </c>
      <c r="H2967">
        <v>1.062066</v>
      </c>
      <c r="I2967">
        <v>131.27520000000001</v>
      </c>
      <c r="J2967">
        <v>-414.66370000000001</v>
      </c>
      <c r="K2967">
        <v>1.1226499999999999</v>
      </c>
      <c r="L2967">
        <v>131.86199999999999</v>
      </c>
      <c r="M2967">
        <v>-0.67832230000000004</v>
      </c>
      <c r="N2967">
        <v>0</v>
      </c>
      <c r="O2967">
        <v>-0.73457099999999997</v>
      </c>
      <c r="P2967">
        <v>-0.42592219999999997</v>
      </c>
      <c r="Q2967">
        <v>6.2003259999999998E-2</v>
      </c>
      <c r="R2967">
        <v>-0.90263309999999997</v>
      </c>
      <c r="S2967">
        <v>-0.36441040000000002</v>
      </c>
      <c r="T2967">
        <v>-0.218635</v>
      </c>
      <c r="U2967">
        <v>-3.1849059999999998</v>
      </c>
      <c r="V2967">
        <v>-0.30270910000000001</v>
      </c>
      <c r="W2967">
        <v>6.4254640000000002E-2</v>
      </c>
      <c r="X2967">
        <v>0.95091460000000005</v>
      </c>
      <c r="Y2967">
        <v>-0.59041580000000005</v>
      </c>
      <c r="Z2967">
        <v>3.4924700000000003E-2</v>
      </c>
      <c r="AA2967">
        <v>0.80634329999999999</v>
      </c>
      <c r="AB2967">
        <v>41</v>
      </c>
      <c r="AC2967">
        <v>0.17670000000003899</v>
      </c>
      <c r="AD2967">
        <v>-6.0583999999999902E-2</v>
      </c>
      <c r="AE2967">
        <v>-0.586799999999982</v>
      </c>
      <c r="AF2967">
        <v>-0.52280376827272801</v>
      </c>
      <c r="AG2967">
        <v>-6.0583999999999902E-2</v>
      </c>
      <c r="AH2967">
        <v>0.30821865355042799</v>
      </c>
      <c r="AI2967">
        <v>95.7007240171354</v>
      </c>
      <c r="AJ2967">
        <v>149.478549478996</v>
      </c>
      <c r="AK2967">
        <v>0.60991223923824001</v>
      </c>
      <c r="AL2967">
        <v>86.315942369523199</v>
      </c>
      <c r="AM2967">
        <v>107.658077309321</v>
      </c>
      <c r="AN2967">
        <v>1.00000001723874</v>
      </c>
    </row>
    <row r="2968" spans="1:40" x14ac:dyDescent="0.3">
      <c r="A2968" t="str">
        <f>"20200111153936198"</f>
        <v>20200111153936198</v>
      </c>
      <c r="B2968" t="str">
        <f>"1578728376194041"</f>
        <v>1578728376194041</v>
      </c>
      <c r="C2968" t="s">
        <v>40</v>
      </c>
      <c r="D2968">
        <v>5.0645879999999996</v>
      </c>
      <c r="E2968">
        <v>0.37968390000000002</v>
      </c>
      <c r="F2968" t="s">
        <v>42</v>
      </c>
      <c r="G2968">
        <v>-417.22059999999999</v>
      </c>
      <c r="H2968" s="1">
        <v>-1.8402040000000001E-6</v>
      </c>
      <c r="I2968">
        <v>112.7731</v>
      </c>
      <c r="J2968">
        <v>-414.93380000000002</v>
      </c>
      <c r="K2968">
        <v>1.1226609999999999</v>
      </c>
      <c r="L2968">
        <v>131.56440000000001</v>
      </c>
      <c r="M2968">
        <v>-0.6659119</v>
      </c>
      <c r="N2968">
        <v>0</v>
      </c>
      <c r="O2968">
        <v>-0.74583969999999999</v>
      </c>
      <c r="P2968">
        <v>-0.41175</v>
      </c>
      <c r="Q2968">
        <v>6.2320130000000001E-2</v>
      </c>
      <c r="R2968">
        <v>-0.90916350000000001</v>
      </c>
      <c r="S2968">
        <v>-0.42031859999999999</v>
      </c>
      <c r="T2968">
        <v>-0.18454899999999999</v>
      </c>
      <c r="U2968">
        <v>-3.1379549999999998</v>
      </c>
      <c r="V2968">
        <v>-0.30164469999999999</v>
      </c>
      <c r="W2968">
        <v>6.4626749999999997E-2</v>
      </c>
      <c r="X2968">
        <v>0.9512275</v>
      </c>
      <c r="Y2968">
        <v>-0.56104900000000002</v>
      </c>
      <c r="Z2968">
        <v>3.1522170000000002E-2</v>
      </c>
      <c r="AA2968">
        <v>0.82718210000000003</v>
      </c>
      <c r="AB2968">
        <v>41</v>
      </c>
      <c r="AC2968">
        <v>-2.2867999999999702</v>
      </c>
      <c r="AD2968">
        <v>-1.122662840204</v>
      </c>
      <c r="AE2968">
        <v>-18.7913</v>
      </c>
      <c r="AF2968">
        <v>-10.7714161795846</v>
      </c>
      <c r="AG2968">
        <v>-1.122662840204</v>
      </c>
      <c r="AH2968">
        <v>15.485848270611299</v>
      </c>
      <c r="AI2968">
        <v>93.405930127696394</v>
      </c>
      <c r="AJ2968">
        <v>124.821128470326</v>
      </c>
      <c r="AK2968">
        <v>18.896964704073199</v>
      </c>
      <c r="AL2968">
        <v>86.294577379390205</v>
      </c>
      <c r="AM2968">
        <v>107.594393792593</v>
      </c>
      <c r="AN2968">
        <v>0.99999994930494995</v>
      </c>
    </row>
    <row r="2969" spans="1:40" x14ac:dyDescent="0.3">
      <c r="A2969" t="str">
        <f>"20200111153936221"</f>
        <v>20200111153936221</v>
      </c>
      <c r="B2969" t="str">
        <f>"1578728376213559"</f>
        <v>1578728376213559</v>
      </c>
      <c r="C2969" t="s">
        <v>40</v>
      </c>
      <c r="D2969">
        <v>5.0264490000000004</v>
      </c>
      <c r="E2969">
        <v>0.38115460000000001</v>
      </c>
      <c r="F2969" t="s">
        <v>42</v>
      </c>
      <c r="G2969">
        <v>-417.18799999999999</v>
      </c>
      <c r="H2969" s="1">
        <v>-1.8754150000000001E-6</v>
      </c>
      <c r="I2969">
        <v>112.8417</v>
      </c>
      <c r="J2969">
        <v>-415.20269999999999</v>
      </c>
      <c r="K2969">
        <v>1.1226689999999999</v>
      </c>
      <c r="L2969">
        <v>131.25799999999899</v>
      </c>
      <c r="M2969">
        <v>-0.65310679999999999</v>
      </c>
      <c r="N2969">
        <v>0</v>
      </c>
      <c r="O2969">
        <v>-0.75707749999999996</v>
      </c>
      <c r="P2969">
        <v>-0.39649820000000002</v>
      </c>
      <c r="Q2969">
        <v>6.30936E-2</v>
      </c>
      <c r="R2969">
        <v>-0.91586460000000003</v>
      </c>
      <c r="S2969">
        <v>-0.37820429999999999</v>
      </c>
      <c r="T2969">
        <v>-0.1883637</v>
      </c>
      <c r="U2969">
        <v>-3.1413570000000002</v>
      </c>
      <c r="V2969">
        <v>-0.30133799999999999</v>
      </c>
      <c r="W2969">
        <v>6.5417589999999998E-2</v>
      </c>
      <c r="X2969">
        <v>0.95127070000000002</v>
      </c>
      <c r="Y2969">
        <v>-0.55797790000000003</v>
      </c>
      <c r="Z2969">
        <v>3.3171449999999998E-2</v>
      </c>
      <c r="AA2969">
        <v>0.82919259999999995</v>
      </c>
      <c r="AB2969">
        <v>41</v>
      </c>
      <c r="AC2969">
        <v>-1.98530000000005</v>
      </c>
      <c r="AD2969">
        <v>-1.1226708754150001</v>
      </c>
      <c r="AE2969">
        <v>-18.4162999999999</v>
      </c>
      <c r="AF2969">
        <v>-10.487758801408001</v>
      </c>
      <c r="AG2969">
        <v>-1.1226708754150001</v>
      </c>
      <c r="AH2969">
        <v>15.1855681417896</v>
      </c>
      <c r="AI2969">
        <v>93.481139111825001</v>
      </c>
      <c r="AJ2969">
        <v>124.630505077649</v>
      </c>
      <c r="AK2969">
        <v>18.489320008046601</v>
      </c>
      <c r="AL2969">
        <v>86.249169673242804</v>
      </c>
      <c r="AM2969">
        <v>107.57685746769801</v>
      </c>
      <c r="AN2969">
        <v>0.99999999800194905</v>
      </c>
    </row>
    <row r="2970" spans="1:40" x14ac:dyDescent="0.3">
      <c r="A2970" t="str">
        <f>"20200111153936265"</f>
        <v>20200111153936265</v>
      </c>
      <c r="B2970" t="str">
        <f>"1578728376253575"</f>
        <v>1578728376253575</v>
      </c>
      <c r="C2970" t="s">
        <v>40</v>
      </c>
      <c r="D2970">
        <v>5.0306860000000002</v>
      </c>
      <c r="E2970">
        <v>0.3834805</v>
      </c>
      <c r="F2970" t="s">
        <v>42</v>
      </c>
      <c r="G2970">
        <v>-417.15800000000002</v>
      </c>
      <c r="H2970" s="1">
        <v>-1.9760039999999999E-6</v>
      </c>
      <c r="I2970">
        <v>113.0637</v>
      </c>
      <c r="J2970">
        <v>-415.7011</v>
      </c>
      <c r="K2970">
        <v>1.1226670000000001</v>
      </c>
      <c r="L2970">
        <v>130.66069999999999</v>
      </c>
      <c r="M2970">
        <v>-0.628085</v>
      </c>
      <c r="N2970">
        <v>0</v>
      </c>
      <c r="O2970">
        <v>-0.77796100000000001</v>
      </c>
      <c r="P2970">
        <v>-0.36876130000000001</v>
      </c>
      <c r="Q2970">
        <v>6.1232950000000001E-2</v>
      </c>
      <c r="R2970">
        <v>-0.92750509999999997</v>
      </c>
      <c r="S2970">
        <v>-0.33773799999999998</v>
      </c>
      <c r="T2970">
        <v>-0.1939225</v>
      </c>
      <c r="U2970">
        <v>-3.1427459999999998</v>
      </c>
      <c r="V2970">
        <v>-0.29895060000000001</v>
      </c>
      <c r="W2970">
        <v>6.3684080000000004E-2</v>
      </c>
      <c r="X2970">
        <v>0.95214120000000002</v>
      </c>
      <c r="Y2970">
        <v>-0.5414215</v>
      </c>
      <c r="Z2970">
        <v>3.634304E-2</v>
      </c>
      <c r="AA2970">
        <v>0.83996550000000003</v>
      </c>
      <c r="AB2970">
        <v>41</v>
      </c>
      <c r="AC2970">
        <v>-1.4569000000000101</v>
      </c>
      <c r="AD2970">
        <v>-1.1226689760040001</v>
      </c>
      <c r="AE2970">
        <v>-17.596999999999898</v>
      </c>
      <c r="AF2970">
        <v>-9.8804759775305797</v>
      </c>
      <c r="AG2970">
        <v>-1.1226689760040001</v>
      </c>
      <c r="AH2970">
        <v>14.5481130559274</v>
      </c>
      <c r="AI2970">
        <v>93.652712980801795</v>
      </c>
      <c r="AJ2970">
        <v>124.18272346862101</v>
      </c>
      <c r="AK2970">
        <v>17.6219120602813</v>
      </c>
      <c r="AL2970">
        <v>86.348700056846297</v>
      </c>
      <c r="AM2970">
        <v>107.431097957191</v>
      </c>
      <c r="AN2970">
        <v>0.99999999401162298</v>
      </c>
    </row>
    <row r="2971" spans="1:40" x14ac:dyDescent="0.3">
      <c r="A2971" t="str">
        <f>"20200111153936287"</f>
        <v>20200111153936287</v>
      </c>
      <c r="B2971" t="str">
        <f>"1578728376283833"</f>
        <v>1578728376283833</v>
      </c>
      <c r="C2971" t="s">
        <v>40</v>
      </c>
      <c r="D2971">
        <v>4.9861370000000003</v>
      </c>
      <c r="E2971">
        <v>0.4083813</v>
      </c>
      <c r="F2971" t="s">
        <v>41</v>
      </c>
      <c r="G2971">
        <v>-415.78809999999999</v>
      </c>
      <c r="H2971">
        <v>1.0545260000000001</v>
      </c>
      <c r="I2971">
        <v>129.6103</v>
      </c>
      <c r="J2971">
        <v>-415.95850000000002</v>
      </c>
      <c r="K2971">
        <v>1.122663</v>
      </c>
      <c r="L2971">
        <v>130.33590000000001</v>
      </c>
      <c r="M2971">
        <v>-0.61444650000000001</v>
      </c>
      <c r="N2971">
        <v>0</v>
      </c>
      <c r="O2971">
        <v>-0.78877730000000001</v>
      </c>
      <c r="P2971">
        <v>-0.35514800000000002</v>
      </c>
      <c r="Q2971">
        <v>5.9298099999999999E-2</v>
      </c>
      <c r="R2971">
        <v>-0.93292739999999996</v>
      </c>
      <c r="S2971">
        <v>-0.26049800000000001</v>
      </c>
      <c r="T2971">
        <v>-0.2039666</v>
      </c>
      <c r="U2971">
        <v>-3.1443789999999998</v>
      </c>
      <c r="V2971">
        <v>-0.29629650000000002</v>
      </c>
      <c r="W2971">
        <v>6.1889E-2</v>
      </c>
      <c r="X2971">
        <v>0.95308879999999996</v>
      </c>
      <c r="Y2971">
        <v>-0.54726269999999999</v>
      </c>
      <c r="Z2971">
        <v>3.9093709999999997E-2</v>
      </c>
      <c r="AA2971">
        <v>0.8360474</v>
      </c>
      <c r="AB2971">
        <v>41</v>
      </c>
      <c r="AC2971">
        <v>0.170400000000029</v>
      </c>
      <c r="AD2971">
        <v>-6.8136999999999795E-2</v>
      </c>
      <c r="AE2971">
        <v>-0.72560000000001401</v>
      </c>
      <c r="AF2971">
        <v>-0.57552326361276696</v>
      </c>
      <c r="AG2971">
        <v>-6.8136999999999795E-2</v>
      </c>
      <c r="AH2971">
        <v>0.463825727686764</v>
      </c>
      <c r="AI2971">
        <v>95.266717745189197</v>
      </c>
      <c r="AJ2971">
        <v>141.13396324264599</v>
      </c>
      <c r="AK2971">
        <v>0.74229642555561803</v>
      </c>
      <c r="AL2971">
        <v>86.451754149993207</v>
      </c>
      <c r="AM2971">
        <v>107.269438364949</v>
      </c>
      <c r="AN2971">
        <v>1.0000000624593399</v>
      </c>
    </row>
    <row r="2972" spans="1:40" x14ac:dyDescent="0.3">
      <c r="A2972" t="str">
        <f>"20200111153936311"</f>
        <v>20200111153936311</v>
      </c>
      <c r="B2972" t="str">
        <f>"1578728376303351"</f>
        <v>1578728376303351</v>
      </c>
      <c r="C2972" t="s">
        <v>40</v>
      </c>
      <c r="D2972">
        <v>5.0138569999999998</v>
      </c>
      <c r="E2972">
        <v>0.40978930000000002</v>
      </c>
      <c r="F2972" t="s">
        <v>41</v>
      </c>
      <c r="G2972">
        <v>-416.08390000000003</v>
      </c>
      <c r="H2972">
        <v>1.0641290000000001</v>
      </c>
      <c r="I2972">
        <v>129.3691</v>
      </c>
      <c r="J2972">
        <v>-416.21140000000003</v>
      </c>
      <c r="K2972">
        <v>1.122657</v>
      </c>
      <c r="L2972">
        <v>130.0052</v>
      </c>
      <c r="M2972">
        <v>-0.60053199999999995</v>
      </c>
      <c r="N2972">
        <v>0</v>
      </c>
      <c r="O2972">
        <v>-0.79942209999999903</v>
      </c>
      <c r="P2972">
        <v>-0.34075050000000001</v>
      </c>
      <c r="Q2972">
        <v>5.8713729999999999E-2</v>
      </c>
      <c r="R2972">
        <v>-0.93831880000000001</v>
      </c>
      <c r="S2972">
        <v>-0.3989258</v>
      </c>
      <c r="T2972">
        <v>-0.18620590000000001</v>
      </c>
      <c r="U2972">
        <v>-3.075653</v>
      </c>
      <c r="V2972">
        <v>-0.29425800000000002</v>
      </c>
      <c r="W2972">
        <v>6.141402E-2</v>
      </c>
      <c r="X2972">
        <v>0.95375080000000001</v>
      </c>
      <c r="Y2972">
        <v>-0.49282389999999998</v>
      </c>
      <c r="Z2972">
        <v>3.8441299999999998E-2</v>
      </c>
      <c r="AA2972">
        <v>0.86927960000000004</v>
      </c>
      <c r="AB2972">
        <v>41</v>
      </c>
      <c r="AC2972">
        <v>0.127499999999997</v>
      </c>
      <c r="AD2972">
        <v>-5.85279999999999E-2</v>
      </c>
      <c r="AE2972">
        <v>-0.636099999999999</v>
      </c>
      <c r="AF2972">
        <v>-0.48008643697314901</v>
      </c>
      <c r="AG2972">
        <v>-5.85279999999999E-2</v>
      </c>
      <c r="AH2972">
        <v>0.428518566411902</v>
      </c>
      <c r="AI2972">
        <v>95.196783582472804</v>
      </c>
      <c r="AJ2972">
        <v>138.248336782308</v>
      </c>
      <c r="AK2972">
        <v>0.64617077890390995</v>
      </c>
      <c r="AL2972">
        <v>86.479020217360002</v>
      </c>
      <c r="AM2972">
        <v>107.14641386214601</v>
      </c>
      <c r="AN2972">
        <v>1.0000000204585999</v>
      </c>
    </row>
    <row r="2973" spans="1:40" x14ac:dyDescent="0.3">
      <c r="A2973" t="str">
        <f>"20200111153936334"</f>
        <v>20200111153936334</v>
      </c>
      <c r="B2973" t="str">
        <f>"1578728376323847"</f>
        <v>1578728376323847</v>
      </c>
      <c r="C2973" t="s">
        <v>40</v>
      </c>
      <c r="D2973">
        <v>4.9850459999999996</v>
      </c>
      <c r="E2973">
        <v>0.41074699999999997</v>
      </c>
      <c r="F2973" t="s">
        <v>41</v>
      </c>
      <c r="G2973">
        <v>-416.31810000000002</v>
      </c>
      <c r="H2973">
        <v>1.0709850000000001</v>
      </c>
      <c r="I2973">
        <v>129.0959</v>
      </c>
      <c r="J2973">
        <v>-416.46730000000002</v>
      </c>
      <c r="K2973">
        <v>1.1226510000000001</v>
      </c>
      <c r="L2973">
        <v>129.65809999999999</v>
      </c>
      <c r="M2973">
        <v>-0.5858951</v>
      </c>
      <c r="N2973">
        <v>0</v>
      </c>
      <c r="O2973">
        <v>-0.8102106</v>
      </c>
      <c r="P2973">
        <v>-0.3250613</v>
      </c>
      <c r="Q2973">
        <v>5.8588910000000001E-2</v>
      </c>
      <c r="R2973">
        <v>-0.94387679999999996</v>
      </c>
      <c r="S2973">
        <v>-0.36090090000000002</v>
      </c>
      <c r="T2973">
        <v>-0.17484530000000001</v>
      </c>
      <c r="U2973">
        <v>-3.0770719999999998</v>
      </c>
      <c r="V2973">
        <v>-0.2928114</v>
      </c>
      <c r="W2973">
        <v>6.1368810000000003E-2</v>
      </c>
      <c r="X2973">
        <v>0.95419880000000001</v>
      </c>
      <c r="Y2973">
        <v>-0.48762660000000002</v>
      </c>
      <c r="Z2973">
        <v>3.7070510000000001E-2</v>
      </c>
      <c r="AA2973">
        <v>0.87226489999999901</v>
      </c>
      <c r="AB2973">
        <v>41</v>
      </c>
      <c r="AC2973">
        <v>0.14920000000000699</v>
      </c>
      <c r="AD2973">
        <v>-5.16659999999999E-2</v>
      </c>
      <c r="AE2973">
        <v>-0.56219999999999004</v>
      </c>
      <c r="AF2973">
        <v>-0.44681269162049497</v>
      </c>
      <c r="AG2973">
        <v>-5.16659999999999E-2</v>
      </c>
      <c r="AH2973">
        <v>0.365255626090221</v>
      </c>
      <c r="AI2973">
        <v>95.1158095895142</v>
      </c>
      <c r="AJ2973">
        <v>140.73505830120101</v>
      </c>
      <c r="AK2973">
        <v>0.57941576552568097</v>
      </c>
      <c r="AL2973">
        <v>86.481615376890403</v>
      </c>
      <c r="AM2973">
        <v>107.05948227686601</v>
      </c>
      <c r="AN2973">
        <v>0.99999999836610798</v>
      </c>
    </row>
    <row r="2974" spans="1:40" x14ac:dyDescent="0.3">
      <c r="A2974" t="str">
        <f>"20200111153936355"</f>
        <v>20200111153936355</v>
      </c>
      <c r="B2974" t="str">
        <f>"1578728376344344"</f>
        <v>1578728376344344</v>
      </c>
      <c r="C2974" t="s">
        <v>40</v>
      </c>
      <c r="D2974">
        <v>5.0138199999999999</v>
      </c>
      <c r="E2974">
        <v>0.41130909999999898</v>
      </c>
      <c r="F2974" t="s">
        <v>41</v>
      </c>
      <c r="G2974">
        <v>-416.5539</v>
      </c>
      <c r="H2974">
        <v>1.077299</v>
      </c>
      <c r="I2974">
        <v>128.81720000000001</v>
      </c>
      <c r="J2974">
        <v>-416.678</v>
      </c>
      <c r="K2974">
        <v>1.1226430000000001</v>
      </c>
      <c r="L2974">
        <v>129.3612</v>
      </c>
      <c r="M2974">
        <v>-0.57336359999999997</v>
      </c>
      <c r="N2974">
        <v>0</v>
      </c>
      <c r="O2974">
        <v>-0.81912649999999998</v>
      </c>
      <c r="P2974">
        <v>-0.31234509999999899</v>
      </c>
      <c r="Q2974">
        <v>5.7729660000000002E-2</v>
      </c>
      <c r="R2974">
        <v>-0.94821319999999998</v>
      </c>
      <c r="S2974">
        <v>-0.31628420000000002</v>
      </c>
      <c r="T2974">
        <v>-0.16603780000000001</v>
      </c>
      <c r="U2974">
        <v>-3.0797729999999999</v>
      </c>
      <c r="V2974">
        <v>-0.29094930000000002</v>
      </c>
      <c r="W2974">
        <v>6.0610150000000002E-2</v>
      </c>
      <c r="X2974">
        <v>0.95481669999999996</v>
      </c>
      <c r="Y2974">
        <v>-0.4867726</v>
      </c>
      <c r="Z2974">
        <v>3.5900799999999997E-2</v>
      </c>
      <c r="AA2974">
        <v>0.87279069999999903</v>
      </c>
      <c r="AB2974">
        <v>41</v>
      </c>
      <c r="AC2974">
        <v>0.124100000000055</v>
      </c>
      <c r="AD2974">
        <v>-4.5344000000000002E-2</v>
      </c>
      <c r="AE2974">
        <v>-0.54399999999998205</v>
      </c>
      <c r="AF2974">
        <v>-0.41090888532910902</v>
      </c>
      <c r="AG2974">
        <v>-4.5344000000000002E-2</v>
      </c>
      <c r="AH2974">
        <v>0.37204693354102703</v>
      </c>
      <c r="AI2974">
        <v>94.676489762423202</v>
      </c>
      <c r="AJ2974">
        <v>137.84153963927201</v>
      </c>
      <c r="AK2974">
        <v>0.556166441935948</v>
      </c>
      <c r="AL2974">
        <v>86.525164498307703</v>
      </c>
      <c r="AM2974">
        <v>106.946893049423</v>
      </c>
      <c r="AN2974">
        <v>1.0000000080261999</v>
      </c>
    </row>
    <row r="2975" spans="1:40" x14ac:dyDescent="0.3">
      <c r="A2975" t="str">
        <f>"20200111153936377"</f>
        <v>20200111153936377</v>
      </c>
      <c r="B2975" t="str">
        <f>"1578728376373623"</f>
        <v>1578728376373623</v>
      </c>
      <c r="C2975" t="s">
        <v>40</v>
      </c>
      <c r="D2975">
        <v>4.9777979999999999</v>
      </c>
      <c r="E2975">
        <v>0.41229769999999999</v>
      </c>
      <c r="F2975" t="s">
        <v>41</v>
      </c>
      <c r="G2975">
        <v>-416.78579999999999</v>
      </c>
      <c r="H2975">
        <v>1.06003</v>
      </c>
      <c r="I2975">
        <v>128.17060000000001</v>
      </c>
      <c r="J2975">
        <v>-416.90730000000002</v>
      </c>
      <c r="K2975">
        <v>1.1226320000000001</v>
      </c>
      <c r="L2975">
        <v>129.0258</v>
      </c>
      <c r="M2975">
        <v>-0.55919269999999999</v>
      </c>
      <c r="N2975">
        <v>0</v>
      </c>
      <c r="O2975">
        <v>-0.82886510000000002</v>
      </c>
      <c r="P2975">
        <v>-0.29855279999999901</v>
      </c>
      <c r="Q2975">
        <v>5.7009070000000002E-2</v>
      </c>
      <c r="R2975">
        <v>-0.95268889999999995</v>
      </c>
      <c r="S2975">
        <v>-0.27847290000000002</v>
      </c>
      <c r="T2975">
        <v>-0.16204270000000001</v>
      </c>
      <c r="U2975">
        <v>-3.081985</v>
      </c>
      <c r="V2975">
        <v>-0.28837410000000002</v>
      </c>
      <c r="W2975">
        <v>6.0026610000000001E-2</v>
      </c>
      <c r="X2975">
        <v>0.95563439999999999</v>
      </c>
      <c r="Y2975">
        <v>-0.48242099999999999</v>
      </c>
      <c r="Z2975">
        <v>3.5834449999999997E-2</v>
      </c>
      <c r="AA2975">
        <v>0.87520620000000005</v>
      </c>
      <c r="AB2975">
        <v>41</v>
      </c>
      <c r="AC2975">
        <v>0.121500000000025</v>
      </c>
      <c r="AD2975">
        <v>-6.2602000000000005E-2</v>
      </c>
      <c r="AE2975">
        <v>-0.85519999999999596</v>
      </c>
      <c r="AF2975">
        <v>-0.57598621895873103</v>
      </c>
      <c r="AG2975">
        <v>-6.2602000000000005E-2</v>
      </c>
      <c r="AH2975">
        <v>0.63764603690744703</v>
      </c>
      <c r="AI2975">
        <v>94.166892733266906</v>
      </c>
      <c r="AJ2975">
        <v>132.09153057359401</v>
      </c>
      <c r="AK2975">
        <v>0.86155185753275998</v>
      </c>
      <c r="AL2975">
        <v>86.558659704274902</v>
      </c>
      <c r="AM2975">
        <v>106.79181604769499</v>
      </c>
      <c r="AN2975">
        <v>0.99999996096112997</v>
      </c>
    </row>
    <row r="2976" spans="1:40" x14ac:dyDescent="0.3">
      <c r="A2976" t="str">
        <f>"20200111153936399"</f>
        <v>20200111153936399</v>
      </c>
      <c r="B2976" t="str">
        <f>"1578728376394120"</f>
        <v>1578728376394120</v>
      </c>
      <c r="C2976" t="s">
        <v>40</v>
      </c>
      <c r="D2976">
        <v>5.0659679999999998</v>
      </c>
      <c r="E2976">
        <v>0.4149196</v>
      </c>
      <c r="F2976" t="s">
        <v>41</v>
      </c>
      <c r="G2976">
        <v>-416.99650000000003</v>
      </c>
      <c r="H2976">
        <v>1.065239</v>
      </c>
      <c r="I2976">
        <v>127.88500000000001</v>
      </c>
      <c r="J2976">
        <v>-417.12099999999998</v>
      </c>
      <c r="K2976">
        <v>1.1226210000000001</v>
      </c>
      <c r="L2976">
        <v>128.70189999999999</v>
      </c>
      <c r="M2976">
        <v>-0.54547959999999995</v>
      </c>
      <c r="N2976">
        <v>0</v>
      </c>
      <c r="O2976">
        <v>-0.83795350000000002</v>
      </c>
      <c r="P2976">
        <v>-0.28546680000000002</v>
      </c>
      <c r="Q2976">
        <v>5.6847729999999999E-2</v>
      </c>
      <c r="R2976">
        <v>-0.95670140000000004</v>
      </c>
      <c r="S2976">
        <v>-0.240509</v>
      </c>
      <c r="T2976">
        <v>-0.15506639999999999</v>
      </c>
      <c r="U2976">
        <v>-3.0828859999999998</v>
      </c>
      <c r="V2976">
        <v>-0.2857442</v>
      </c>
      <c r="W2976">
        <v>6.0005179999999998E-2</v>
      </c>
      <c r="X2976">
        <v>0.95642550000000004</v>
      </c>
      <c r="Y2976">
        <v>-0.47873159999999998</v>
      </c>
      <c r="Z2976">
        <v>3.5013370000000002E-2</v>
      </c>
      <c r="AA2976">
        <v>0.87726280000000001</v>
      </c>
      <c r="AB2976">
        <v>41</v>
      </c>
      <c r="AC2976">
        <v>0.12449999999995399</v>
      </c>
      <c r="AD2976">
        <v>-5.7381999999999801E-2</v>
      </c>
      <c r="AE2976">
        <v>-0.81689999999998897</v>
      </c>
      <c r="AF2976">
        <v>-0.547366647141459</v>
      </c>
      <c r="AG2976">
        <v>-5.7381999999999801E-2</v>
      </c>
      <c r="AH2976">
        <v>0.61374062517408701</v>
      </c>
      <c r="AI2976">
        <v>93.991436198988794</v>
      </c>
      <c r="AJ2976">
        <v>131.728282888721</v>
      </c>
      <c r="AK2976">
        <v>0.82436672380437603</v>
      </c>
      <c r="AL2976">
        <v>86.559890088052697</v>
      </c>
      <c r="AM2976">
        <v>106.63417995169399</v>
      </c>
      <c r="AN2976">
        <v>1.0000000532553599</v>
      </c>
    </row>
    <row r="2977" spans="1:40" x14ac:dyDescent="0.3">
      <c r="A2977" t="str">
        <f>"20200111153936422"</f>
        <v>20200111153936422</v>
      </c>
      <c r="B2977" t="str">
        <f>"1578728376413639"</f>
        <v>1578728376413639</v>
      </c>
      <c r="C2977" t="s">
        <v>40</v>
      </c>
      <c r="D2977">
        <v>5.1125239999999996</v>
      </c>
      <c r="E2977">
        <v>0.41663620000000001</v>
      </c>
      <c r="F2977" t="s">
        <v>41</v>
      </c>
      <c r="G2977">
        <v>-417.19920000000002</v>
      </c>
      <c r="H2977">
        <v>1.065178</v>
      </c>
      <c r="I2977">
        <v>127.595</v>
      </c>
      <c r="J2977">
        <v>-417.34440000000001</v>
      </c>
      <c r="K2977">
        <v>1.1226149999999999</v>
      </c>
      <c r="L2977">
        <v>128.35</v>
      </c>
      <c r="M2977">
        <v>-0.5305531</v>
      </c>
      <c r="N2977">
        <v>0</v>
      </c>
      <c r="O2977">
        <v>-0.84748289999999904</v>
      </c>
      <c r="P2977">
        <v>-0.27154109999999998</v>
      </c>
      <c r="Q2977">
        <v>5.722994E-2</v>
      </c>
      <c r="R2977">
        <v>-0.96072349999999995</v>
      </c>
      <c r="S2977">
        <v>-0.21765139999999999</v>
      </c>
      <c r="T2977">
        <v>-0.15985550000000001</v>
      </c>
      <c r="U2977">
        <v>-3.0803219999999998</v>
      </c>
      <c r="V2977">
        <v>-0.28269879999999997</v>
      </c>
      <c r="W2977">
        <v>6.0548749999999998E-2</v>
      </c>
      <c r="X2977">
        <v>0.95729580000000003</v>
      </c>
      <c r="Y2977">
        <v>-0.46957870000000002</v>
      </c>
      <c r="Z2977">
        <v>3.6982620000000001E-2</v>
      </c>
      <c r="AA2977">
        <v>0.88211569999999995</v>
      </c>
      <c r="AB2977">
        <v>41</v>
      </c>
      <c r="AC2977">
        <v>0.14519999999998801</v>
      </c>
      <c r="AD2977">
        <v>-5.7436999999999898E-2</v>
      </c>
      <c r="AE2977">
        <v>-0.75499999999999501</v>
      </c>
      <c r="AF2977">
        <v>-0.52079047639187204</v>
      </c>
      <c r="AG2977">
        <v>-5.7436999999999898E-2</v>
      </c>
      <c r="AH2977">
        <v>0.55976971110450702</v>
      </c>
      <c r="AI2977">
        <v>94.296185631956703</v>
      </c>
      <c r="AJ2977">
        <v>132.934055235643</v>
      </c>
      <c r="AK2977">
        <v>0.76672280436902096</v>
      </c>
      <c r="AL2977">
        <v>86.528688924013693</v>
      </c>
      <c r="AM2977">
        <v>106.45238531687301</v>
      </c>
      <c r="AN2977">
        <v>1.00000000567282</v>
      </c>
    </row>
    <row r="2978" spans="1:40" x14ac:dyDescent="0.3">
      <c r="A2978" t="str">
        <f>"20200111153936446"</f>
        <v>20200111153936446</v>
      </c>
      <c r="B2978" t="str">
        <f>"1578728376443895"</f>
        <v>1578728376443895</v>
      </c>
      <c r="C2978" t="s">
        <v>40</v>
      </c>
      <c r="D2978">
        <v>5.0571539999999997</v>
      </c>
      <c r="E2978">
        <v>0.41823660000000001</v>
      </c>
      <c r="F2978" t="s">
        <v>41</v>
      </c>
      <c r="G2978">
        <v>-417.40750000000003</v>
      </c>
      <c r="H2978">
        <v>1.0685830000000001</v>
      </c>
      <c r="I2978">
        <v>127.3057</v>
      </c>
      <c r="J2978">
        <v>-417.56670000000003</v>
      </c>
      <c r="K2978">
        <v>1.1226039999999999</v>
      </c>
      <c r="L2978">
        <v>127.98560000000001</v>
      </c>
      <c r="M2978">
        <v>-0.51506359999999995</v>
      </c>
      <c r="N2978">
        <v>0</v>
      </c>
      <c r="O2978">
        <v>-0.85698529999999995</v>
      </c>
      <c r="P2978">
        <v>-0.25695040000000002</v>
      </c>
      <c r="Q2978">
        <v>5.8789859999999999E-2</v>
      </c>
      <c r="R2978">
        <v>-0.96463469999999996</v>
      </c>
      <c r="S2978">
        <v>-0.1855774</v>
      </c>
      <c r="T2978">
        <v>-0.15930639999999999</v>
      </c>
      <c r="U2978">
        <v>-3.0796809999999999</v>
      </c>
      <c r="V2978">
        <v>-0.27982829999999997</v>
      </c>
      <c r="W2978">
        <v>6.2261650000000002E-2</v>
      </c>
      <c r="X2978">
        <v>0.95802900000000002</v>
      </c>
      <c r="Y2978">
        <v>-0.46265709999999999</v>
      </c>
      <c r="Z2978">
        <v>3.7687739999999997E-2</v>
      </c>
      <c r="AA2978">
        <v>0.88573590000000002</v>
      </c>
      <c r="AB2978">
        <v>41</v>
      </c>
      <c r="AC2978">
        <v>0.15919999999999801</v>
      </c>
      <c r="AD2978">
        <v>-5.4021000000000097E-2</v>
      </c>
      <c r="AE2978">
        <v>-0.67990000000000295</v>
      </c>
      <c r="AF2978">
        <v>-0.48379786506684802</v>
      </c>
      <c r="AG2978">
        <v>-5.4021000000000097E-2</v>
      </c>
      <c r="AH2978">
        <v>0.49775869669268702</v>
      </c>
      <c r="AI2978">
        <v>94.450066378100104</v>
      </c>
      <c r="AJ2978">
        <v>134.18512816362201</v>
      </c>
      <c r="AK2978">
        <v>0.69623441657062801</v>
      </c>
      <c r="AL2978">
        <v>86.430361319801307</v>
      </c>
      <c r="AM2978">
        <v>106.282424034806</v>
      </c>
      <c r="AN2978">
        <v>0.999999977691305</v>
      </c>
    </row>
    <row r="2979" spans="1:40" x14ac:dyDescent="0.3">
      <c r="A2979" t="str">
        <f>"20200111153936471"</f>
        <v>20200111153936471</v>
      </c>
      <c r="B2979" t="str">
        <f>"1578728376463415"</f>
        <v>1578728376463415</v>
      </c>
      <c r="C2979" t="s">
        <v>40</v>
      </c>
      <c r="D2979">
        <v>5.0322559999999896</v>
      </c>
      <c r="E2979">
        <v>0.43351529999999999</v>
      </c>
      <c r="F2979" t="s">
        <v>41</v>
      </c>
      <c r="G2979">
        <v>-417.6148</v>
      </c>
      <c r="H2979">
        <v>1.073388</v>
      </c>
      <c r="I2979">
        <v>127.01430000000001</v>
      </c>
      <c r="J2979">
        <v>-417.77760000000001</v>
      </c>
      <c r="K2979">
        <v>1.1225989999999999</v>
      </c>
      <c r="L2979">
        <v>127.6255</v>
      </c>
      <c r="M2979">
        <v>-0.49972549999999999</v>
      </c>
      <c r="N2979">
        <v>0</v>
      </c>
      <c r="O2979">
        <v>-0.86601890000000004</v>
      </c>
      <c r="P2979">
        <v>-0.24223310000000001</v>
      </c>
      <c r="Q2979">
        <v>6.0110179999999999E-2</v>
      </c>
      <c r="R2979">
        <v>-0.9683543</v>
      </c>
      <c r="S2979">
        <v>-0.1513977</v>
      </c>
      <c r="T2979">
        <v>-0.15594520000000001</v>
      </c>
      <c r="U2979">
        <v>-3.0791780000000002</v>
      </c>
      <c r="V2979">
        <v>-0.2773757</v>
      </c>
      <c r="W2979">
        <v>6.3713580000000006E-2</v>
      </c>
      <c r="X2979">
        <v>0.95864660000000002</v>
      </c>
      <c r="Y2979">
        <v>-0.45666040000000002</v>
      </c>
      <c r="Z2979">
        <v>3.7659239999999997E-2</v>
      </c>
      <c r="AA2979">
        <v>0.88884370000000001</v>
      </c>
      <c r="AB2979">
        <v>40</v>
      </c>
      <c r="AC2979">
        <v>0.162800000000004</v>
      </c>
      <c r="AD2979">
        <v>-4.9210999999999797E-2</v>
      </c>
      <c r="AE2979">
        <v>-0.61119999999999597</v>
      </c>
      <c r="AF2979">
        <v>-0.44379746445502599</v>
      </c>
      <c r="AG2979">
        <v>-4.9210999999999797E-2</v>
      </c>
      <c r="AH2979">
        <v>0.445323782380945</v>
      </c>
      <c r="AI2979">
        <v>94.475624043241794</v>
      </c>
      <c r="AJ2979">
        <v>134.901642785213</v>
      </c>
      <c r="AK2979">
        <v>0.63062761050542504</v>
      </c>
      <c r="AL2979">
        <v>86.347006419033207</v>
      </c>
      <c r="AM2979">
        <v>106.137320429997</v>
      </c>
      <c r="AN2979">
        <v>1.0000000014592301</v>
      </c>
    </row>
    <row r="2980" spans="1:40" x14ac:dyDescent="0.3">
      <c r="A2980" t="str">
        <f>"20200111153936490"</f>
        <v>20200111153936490</v>
      </c>
      <c r="B2980" t="str">
        <f>"1578728376483911"</f>
        <v>1578728376483911</v>
      </c>
      <c r="C2980" t="s">
        <v>40</v>
      </c>
      <c r="D2980">
        <v>5.046576</v>
      </c>
      <c r="E2980">
        <v>0.43523899999999999</v>
      </c>
      <c r="F2980" t="s">
        <v>42</v>
      </c>
      <c r="G2980">
        <v>-419.2518</v>
      </c>
      <c r="H2980" s="1">
        <v>-3.88510999999999E-6</v>
      </c>
      <c r="I2980">
        <v>107.5693</v>
      </c>
      <c r="J2980">
        <v>-417.94909999999999</v>
      </c>
      <c r="K2980">
        <v>1.1225849999999999</v>
      </c>
      <c r="L2980">
        <v>127.32089999999999</v>
      </c>
      <c r="M2980">
        <v>-0.48672789999999999</v>
      </c>
      <c r="N2980">
        <v>0</v>
      </c>
      <c r="O2980">
        <v>-0.87339020000000001</v>
      </c>
      <c r="P2980">
        <v>-0.2306754</v>
      </c>
      <c r="Q2980">
        <v>6.017335E-2</v>
      </c>
      <c r="R2980">
        <v>-0.97116849999999999</v>
      </c>
      <c r="S2980">
        <v>-0.22436519999999999</v>
      </c>
      <c r="T2980">
        <v>-0.17085810000000001</v>
      </c>
      <c r="U2980">
        <v>-3.052521</v>
      </c>
      <c r="V2980">
        <v>-0.27447169999999999</v>
      </c>
      <c r="W2980">
        <v>6.3929620000000006E-2</v>
      </c>
      <c r="X2980">
        <v>0.95946770000000003</v>
      </c>
      <c r="Y2980">
        <v>-0.42149389999999998</v>
      </c>
      <c r="Z2980">
        <v>4.2693879999999997E-2</v>
      </c>
      <c r="AA2980">
        <v>0.90582569999999996</v>
      </c>
      <c r="AB2980">
        <v>40</v>
      </c>
      <c r="AC2980">
        <v>-1.30270000000001</v>
      </c>
      <c r="AD2980">
        <v>-1.1225888851100001</v>
      </c>
      <c r="AE2980">
        <v>-19.7516</v>
      </c>
      <c r="AF2980">
        <v>-8.44992241914583</v>
      </c>
      <c r="AG2980">
        <v>-1.1225888851100001</v>
      </c>
      <c r="AH2980">
        <v>17.830121617178399</v>
      </c>
      <c r="AI2980">
        <v>93.256305750576701</v>
      </c>
      <c r="AJ2980">
        <v>115.35687088348701</v>
      </c>
      <c r="AK2980">
        <v>19.762961103486699</v>
      </c>
      <c r="AL2980">
        <v>86.334602905990096</v>
      </c>
      <c r="AM2980">
        <v>105.964058860587</v>
      </c>
      <c r="AN2980">
        <v>0.99999998887876196</v>
      </c>
    </row>
    <row r="2981" spans="1:40" x14ac:dyDescent="0.3">
      <c r="A2981" t="str">
        <f>"20200111153936513"</f>
        <v>20200111153936513</v>
      </c>
      <c r="B2981" t="str">
        <f>"1578728376504407"</f>
        <v>1578728376504407</v>
      </c>
      <c r="C2981" t="s">
        <v>40</v>
      </c>
      <c r="D2981">
        <v>5.0011950000000001</v>
      </c>
      <c r="E2981">
        <v>0.43640699999999999</v>
      </c>
      <c r="F2981" t="s">
        <v>42</v>
      </c>
      <c r="G2981">
        <v>-419.2679</v>
      </c>
      <c r="H2981" s="1">
        <v>-3.761902E-6</v>
      </c>
      <c r="I2981">
        <v>107.3147</v>
      </c>
      <c r="J2981">
        <v>-418.14670000000001</v>
      </c>
      <c r="K2981">
        <v>1.1225560000000001</v>
      </c>
      <c r="L2981">
        <v>126.95650000000001</v>
      </c>
      <c r="M2981">
        <v>-0.47115390000000001</v>
      </c>
      <c r="N2981">
        <v>0</v>
      </c>
      <c r="O2981">
        <v>-0.88188919999999904</v>
      </c>
      <c r="P2981">
        <v>-0.2177075</v>
      </c>
      <c r="Q2981">
        <v>5.825611E-2</v>
      </c>
      <c r="R2981">
        <v>-0.97427390000000003</v>
      </c>
      <c r="S2981">
        <v>-0.20117189999999999</v>
      </c>
      <c r="T2981">
        <v>-0.1712484</v>
      </c>
      <c r="U2981">
        <v>-3.051895</v>
      </c>
      <c r="V2981">
        <v>-0.27019919999999997</v>
      </c>
      <c r="W2981">
        <v>6.2234989999999997E-2</v>
      </c>
      <c r="X2981">
        <v>0.9607909</v>
      </c>
      <c r="Y2981">
        <v>-0.41222239999999999</v>
      </c>
      <c r="Z2981">
        <v>4.3630420000000003E-2</v>
      </c>
      <c r="AA2981">
        <v>0.91003789999999996</v>
      </c>
      <c r="AB2981">
        <v>40</v>
      </c>
      <c r="AC2981">
        <v>-1.12119999999998</v>
      </c>
      <c r="AD2981">
        <v>-1.12255976190199</v>
      </c>
      <c r="AE2981">
        <v>-19.6418</v>
      </c>
      <c r="AF2981">
        <v>-8.2398898584558609</v>
      </c>
      <c r="AG2981">
        <v>-1.12255976190199</v>
      </c>
      <c r="AH2981">
        <v>17.7947628713036</v>
      </c>
      <c r="AI2981">
        <v>93.276290023260202</v>
      </c>
      <c r="AJ2981">
        <v>114.846561672055</v>
      </c>
      <c r="AK2981">
        <v>19.642034287325</v>
      </c>
      <c r="AL2981">
        <v>86.431891793020498</v>
      </c>
      <c r="AM2981">
        <v>105.707353483212</v>
      </c>
      <c r="AN2981">
        <v>0.99999997759187398</v>
      </c>
    </row>
    <row r="2982" spans="1:40" x14ac:dyDescent="0.3">
      <c r="A2982" t="str">
        <f>"20200111153936536"</f>
        <v>20200111153936536</v>
      </c>
      <c r="B2982" t="str">
        <f>"1578728376523927"</f>
        <v>1578728376523927</v>
      </c>
      <c r="C2982" t="s">
        <v>40</v>
      </c>
      <c r="D2982">
        <v>5.0294930000000004</v>
      </c>
      <c r="E2982">
        <v>0.43717109999999898</v>
      </c>
      <c r="F2982" t="s">
        <v>42</v>
      </c>
      <c r="G2982">
        <v>-419.21780000000001</v>
      </c>
      <c r="H2982" s="1">
        <v>-3.8838129999999997E-6</v>
      </c>
      <c r="I2982">
        <v>107.5538</v>
      </c>
      <c r="J2982">
        <v>-418.32740000000001</v>
      </c>
      <c r="K2982">
        <v>1.1225320000000001</v>
      </c>
      <c r="L2982">
        <v>126.6082</v>
      </c>
      <c r="M2982">
        <v>-0.45624609999999899</v>
      </c>
      <c r="N2982">
        <v>0</v>
      </c>
      <c r="O2982">
        <v>-0.88969339999999997</v>
      </c>
      <c r="P2982">
        <v>-0.20609949999999999</v>
      </c>
      <c r="Q2982">
        <v>5.7233150000000003E-2</v>
      </c>
      <c r="R2982">
        <v>-0.9768561</v>
      </c>
      <c r="S2982">
        <v>-0.16848750000000001</v>
      </c>
      <c r="T2982">
        <v>-0.1765833</v>
      </c>
      <c r="U2982">
        <v>-3.0521240000000001</v>
      </c>
      <c r="V2982">
        <v>-0.2654357</v>
      </c>
      <c r="W2982">
        <v>6.1457329999999998E-2</v>
      </c>
      <c r="X2982">
        <v>0.96216780000000002</v>
      </c>
      <c r="Y2982">
        <v>-0.40660069999999998</v>
      </c>
      <c r="Z2982">
        <v>4.5731180000000003E-2</v>
      </c>
      <c r="AA2982">
        <v>0.91246070000000001</v>
      </c>
      <c r="AB2982">
        <v>40</v>
      </c>
      <c r="AC2982">
        <v>-0.89039999999999897</v>
      </c>
      <c r="AD2982">
        <v>-1.122535883813</v>
      </c>
      <c r="AE2982">
        <v>-19.054400000000001</v>
      </c>
      <c r="AF2982">
        <v>-7.8751671172886901</v>
      </c>
      <c r="AG2982">
        <v>-1.122535883813</v>
      </c>
      <c r="AH2982">
        <v>17.3013748567171</v>
      </c>
      <c r="AI2982">
        <v>93.379490916756197</v>
      </c>
      <c r="AJ2982">
        <v>114.473879469989</v>
      </c>
      <c r="AK2982">
        <v>19.0424766211834</v>
      </c>
      <c r="AL2982">
        <v>86.476533950406505</v>
      </c>
      <c r="AM2982">
        <v>105.422720225592</v>
      </c>
      <c r="AN2982">
        <v>0.99999999480102897</v>
      </c>
    </row>
    <row r="2983" spans="1:40" x14ac:dyDescent="0.3">
      <c r="A2983" t="str">
        <f>"20200111153936558"</f>
        <v>20200111153936558</v>
      </c>
      <c r="B2983" t="str">
        <f>"1578728376553715"</f>
        <v>1578728376553715</v>
      </c>
      <c r="C2983" t="s">
        <v>40</v>
      </c>
      <c r="D2983">
        <v>5.0195080000000001</v>
      </c>
      <c r="E2983">
        <v>0.43827120000000003</v>
      </c>
      <c r="F2983" t="s">
        <v>41</v>
      </c>
      <c r="G2983">
        <v>-418.37900000000002</v>
      </c>
      <c r="H2983">
        <v>1.054392</v>
      </c>
      <c r="I2983">
        <v>125.4592</v>
      </c>
      <c r="J2983">
        <v>-418.50349999999997</v>
      </c>
      <c r="K2983">
        <v>1.1225039999999999</v>
      </c>
      <c r="L2983">
        <v>126.2531</v>
      </c>
      <c r="M2983">
        <v>-0.44103429999999999</v>
      </c>
      <c r="N2983">
        <v>0</v>
      </c>
      <c r="O2983">
        <v>-0.89733169999999995</v>
      </c>
      <c r="P2983">
        <v>-0.19279060000000001</v>
      </c>
      <c r="Q2983">
        <v>5.7154629999999998E-2</v>
      </c>
      <c r="R2983">
        <v>-0.97957399999999994</v>
      </c>
      <c r="S2983">
        <v>-0.13732910000000001</v>
      </c>
      <c r="T2983">
        <v>-0.1810532</v>
      </c>
      <c r="U2983">
        <v>-3.0527039999999999</v>
      </c>
      <c r="V2983">
        <v>-0.2621386</v>
      </c>
      <c r="W2983">
        <v>6.1548720000000001E-2</v>
      </c>
      <c r="X2983">
        <v>0.96306550000000002</v>
      </c>
      <c r="Y2983">
        <v>-0.40034150000000002</v>
      </c>
      <c r="Z2983">
        <v>4.763585E-2</v>
      </c>
      <c r="AA2983">
        <v>0.91512700000000002</v>
      </c>
      <c r="AB2983">
        <v>40</v>
      </c>
      <c r="AC2983">
        <v>0.12449999999995399</v>
      </c>
      <c r="AD2983">
        <v>-6.8112000000000103E-2</v>
      </c>
      <c r="AE2983">
        <v>-0.79390000000000704</v>
      </c>
      <c r="AF2983">
        <v>-0.458625901887173</v>
      </c>
      <c r="AG2983">
        <v>-6.8112000000000103E-2</v>
      </c>
      <c r="AH2983">
        <v>0.65288612207194896</v>
      </c>
      <c r="AI2983">
        <v>94.879349903275497</v>
      </c>
      <c r="AJ2983">
        <v>125.086478224099</v>
      </c>
      <c r="AK2983">
        <v>0.80077290839536497</v>
      </c>
      <c r="AL2983">
        <v>86.471287860375995</v>
      </c>
      <c r="AM2983">
        <v>105.226562287181</v>
      </c>
      <c r="AN2983">
        <v>1.00000002391692</v>
      </c>
    </row>
    <row r="2984" spans="1:40" x14ac:dyDescent="0.3">
      <c r="A2984" t="str">
        <f>"20200111153936580"</f>
        <v>20200111153936580</v>
      </c>
      <c r="B2984" t="str">
        <f>"1578728376574210"</f>
        <v>1578728376574210</v>
      </c>
      <c r="C2984" t="s">
        <v>40</v>
      </c>
      <c r="D2984">
        <v>5.0039069999999999</v>
      </c>
      <c r="E2984">
        <v>0.4390655</v>
      </c>
      <c r="F2984" t="s">
        <v>41</v>
      </c>
      <c r="G2984">
        <v>-418.54140000000001</v>
      </c>
      <c r="H2984">
        <v>1.055855</v>
      </c>
      <c r="I2984">
        <v>125.14870000000001</v>
      </c>
      <c r="J2984">
        <v>-418.66649999999998</v>
      </c>
      <c r="K2984">
        <v>1.1224799999999999</v>
      </c>
      <c r="L2984">
        <v>125.9102</v>
      </c>
      <c r="M2984">
        <v>-0.42632330000000002</v>
      </c>
      <c r="N2984">
        <v>0</v>
      </c>
      <c r="O2984">
        <v>-0.90441380000000005</v>
      </c>
      <c r="P2984">
        <v>-0.17982210000000001</v>
      </c>
      <c r="Q2984">
        <v>5.808808E-2</v>
      </c>
      <c r="R2984">
        <v>-0.98198260000000004</v>
      </c>
      <c r="S2984">
        <v>-0.10449219999999999</v>
      </c>
      <c r="T2984">
        <v>-0.18421689999999999</v>
      </c>
      <c r="U2984">
        <v>-3.0527340000000001</v>
      </c>
      <c r="V2984">
        <v>-0.25915909999999998</v>
      </c>
      <c r="W2984">
        <v>6.2634270000000006E-2</v>
      </c>
      <c r="X2984">
        <v>0.96380160000000004</v>
      </c>
      <c r="Y2984">
        <v>-0.39520319999999998</v>
      </c>
      <c r="Z2984">
        <v>4.9171449999999998E-2</v>
      </c>
      <c r="AA2984">
        <v>0.91727669999999994</v>
      </c>
      <c r="AB2984">
        <v>40</v>
      </c>
      <c r="AC2984">
        <v>0.12509999999997401</v>
      </c>
      <c r="AD2984">
        <v>-6.6624999999999907E-2</v>
      </c>
      <c r="AE2984">
        <v>-0.76149999999999796</v>
      </c>
      <c r="AF2984">
        <v>-0.43461013217401301</v>
      </c>
      <c r="AG2984">
        <v>-6.6624999999999907E-2</v>
      </c>
      <c r="AH2984">
        <v>0.630766828767376</v>
      </c>
      <c r="AI2984">
        <v>94.970964776000997</v>
      </c>
      <c r="AJ2984">
        <v>124.567567776582</v>
      </c>
      <c r="AK2984">
        <v>0.76888988150876703</v>
      </c>
      <c r="AL2984">
        <v>86.408970122025707</v>
      </c>
      <c r="AM2984">
        <v>105.05041948072</v>
      </c>
      <c r="AN2984">
        <v>1.0000000075269</v>
      </c>
    </row>
    <row r="2985" spans="1:40" x14ac:dyDescent="0.3">
      <c r="A2985" t="str">
        <f>"20200111153936601"</f>
        <v>20200111153936601</v>
      </c>
      <c r="B2985" t="str">
        <f>"1578728376593730"</f>
        <v>1578728376593730</v>
      </c>
      <c r="C2985" t="s">
        <v>40</v>
      </c>
      <c r="D2985">
        <v>5.0048029999999999</v>
      </c>
      <c r="E2985">
        <v>0.44481799999999999</v>
      </c>
      <c r="F2985" t="s">
        <v>41</v>
      </c>
      <c r="G2985">
        <v>-418.69130000000001</v>
      </c>
      <c r="H2985">
        <v>1.058308</v>
      </c>
      <c r="I2985">
        <v>124.83329999999999</v>
      </c>
      <c r="J2985">
        <v>-418.8252</v>
      </c>
      <c r="K2985">
        <v>1.122452</v>
      </c>
      <c r="L2985">
        <v>125.56140000000001</v>
      </c>
      <c r="M2985">
        <v>-0.41134169999999998</v>
      </c>
      <c r="N2985">
        <v>0</v>
      </c>
      <c r="O2985">
        <v>-0.91132579999999996</v>
      </c>
      <c r="P2985">
        <v>-0.16835020000000001</v>
      </c>
      <c r="Q2985">
        <v>5.796751E-2</v>
      </c>
      <c r="R2985">
        <v>-0.98402120000000004</v>
      </c>
      <c r="S2985">
        <v>-7.049561E-2</v>
      </c>
      <c r="T2985">
        <v>-0.18192910000000001</v>
      </c>
      <c r="U2985">
        <v>-3.052902</v>
      </c>
      <c r="V2985">
        <v>-0.2544923</v>
      </c>
      <c r="W2985">
        <v>6.2749440000000004E-2</v>
      </c>
      <c r="X2985">
        <v>0.96503689999999998</v>
      </c>
      <c r="Y2985">
        <v>-0.39024959999999997</v>
      </c>
      <c r="Z2985">
        <v>4.9238530000000003E-2</v>
      </c>
      <c r="AA2985">
        <v>0.91939159999999998</v>
      </c>
      <c r="AB2985">
        <v>40</v>
      </c>
      <c r="AC2985">
        <v>0.13389999999998201</v>
      </c>
      <c r="AD2985">
        <v>-6.4143999999999896E-2</v>
      </c>
      <c r="AE2985">
        <v>-0.72810000000001196</v>
      </c>
      <c r="AF2985">
        <v>-0.41844275285535498</v>
      </c>
      <c r="AG2985">
        <v>-6.4143999999999896E-2</v>
      </c>
      <c r="AH2985">
        <v>0.60400937386192999</v>
      </c>
      <c r="AI2985">
        <v>94.989002788989296</v>
      </c>
      <c r="AJ2985">
        <v>124.713259493397</v>
      </c>
      <c r="AK2985">
        <v>0.73758803804444195</v>
      </c>
      <c r="AL2985">
        <v>86.402358408704302</v>
      </c>
      <c r="AM2985">
        <v>104.773277613967</v>
      </c>
      <c r="AN2985">
        <v>1.0000000206705999</v>
      </c>
    </row>
    <row r="2986" spans="1:40" x14ac:dyDescent="0.3">
      <c r="A2986" t="str">
        <f>"20200111153936623"</f>
        <v>20200111153936623</v>
      </c>
      <c r="B2986" t="str">
        <f>"1578728376614226"</f>
        <v>1578728376614226</v>
      </c>
      <c r="C2986" t="s">
        <v>40</v>
      </c>
      <c r="D2986">
        <v>5.0080109999999998</v>
      </c>
      <c r="E2986">
        <v>0.44651980000000002</v>
      </c>
      <c r="F2986" t="s">
        <v>42</v>
      </c>
      <c r="G2986">
        <v>-419.2826</v>
      </c>
      <c r="H2986" s="1">
        <v>-4.174286E-6</v>
      </c>
      <c r="I2986">
        <v>108.1926</v>
      </c>
      <c r="J2986">
        <v>-418.97829999999999</v>
      </c>
      <c r="K2986">
        <v>1.122417</v>
      </c>
      <c r="L2986">
        <v>125.20959999999999</v>
      </c>
      <c r="M2986">
        <v>-0.39621430000000002</v>
      </c>
      <c r="N2986">
        <v>0</v>
      </c>
      <c r="O2986">
        <v>-0.91800409999999999</v>
      </c>
      <c r="P2986">
        <v>-0.15856189999999901</v>
      </c>
      <c r="Q2986">
        <v>5.6991279999999998E-2</v>
      </c>
      <c r="R2986">
        <v>-0.98570310000000005</v>
      </c>
      <c r="S2986">
        <v>-8.0230709999999997E-2</v>
      </c>
      <c r="T2986">
        <v>-0.19688549999999999</v>
      </c>
      <c r="U2986">
        <v>-3.0465849999999999</v>
      </c>
      <c r="V2986">
        <v>-0.24809149999999999</v>
      </c>
      <c r="W2986">
        <v>6.209365E-2</v>
      </c>
      <c r="X2986">
        <v>0.96674450000000001</v>
      </c>
      <c r="Y2986">
        <v>-0.37197390000000002</v>
      </c>
      <c r="Z2986">
        <v>5.4267709999999997E-2</v>
      </c>
      <c r="AA2986">
        <v>0.92665549999999997</v>
      </c>
      <c r="AB2986">
        <v>40</v>
      </c>
      <c r="AC2986">
        <v>-0.30430000000001101</v>
      </c>
      <c r="AD2986">
        <v>-1.122421174286</v>
      </c>
      <c r="AE2986">
        <v>-17.0169999999999</v>
      </c>
      <c r="AF2986">
        <v>-6.4359527584438396</v>
      </c>
      <c r="AG2986">
        <v>-1.122421174286</v>
      </c>
      <c r="AH2986">
        <v>15.676290500125999</v>
      </c>
      <c r="AI2986">
        <v>93.789456216817996</v>
      </c>
      <c r="AJ2986">
        <v>112.320763358463</v>
      </c>
      <c r="AK2986">
        <v>16.983150504124598</v>
      </c>
      <c r="AL2986">
        <v>86.440005648051695</v>
      </c>
      <c r="AM2986">
        <v>104.392977381053</v>
      </c>
      <c r="AN2986">
        <v>0.99999997101141003</v>
      </c>
    </row>
    <row r="2987" spans="1:40" x14ac:dyDescent="0.3">
      <c r="A2987" t="str">
        <f>"20200111153936646"</f>
        <v>20200111153936646</v>
      </c>
      <c r="B2987" t="str">
        <f>"1578728376633749"</f>
        <v>1578728376633749</v>
      </c>
      <c r="C2987" t="s">
        <v>40</v>
      </c>
      <c r="D2987">
        <v>5.0552729999999997</v>
      </c>
      <c r="E2987">
        <v>0.44724839999999999</v>
      </c>
      <c r="F2987" t="s">
        <v>42</v>
      </c>
      <c r="G2987">
        <v>-419.3399</v>
      </c>
      <c r="H2987" s="1">
        <v>-3.7942769999999998E-6</v>
      </c>
      <c r="I2987">
        <v>107.4102</v>
      </c>
      <c r="J2987">
        <v>-419.12799999999999</v>
      </c>
      <c r="K2987">
        <v>1.122377</v>
      </c>
      <c r="L2987">
        <v>124.8489</v>
      </c>
      <c r="M2987">
        <v>-0.38069320000000001</v>
      </c>
      <c r="N2987">
        <v>0</v>
      </c>
      <c r="O2987">
        <v>-0.9245487</v>
      </c>
      <c r="P2987">
        <v>-0.14920700000000001</v>
      </c>
      <c r="Q2987">
        <v>5.592946E-2</v>
      </c>
      <c r="R2987">
        <v>-0.98722290000000001</v>
      </c>
      <c r="S2987">
        <v>-6.1859129999999998E-2</v>
      </c>
      <c r="T2987">
        <v>-0.19199559999999999</v>
      </c>
      <c r="U2987">
        <v>-3.0446620000000002</v>
      </c>
      <c r="V2987">
        <v>-0.24093580000000001</v>
      </c>
      <c r="W2987">
        <v>6.1388320000000003E-2</v>
      </c>
      <c r="X2987">
        <v>0.96859770000000001</v>
      </c>
      <c r="Y2987">
        <v>-0.3618903</v>
      </c>
      <c r="Z2987">
        <v>5.370014E-2</v>
      </c>
      <c r="AA2987">
        <v>0.93067270000000002</v>
      </c>
      <c r="AB2987">
        <v>40</v>
      </c>
      <c r="AC2987">
        <v>-0.21189999999995701</v>
      </c>
      <c r="AD2987">
        <v>-1.1223807942770001</v>
      </c>
      <c r="AE2987">
        <v>-17.438699999999901</v>
      </c>
      <c r="AF2987">
        <v>-6.4172137743175801</v>
      </c>
      <c r="AG2987">
        <v>-1.1223807942770001</v>
      </c>
      <c r="AH2987">
        <v>16.139040123420202</v>
      </c>
      <c r="AI2987">
        <v>93.697500689879305</v>
      </c>
      <c r="AJ2987">
        <v>111.683784449443</v>
      </c>
      <c r="AK2987">
        <v>17.404280719926899</v>
      </c>
      <c r="AL2987">
        <v>86.480495588959499</v>
      </c>
      <c r="AM2987">
        <v>103.96865655207</v>
      </c>
      <c r="AN2987">
        <v>1.00000004499967</v>
      </c>
    </row>
    <row r="2988" spans="1:40" x14ac:dyDescent="0.3">
      <c r="A2988" t="str">
        <f>"20200111153936668"</f>
        <v>20200111153936668</v>
      </c>
      <c r="B2988" t="str">
        <f>"1578728376663415"</f>
        <v>1578728376663415</v>
      </c>
      <c r="C2988" t="s">
        <v>40</v>
      </c>
      <c r="D2988">
        <v>5.0179799999999997</v>
      </c>
      <c r="E2988">
        <v>0.44848919999999998</v>
      </c>
      <c r="F2988" t="s">
        <v>42</v>
      </c>
      <c r="G2988">
        <v>-419.3485</v>
      </c>
      <c r="H2988" s="1">
        <v>-3.7697960000000002E-6</v>
      </c>
      <c r="I2988">
        <v>107.3617</v>
      </c>
      <c r="J2988">
        <v>-419.26819999999998</v>
      </c>
      <c r="K2988">
        <v>1.12235</v>
      </c>
      <c r="L2988">
        <v>124.49460000000001</v>
      </c>
      <c r="M2988">
        <v>-0.36543439999999999</v>
      </c>
      <c r="N2988">
        <v>0</v>
      </c>
      <c r="O2988">
        <v>-0.93068589999999995</v>
      </c>
      <c r="P2988">
        <v>-0.14078879999999999</v>
      </c>
      <c r="Q2988">
        <v>5.5880279999999997E-2</v>
      </c>
      <c r="R2988">
        <v>-0.98846140000000005</v>
      </c>
      <c r="S2988">
        <v>-3.8391109999999999E-2</v>
      </c>
      <c r="T2988">
        <v>-0.1953783</v>
      </c>
      <c r="U2988">
        <v>-3.0440830000000001</v>
      </c>
      <c r="V2988">
        <v>-0.2332427</v>
      </c>
      <c r="W2988">
        <v>6.1719570000000001E-2</v>
      </c>
      <c r="X2988">
        <v>0.97045789999999998</v>
      </c>
      <c r="Y2988">
        <v>-0.35371409999999998</v>
      </c>
      <c r="Z2988">
        <v>5.5341559999999998E-2</v>
      </c>
      <c r="AA2988">
        <v>0.93371499999999996</v>
      </c>
      <c r="AB2988">
        <v>40</v>
      </c>
      <c r="AC2988">
        <v>-8.0300000000022395E-2</v>
      </c>
      <c r="AD2988">
        <v>-1.122353769796</v>
      </c>
      <c r="AE2988">
        <v>-17.132899999999999</v>
      </c>
      <c r="AF2988">
        <v>-6.16065054725936</v>
      </c>
      <c r="AG2988">
        <v>-1.122353769796</v>
      </c>
      <c r="AH2988">
        <v>15.9086726038437</v>
      </c>
      <c r="AI2988">
        <v>93.764012441293303</v>
      </c>
      <c r="AJ2988">
        <v>111.16894803620001</v>
      </c>
      <c r="AK2988">
        <v>17.096758674272401</v>
      </c>
      <c r="AL2988">
        <v>86.461480142379699</v>
      </c>
      <c r="AM2988">
        <v>103.51431043629999</v>
      </c>
      <c r="AN2988">
        <v>0.99999999904834203</v>
      </c>
    </row>
    <row r="2989" spans="1:40" x14ac:dyDescent="0.3">
      <c r="A2989" t="str">
        <f>"20200111153936690"</f>
        <v>20200111153936690</v>
      </c>
      <c r="B2989" t="str">
        <f>"1578728376683909"</f>
        <v>1578728376683909</v>
      </c>
      <c r="C2989" t="s">
        <v>40</v>
      </c>
      <c r="D2989">
        <v>5.0091979999999996</v>
      </c>
      <c r="E2989">
        <v>0.4489283</v>
      </c>
      <c r="F2989" t="s">
        <v>42</v>
      </c>
      <c r="G2989">
        <v>-419.39269999999999</v>
      </c>
      <c r="H2989" s="1">
        <v>-3.5367789999999998E-6</v>
      </c>
      <c r="I2989">
        <v>106.8853</v>
      </c>
      <c r="J2989">
        <v>-419.40940000000001</v>
      </c>
      <c r="K2989">
        <v>1.1223129999999999</v>
      </c>
      <c r="L2989">
        <v>124.11879999999999</v>
      </c>
      <c r="M2989">
        <v>-0.3492518</v>
      </c>
      <c r="N2989">
        <v>0</v>
      </c>
      <c r="O2989">
        <v>-0.93687929999999997</v>
      </c>
      <c r="P2989">
        <v>-0.13219700000000001</v>
      </c>
      <c r="Q2989">
        <v>5.6161830000000003E-2</v>
      </c>
      <c r="R2989">
        <v>-0.9896315</v>
      </c>
      <c r="S2989">
        <v>-2.1514889999999998E-2</v>
      </c>
      <c r="T2989">
        <v>-0.1939458</v>
      </c>
      <c r="U2989">
        <v>-3.042923</v>
      </c>
      <c r="V2989">
        <v>-0.22484680000000001</v>
      </c>
      <c r="W2989">
        <v>6.2413469999999999E-2</v>
      </c>
      <c r="X2989">
        <v>0.97239319999999896</v>
      </c>
      <c r="Y2989">
        <v>-0.34265659999999998</v>
      </c>
      <c r="Z2989">
        <v>5.5678180000000001E-2</v>
      </c>
      <c r="AA2989">
        <v>0.93780929999999996</v>
      </c>
      <c r="AB2989">
        <v>40</v>
      </c>
      <c r="AC2989">
        <v>1.6700000000014301E-2</v>
      </c>
      <c r="AD2989">
        <v>-1.12231653677899</v>
      </c>
      <c r="AE2989">
        <v>-17.2334999999999</v>
      </c>
      <c r="AF2989">
        <v>-6.0098342713140802</v>
      </c>
      <c r="AG2989">
        <v>-1.12231653677899</v>
      </c>
      <c r="AH2989">
        <v>16.073967792072899</v>
      </c>
      <c r="AI2989">
        <v>93.741831879787597</v>
      </c>
      <c r="AJ2989">
        <v>110.500074978905</v>
      </c>
      <c r="AK2989">
        <v>17.197387678306999</v>
      </c>
      <c r="AL2989">
        <v>86.421645911216899</v>
      </c>
      <c r="AM2989">
        <v>103.019697472779</v>
      </c>
      <c r="AN2989">
        <v>1.00000003005695</v>
      </c>
    </row>
    <row r="2990" spans="1:40" x14ac:dyDescent="0.3">
      <c r="A2990" t="str">
        <f>"20200111153936713"</f>
        <v>20200111153936713</v>
      </c>
      <c r="B2990" t="str">
        <f>"1578728376703430"</f>
        <v>1578728376703430</v>
      </c>
      <c r="C2990" t="s">
        <v>40</v>
      </c>
      <c r="D2990">
        <v>5.0365630000000001</v>
      </c>
      <c r="E2990">
        <v>0.45501209999999997</v>
      </c>
      <c r="F2990" t="s">
        <v>42</v>
      </c>
      <c r="G2990">
        <v>-419.39940000000001</v>
      </c>
      <c r="H2990" s="1">
        <v>-3.27882E-6</v>
      </c>
      <c r="I2990">
        <v>106.3421</v>
      </c>
      <c r="J2990">
        <v>-419.54039999999998</v>
      </c>
      <c r="K2990">
        <v>1.1222780000000001</v>
      </c>
      <c r="L2990">
        <v>123.7513</v>
      </c>
      <c r="M2990">
        <v>-0.333424</v>
      </c>
      <c r="N2990">
        <v>0</v>
      </c>
      <c r="O2990">
        <v>-0.94262840000000003</v>
      </c>
      <c r="P2990">
        <v>-0.124532</v>
      </c>
      <c r="Q2990">
        <v>5.614309E-2</v>
      </c>
      <c r="R2990">
        <v>-0.9906256</v>
      </c>
      <c r="S2990">
        <v>1.708984E-3</v>
      </c>
      <c r="T2990">
        <v>-0.19209019999999999</v>
      </c>
      <c r="U2990">
        <v>-3.0425719999999998</v>
      </c>
      <c r="V2990">
        <v>-0.21598000000000001</v>
      </c>
      <c r="W2990">
        <v>6.2826069999999998E-2</v>
      </c>
      <c r="X2990">
        <v>0.97437439999999997</v>
      </c>
      <c r="Y2990">
        <v>-0.33397969999999999</v>
      </c>
      <c r="Z2990">
        <v>5.5793139999999998E-2</v>
      </c>
      <c r="AA2990">
        <v>0.94092759999999998</v>
      </c>
      <c r="AB2990">
        <v>40</v>
      </c>
      <c r="AC2990">
        <v>0.14099999999996199</v>
      </c>
      <c r="AD2990">
        <v>-1.1222812788200001</v>
      </c>
      <c r="AE2990">
        <v>-17.409199999999998</v>
      </c>
      <c r="AF2990">
        <v>-5.9138130283143999</v>
      </c>
      <c r="AG2990">
        <v>-1.1222812788200001</v>
      </c>
      <c r="AH2990">
        <v>16.297960779000299</v>
      </c>
      <c r="AI2990">
        <v>93.703622943754993</v>
      </c>
      <c r="AJ2990">
        <v>109.94360740560001</v>
      </c>
      <c r="AK2990">
        <v>17.374010053999701</v>
      </c>
      <c r="AL2990">
        <v>86.397958982638698</v>
      </c>
      <c r="AM2990">
        <v>102.498116556532</v>
      </c>
      <c r="AN2990">
        <v>0.999999973423502</v>
      </c>
    </row>
    <row r="2991" spans="1:40" x14ac:dyDescent="0.3">
      <c r="A2991" t="str">
        <f>"20200111153936759"</f>
        <v>20200111153936759</v>
      </c>
      <c r="B2991" t="str">
        <f>"1578728376754181"</f>
        <v>1578728376754181</v>
      </c>
      <c r="C2991" t="s">
        <v>40</v>
      </c>
      <c r="D2991">
        <v>5.0839879999999997</v>
      </c>
      <c r="E2991">
        <v>0.45527040000000002</v>
      </c>
      <c r="F2991" t="s">
        <v>42</v>
      </c>
      <c r="G2991">
        <v>-419.66759999999999</v>
      </c>
      <c r="H2991" s="1">
        <v>-3.1743299999999998E-6</v>
      </c>
      <c r="I2991">
        <v>106.2217</v>
      </c>
      <c r="J2991">
        <v>-419.78199999999998</v>
      </c>
      <c r="K2991">
        <v>1.12219</v>
      </c>
      <c r="L2991">
        <v>123.0125</v>
      </c>
      <c r="M2991">
        <v>-0.30166579999999998</v>
      </c>
      <c r="N2991">
        <v>0</v>
      </c>
      <c r="O2991">
        <v>-0.9532678</v>
      </c>
      <c r="P2991">
        <v>-0.10752920000000001</v>
      </c>
      <c r="Q2991">
        <v>5.8320030000000002E-2</v>
      </c>
      <c r="R2991">
        <v>-0.99248979999999998</v>
      </c>
      <c r="S2991">
        <v>-2.2033690000000002E-2</v>
      </c>
      <c r="T2991">
        <v>-0.1944129</v>
      </c>
      <c r="U2991">
        <v>-3.0366520000000001</v>
      </c>
      <c r="V2991">
        <v>-0.2000586</v>
      </c>
      <c r="W2991">
        <v>6.5768729999999997E-2</v>
      </c>
      <c r="X2991">
        <v>0.9775741</v>
      </c>
      <c r="Y2991">
        <v>-0.29478100000000002</v>
      </c>
      <c r="Z2991">
        <v>5.8009779999999997E-2</v>
      </c>
      <c r="AA2991">
        <v>0.95380240000000005</v>
      </c>
      <c r="AB2991">
        <v>40</v>
      </c>
      <c r="AC2991">
        <v>0.114399999999989</v>
      </c>
      <c r="AD2991">
        <v>-1.12219317433</v>
      </c>
      <c r="AE2991">
        <v>-16.790800000000001</v>
      </c>
      <c r="AF2991">
        <v>-5.1519724137365399</v>
      </c>
      <c r="AG2991">
        <v>-1.12219317433</v>
      </c>
      <c r="AH2991">
        <v>15.9028101821488</v>
      </c>
      <c r="AI2991">
        <v>93.840547562732795</v>
      </c>
      <c r="AJ2991">
        <v>107.95056981760401</v>
      </c>
      <c r="AK2991">
        <v>16.754149007391302</v>
      </c>
      <c r="AL2991">
        <v>86.229007590635106</v>
      </c>
      <c r="AM2991">
        <v>101.56577103002201</v>
      </c>
      <c r="AN2991">
        <v>1.0000000451352899</v>
      </c>
    </row>
    <row r="2992" spans="1:40" x14ac:dyDescent="0.3">
      <c r="A2992" t="str">
        <f>"20200111153936780"</f>
        <v>20200111153936780</v>
      </c>
      <c r="B2992" t="str">
        <f>"1578728376773702"</f>
        <v>1578728376773702</v>
      </c>
      <c r="C2992" t="s">
        <v>40</v>
      </c>
      <c r="D2992">
        <v>5.1366740000000002</v>
      </c>
      <c r="E2992">
        <v>0.45819120000000002</v>
      </c>
      <c r="F2992" t="s">
        <v>42</v>
      </c>
      <c r="G2992">
        <v>-419.6046</v>
      </c>
      <c r="H2992" s="1">
        <v>-2.1785450000000002E-6</v>
      </c>
      <c r="I2992">
        <v>104.0915</v>
      </c>
      <c r="J2992">
        <v>-419.89690000000002</v>
      </c>
      <c r="K2992">
        <v>1.1221299999999901</v>
      </c>
      <c r="L2992">
        <v>122.6268</v>
      </c>
      <c r="M2992">
        <v>-0.28512900000000002</v>
      </c>
      <c r="N2992">
        <v>0</v>
      </c>
      <c r="O2992">
        <v>-0.9583448</v>
      </c>
      <c r="P2992">
        <v>-9.7868579999999997E-2</v>
      </c>
      <c r="Q2992">
        <v>5.803411E-2</v>
      </c>
      <c r="R2992">
        <v>-0.99350609999999995</v>
      </c>
      <c r="S2992">
        <v>2.8472899999999999E-2</v>
      </c>
      <c r="T2992">
        <v>-0.18008479999999999</v>
      </c>
      <c r="U2992">
        <v>-3.036362</v>
      </c>
      <c r="V2992">
        <v>-0.19263060000000001</v>
      </c>
      <c r="W2992">
        <v>6.5832959999999996E-2</v>
      </c>
      <c r="X2992">
        <v>0.9790605</v>
      </c>
      <c r="Y2992">
        <v>-0.29411779999999998</v>
      </c>
      <c r="Z2992">
        <v>5.4207640000000001E-2</v>
      </c>
      <c r="AA2992">
        <v>0.95423069999999999</v>
      </c>
      <c r="AB2992">
        <v>40</v>
      </c>
      <c r="AC2992">
        <v>0.292300000000011</v>
      </c>
      <c r="AD2992">
        <v>-1.12213217854499</v>
      </c>
      <c r="AE2992">
        <v>-18.535299999999999</v>
      </c>
      <c r="AF2992">
        <v>-5.5455258282029298</v>
      </c>
      <c r="AG2992">
        <v>-1.12213217854499</v>
      </c>
      <c r="AH2992">
        <v>17.617756435496201</v>
      </c>
      <c r="AI2992">
        <v>93.476706119646295</v>
      </c>
      <c r="AJ2992">
        <v>107.472392595332</v>
      </c>
      <c r="AK2992">
        <v>18.503982791763001</v>
      </c>
      <c r="AL2992">
        <v>86.225319299174302</v>
      </c>
      <c r="AM2992">
        <v>101.13079693412</v>
      </c>
      <c r="AN2992">
        <v>0.99999999466948497</v>
      </c>
    </row>
    <row r="2993" spans="1:40" x14ac:dyDescent="0.3">
      <c r="A2993" t="str">
        <f>"20200111153936802"</f>
        <v>20200111153936802</v>
      </c>
      <c r="B2993" t="str">
        <f>"1578728376794197"</f>
        <v>1578728376794197</v>
      </c>
      <c r="C2993" t="s">
        <v>40</v>
      </c>
      <c r="D2993">
        <v>5.0447839999999999</v>
      </c>
      <c r="E2993">
        <v>0.46090940000000002</v>
      </c>
      <c r="F2993" t="s">
        <v>42</v>
      </c>
      <c r="G2993">
        <v>-419.6825</v>
      </c>
      <c r="H2993" s="1">
        <v>-2.0955410000000002E-6</v>
      </c>
      <c r="I2993">
        <v>103.9452</v>
      </c>
      <c r="J2993">
        <v>-419.99939999999998</v>
      </c>
      <c r="K2993">
        <v>1.1220650000000001</v>
      </c>
      <c r="L2993">
        <v>122.2608</v>
      </c>
      <c r="M2993">
        <v>-0.2694587</v>
      </c>
      <c r="N2993">
        <v>0</v>
      </c>
      <c r="O2993">
        <v>-0.96286890000000003</v>
      </c>
      <c r="P2993">
        <v>-8.9471910000000002E-2</v>
      </c>
      <c r="Q2993">
        <v>5.7420069999999997E-2</v>
      </c>
      <c r="R2993">
        <v>-0.99433309999999997</v>
      </c>
      <c r="S2993">
        <v>3.482056E-2</v>
      </c>
      <c r="T2993">
        <v>-0.18222150000000001</v>
      </c>
      <c r="U2993">
        <v>-3.0336910000000001</v>
      </c>
      <c r="V2993">
        <v>-0.1848957</v>
      </c>
      <c r="W2993">
        <v>6.5581260000000002E-2</v>
      </c>
      <c r="X2993">
        <v>0.98056750000000004</v>
      </c>
      <c r="Y2993">
        <v>-0.28050239999999999</v>
      </c>
      <c r="Z2993">
        <v>5.5425120000000001E-2</v>
      </c>
      <c r="AA2993">
        <v>0.95825179999999999</v>
      </c>
      <c r="AB2993">
        <v>39</v>
      </c>
      <c r="AC2993">
        <v>0.31689999999997498</v>
      </c>
      <c r="AD2993">
        <v>-1.1220670955409999</v>
      </c>
      <c r="AE2993">
        <v>-18.3156</v>
      </c>
      <c r="AF2993">
        <v>-5.2215615006459801</v>
      </c>
      <c r="AG2993">
        <v>-1.1220670955409999</v>
      </c>
      <c r="AH2993">
        <v>17.486936739771298</v>
      </c>
      <c r="AI2993">
        <v>93.518320472849695</v>
      </c>
      <c r="AJ2993">
        <v>106.625511255777</v>
      </c>
      <c r="AK2993">
        <v>18.2843292360613</v>
      </c>
      <c r="AL2993">
        <v>86.239771793580502</v>
      </c>
      <c r="AM2993">
        <v>100.67830878861299</v>
      </c>
      <c r="AN2993">
        <v>0.99999997179896305</v>
      </c>
    </row>
    <row r="2994" spans="1:40" x14ac:dyDescent="0.3">
      <c r="A2994" t="str">
        <f>"20200111153936825"</f>
        <v>20200111153936825</v>
      </c>
      <c r="B2994" t="str">
        <f>"1578728376813718"</f>
        <v>1578728376813718</v>
      </c>
      <c r="C2994" t="s">
        <v>40</v>
      </c>
      <c r="D2994">
        <v>5.1015629999999996</v>
      </c>
      <c r="E2994">
        <v>0.4630068</v>
      </c>
      <c r="F2994" t="s">
        <v>42</v>
      </c>
      <c r="G2994">
        <v>-419.76609999999999</v>
      </c>
      <c r="H2994" s="1">
        <v>-2.0920859999999999E-6</v>
      </c>
      <c r="I2994">
        <v>103.9692</v>
      </c>
      <c r="J2994">
        <v>-420.09649999999999</v>
      </c>
      <c r="K2994">
        <v>1.1219840000000001</v>
      </c>
      <c r="L2994">
        <v>121.89019999999999</v>
      </c>
      <c r="M2994">
        <v>-0.25365520000000003</v>
      </c>
      <c r="N2994">
        <v>0</v>
      </c>
      <c r="O2994">
        <v>-0.96715269999999998</v>
      </c>
      <c r="P2994">
        <v>-8.0660860000000001E-2</v>
      </c>
      <c r="Q2994">
        <v>5.6629520000000003E-2</v>
      </c>
      <c r="R2994">
        <v>-0.9951314</v>
      </c>
      <c r="S2994">
        <v>3.8665770000000002E-2</v>
      </c>
      <c r="T2994">
        <v>-0.18595110000000001</v>
      </c>
      <c r="U2994">
        <v>-3.0313110000000001</v>
      </c>
      <c r="V2994">
        <v>-0.1774809</v>
      </c>
      <c r="W2994">
        <v>6.5138260000000003E-2</v>
      </c>
      <c r="X2994">
        <v>0.98196609999999995</v>
      </c>
      <c r="Y2994">
        <v>-0.2659763</v>
      </c>
      <c r="Z2994">
        <v>5.7118839999999997E-2</v>
      </c>
      <c r="AA2994">
        <v>0.96228590000000003</v>
      </c>
      <c r="AB2994">
        <v>39</v>
      </c>
      <c r="AC2994">
        <v>0.33039999999999697</v>
      </c>
      <c r="AD2994">
        <v>-1.1219860920860001</v>
      </c>
      <c r="AE2994">
        <v>-17.9209999999999</v>
      </c>
      <c r="AF2994">
        <v>-4.8469783224631602</v>
      </c>
      <c r="AG2994">
        <v>-1.1219860920860001</v>
      </c>
      <c r="AH2994">
        <v>17.1835741815087</v>
      </c>
      <c r="AI2994">
        <v>93.595851464701994</v>
      </c>
      <c r="AJ2994">
        <v>105.75219041627</v>
      </c>
      <c r="AK2994">
        <v>17.8893061156848</v>
      </c>
      <c r="AL2994">
        <v>86.265208103048494</v>
      </c>
      <c r="AM2994">
        <v>100.245056292963</v>
      </c>
      <c r="AN2994">
        <v>0.99999994216492205</v>
      </c>
    </row>
    <row r="2995" spans="1:40" x14ac:dyDescent="0.3">
      <c r="A2995" t="str">
        <f>"20200111153936846"</f>
        <v>20200111153936846</v>
      </c>
      <c r="B2995" t="str">
        <f>"1578728376843973"</f>
        <v>1578728376843973</v>
      </c>
      <c r="C2995" t="s">
        <v>40</v>
      </c>
      <c r="D2995">
        <v>5.0989069999999996</v>
      </c>
      <c r="E2995">
        <v>0.46507029999999999</v>
      </c>
      <c r="F2995" t="s">
        <v>42</v>
      </c>
      <c r="G2995">
        <v>-419.80590000000001</v>
      </c>
      <c r="H2995" s="1">
        <v>-1.9614770000000002E-6</v>
      </c>
      <c r="I2995">
        <v>103.7079</v>
      </c>
      <c r="J2995">
        <v>-420.18680000000001</v>
      </c>
      <c r="K2995">
        <v>1.121891</v>
      </c>
      <c r="L2995">
        <v>121.5209</v>
      </c>
      <c r="M2995">
        <v>-0.23798279999999999</v>
      </c>
      <c r="N2995">
        <v>0</v>
      </c>
      <c r="O2995">
        <v>-0.97112889999999996</v>
      </c>
      <c r="P2995">
        <v>-7.09148E-2</v>
      </c>
      <c r="Q2995">
        <v>5.6145590000000002E-2</v>
      </c>
      <c r="R2995">
        <v>-0.99590120000000004</v>
      </c>
      <c r="S2995">
        <v>4.840088E-2</v>
      </c>
      <c r="T2995">
        <v>-0.18692629999999999</v>
      </c>
      <c r="U2995">
        <v>-3.029236</v>
      </c>
      <c r="V2995">
        <v>-0.17118069999999999</v>
      </c>
      <c r="W2995">
        <v>6.4946509999999999E-2</v>
      </c>
      <c r="X2995">
        <v>0.98309669999999905</v>
      </c>
      <c r="Y2995">
        <v>-0.25346659999999999</v>
      </c>
      <c r="Z2995">
        <v>5.792576E-2</v>
      </c>
      <c r="AA2995">
        <v>0.96560820000000003</v>
      </c>
      <c r="AB2995">
        <v>39</v>
      </c>
      <c r="AC2995">
        <v>0.38089999999999602</v>
      </c>
      <c r="AD2995">
        <v>-1.1218929614769999</v>
      </c>
      <c r="AE2995">
        <v>-17.812999999999999</v>
      </c>
      <c r="AF2995">
        <v>-4.5915147198652599</v>
      </c>
      <c r="AG2995">
        <v>-1.1218929614769999</v>
      </c>
      <c r="AH2995">
        <v>17.142451724250598</v>
      </c>
      <c r="AI2995">
        <v>93.617251507620495</v>
      </c>
      <c r="AJ2995">
        <v>104.99441355748201</v>
      </c>
      <c r="AK2995">
        <v>17.7821343589012</v>
      </c>
      <c r="AL2995">
        <v>86.276218103433195</v>
      </c>
      <c r="AM2995">
        <v>99.877536913048104</v>
      </c>
      <c r="AN2995">
        <v>1.0000000013822701</v>
      </c>
    </row>
    <row r="2996" spans="1:40" x14ac:dyDescent="0.3">
      <c r="A2996" t="str">
        <f>"20200111153936891"</f>
        <v>20200111153936891</v>
      </c>
      <c r="B2996" t="str">
        <f>"1578728376883992"</f>
        <v>1578728376883992</v>
      </c>
      <c r="C2996" t="s">
        <v>40</v>
      </c>
      <c r="D2996">
        <v>5.1495649999999999</v>
      </c>
      <c r="E2996">
        <v>0.46670600000000001</v>
      </c>
      <c r="F2996" t="s">
        <v>42</v>
      </c>
      <c r="G2996">
        <v>-419.82229999999998</v>
      </c>
      <c r="H2996" s="1">
        <v>-1.8713749999999999E-6</v>
      </c>
      <c r="I2996">
        <v>103.5234</v>
      </c>
      <c r="J2996">
        <v>-420.351</v>
      </c>
      <c r="K2996">
        <v>1.12164</v>
      </c>
      <c r="L2996">
        <v>120.7705</v>
      </c>
      <c r="M2996">
        <v>-0.20648900000000001</v>
      </c>
      <c r="N2996">
        <v>0</v>
      </c>
      <c r="O2996">
        <v>-0.97831140000000005</v>
      </c>
      <c r="P2996">
        <v>-5.0162859999999997E-2</v>
      </c>
      <c r="Q2996">
        <v>5.2619850000000003E-2</v>
      </c>
      <c r="R2996">
        <v>-0.99735410000000002</v>
      </c>
      <c r="S2996">
        <v>6.1309809999999999E-2</v>
      </c>
      <c r="T2996">
        <v>-0.18871350000000001</v>
      </c>
      <c r="U2996">
        <v>-3.0273590000000001</v>
      </c>
      <c r="V2996">
        <v>-0.15972329999999901</v>
      </c>
      <c r="W2996">
        <v>6.1940879999999997E-2</v>
      </c>
      <c r="X2996">
        <v>0.9852166</v>
      </c>
      <c r="Y2996">
        <v>-0.226244</v>
      </c>
      <c r="Z2996">
        <v>5.9390579999999998E-2</v>
      </c>
      <c r="AA2996">
        <v>0.97225839999999997</v>
      </c>
      <c r="AB2996">
        <v>39</v>
      </c>
      <c r="AC2996">
        <v>0.52870000000001405</v>
      </c>
      <c r="AD2996">
        <v>-1.121641871375</v>
      </c>
      <c r="AE2996">
        <v>-17.2471</v>
      </c>
      <c r="AF2996">
        <v>-4.0619551403893102</v>
      </c>
      <c r="AG2996">
        <v>-1.121641871375</v>
      </c>
      <c r="AH2996">
        <v>16.695574260448701</v>
      </c>
      <c r="AI2996">
        <v>93.734842378757094</v>
      </c>
      <c r="AJ2996">
        <v>103.674124385117</v>
      </c>
      <c r="AK2996">
        <v>17.219168386897099</v>
      </c>
      <c r="AL2996">
        <v>86.4487756275078</v>
      </c>
      <c r="AM2996">
        <v>99.208671847614397</v>
      </c>
      <c r="AN2996">
        <v>0.99999997704681098</v>
      </c>
    </row>
    <row r="2997" spans="1:40" x14ac:dyDescent="0.3">
      <c r="A2997" t="str">
        <f>"20200111153936914"</f>
        <v>20200111153936914</v>
      </c>
      <c r="B2997" t="str">
        <f>"1578728376903510"</f>
        <v>1578728376903510</v>
      </c>
      <c r="C2997" t="s">
        <v>40</v>
      </c>
      <c r="D2997">
        <v>5.091825</v>
      </c>
      <c r="E2997">
        <v>0.46756029999999998</v>
      </c>
      <c r="F2997" t="s">
        <v>42</v>
      </c>
      <c r="G2997">
        <v>-419.71910000000003</v>
      </c>
      <c r="H2997" s="1">
        <v>-1.9797619999999999E-6</v>
      </c>
      <c r="I2997">
        <v>103.714</v>
      </c>
      <c r="J2997">
        <v>-420.42649999999998</v>
      </c>
      <c r="K2997">
        <v>1.1214900000000001</v>
      </c>
      <c r="L2997">
        <v>120.3802</v>
      </c>
      <c r="M2997">
        <v>-0.19033059999999999</v>
      </c>
      <c r="N2997">
        <v>0</v>
      </c>
      <c r="O2997">
        <v>-0.98158400000000001</v>
      </c>
      <c r="P2997">
        <v>-3.9714659999999999E-2</v>
      </c>
      <c r="Q2997">
        <v>5.1014200000000003E-2</v>
      </c>
      <c r="R2997">
        <v>-0.99790809999999996</v>
      </c>
      <c r="S2997">
        <v>0.11203</v>
      </c>
      <c r="T2997">
        <v>-0.19886490000000001</v>
      </c>
      <c r="U2997">
        <v>-3.0240939999999998</v>
      </c>
      <c r="V2997">
        <v>-0.1537164</v>
      </c>
      <c r="W2997">
        <v>6.0600630000000003E-2</v>
      </c>
      <c r="X2997">
        <v>0.98625490000000005</v>
      </c>
      <c r="Y2997">
        <v>-0.22648889999999999</v>
      </c>
      <c r="Z2997">
        <v>6.2943540000000006E-2</v>
      </c>
      <c r="AA2997">
        <v>0.9719778</v>
      </c>
      <c r="AB2997">
        <v>39</v>
      </c>
      <c r="AC2997">
        <v>0.70739999999994996</v>
      </c>
      <c r="AD2997">
        <v>-1.12149197976199</v>
      </c>
      <c r="AE2997">
        <v>-16.6662</v>
      </c>
      <c r="AF2997">
        <v>-3.8495768153142902</v>
      </c>
      <c r="AG2997">
        <v>-1.12149197976199</v>
      </c>
      <c r="AH2997">
        <v>16.153787784548999</v>
      </c>
      <c r="AI2997">
        <v>93.863589498024893</v>
      </c>
      <c r="AJ2997">
        <v>103.40403342269499</v>
      </c>
      <c r="AK2997">
        <v>16.643973254782601</v>
      </c>
      <c r="AL2997">
        <v>86.525710749402606</v>
      </c>
      <c r="AM2997">
        <v>98.858771947984707</v>
      </c>
      <c r="AN2997">
        <v>0.99999994787968205</v>
      </c>
    </row>
    <row r="2998" spans="1:40" x14ac:dyDescent="0.3">
      <c r="A2998" t="str">
        <f>"20200111153936936"</f>
        <v>20200111153936936</v>
      </c>
      <c r="B2998" t="str">
        <f>"1578728376933765"</f>
        <v>1578728376933765</v>
      </c>
      <c r="C2998" t="s">
        <v>40</v>
      </c>
      <c r="D2998">
        <v>5.1565250000000002</v>
      </c>
      <c r="E2998">
        <v>0.46853040000000001</v>
      </c>
      <c r="F2998" t="s">
        <v>42</v>
      </c>
      <c r="G2998">
        <v>-419.66539999999998</v>
      </c>
      <c r="H2998" s="1">
        <v>-1.9781289999999999E-6</v>
      </c>
      <c r="I2998">
        <v>103.6904</v>
      </c>
      <c r="J2998">
        <v>-420.49029999999999</v>
      </c>
      <c r="K2998">
        <v>1.1213439999999999</v>
      </c>
      <c r="L2998">
        <v>120.0172</v>
      </c>
      <c r="M2998">
        <v>-0.17551249999999999</v>
      </c>
      <c r="N2998">
        <v>0</v>
      </c>
      <c r="O2998">
        <v>-0.98434250000000001</v>
      </c>
      <c r="P2998">
        <v>-3.0264039999999999E-2</v>
      </c>
      <c r="Q2998">
        <v>5.1812759999999999E-2</v>
      </c>
      <c r="R2998">
        <v>-0.99819829999999998</v>
      </c>
      <c r="S2998">
        <v>0.13781740000000001</v>
      </c>
      <c r="T2998">
        <v>-0.20307729999999999</v>
      </c>
      <c r="U2998">
        <v>-3.0221559999999998</v>
      </c>
      <c r="V2998">
        <v>-0.14818480000000001</v>
      </c>
      <c r="W2998">
        <v>6.164389E-2</v>
      </c>
      <c r="X2998">
        <v>0.98703660000000004</v>
      </c>
      <c r="Y2998">
        <v>-0.22009960000000001</v>
      </c>
      <c r="Z2998">
        <v>6.4626729999999993E-2</v>
      </c>
      <c r="AA2998">
        <v>0.97333429999999999</v>
      </c>
      <c r="AB2998">
        <v>39</v>
      </c>
      <c r="AC2998">
        <v>0.82490000000001296</v>
      </c>
      <c r="AD2998">
        <v>-1.1213459781290001</v>
      </c>
      <c r="AE2998">
        <v>-16.326799999999999</v>
      </c>
      <c r="AF2998">
        <v>-3.6608048671967302</v>
      </c>
      <c r="AG2998">
        <v>-1.1213459781290001</v>
      </c>
      <c r="AH2998">
        <v>15.853900798575101</v>
      </c>
      <c r="AI2998">
        <v>93.942394192151397</v>
      </c>
      <c r="AJ2998">
        <v>103.002207786865</v>
      </c>
      <c r="AK2998">
        <v>16.309662154974799</v>
      </c>
      <c r="AL2998">
        <v>86.465824481055705</v>
      </c>
      <c r="AM2998">
        <v>98.538106518629306</v>
      </c>
      <c r="AN2998">
        <v>0.99999997693246501</v>
      </c>
    </row>
    <row r="2999" spans="1:40" x14ac:dyDescent="0.3">
      <c r="A2999" t="str">
        <f>"20200111153936959"</f>
        <v>20200111153936959</v>
      </c>
      <c r="B2999" t="str">
        <f>"1578728376954261"</f>
        <v>1578728376954261</v>
      </c>
      <c r="C2999" t="s">
        <v>40</v>
      </c>
      <c r="D2999">
        <v>5.274222</v>
      </c>
      <c r="E2999">
        <v>0.4692115</v>
      </c>
      <c r="F2999" t="s">
        <v>42</v>
      </c>
      <c r="G2999">
        <v>-419.60980000000001</v>
      </c>
      <c r="H2999" s="1">
        <v>-1.769378E-6</v>
      </c>
      <c r="I2999">
        <v>103.22790000000001</v>
      </c>
      <c r="J2999">
        <v>-420.55270000000002</v>
      </c>
      <c r="K2999">
        <v>1.121148</v>
      </c>
      <c r="L2999">
        <v>119.6253</v>
      </c>
      <c r="M2999">
        <v>-0.1597729</v>
      </c>
      <c r="N2999">
        <v>0</v>
      </c>
      <c r="O2999">
        <v>-0.98702080000000003</v>
      </c>
      <c r="P2999">
        <v>-1.9989779999999999E-2</v>
      </c>
      <c r="Q2999">
        <v>5.3912790000000002E-2</v>
      </c>
      <c r="R2999">
        <v>-0.9983457</v>
      </c>
      <c r="S2999">
        <v>0.15841669999999999</v>
      </c>
      <c r="T2999">
        <v>-0.2017494</v>
      </c>
      <c r="U2999">
        <v>-3.0206909999999998</v>
      </c>
      <c r="V2999">
        <v>-0.1426162</v>
      </c>
      <c r="W2999">
        <v>6.3988630000000005E-2</v>
      </c>
      <c r="X2999">
        <v>0.98770749999999996</v>
      </c>
      <c r="Y2999">
        <v>-0.21115890000000001</v>
      </c>
      <c r="Z2999">
        <v>6.4559580000000005E-2</v>
      </c>
      <c r="AA2999">
        <v>0.9753174</v>
      </c>
      <c r="AB2999">
        <v>39</v>
      </c>
      <c r="AC2999">
        <v>0.94290000000000795</v>
      </c>
      <c r="AD2999">
        <v>-1.1211497693779999</v>
      </c>
      <c r="AE2999">
        <v>-16.397399999999902</v>
      </c>
      <c r="AF2999">
        <v>-3.53451901420499</v>
      </c>
      <c r="AG2999">
        <v>-1.1211497693779999</v>
      </c>
      <c r="AH2999">
        <v>15.9616562796956</v>
      </c>
      <c r="AI2999">
        <v>93.923140835354502</v>
      </c>
      <c r="AJ2999">
        <v>102.485988517789</v>
      </c>
      <c r="AK2999">
        <v>16.3867102451437</v>
      </c>
      <c r="AL2999">
        <v>86.331215042702993</v>
      </c>
      <c r="AM2999">
        <v>98.216216849203505</v>
      </c>
      <c r="AN2999">
        <v>1.0000000154139801</v>
      </c>
    </row>
    <row r="3000" spans="1:40" x14ac:dyDescent="0.3">
      <c r="A3000" t="str">
        <f>"20200111153936981"</f>
        <v>20200111153936981</v>
      </c>
      <c r="B3000" t="str">
        <f>"1578728376973781"</f>
        <v>1578728376973781</v>
      </c>
      <c r="C3000" t="s">
        <v>40</v>
      </c>
      <c r="D3000">
        <v>5.1942000000000004</v>
      </c>
      <c r="E3000">
        <v>0.46994809999999998</v>
      </c>
      <c r="F3000" t="s">
        <v>42</v>
      </c>
      <c r="G3000">
        <v>-419.488</v>
      </c>
      <c r="H3000" s="1">
        <v>-1.3136279999999999E-6</v>
      </c>
      <c r="I3000">
        <v>102.21810000000001</v>
      </c>
      <c r="J3000">
        <v>-420.60809999999998</v>
      </c>
      <c r="K3000">
        <v>1.120933</v>
      </c>
      <c r="L3000">
        <v>119.2383</v>
      </c>
      <c r="M3000">
        <v>-0.14448549999999999</v>
      </c>
      <c r="N3000">
        <v>0</v>
      </c>
      <c r="O3000">
        <v>-0.98937560000000002</v>
      </c>
      <c r="P3000">
        <v>-1.038037E-2</v>
      </c>
      <c r="Q3000">
        <v>5.479523E-2</v>
      </c>
      <c r="R3000">
        <v>-0.99844379999999999</v>
      </c>
      <c r="S3000">
        <v>0.18466189999999999</v>
      </c>
      <c r="T3000">
        <v>-0.19445660000000001</v>
      </c>
      <c r="U3000">
        <v>-3.01918</v>
      </c>
      <c r="V3000">
        <v>-0.13683199999999901</v>
      </c>
      <c r="W3000">
        <v>6.5118280000000001E-2</v>
      </c>
      <c r="X3000">
        <v>0.98845170000000004</v>
      </c>
      <c r="Y3000">
        <v>-0.20451900000000001</v>
      </c>
      <c r="Z3000">
        <v>6.2523419999999996E-2</v>
      </c>
      <c r="AA3000">
        <v>0.9768637</v>
      </c>
      <c r="AB3000">
        <v>39</v>
      </c>
      <c r="AC3000">
        <v>1.1200999999999199</v>
      </c>
      <c r="AD3000">
        <v>-1.1209343136279999</v>
      </c>
      <c r="AE3000">
        <v>-17.0201999999999</v>
      </c>
      <c r="AF3000">
        <v>-3.55249312823014</v>
      </c>
      <c r="AG3000">
        <v>-1.1209343136279999</v>
      </c>
      <c r="AH3000">
        <v>16.6079746873638</v>
      </c>
      <c r="AI3000">
        <v>93.776085711373298</v>
      </c>
      <c r="AJ3000">
        <v>102.07378202372399</v>
      </c>
      <c r="AK3000">
        <v>17.020620563825101</v>
      </c>
      <c r="AL3000">
        <v>86.266355804797101</v>
      </c>
      <c r="AM3000">
        <v>97.8814021781061</v>
      </c>
      <c r="AN3000">
        <v>1.0000000749235201</v>
      </c>
    </row>
    <row r="3001" spans="1:40" x14ac:dyDescent="0.3">
      <c r="A3001" t="str">
        <f>"20200111153937004"</f>
        <v>20200111153937004</v>
      </c>
      <c r="B3001" t="str">
        <f>"1578728376994277"</f>
        <v>1578728376994277</v>
      </c>
      <c r="C3001" t="s">
        <v>40</v>
      </c>
      <c r="D3001">
        <v>5.1815059999999997</v>
      </c>
      <c r="E3001">
        <v>0.47056019999999998</v>
      </c>
      <c r="F3001" t="s">
        <v>42</v>
      </c>
      <c r="G3001">
        <v>-419.38170000000002</v>
      </c>
      <c r="H3001" s="1">
        <v>-9.7977470000000005E-7</v>
      </c>
      <c r="I3001">
        <v>101.47190000000001</v>
      </c>
      <c r="J3001">
        <v>-420.6567</v>
      </c>
      <c r="K3001">
        <v>1.120706</v>
      </c>
      <c r="L3001">
        <v>118.8565</v>
      </c>
      <c r="M3001">
        <v>-0.12969030000000001</v>
      </c>
      <c r="N3001">
        <v>0</v>
      </c>
      <c r="O3001">
        <v>-0.99142490000000005</v>
      </c>
      <c r="P3001">
        <v>-1.3159179999999999E-3</v>
      </c>
      <c r="Q3001">
        <v>5.475497E-2</v>
      </c>
      <c r="R3001">
        <v>-0.99849909999999997</v>
      </c>
      <c r="S3001">
        <v>0.20828250000000001</v>
      </c>
      <c r="T3001">
        <v>-0.1903687</v>
      </c>
      <c r="U3001">
        <v>-3.0172729999999999</v>
      </c>
      <c r="V3001">
        <v>-0.13099420000000001</v>
      </c>
      <c r="W3001">
        <v>6.5325739999999993E-2</v>
      </c>
      <c r="X3001">
        <v>0.98922849999999996</v>
      </c>
      <c r="Y3001">
        <v>-0.19754959999999999</v>
      </c>
      <c r="Z3001">
        <v>6.1475620000000002E-2</v>
      </c>
      <c r="AA3001">
        <v>0.97836339999999999</v>
      </c>
      <c r="AB3001">
        <v>39</v>
      </c>
      <c r="AC3001">
        <v>1.2749999999999699</v>
      </c>
      <c r="AD3001">
        <v>-1.1207069797747</v>
      </c>
      <c r="AE3001">
        <v>-17.384599999999899</v>
      </c>
      <c r="AF3001">
        <v>-3.50464644814629</v>
      </c>
      <c r="AG3001">
        <v>-1.1207069797747</v>
      </c>
      <c r="AH3001">
        <v>17.0020856617402</v>
      </c>
      <c r="AI3001">
        <v>93.693808276040997</v>
      </c>
      <c r="AJ3001">
        <v>101.64726658972</v>
      </c>
      <c r="AK3001">
        <v>17.3956732468212</v>
      </c>
      <c r="AL3001">
        <v>86.254443500187406</v>
      </c>
      <c r="AM3001">
        <v>97.543253139688602</v>
      </c>
      <c r="AN3001">
        <v>0.99999997897621795</v>
      </c>
    </row>
    <row r="3002" spans="1:40" x14ac:dyDescent="0.3">
      <c r="A3002" t="str">
        <f>"20200111153937025"</f>
        <v>20200111153937025</v>
      </c>
      <c r="B3002" t="str">
        <f>"1578728377013797"</f>
        <v>1578728377013797</v>
      </c>
      <c r="C3002" t="s">
        <v>40</v>
      </c>
      <c r="D3002">
        <v>5.1886340000000004</v>
      </c>
      <c r="E3002">
        <v>0.47113349999999998</v>
      </c>
      <c r="F3002" t="s">
        <v>42</v>
      </c>
      <c r="G3002">
        <v>-419.30149999999998</v>
      </c>
      <c r="H3002" s="1">
        <v>-8.2362130000000002E-7</v>
      </c>
      <c r="I3002">
        <v>101.11150000000001</v>
      </c>
      <c r="J3002">
        <v>-420.69709999999998</v>
      </c>
      <c r="K3002">
        <v>1.1204620000000001</v>
      </c>
      <c r="L3002">
        <v>118.49890000000001</v>
      </c>
      <c r="M3002">
        <v>-0.1161252</v>
      </c>
      <c r="N3002">
        <v>0</v>
      </c>
      <c r="O3002">
        <v>-0.99310620000000005</v>
      </c>
      <c r="P3002">
        <v>7.0627140000000003E-3</v>
      </c>
      <c r="Q3002">
        <v>5.3817129999999998E-2</v>
      </c>
      <c r="R3002">
        <v>-0.99852569999999996</v>
      </c>
      <c r="S3002">
        <v>0.23028560000000001</v>
      </c>
      <c r="T3002">
        <v>-0.19043109999999999</v>
      </c>
      <c r="U3002">
        <v>-3.015244</v>
      </c>
      <c r="V3002">
        <v>-0.1256948</v>
      </c>
      <c r="W3002">
        <v>6.4612489999999995E-2</v>
      </c>
      <c r="X3002">
        <v>0.98996260000000003</v>
      </c>
      <c r="Y3002">
        <v>-0.19129109999999999</v>
      </c>
      <c r="Z3002">
        <v>6.1718450000000001E-2</v>
      </c>
      <c r="AA3002">
        <v>0.97959099999999999</v>
      </c>
      <c r="AB3002">
        <v>39</v>
      </c>
      <c r="AC3002">
        <v>1.3956</v>
      </c>
      <c r="AD3002">
        <v>-1.1204628236212999</v>
      </c>
      <c r="AE3002">
        <v>-17.3874</v>
      </c>
      <c r="AF3002">
        <v>-3.3915348583681699</v>
      </c>
      <c r="AG3002">
        <v>-1.1204628236212999</v>
      </c>
      <c r="AH3002">
        <v>17.037354564510299</v>
      </c>
      <c r="AI3002">
        <v>93.690439051413804</v>
      </c>
      <c r="AJ3002">
        <v>101.25839229197599</v>
      </c>
      <c r="AK3002">
        <v>17.4077395485883</v>
      </c>
      <c r="AL3002">
        <v>86.295396142185197</v>
      </c>
      <c r="AM3002">
        <v>97.236082658540596</v>
      </c>
      <c r="AN3002">
        <v>0.99999995300489897</v>
      </c>
    </row>
    <row r="3003" spans="1:40" x14ac:dyDescent="0.3">
      <c r="A3003" t="str">
        <f>"20200111153937048"</f>
        <v>20200111153937048</v>
      </c>
      <c r="B3003" t="str">
        <f>"1578728377044054"</f>
        <v>1578728377044054</v>
      </c>
      <c r="C3003" t="s">
        <v>40</v>
      </c>
      <c r="D3003">
        <v>5.2584749999999998</v>
      </c>
      <c r="E3003">
        <v>0.47196969999999999</v>
      </c>
      <c r="F3003" t="s">
        <v>42</v>
      </c>
      <c r="G3003">
        <v>-419.2432</v>
      </c>
      <c r="H3003" s="1">
        <v>-7.9901530000000001E-7</v>
      </c>
      <c r="I3003">
        <v>101.03749999999999</v>
      </c>
      <c r="J3003">
        <v>-420.73570000000001</v>
      </c>
      <c r="K3003">
        <v>1.1201559999999999</v>
      </c>
      <c r="L3003">
        <v>118.1067</v>
      </c>
      <c r="M3003">
        <v>-0.10162</v>
      </c>
      <c r="N3003">
        <v>0</v>
      </c>
      <c r="O3003">
        <v>-0.99469649999999998</v>
      </c>
      <c r="P3003">
        <v>1.611551E-2</v>
      </c>
      <c r="Q3003">
        <v>5.2782870000000003E-2</v>
      </c>
      <c r="R3003">
        <v>-0.99847609999999998</v>
      </c>
      <c r="S3003">
        <v>0.25088500000000002</v>
      </c>
      <c r="T3003">
        <v>-0.19334370000000001</v>
      </c>
      <c r="U3003">
        <v>-3.013077</v>
      </c>
      <c r="V3003">
        <v>-0.12013359999999999</v>
      </c>
      <c r="W3003">
        <v>6.3811129999999994E-2</v>
      </c>
      <c r="X3003">
        <v>0.99070480000000005</v>
      </c>
      <c r="Y3003">
        <v>-0.1836641</v>
      </c>
      <c r="Z3003">
        <v>6.2885469999999999E-2</v>
      </c>
      <c r="AA3003">
        <v>0.9809755</v>
      </c>
      <c r="AB3003">
        <v>39</v>
      </c>
      <c r="AC3003">
        <v>1.4924999999999999</v>
      </c>
      <c r="AD3003">
        <v>-1.1201567990153001</v>
      </c>
      <c r="AE3003">
        <v>-17.069199999999999</v>
      </c>
      <c r="AF3003">
        <v>-3.2058612156005699</v>
      </c>
      <c r="AG3003">
        <v>-1.1201567990153001</v>
      </c>
      <c r="AH3003">
        <v>16.757508558005199</v>
      </c>
      <c r="AI3003">
        <v>93.756330003253794</v>
      </c>
      <c r="AJ3003">
        <v>100.83033341998301</v>
      </c>
      <c r="AK3003">
        <v>17.0981399707597</v>
      </c>
      <c r="AL3003">
        <v>86.341405709212594</v>
      </c>
      <c r="AM3003">
        <v>96.913972580527698</v>
      </c>
      <c r="AN3003">
        <v>0.99999997145193797</v>
      </c>
    </row>
    <row r="3004" spans="1:40" x14ac:dyDescent="0.3">
      <c r="A3004" t="str">
        <f>"20200111153937072"</f>
        <v>20200111153937072</v>
      </c>
      <c r="B3004" t="str">
        <f>"1578728377063573"</f>
        <v>1578728377063573</v>
      </c>
      <c r="C3004" t="s">
        <v>40</v>
      </c>
      <c r="D3004">
        <v>5.4451019999999897</v>
      </c>
      <c r="E3004">
        <v>0.47248370000000001</v>
      </c>
      <c r="F3004" t="s">
        <v>42</v>
      </c>
      <c r="G3004">
        <v>-419.2038</v>
      </c>
      <c r="H3004" s="1">
        <v>-8.2047259999999899E-7</v>
      </c>
      <c r="I3004">
        <v>101.0682</v>
      </c>
      <c r="J3004">
        <v>-420.76900000000001</v>
      </c>
      <c r="K3004">
        <v>1.1198140000000001</v>
      </c>
      <c r="L3004">
        <v>117.70950000000001</v>
      </c>
      <c r="M3004">
        <v>-8.7373880000000001E-2</v>
      </c>
      <c r="N3004">
        <v>0</v>
      </c>
      <c r="O3004">
        <v>-0.99605069999999996</v>
      </c>
      <c r="P3004">
        <v>2.5924139999999998E-2</v>
      </c>
      <c r="Q3004">
        <v>5.028871E-2</v>
      </c>
      <c r="R3004">
        <v>-0.99839840000000002</v>
      </c>
      <c r="S3004">
        <v>0.27069090000000001</v>
      </c>
      <c r="T3004">
        <v>-0.19792860000000001</v>
      </c>
      <c r="U3004">
        <v>-3.0106660000000001</v>
      </c>
      <c r="V3004">
        <v>-0.1155417</v>
      </c>
      <c r="W3004">
        <v>6.1508269999999997E-2</v>
      </c>
      <c r="X3004">
        <v>0.99139639999999996</v>
      </c>
      <c r="Y3004">
        <v>-0.1760514</v>
      </c>
      <c r="Z3004">
        <v>6.4581929999999996E-2</v>
      </c>
      <c r="AA3004">
        <v>0.98226020000000003</v>
      </c>
      <c r="AB3004">
        <v>39</v>
      </c>
      <c r="AC3004">
        <v>1.5651999999999999</v>
      </c>
      <c r="AD3004">
        <v>-1.1198148204725999</v>
      </c>
      <c r="AE3004">
        <v>-16.641300000000001</v>
      </c>
      <c r="AF3004">
        <v>-2.99994342109783</v>
      </c>
      <c r="AG3004">
        <v>-1.1198148204725999</v>
      </c>
      <c r="AH3004">
        <v>16.367402679201199</v>
      </c>
      <c r="AI3004">
        <v>93.849990694246998</v>
      </c>
      <c r="AJ3004">
        <v>100.38632764046901</v>
      </c>
      <c r="AK3004">
        <v>16.677695171247802</v>
      </c>
      <c r="AL3004">
        <v>86.473609743092297</v>
      </c>
      <c r="AM3004">
        <v>96.6475137350035</v>
      </c>
      <c r="AN3004">
        <v>0.99999998682512103</v>
      </c>
    </row>
    <row r="3005" spans="1:40" x14ac:dyDescent="0.3">
      <c r="A3005" t="str">
        <f>"20200111153937093"</f>
        <v>20200111153937093</v>
      </c>
      <c r="B3005" t="str">
        <f>"1578728377084069"</f>
        <v>1578728377084069</v>
      </c>
      <c r="C3005" t="s">
        <v>40</v>
      </c>
      <c r="D3005">
        <v>5.2056050000000003</v>
      </c>
      <c r="E3005">
        <v>0.472748</v>
      </c>
      <c r="F3005" t="s">
        <v>42</v>
      </c>
      <c r="G3005">
        <v>-419.1653</v>
      </c>
      <c r="H3005" s="1">
        <v>-9.7886739999999997E-7</v>
      </c>
      <c r="I3005">
        <v>101.3888</v>
      </c>
      <c r="J3005">
        <v>-420.7955</v>
      </c>
      <c r="K3005">
        <v>1.1194390000000001</v>
      </c>
      <c r="L3005">
        <v>117.3304</v>
      </c>
      <c r="M3005">
        <v>-7.4256870000000003E-2</v>
      </c>
      <c r="N3005">
        <v>0</v>
      </c>
      <c r="O3005">
        <v>-0.99711590000000005</v>
      </c>
      <c r="P3005">
        <v>3.4431820000000002E-2</v>
      </c>
      <c r="Q3005">
        <v>4.8408020000000003E-2</v>
      </c>
      <c r="R3005">
        <v>-0.99823419999999896</v>
      </c>
      <c r="S3005">
        <v>0.29553220000000002</v>
      </c>
      <c r="T3005">
        <v>-0.20635529999999999</v>
      </c>
      <c r="U3005">
        <v>-3.0075229999999999</v>
      </c>
      <c r="V3005">
        <v>-0.11081539999999999</v>
      </c>
      <c r="W3005">
        <v>5.9824790000000003E-2</v>
      </c>
      <c r="X3005">
        <v>0.9920388</v>
      </c>
      <c r="Y3005">
        <v>-0.17120839999999901</v>
      </c>
      <c r="Z3005">
        <v>6.7501019999999995E-2</v>
      </c>
      <c r="AA3005">
        <v>0.98291980000000001</v>
      </c>
      <c r="AB3005">
        <v>39</v>
      </c>
      <c r="AC3005">
        <v>1.6302000000000001</v>
      </c>
      <c r="AD3005">
        <v>-1.1194399788674001</v>
      </c>
      <c r="AE3005">
        <v>-15.9415999999999</v>
      </c>
      <c r="AF3005">
        <v>-2.7959726333525898</v>
      </c>
      <c r="AG3005">
        <v>-1.1194399788674001</v>
      </c>
      <c r="AH3005">
        <v>15.6998928439127</v>
      </c>
      <c r="AI3005">
        <v>94.015456451317704</v>
      </c>
      <c r="AJ3005">
        <v>100.09786272570101</v>
      </c>
      <c r="AK3005">
        <v>15.9861578918477</v>
      </c>
      <c r="AL3005">
        <v>86.570244158875596</v>
      </c>
      <c r="AM3005">
        <v>96.373785131018494</v>
      </c>
      <c r="AN3005">
        <v>1.0000000195405701</v>
      </c>
    </row>
    <row r="3006" spans="1:40" x14ac:dyDescent="0.3">
      <c r="A3006" t="str">
        <f>"20200111153937115"</f>
        <v>20200111153937115</v>
      </c>
      <c r="B3006" t="str">
        <f>"1578728377103590"</f>
        <v>1578728377103590</v>
      </c>
      <c r="C3006" t="s">
        <v>40</v>
      </c>
      <c r="D3006">
        <v>5.221673</v>
      </c>
      <c r="E3006">
        <v>0.4846529</v>
      </c>
      <c r="F3006" t="s">
        <v>42</v>
      </c>
      <c r="G3006">
        <v>-419.12</v>
      </c>
      <c r="H3006" s="1">
        <v>-1.0611290000000001E-6</v>
      </c>
      <c r="I3006">
        <v>101.5458</v>
      </c>
      <c r="J3006">
        <v>-420.81639999999999</v>
      </c>
      <c r="K3006">
        <v>1.1190279999999999</v>
      </c>
      <c r="L3006">
        <v>116.9645</v>
      </c>
      <c r="M3006">
        <v>-6.2111319999999998E-2</v>
      </c>
      <c r="N3006">
        <v>0</v>
      </c>
      <c r="O3006">
        <v>-0.99794780000000005</v>
      </c>
      <c r="P3006">
        <v>4.2661959999999999E-2</v>
      </c>
      <c r="Q3006">
        <v>4.7976789999999998E-2</v>
      </c>
      <c r="R3006">
        <v>-0.99793730000000003</v>
      </c>
      <c r="S3006">
        <v>0.31893919999999998</v>
      </c>
      <c r="T3006">
        <v>-0.21308849999999999</v>
      </c>
      <c r="U3006">
        <v>-3.0046390000000001</v>
      </c>
      <c r="V3006">
        <v>-0.1068365</v>
      </c>
      <c r="W3006">
        <v>5.9560620000000002E-2</v>
      </c>
      <c r="X3006">
        <v>0.99249109999999996</v>
      </c>
      <c r="Y3006">
        <v>-0.1668645</v>
      </c>
      <c r="Z3006">
        <v>6.9845770000000001E-2</v>
      </c>
      <c r="AA3006">
        <v>0.98350280000000001</v>
      </c>
      <c r="AB3006">
        <v>39</v>
      </c>
      <c r="AC3006">
        <v>1.6963999999999799</v>
      </c>
      <c r="AD3006">
        <v>-1.1190290611289999</v>
      </c>
      <c r="AE3006">
        <v>-15.418699999999999</v>
      </c>
      <c r="AF3006">
        <v>-2.6371910183282301</v>
      </c>
      <c r="AG3006">
        <v>-1.1190290611289999</v>
      </c>
      <c r="AH3006">
        <v>15.2044161403029</v>
      </c>
      <c r="AI3006">
        <v>94.147613501052007</v>
      </c>
      <c r="AJ3006">
        <v>99.839998637304802</v>
      </c>
      <c r="AK3006">
        <v>15.4719511592528</v>
      </c>
      <c r="AL3006">
        <v>86.585407108035795</v>
      </c>
      <c r="AM3006">
        <v>96.143934522298196</v>
      </c>
      <c r="AN3006">
        <v>1.0000000443831201</v>
      </c>
    </row>
    <row r="3007" spans="1:40" x14ac:dyDescent="0.3">
      <c r="A3007" t="str">
        <f>"20200111153937160"</f>
        <v>20200111153937160</v>
      </c>
      <c r="B3007" t="str">
        <f>"1578728377153365"</f>
        <v>1578728377153365</v>
      </c>
      <c r="C3007" t="s">
        <v>40</v>
      </c>
      <c r="D3007">
        <v>5.1970510000000001</v>
      </c>
      <c r="E3007">
        <v>0.48689470000000001</v>
      </c>
      <c r="F3007" t="s">
        <v>42</v>
      </c>
      <c r="G3007">
        <v>-419.41399999999999</v>
      </c>
      <c r="H3007" s="1">
        <v>-2.7964329999999999E-7</v>
      </c>
      <c r="I3007">
        <v>99.966660000000005</v>
      </c>
      <c r="J3007">
        <v>-420.84550000000002</v>
      </c>
      <c r="K3007">
        <v>1.118052</v>
      </c>
      <c r="L3007">
        <v>116.1969</v>
      </c>
      <c r="M3007">
        <v>-3.8458939999999997E-2</v>
      </c>
      <c r="N3007">
        <v>0</v>
      </c>
      <c r="O3007">
        <v>-0.99914210000000003</v>
      </c>
      <c r="P3007">
        <v>5.8206210000000001E-2</v>
      </c>
      <c r="Q3007">
        <v>4.8383959999999997E-2</v>
      </c>
      <c r="R3007">
        <v>-0.99713169999999995</v>
      </c>
      <c r="S3007">
        <v>0.2479248</v>
      </c>
      <c r="T3007">
        <v>-0.19783800000000001</v>
      </c>
      <c r="U3007">
        <v>-3.0051269999999999</v>
      </c>
      <c r="V3007">
        <v>-9.8645490000000002E-2</v>
      </c>
      <c r="W3007">
        <v>6.030696E-2</v>
      </c>
      <c r="X3007">
        <v>0.9932936</v>
      </c>
      <c r="Y3007">
        <v>-0.12031790000000001</v>
      </c>
      <c r="Z3007">
        <v>6.5269279999999999E-2</v>
      </c>
      <c r="AA3007">
        <v>0.99058749999999995</v>
      </c>
      <c r="AB3007">
        <v>39</v>
      </c>
      <c r="AC3007">
        <v>1.43150000000002</v>
      </c>
      <c r="AD3007">
        <v>-1.1180522796432999</v>
      </c>
      <c r="AE3007">
        <v>-16.230239999999899</v>
      </c>
      <c r="AF3007">
        <v>-2.0450823307644201</v>
      </c>
      <c r="AG3007">
        <v>-1.1180522796432999</v>
      </c>
      <c r="AH3007">
        <v>16.087417054195701</v>
      </c>
      <c r="AI3007">
        <v>93.943942974692803</v>
      </c>
      <c r="AJ3007">
        <v>97.244758111951896</v>
      </c>
      <c r="AK3007">
        <v>16.255380343604699</v>
      </c>
      <c r="AL3007">
        <v>86.542567879268603</v>
      </c>
      <c r="AM3007">
        <v>95.671533634564</v>
      </c>
      <c r="AN3007">
        <v>1.00000001896137</v>
      </c>
    </row>
    <row r="3008" spans="1:40" x14ac:dyDescent="0.3">
      <c r="A3008" t="str">
        <f>"20200111153937182"</f>
        <v>20200111153937182</v>
      </c>
      <c r="B3008" t="str">
        <f>"1578728377173861"</f>
        <v>1578728377173861</v>
      </c>
      <c r="C3008" t="s">
        <v>40</v>
      </c>
      <c r="D3008">
        <v>5.2695160000000003</v>
      </c>
      <c r="E3008">
        <v>0.48826019999999998</v>
      </c>
      <c r="F3008" t="s">
        <v>42</v>
      </c>
      <c r="G3008">
        <v>-419.27069999999998</v>
      </c>
      <c r="H3008" s="1">
        <v>-4.1886029999999999E-6</v>
      </c>
      <c r="I3008">
        <v>99.094970000000004</v>
      </c>
      <c r="J3008">
        <v>-420.85359999999997</v>
      </c>
      <c r="K3008">
        <v>1.117545</v>
      </c>
      <c r="L3008">
        <v>115.8057</v>
      </c>
      <c r="M3008">
        <v>-2.7267690000000001E-2</v>
      </c>
      <c r="N3008">
        <v>0</v>
      </c>
      <c r="O3008">
        <v>-0.9995115</v>
      </c>
      <c r="P3008">
        <v>6.4632300000000004E-2</v>
      </c>
      <c r="Q3008">
        <v>4.7859440000000003E-2</v>
      </c>
      <c r="R3008">
        <v>-0.99676070000000005</v>
      </c>
      <c r="S3008">
        <v>0.27642820000000001</v>
      </c>
      <c r="T3008">
        <v>-0.1962602</v>
      </c>
      <c r="U3008">
        <v>-3.002014</v>
      </c>
      <c r="V3008">
        <v>-9.3823630000000005E-2</v>
      </c>
      <c r="W3008">
        <v>5.9972820000000003E-2</v>
      </c>
      <c r="X3008">
        <v>0.99378089999999997</v>
      </c>
      <c r="Y3008">
        <v>-0.118621699999999</v>
      </c>
      <c r="Z3008">
        <v>6.4833580000000002E-2</v>
      </c>
      <c r="AA3008">
        <v>0.99082060000000005</v>
      </c>
      <c r="AB3008">
        <v>39</v>
      </c>
      <c r="AC3008">
        <v>1.58289999999999</v>
      </c>
      <c r="AD3008">
        <v>-1.117549188603</v>
      </c>
      <c r="AE3008">
        <v>-16.710730000000002</v>
      </c>
      <c r="AF3008">
        <v>-2.02903345360067</v>
      </c>
      <c r="AG3008">
        <v>-1.117549188603</v>
      </c>
      <c r="AH3008">
        <v>16.5878199533716</v>
      </c>
      <c r="AI3008">
        <v>93.825858112515206</v>
      </c>
      <c r="AJ3008">
        <v>96.973814987456294</v>
      </c>
      <c r="AK3008">
        <v>16.748780963110399</v>
      </c>
      <c r="AL3008">
        <v>86.561747495943294</v>
      </c>
      <c r="AM3008">
        <v>95.393352788870601</v>
      </c>
      <c r="AN3008">
        <v>1.00000004494496</v>
      </c>
    </row>
    <row r="3009" spans="1:40" x14ac:dyDescent="0.3">
      <c r="A3009" t="str">
        <f>"20200111153937204"</f>
        <v>20200111153937204</v>
      </c>
      <c r="B3009" t="str">
        <f>"1578728377193381"</f>
        <v>1578728377193381</v>
      </c>
      <c r="C3009" t="s">
        <v>40</v>
      </c>
      <c r="D3009">
        <v>5.2716180000000001</v>
      </c>
      <c r="E3009">
        <v>0.48946770000000001</v>
      </c>
      <c r="F3009" t="s">
        <v>42</v>
      </c>
      <c r="G3009">
        <v>-419.22840000000002</v>
      </c>
      <c r="H3009" s="1">
        <v>-4.0237010000000004E-6</v>
      </c>
      <c r="I3009">
        <v>98.693079999999995</v>
      </c>
      <c r="J3009">
        <v>-420.85739999999998</v>
      </c>
      <c r="K3009">
        <v>1.117062</v>
      </c>
      <c r="L3009">
        <v>115.4329</v>
      </c>
      <c r="M3009">
        <v>-1.714852E-2</v>
      </c>
      <c r="N3009">
        <v>0</v>
      </c>
      <c r="O3009">
        <v>-0.99973789999999996</v>
      </c>
      <c r="P3009">
        <v>6.9672880000000006E-2</v>
      </c>
      <c r="Q3009">
        <v>4.8267119999999997E-2</v>
      </c>
      <c r="R3009">
        <v>-0.99640150000000005</v>
      </c>
      <c r="S3009">
        <v>0.28497309999999998</v>
      </c>
      <c r="T3009">
        <v>-0.19596150000000001</v>
      </c>
      <c r="U3009">
        <v>-3.0006870000000001</v>
      </c>
      <c r="V3009">
        <v>-8.8721759999999997E-2</v>
      </c>
      <c r="W3009">
        <v>6.0573969999999998E-2</v>
      </c>
      <c r="X3009">
        <v>0.99421289999999996</v>
      </c>
      <c r="Y3009">
        <v>-0.1114048</v>
      </c>
      <c r="Z3009">
        <v>6.4804319999999999E-2</v>
      </c>
      <c r="AA3009">
        <v>0.99165990000000004</v>
      </c>
      <c r="AB3009">
        <v>39</v>
      </c>
      <c r="AC3009">
        <v>1.62899999999996</v>
      </c>
      <c r="AD3009">
        <v>-1.1170660237009999</v>
      </c>
      <c r="AE3009">
        <v>-16.739819999999899</v>
      </c>
      <c r="AF3009">
        <v>-1.9074423437189001</v>
      </c>
      <c r="AG3009">
        <v>-1.1170660237009999</v>
      </c>
      <c r="AH3009">
        <v>16.636033852423399</v>
      </c>
      <c r="AI3009">
        <v>93.816564419735698</v>
      </c>
      <c r="AJ3009">
        <v>96.540815377345695</v>
      </c>
      <c r="AK3009">
        <v>16.7822464269506</v>
      </c>
      <c r="AL3009">
        <v>86.527241329353402</v>
      </c>
      <c r="AM3009">
        <v>95.099463854262098</v>
      </c>
      <c r="AN3009">
        <v>1.00000002353273</v>
      </c>
    </row>
    <row r="3010" spans="1:40" x14ac:dyDescent="0.3">
      <c r="A3010" t="str">
        <f>"20200111153937227"</f>
        <v>20200111153937227</v>
      </c>
      <c r="B3010" t="str">
        <f>"1578728377223637"</f>
        <v>1578728377223637</v>
      </c>
      <c r="C3010" t="s">
        <v>40</v>
      </c>
      <c r="D3010">
        <v>5.2770279999999996</v>
      </c>
      <c r="E3010">
        <v>0.49112610000000001</v>
      </c>
      <c r="F3010" t="s">
        <v>42</v>
      </c>
      <c r="G3010">
        <v>-419.17290000000003</v>
      </c>
      <c r="H3010" s="1">
        <v>-3.7586759999999999E-6</v>
      </c>
      <c r="I3010">
        <v>98.052350000000004</v>
      </c>
      <c r="J3010">
        <v>-420.85750000000002</v>
      </c>
      <c r="K3010">
        <v>1.1165020000000001</v>
      </c>
      <c r="L3010">
        <v>115.05119999999999</v>
      </c>
      <c r="M3010">
        <v>-7.4554460000000001E-3</v>
      </c>
      <c r="N3010">
        <v>0</v>
      </c>
      <c r="O3010">
        <v>-0.99985849999999998</v>
      </c>
      <c r="P3010">
        <v>7.4638369999999996E-2</v>
      </c>
      <c r="Q3010">
        <v>4.7828799999999998E-2</v>
      </c>
      <c r="R3010">
        <v>-0.99606320000000004</v>
      </c>
      <c r="S3010">
        <v>0.29074100000000003</v>
      </c>
      <c r="T3010">
        <v>-0.192802</v>
      </c>
      <c r="U3010">
        <v>-2.9998320000000001</v>
      </c>
      <c r="V3010">
        <v>-8.3932930000000003E-2</v>
      </c>
      <c r="W3010">
        <v>6.0317419999999997E-2</v>
      </c>
      <c r="X3010">
        <v>0.99464419999999998</v>
      </c>
      <c r="Y3010">
        <v>-0.1036892</v>
      </c>
      <c r="Z3010">
        <v>6.3814159999999995E-2</v>
      </c>
      <c r="AA3010">
        <v>0.99256040000000001</v>
      </c>
      <c r="AB3010">
        <v>39</v>
      </c>
      <c r="AC3010">
        <v>1.6845999999999799</v>
      </c>
      <c r="AD3010">
        <v>-1.1165057586759899</v>
      </c>
      <c r="AE3010">
        <v>-16.998849999999901</v>
      </c>
      <c r="AF3010">
        <v>-1.80359649833181</v>
      </c>
      <c r="AG3010">
        <v>-1.1165057586759899</v>
      </c>
      <c r="AH3010">
        <v>16.913560651608101</v>
      </c>
      <c r="AI3010">
        <v>93.755525114608204</v>
      </c>
      <c r="AJ3010">
        <v>96.0867976932944</v>
      </c>
      <c r="AK3010">
        <v>17.0460575897648</v>
      </c>
      <c r="AL3010">
        <v>86.541967428391999</v>
      </c>
      <c r="AM3010">
        <v>94.823470053279195</v>
      </c>
      <c r="AN3010">
        <v>1.00000000624374</v>
      </c>
    </row>
    <row r="3011" spans="1:40" x14ac:dyDescent="0.3">
      <c r="A3011" t="str">
        <f>"20200111153937249"</f>
        <v>20200111153937249</v>
      </c>
      <c r="B3011" t="str">
        <f>"1578728377244135"</f>
        <v>1578728377244135</v>
      </c>
      <c r="C3011" t="s">
        <v>40</v>
      </c>
      <c r="D3011">
        <v>5.2900199999999904</v>
      </c>
      <c r="E3011">
        <v>0.49192629999999998</v>
      </c>
      <c r="F3011" t="s">
        <v>42</v>
      </c>
      <c r="G3011">
        <v>-419.16210000000001</v>
      </c>
      <c r="H3011" s="1">
        <v>-3.6081429999999999E-6</v>
      </c>
      <c r="I3011">
        <v>97.696979999999996</v>
      </c>
      <c r="J3011">
        <v>-420.85410000000002</v>
      </c>
      <c r="K3011">
        <v>1.1158570000000001</v>
      </c>
      <c r="L3011">
        <v>114.6656</v>
      </c>
      <c r="M3011">
        <v>1.606672E-3</v>
      </c>
      <c r="N3011">
        <v>0</v>
      </c>
      <c r="O3011">
        <v>-0.99988650000000001</v>
      </c>
      <c r="P3011">
        <v>7.9881279999999999E-2</v>
      </c>
      <c r="Q3011">
        <v>4.5947590000000003E-2</v>
      </c>
      <c r="R3011">
        <v>-0.99574499999999999</v>
      </c>
      <c r="S3011">
        <v>0.29299930000000002</v>
      </c>
      <c r="T3011">
        <v>-0.19295390000000001</v>
      </c>
      <c r="U3011">
        <v>-2.9991460000000001</v>
      </c>
      <c r="V3011">
        <v>-7.9997819999999997E-2</v>
      </c>
      <c r="W3011">
        <v>5.8588139999999997E-2</v>
      </c>
      <c r="X3011">
        <v>0.99507179999999995</v>
      </c>
      <c r="Y3011">
        <v>-9.5433260000000006E-2</v>
      </c>
      <c r="Z3011">
        <v>6.3905439999999994E-2</v>
      </c>
      <c r="AA3011">
        <v>0.9933824</v>
      </c>
      <c r="AB3011">
        <v>39</v>
      </c>
      <c r="AC3011">
        <v>1.6919999999999999</v>
      </c>
      <c r="AD3011">
        <v>-1.11586060814299</v>
      </c>
      <c r="AE3011">
        <v>-16.968619999999898</v>
      </c>
      <c r="AF3011">
        <v>-1.6576340316506899</v>
      </c>
      <c r="AG3011">
        <v>-1.11586060814299</v>
      </c>
      <c r="AH3011">
        <v>16.898958311685899</v>
      </c>
      <c r="AI3011">
        <v>93.759839162773801</v>
      </c>
      <c r="AJ3011">
        <v>95.6022724288174</v>
      </c>
      <c r="AK3011">
        <v>17.016688499816599</v>
      </c>
      <c r="AL3011">
        <v>86.641223619434797</v>
      </c>
      <c r="AM3011">
        <v>94.596352548343205</v>
      </c>
      <c r="AN3011">
        <v>1.0000000542543199</v>
      </c>
    </row>
    <row r="3012" spans="1:40" x14ac:dyDescent="0.3">
      <c r="A3012" t="str">
        <f>"20200111153937272"</f>
        <v>20200111153937272</v>
      </c>
      <c r="B3012" t="str">
        <f>"1578728377263653"</f>
        <v>1578728377263653</v>
      </c>
      <c r="C3012" t="s">
        <v>40</v>
      </c>
      <c r="D3012">
        <v>5.3294790000000001</v>
      </c>
      <c r="E3012">
        <v>0.49268479999999998</v>
      </c>
      <c r="F3012" t="s">
        <v>42</v>
      </c>
      <c r="G3012">
        <v>-419.16980000000001</v>
      </c>
      <c r="H3012" s="1">
        <v>-3.6833540000000002E-6</v>
      </c>
      <c r="I3012">
        <v>97.875500000000002</v>
      </c>
      <c r="J3012">
        <v>-420.84710000000001</v>
      </c>
      <c r="K3012">
        <v>1.1151329999999999</v>
      </c>
      <c r="L3012">
        <v>114.2646</v>
      </c>
      <c r="M3012">
        <v>1.02538E-2</v>
      </c>
      <c r="N3012">
        <v>0</v>
      </c>
      <c r="O3012">
        <v>-0.99983670000000002</v>
      </c>
      <c r="P3012">
        <v>8.5198549999999998E-2</v>
      </c>
      <c r="Q3012">
        <v>4.4868690000000003E-2</v>
      </c>
      <c r="R3012">
        <v>-0.99535320000000005</v>
      </c>
      <c r="S3012">
        <v>0.30072019999999999</v>
      </c>
      <c r="T3012">
        <v>-0.19923779999999999</v>
      </c>
      <c r="U3012">
        <v>-2.9978940000000001</v>
      </c>
      <c r="V3012">
        <v>-7.6563870000000006E-2</v>
      </c>
      <c r="W3012">
        <v>5.7647980000000001E-2</v>
      </c>
      <c r="X3012">
        <v>0.99539670000000002</v>
      </c>
      <c r="Y3012">
        <v>-8.9382959999999997E-2</v>
      </c>
      <c r="Z3012">
        <v>6.601013E-2</v>
      </c>
      <c r="AA3012">
        <v>0.99380749999999995</v>
      </c>
      <c r="AB3012">
        <v>39</v>
      </c>
      <c r="AC3012">
        <v>1.6773</v>
      </c>
      <c r="AD3012">
        <v>-1.115136683354</v>
      </c>
      <c r="AE3012">
        <v>-16.389099999999999</v>
      </c>
      <c r="AF3012">
        <v>-1.50225982733235</v>
      </c>
      <c r="AG3012">
        <v>-1.115136683354</v>
      </c>
      <c r="AH3012">
        <v>16.330617816269999</v>
      </c>
      <c r="AI3012">
        <v>93.890006137529099</v>
      </c>
      <c r="AJ3012">
        <v>95.255868690510695</v>
      </c>
      <c r="AK3012">
        <v>16.437438750378799</v>
      </c>
      <c r="AL3012">
        <v>86.695181688815396</v>
      </c>
      <c r="AM3012">
        <v>94.398413125730499</v>
      </c>
      <c r="AN3012">
        <v>0.999999953079172</v>
      </c>
    </row>
    <row r="3013" spans="1:40" x14ac:dyDescent="0.3">
      <c r="A3013" t="str">
        <f>"20200111153937294"</f>
        <v>20200111153937294</v>
      </c>
      <c r="B3013" t="str">
        <f>"1578728377284150"</f>
        <v>1578728377284150</v>
      </c>
      <c r="C3013" t="s">
        <v>40</v>
      </c>
      <c r="D3013">
        <v>5.310162</v>
      </c>
      <c r="E3013">
        <v>0.49349680000000001</v>
      </c>
      <c r="F3013" t="s">
        <v>42</v>
      </c>
      <c r="G3013">
        <v>-419.14690000000002</v>
      </c>
      <c r="H3013" s="1">
        <v>-3.6456170000000001E-6</v>
      </c>
      <c r="I3013">
        <v>97.778040000000004</v>
      </c>
      <c r="J3013">
        <v>-420.83780000000002</v>
      </c>
      <c r="K3013">
        <v>1.1144130000000001</v>
      </c>
      <c r="L3013">
        <v>113.8912</v>
      </c>
      <c r="M3013">
        <v>1.7571839999999998E-2</v>
      </c>
      <c r="N3013">
        <v>0</v>
      </c>
      <c r="O3013">
        <v>-0.99973650000000003</v>
      </c>
      <c r="P3013">
        <v>8.8879739999999999E-2</v>
      </c>
      <c r="Q3013">
        <v>4.6013360000000003E-2</v>
      </c>
      <c r="R3013">
        <v>-0.99497910000000001</v>
      </c>
      <c r="S3013">
        <v>0.30905149999999998</v>
      </c>
      <c r="T3013">
        <v>-0.20269390000000001</v>
      </c>
      <c r="U3013">
        <v>-2.9967039999999998</v>
      </c>
      <c r="V3013">
        <v>-7.2878929999999995E-2</v>
      </c>
      <c r="W3013">
        <v>5.8933720000000002E-2</v>
      </c>
      <c r="X3013">
        <v>0.99559810000000004</v>
      </c>
      <c r="Y3013">
        <v>-8.485782E-2</v>
      </c>
      <c r="Z3013">
        <v>6.7170190000000005E-2</v>
      </c>
      <c r="AA3013">
        <v>0.99412639999999997</v>
      </c>
      <c r="AB3013">
        <v>39</v>
      </c>
      <c r="AC3013">
        <v>1.6908999999999901</v>
      </c>
      <c r="AD3013">
        <v>-1.1144166456169999</v>
      </c>
      <c r="AE3013">
        <v>-16.113159999999901</v>
      </c>
      <c r="AF3013">
        <v>-1.4008423569058299</v>
      </c>
      <c r="AG3013">
        <v>-1.1144166456169999</v>
      </c>
      <c r="AH3013">
        <v>16.064382242813998</v>
      </c>
      <c r="AI3013">
        <v>93.953404296551597</v>
      </c>
      <c r="AJ3013">
        <v>94.983685930881194</v>
      </c>
      <c r="AK3013">
        <v>16.163807119987801</v>
      </c>
      <c r="AL3013">
        <v>86.621389055589205</v>
      </c>
      <c r="AM3013">
        <v>94.186649916783907</v>
      </c>
      <c r="AN3013">
        <v>1.00000004925729</v>
      </c>
    </row>
    <row r="3014" spans="1:40" x14ac:dyDescent="0.3">
      <c r="A3014" t="str">
        <f>"20200111153937316"</f>
        <v>20200111153937316</v>
      </c>
      <c r="B3014" t="str">
        <f>"1578728377303670"</f>
        <v>1578728377303670</v>
      </c>
      <c r="C3014" t="s">
        <v>40</v>
      </c>
      <c r="D3014">
        <v>5.3444459999999996</v>
      </c>
      <c r="E3014">
        <v>0.50387689999999996</v>
      </c>
      <c r="F3014" t="s">
        <v>42</v>
      </c>
      <c r="G3014">
        <v>-419.08690000000001</v>
      </c>
      <c r="H3014" s="1">
        <v>-3.3729029999999998E-6</v>
      </c>
      <c r="I3014">
        <v>97.117549999999994</v>
      </c>
      <c r="J3014">
        <v>-420.82650000000001</v>
      </c>
      <c r="K3014">
        <v>1.1136969999999999</v>
      </c>
      <c r="L3014">
        <v>113.5277</v>
      </c>
      <c r="M3014">
        <v>2.3984149999999999E-2</v>
      </c>
      <c r="N3014">
        <v>0</v>
      </c>
      <c r="O3014">
        <v>-0.99960420000000005</v>
      </c>
      <c r="P3014">
        <v>9.2399549999999997E-2</v>
      </c>
      <c r="Q3014">
        <v>4.7101980000000002E-2</v>
      </c>
      <c r="R3014">
        <v>-0.99460740000000003</v>
      </c>
      <c r="S3014">
        <v>0.31277470000000002</v>
      </c>
      <c r="T3014">
        <v>-0.19907759999999999</v>
      </c>
      <c r="U3014">
        <v>-2.9964140000000001</v>
      </c>
      <c r="V3014">
        <v>-6.9929259999999993E-2</v>
      </c>
      <c r="W3014">
        <v>6.0139409999999997E-2</v>
      </c>
      <c r="X3014">
        <v>0.99573750000000005</v>
      </c>
      <c r="Y3014">
        <v>-7.9705719999999994E-2</v>
      </c>
      <c r="Z3014">
        <v>6.5980079999999997E-2</v>
      </c>
      <c r="AA3014">
        <v>0.99463239999999997</v>
      </c>
      <c r="AB3014">
        <v>39</v>
      </c>
      <c r="AC3014">
        <v>1.73959999999999</v>
      </c>
      <c r="AD3014">
        <v>-1.1137003729029999</v>
      </c>
      <c r="AE3014">
        <v>-16.410150000000002</v>
      </c>
      <c r="AF3014">
        <v>-1.3393730002420801</v>
      </c>
      <c r="AG3014">
        <v>-1.1137003729029999</v>
      </c>
      <c r="AH3014">
        <v>16.372583781643598</v>
      </c>
      <c r="AI3014">
        <v>93.878478321365506</v>
      </c>
      <c r="AJ3014">
        <v>94.6767155341267</v>
      </c>
      <c r="AK3014">
        <v>16.4649855220501</v>
      </c>
      <c r="AL3014">
        <v>86.552185210323699</v>
      </c>
      <c r="AM3014">
        <v>94.017207220443595</v>
      </c>
      <c r="AN3014">
        <v>1.0000000094727699</v>
      </c>
    </row>
    <row r="3015" spans="1:40" x14ac:dyDescent="0.3">
      <c r="A3015" t="str">
        <f>"20200111153937338"</f>
        <v>20200111153937338</v>
      </c>
      <c r="B3015" t="str">
        <f>"1578728377333925"</f>
        <v>1578728377333925</v>
      </c>
      <c r="C3015" t="s">
        <v>40</v>
      </c>
      <c r="D3015">
        <v>5.2919859999999996</v>
      </c>
      <c r="E3015">
        <v>0.50457529999999995</v>
      </c>
      <c r="F3015" t="s">
        <v>42</v>
      </c>
      <c r="G3015">
        <v>-419.43950000000001</v>
      </c>
      <c r="H3015" s="1">
        <v>-2.9066269999999902E-6</v>
      </c>
      <c r="I3015">
        <v>96.176439999999999</v>
      </c>
      <c r="J3015">
        <v>-420.81169999999997</v>
      </c>
      <c r="K3015">
        <v>1.112922</v>
      </c>
      <c r="L3015">
        <v>113.1347</v>
      </c>
      <c r="M3015">
        <v>3.0161179999999999E-2</v>
      </c>
      <c r="N3015">
        <v>0</v>
      </c>
      <c r="O3015">
        <v>-0.9994383</v>
      </c>
      <c r="P3015">
        <v>9.6698190000000003E-2</v>
      </c>
      <c r="Q3015">
        <v>4.6531250000000003E-2</v>
      </c>
      <c r="R3015">
        <v>-0.99422569999999999</v>
      </c>
      <c r="S3015">
        <v>0.2400513</v>
      </c>
      <c r="T3015">
        <v>-0.1927558</v>
      </c>
      <c r="U3015">
        <v>-3.003098</v>
      </c>
      <c r="V3015">
        <v>-6.7944969999999993E-2</v>
      </c>
      <c r="W3015">
        <v>5.9662479999999997E-2</v>
      </c>
      <c r="X3015">
        <v>0.9959036</v>
      </c>
      <c r="Y3015">
        <v>-4.9412930000000001E-2</v>
      </c>
      <c r="Z3015">
        <v>6.3869690000000007E-2</v>
      </c>
      <c r="AA3015">
        <v>0.99673420000000001</v>
      </c>
      <c r="AB3015">
        <v>39</v>
      </c>
      <c r="AC3015">
        <v>1.3721999999999599</v>
      </c>
      <c r="AD3015">
        <v>-1.1129249066269999</v>
      </c>
      <c r="AE3015">
        <v>-16.9582599999999</v>
      </c>
      <c r="AF3015">
        <v>-0.85637550041108501</v>
      </c>
      <c r="AG3015">
        <v>-1.1129249066269999</v>
      </c>
      <c r="AH3015">
        <v>16.919537281109999</v>
      </c>
      <c r="AI3015">
        <v>93.758554419625</v>
      </c>
      <c r="AJ3015">
        <v>92.897529939875298</v>
      </c>
      <c r="AK3015">
        <v>16.977712527085799</v>
      </c>
      <c r="AL3015">
        <v>86.579560600993304</v>
      </c>
      <c r="AM3015">
        <v>93.902924748860997</v>
      </c>
      <c r="AN3015">
        <v>1.0000000554805</v>
      </c>
    </row>
    <row r="3016" spans="1:40" x14ac:dyDescent="0.3">
      <c r="A3016" t="str">
        <f>"20200111153937361"</f>
        <v>20200111153937361</v>
      </c>
      <c r="B3016" t="str">
        <f>"1578728377353445"</f>
        <v>1578728377353445</v>
      </c>
      <c r="C3016" t="s">
        <v>40</v>
      </c>
      <c r="D3016">
        <v>5.3408569999999997</v>
      </c>
      <c r="E3016">
        <v>0.50528869999999904</v>
      </c>
      <c r="F3016" t="s">
        <v>42</v>
      </c>
      <c r="G3016">
        <v>-419.39139999999998</v>
      </c>
      <c r="H3016" s="1">
        <v>-2.7756830000000001E-6</v>
      </c>
      <c r="I3016">
        <v>95.851320000000001</v>
      </c>
      <c r="J3016">
        <v>-420.7953</v>
      </c>
      <c r="K3016">
        <v>1.112196</v>
      </c>
      <c r="L3016">
        <v>112.748</v>
      </c>
      <c r="M3016">
        <v>3.56215E-2</v>
      </c>
      <c r="N3016">
        <v>0</v>
      </c>
      <c r="O3016">
        <v>-0.99925969999999997</v>
      </c>
      <c r="P3016">
        <v>0.10169110000000001</v>
      </c>
      <c r="Q3016">
        <v>4.5757630000000001E-2</v>
      </c>
      <c r="R3016">
        <v>-0.99376339999999996</v>
      </c>
      <c r="S3016">
        <v>0.2467346</v>
      </c>
      <c r="T3016">
        <v>-0.19333710000000001</v>
      </c>
      <c r="U3016">
        <v>-3.002472</v>
      </c>
      <c r="V3016">
        <v>-6.7377960000000001E-2</v>
      </c>
      <c r="W3016">
        <v>5.8944200000000002E-2</v>
      </c>
      <c r="X3016">
        <v>0.99598489999999995</v>
      </c>
      <c r="Y3016">
        <v>-4.6175239999999999E-2</v>
      </c>
      <c r="Z3016">
        <v>6.4056749999999996E-2</v>
      </c>
      <c r="AA3016">
        <v>0.99687740000000002</v>
      </c>
      <c r="AB3016">
        <v>39</v>
      </c>
      <c r="AC3016">
        <v>1.4039000000000199</v>
      </c>
      <c r="AD3016">
        <v>-1.1121987756830001</v>
      </c>
      <c r="AE3016">
        <v>-16.8966799999999</v>
      </c>
      <c r="AF3016">
        <v>-0.79762797105799199</v>
      </c>
      <c r="AG3016">
        <v>-1.1121987756830001</v>
      </c>
      <c r="AH3016">
        <v>16.8634049009096</v>
      </c>
      <c r="AI3016">
        <v>93.769184451412002</v>
      </c>
      <c r="AJ3016">
        <v>92.708034429289697</v>
      </c>
      <c r="AK3016">
        <v>16.918854019964499</v>
      </c>
      <c r="AL3016">
        <v>86.620787602152106</v>
      </c>
      <c r="AM3016">
        <v>93.870138745418203</v>
      </c>
      <c r="AN3016">
        <v>1.0000000646177001</v>
      </c>
    </row>
    <row r="3017" spans="1:40" x14ac:dyDescent="0.3">
      <c r="A3017" t="str">
        <f>"20200111153937383"</f>
        <v>20200111153937383</v>
      </c>
      <c r="B3017" t="str">
        <f>"1578728377373944"</f>
        <v>1578728377373944</v>
      </c>
      <c r="C3017" t="s">
        <v>40</v>
      </c>
      <c r="D3017">
        <v>5.4074980000000004</v>
      </c>
      <c r="E3017">
        <v>0.50628019999999996</v>
      </c>
      <c r="F3017" t="s">
        <v>42</v>
      </c>
      <c r="G3017">
        <v>-419.3503</v>
      </c>
      <c r="H3017" s="1">
        <v>-2.7332540000000002E-6</v>
      </c>
      <c r="I3017">
        <v>95.735399999999998</v>
      </c>
      <c r="J3017">
        <v>-420.77710000000002</v>
      </c>
      <c r="K3017">
        <v>1.1114999999999999</v>
      </c>
      <c r="L3017">
        <v>112.3601</v>
      </c>
      <c r="M3017">
        <v>4.0500220000000003E-2</v>
      </c>
      <c r="N3017">
        <v>0</v>
      </c>
      <c r="O3017">
        <v>-0.99907489999999999</v>
      </c>
      <c r="P3017">
        <v>0.10513939999999999</v>
      </c>
      <c r="Q3017">
        <v>4.419273E-2</v>
      </c>
      <c r="R3017">
        <v>-0.9934752</v>
      </c>
      <c r="S3017">
        <v>0.25497439999999999</v>
      </c>
      <c r="T3017">
        <v>-0.19623940000000001</v>
      </c>
      <c r="U3017">
        <v>-3.0017550000000002</v>
      </c>
      <c r="V3017">
        <v>-6.5836329999999998E-2</v>
      </c>
      <c r="W3017">
        <v>5.7450420000000002E-2</v>
      </c>
      <c r="X3017">
        <v>0.99617520000000004</v>
      </c>
      <c r="Y3017">
        <v>-4.4029279999999997E-2</v>
      </c>
      <c r="Z3017">
        <v>6.5007369999999995E-2</v>
      </c>
      <c r="AA3017">
        <v>0.99691300000000005</v>
      </c>
      <c r="AB3017">
        <v>39</v>
      </c>
      <c r="AC3017">
        <v>1.4268000000000101</v>
      </c>
      <c r="AD3017">
        <v>-1.111502733254</v>
      </c>
      <c r="AE3017">
        <v>-16.624700000000001</v>
      </c>
      <c r="AF3017">
        <v>-0.74893141295924603</v>
      </c>
      <c r="AG3017">
        <v>-1.111502733254</v>
      </c>
      <c r="AH3017">
        <v>16.5952096390035</v>
      </c>
      <c r="AI3017">
        <v>93.827910572393407</v>
      </c>
      <c r="AJ3017">
        <v>92.583969358725497</v>
      </c>
      <c r="AK3017">
        <v>16.649243813153301</v>
      </c>
      <c r="AL3017">
        <v>86.7065199929324</v>
      </c>
      <c r="AM3017">
        <v>93.781128302535294</v>
      </c>
      <c r="AN3017">
        <v>1.0000000011005401</v>
      </c>
    </row>
    <row r="3018" spans="1:40" x14ac:dyDescent="0.3">
      <c r="A3018" t="str">
        <f>"20200111153937405"</f>
        <v>20200111153937405</v>
      </c>
      <c r="B3018" t="str">
        <f>"1578728377393461"</f>
        <v>1578728377393461</v>
      </c>
      <c r="C3018" t="s">
        <v>40</v>
      </c>
      <c r="D3018">
        <v>5.3911579999999999</v>
      </c>
      <c r="E3018">
        <v>0.50705469999999997</v>
      </c>
      <c r="F3018" t="s">
        <v>42</v>
      </c>
      <c r="G3018">
        <v>-419.34899999999999</v>
      </c>
      <c r="H3018" s="1">
        <v>-2.7118200000000002E-6</v>
      </c>
      <c r="I3018">
        <v>95.684920000000005</v>
      </c>
      <c r="J3018">
        <v>-420.75880000000001</v>
      </c>
      <c r="K3018">
        <v>1.1108789999999999</v>
      </c>
      <c r="L3018">
        <v>111.99930000000001</v>
      </c>
      <c r="M3018">
        <v>4.450527E-2</v>
      </c>
      <c r="N3018">
        <v>0</v>
      </c>
      <c r="O3018">
        <v>-0.99890570000000001</v>
      </c>
      <c r="P3018">
        <v>0.1079267</v>
      </c>
      <c r="Q3018">
        <v>4.3916719999999999E-2</v>
      </c>
      <c r="R3018">
        <v>-0.99318859999999998</v>
      </c>
      <c r="S3018">
        <v>0.25704959999999999</v>
      </c>
      <c r="T3018">
        <v>-0.2000622</v>
      </c>
      <c r="U3018">
        <v>-3.001404</v>
      </c>
      <c r="V3018">
        <v>-6.4540299999999995E-2</v>
      </c>
      <c r="W3018">
        <v>5.723429E-2</v>
      </c>
      <c r="X3018">
        <v>0.99627239999999995</v>
      </c>
      <c r="Y3018">
        <v>-4.0710959999999997E-2</v>
      </c>
      <c r="Z3018">
        <v>6.6261719999999996E-2</v>
      </c>
      <c r="AA3018">
        <v>0.99697139999999995</v>
      </c>
      <c r="AB3018">
        <v>39</v>
      </c>
      <c r="AC3018">
        <v>1.4098000000000099</v>
      </c>
      <c r="AD3018">
        <v>-1.1108817118200001</v>
      </c>
      <c r="AE3018">
        <v>-16.31438</v>
      </c>
      <c r="AF3018">
        <v>-0.67912641686629704</v>
      </c>
      <c r="AG3018">
        <v>-1.1108817118200001</v>
      </c>
      <c r="AH3018">
        <v>16.286010435194001</v>
      </c>
      <c r="AI3018">
        <v>93.898768453288199</v>
      </c>
      <c r="AJ3018">
        <v>92.3878498104784</v>
      </c>
      <c r="AK3018">
        <v>16.337974377596201</v>
      </c>
      <c r="AL3018">
        <v>86.718923586611496</v>
      </c>
      <c r="AM3018">
        <v>93.706543348023303</v>
      </c>
      <c r="AN3018">
        <v>0.99999995463882496</v>
      </c>
    </row>
    <row r="3019" spans="1:40" x14ac:dyDescent="0.3">
      <c r="A3019" t="str">
        <f>"20200111153937428"</f>
        <v>20200111153937428</v>
      </c>
      <c r="B3019" t="str">
        <f>"1578728377423717"</f>
        <v>1578728377423717</v>
      </c>
      <c r="C3019" t="s">
        <v>40</v>
      </c>
      <c r="D3019">
        <v>5.3226909999999998</v>
      </c>
      <c r="E3019">
        <v>0.50778270000000003</v>
      </c>
      <c r="F3019" t="s">
        <v>42</v>
      </c>
      <c r="G3019">
        <v>-419.34019999999998</v>
      </c>
      <c r="H3019" s="1">
        <v>-2.647574E-6</v>
      </c>
      <c r="I3019">
        <v>95.531530000000004</v>
      </c>
      <c r="J3019">
        <v>-420.73790000000002</v>
      </c>
      <c r="K3019">
        <v>1.1102099999999999</v>
      </c>
      <c r="L3019">
        <v>111.6129</v>
      </c>
      <c r="M3019">
        <v>4.8241399999999997E-2</v>
      </c>
      <c r="N3019">
        <v>0</v>
      </c>
      <c r="O3019">
        <v>-0.99873319999999999</v>
      </c>
      <c r="P3019">
        <v>0.1110193</v>
      </c>
      <c r="Q3019">
        <v>4.3868070000000002E-2</v>
      </c>
      <c r="R3019">
        <v>-0.99285000000000001</v>
      </c>
      <c r="S3019">
        <v>0.25854490000000002</v>
      </c>
      <c r="T3019">
        <v>-0.2024714</v>
      </c>
      <c r="U3019">
        <v>-3.0014500000000002</v>
      </c>
      <c r="V3019">
        <v>-6.3817230000000003E-2</v>
      </c>
      <c r="W3019">
        <v>5.7237139999999999E-2</v>
      </c>
      <c r="X3019">
        <v>0.99631890000000001</v>
      </c>
      <c r="Y3019">
        <v>-3.746066E-2</v>
      </c>
      <c r="Z3019">
        <v>6.7040470000000005E-2</v>
      </c>
      <c r="AA3019">
        <v>0.99704680000000001</v>
      </c>
      <c r="AB3019">
        <v>38</v>
      </c>
      <c r="AC3019">
        <v>1.3977000000000399</v>
      </c>
      <c r="AD3019">
        <v>-1.110212647574</v>
      </c>
      <c r="AE3019">
        <v>-16.0813699999999</v>
      </c>
      <c r="AF3019">
        <v>-0.617285086063454</v>
      </c>
      <c r="AG3019">
        <v>-1.110212647574</v>
      </c>
      <c r="AH3019">
        <v>16.054134148161101</v>
      </c>
      <c r="AI3019">
        <v>93.953040413094698</v>
      </c>
      <c r="AJ3019">
        <v>92.201950961979904</v>
      </c>
      <c r="AK3019">
        <v>16.104311107509801</v>
      </c>
      <c r="AL3019">
        <v>86.718760305142993</v>
      </c>
      <c r="AM3019">
        <v>93.664960741753902</v>
      </c>
      <c r="AN3019">
        <v>1.0000000397687301</v>
      </c>
    </row>
    <row r="3020" spans="1:40" x14ac:dyDescent="0.3">
      <c r="A3020" t="str">
        <f>"20200111153937451"</f>
        <v>20200111153937451</v>
      </c>
      <c r="B3020" t="str">
        <f>"1578728377444215"</f>
        <v>1578728377444215</v>
      </c>
      <c r="C3020" t="s">
        <v>40</v>
      </c>
      <c r="D3020">
        <v>5.367464</v>
      </c>
      <c r="E3020">
        <v>0.50837949999999998</v>
      </c>
      <c r="F3020" t="s">
        <v>42</v>
      </c>
      <c r="G3020">
        <v>-419.3152</v>
      </c>
      <c r="H3020" s="1">
        <v>-2.5671060000000001E-6</v>
      </c>
      <c r="I3020">
        <v>95.333600000000004</v>
      </c>
      <c r="J3020">
        <v>-420.7158</v>
      </c>
      <c r="K3020">
        <v>1.109523</v>
      </c>
      <c r="L3020">
        <v>111.2238</v>
      </c>
      <c r="M3020">
        <v>5.1451289999999997E-2</v>
      </c>
      <c r="N3020">
        <v>0</v>
      </c>
      <c r="O3020">
        <v>-0.99857359999999995</v>
      </c>
      <c r="P3020">
        <v>0.1136105</v>
      </c>
      <c r="Q3020">
        <v>4.3210129999999999E-2</v>
      </c>
      <c r="R3020">
        <v>-0.99258519999999995</v>
      </c>
      <c r="S3020">
        <v>0.26229859999999999</v>
      </c>
      <c r="T3020">
        <v>-0.2046856</v>
      </c>
      <c r="U3020">
        <v>-3.0013429999999999</v>
      </c>
      <c r="V3020">
        <v>-6.3105339999999996E-2</v>
      </c>
      <c r="W3020">
        <v>5.6634450000000003E-2</v>
      </c>
      <c r="X3020">
        <v>0.99639860000000002</v>
      </c>
      <c r="Y3020">
        <v>-3.5485129999999997E-2</v>
      </c>
      <c r="Z3020">
        <v>6.7755179999999998E-2</v>
      </c>
      <c r="AA3020">
        <v>0.99707069999999998</v>
      </c>
      <c r="AB3020">
        <v>38</v>
      </c>
      <c r="AC3020">
        <v>1.4005999999999901</v>
      </c>
      <c r="AD3020">
        <v>-1.109525567106</v>
      </c>
      <c r="AE3020">
        <v>-15.890199999999901</v>
      </c>
      <c r="AF3020">
        <v>-0.57829232601155001</v>
      </c>
      <c r="AG3020">
        <v>-1.109525567106</v>
      </c>
      <c r="AH3020">
        <v>15.8644688793329</v>
      </c>
      <c r="AI3020">
        <v>93.997978105150693</v>
      </c>
      <c r="AJ3020">
        <v>92.087623988977597</v>
      </c>
      <c r="AK3020">
        <v>15.9137312350594</v>
      </c>
      <c r="AL3020">
        <v>86.753347736891897</v>
      </c>
      <c r="AM3020">
        <v>93.623898055708693</v>
      </c>
      <c r="AN3020">
        <v>0.99999995747263803</v>
      </c>
    </row>
    <row r="3021" spans="1:40" x14ac:dyDescent="0.3">
      <c r="A3021" t="str">
        <f>"20200111153937473"</f>
        <v>20200111153937473</v>
      </c>
      <c r="B3021" t="str">
        <f>"1578728377463733"</f>
        <v>1578728377463733</v>
      </c>
      <c r="C3021" t="s">
        <v>40</v>
      </c>
      <c r="D3021">
        <v>5.4001159999999997</v>
      </c>
      <c r="E3021">
        <v>0.51769049999999905</v>
      </c>
      <c r="F3021" t="s">
        <v>42</v>
      </c>
      <c r="G3021">
        <v>-419.30410000000001</v>
      </c>
      <c r="H3021" s="1">
        <v>-2.5193179999999998E-6</v>
      </c>
      <c r="I3021">
        <v>95.217640000000003</v>
      </c>
      <c r="J3021">
        <v>-420.6925</v>
      </c>
      <c r="K3021">
        <v>1.1088340000000001</v>
      </c>
      <c r="L3021">
        <v>110.8283</v>
      </c>
      <c r="M3021">
        <v>5.4162540000000002E-2</v>
      </c>
      <c r="N3021">
        <v>0</v>
      </c>
      <c r="O3021">
        <v>-0.99843110000000002</v>
      </c>
      <c r="P3021">
        <v>0.11576</v>
      </c>
      <c r="Q3021">
        <v>4.23621E-2</v>
      </c>
      <c r="R3021">
        <v>-0.99237330000000001</v>
      </c>
      <c r="S3021">
        <v>0.264679</v>
      </c>
      <c r="T3021">
        <v>-0.20803759999999999</v>
      </c>
      <c r="U3021">
        <v>-3.0011749999999999</v>
      </c>
      <c r="V3021">
        <v>-6.2446729999999999E-2</v>
      </c>
      <c r="W3021">
        <v>5.5843669999999998E-2</v>
      </c>
      <c r="X3021">
        <v>0.99648479999999995</v>
      </c>
      <c r="Y3021">
        <v>-3.3554540000000001E-2</v>
      </c>
      <c r="Z3021">
        <v>6.8848500000000007E-2</v>
      </c>
      <c r="AA3021">
        <v>0.99706269999999997</v>
      </c>
      <c r="AB3021">
        <v>38</v>
      </c>
      <c r="AC3021">
        <v>1.3883999999999801</v>
      </c>
      <c r="AD3021">
        <v>-1.1088365193179901</v>
      </c>
      <c r="AE3021">
        <v>-15.6106599999999</v>
      </c>
      <c r="AF3021">
        <v>-0.53806984436371497</v>
      </c>
      <c r="AG3021">
        <v>-1.1088365193179901</v>
      </c>
      <c r="AH3021">
        <v>15.584933293607</v>
      </c>
      <c r="AI3021">
        <v>94.067206209714996</v>
      </c>
      <c r="AJ3021">
        <v>91.977351467968802</v>
      </c>
      <c r="AK3021">
        <v>15.6335915051586</v>
      </c>
      <c r="AL3021">
        <v>86.798728160673306</v>
      </c>
      <c r="AM3021">
        <v>93.585866415724894</v>
      </c>
      <c r="AN3021">
        <v>1.0000000330989001</v>
      </c>
    </row>
    <row r="3022" spans="1:40" x14ac:dyDescent="0.3">
      <c r="A3022" t="str">
        <f>"20200111153937495"</f>
        <v>20200111153937495</v>
      </c>
      <c r="B3022" t="str">
        <f>"1578728377484230"</f>
        <v>1578728377484230</v>
      </c>
      <c r="C3022" t="s">
        <v>40</v>
      </c>
      <c r="D3022">
        <v>5.2641679999999997</v>
      </c>
      <c r="E3022">
        <v>0.51750280000000004</v>
      </c>
      <c r="F3022" t="s">
        <v>42</v>
      </c>
      <c r="G3022">
        <v>-419.7457</v>
      </c>
      <c r="H3022" s="1">
        <v>-2.9082040000000001E-6</v>
      </c>
      <c r="I3022">
        <v>96.306700000000006</v>
      </c>
      <c r="J3022">
        <v>-420.67039999999997</v>
      </c>
      <c r="K3022">
        <v>1.1082069999999999</v>
      </c>
      <c r="L3022">
        <v>110.461</v>
      </c>
      <c r="M3022">
        <v>5.6170709999999999E-2</v>
      </c>
      <c r="N3022">
        <v>0</v>
      </c>
      <c r="O3022">
        <v>-0.99832109999999996</v>
      </c>
      <c r="P3022">
        <v>0.116828</v>
      </c>
      <c r="Q3022">
        <v>4.1157039999999999E-2</v>
      </c>
      <c r="R3022">
        <v>-0.9922993</v>
      </c>
      <c r="S3022">
        <v>0.1962585</v>
      </c>
      <c r="T3022">
        <v>-0.22983490000000001</v>
      </c>
      <c r="U3022">
        <v>-3.009979</v>
      </c>
      <c r="V3022">
        <v>-6.1411430000000003E-2</v>
      </c>
      <c r="W3022">
        <v>5.4695300000000002E-2</v>
      </c>
      <c r="X3022">
        <v>0.99661279999999997</v>
      </c>
      <c r="Y3022">
        <v>-8.7165809999999993E-3</v>
      </c>
      <c r="Z3022">
        <v>7.5874629999999998E-2</v>
      </c>
      <c r="AA3022">
        <v>0.9970793</v>
      </c>
      <c r="AB3022">
        <v>38</v>
      </c>
      <c r="AC3022">
        <v>0.92469999999997299</v>
      </c>
      <c r="AD3022">
        <v>-1.108209908204</v>
      </c>
      <c r="AE3022">
        <v>-14.1542999999999</v>
      </c>
      <c r="AF3022">
        <v>-0.12732603715801699</v>
      </c>
      <c r="AG3022">
        <v>-1.108209908204</v>
      </c>
      <c r="AH3022">
        <v>14.0978408372121</v>
      </c>
      <c r="AI3022">
        <v>94.494509063424601</v>
      </c>
      <c r="AJ3022">
        <v>90.517458402891805</v>
      </c>
      <c r="AK3022">
        <v>14.141904305705999</v>
      </c>
      <c r="AL3022">
        <v>86.864625558543693</v>
      </c>
      <c r="AM3022">
        <v>93.526116086850706</v>
      </c>
      <c r="AN3022">
        <v>1.0000000063502801</v>
      </c>
    </row>
    <row r="3023" spans="1:40" x14ac:dyDescent="0.3">
      <c r="A3023" t="str">
        <f>"20200111153937517"</f>
        <v>20200111153937517</v>
      </c>
      <c r="B3023" t="str">
        <f>"1578728377503749"</f>
        <v>1578728377503749</v>
      </c>
      <c r="C3023" t="s">
        <v>40</v>
      </c>
      <c r="D3023">
        <v>5.4165850000000004</v>
      </c>
      <c r="E3023">
        <v>0.51852240000000005</v>
      </c>
      <c r="F3023" t="s">
        <v>41</v>
      </c>
      <c r="G3023">
        <v>-420.6003</v>
      </c>
      <c r="H3023">
        <v>1.027582</v>
      </c>
      <c r="I3023">
        <v>109.40940000000001</v>
      </c>
      <c r="J3023">
        <v>-420.6474</v>
      </c>
      <c r="K3023">
        <v>1.1075889999999999</v>
      </c>
      <c r="L3023">
        <v>110.0851</v>
      </c>
      <c r="M3023">
        <v>5.7717850000000001E-2</v>
      </c>
      <c r="N3023">
        <v>0</v>
      </c>
      <c r="O3023">
        <v>-0.99823340000000005</v>
      </c>
      <c r="P3023">
        <v>0.11875860000000001</v>
      </c>
      <c r="Q3023">
        <v>3.9913900000000002E-2</v>
      </c>
      <c r="R3023">
        <v>-0.99212069999999997</v>
      </c>
      <c r="S3023">
        <v>0.20043949999999999</v>
      </c>
      <c r="T3023">
        <v>-0.23071030000000001</v>
      </c>
      <c r="U3023">
        <v>-3.0092469999999998</v>
      </c>
      <c r="V3023">
        <v>-6.1710090000000002E-2</v>
      </c>
      <c r="W3023">
        <v>5.3495439999999998E-2</v>
      </c>
      <c r="X3023">
        <v>0.99665950000000003</v>
      </c>
      <c r="Y3023">
        <v>-8.5604199999999991E-3</v>
      </c>
      <c r="Z3023">
        <v>7.6166830000000005E-2</v>
      </c>
      <c r="AA3023">
        <v>0.99705829999999995</v>
      </c>
      <c r="AB3023">
        <v>38</v>
      </c>
      <c r="AC3023">
        <v>4.7100000000000301E-2</v>
      </c>
      <c r="AD3023">
        <v>-8.0006999999999898E-2</v>
      </c>
      <c r="AE3023">
        <v>-0.67569999999999197</v>
      </c>
      <c r="AF3023">
        <v>-7.9073140795967202E-3</v>
      </c>
      <c r="AG3023">
        <v>-8.0006999999999898E-2</v>
      </c>
      <c r="AH3023">
        <v>0.66797242821760405</v>
      </c>
      <c r="AI3023">
        <v>96.829641476004994</v>
      </c>
      <c r="AJ3023">
        <v>90.678223447521106</v>
      </c>
      <c r="AK3023">
        <v>0.67279328959486195</v>
      </c>
      <c r="AL3023">
        <v>86.933473351785594</v>
      </c>
      <c r="AM3023">
        <v>93.543055338662498</v>
      </c>
      <c r="AN3023">
        <v>1.0000000281244199</v>
      </c>
    </row>
    <row r="3024" spans="1:40" x14ac:dyDescent="0.3">
      <c r="A3024" t="str">
        <f>"20200111153937539"</f>
        <v>20200111153937539</v>
      </c>
      <c r="B3024" t="str">
        <f>"1578728377534006"</f>
        <v>1578728377534006</v>
      </c>
      <c r="C3024" t="s">
        <v>40</v>
      </c>
      <c r="D3024">
        <v>5.4176479999999998</v>
      </c>
      <c r="E3024">
        <v>0.51884679999999905</v>
      </c>
      <c r="F3024" t="s">
        <v>41</v>
      </c>
      <c r="G3024">
        <v>-420.58120000000002</v>
      </c>
      <c r="H3024">
        <v>1.027749</v>
      </c>
      <c r="I3024">
        <v>109.0675</v>
      </c>
      <c r="J3024">
        <v>-420.62380000000002</v>
      </c>
      <c r="K3024">
        <v>1.1070359999999999</v>
      </c>
      <c r="L3024">
        <v>109.70310000000001</v>
      </c>
      <c r="M3024">
        <v>5.8879819999999999E-2</v>
      </c>
      <c r="N3024">
        <v>0</v>
      </c>
      <c r="O3024">
        <v>-0.99816629999999995</v>
      </c>
      <c r="P3024">
        <v>0.119392899999999</v>
      </c>
      <c r="Q3024">
        <v>3.9261860000000003E-2</v>
      </c>
      <c r="R3024">
        <v>-0.99207080000000003</v>
      </c>
      <c r="S3024">
        <v>0.19702149999999999</v>
      </c>
      <c r="T3024">
        <v>-0.2362293</v>
      </c>
      <c r="U3024">
        <v>-3.0097499999999999</v>
      </c>
      <c r="V3024">
        <v>-6.1106109999999998E-2</v>
      </c>
      <c r="W3024">
        <v>5.28888E-2</v>
      </c>
      <c r="X3024">
        <v>0.99672910000000003</v>
      </c>
      <c r="Y3024">
        <v>-6.2488930000000002E-3</v>
      </c>
      <c r="Z3024">
        <v>7.7960580000000002E-2</v>
      </c>
      <c r="AA3024">
        <v>0.99693690000000001</v>
      </c>
      <c r="AB3024">
        <v>38</v>
      </c>
      <c r="AC3024">
        <v>4.2599999999992998E-2</v>
      </c>
      <c r="AD3024">
        <v>-7.9287000000000094E-2</v>
      </c>
      <c r="AE3024">
        <v>-0.63560000000001005</v>
      </c>
      <c r="AF3024">
        <v>-5.0205976180762802E-3</v>
      </c>
      <c r="AG3024">
        <v>-7.9287000000000094E-2</v>
      </c>
      <c r="AH3024">
        <v>0.62728804635922197</v>
      </c>
      <c r="AI3024">
        <v>97.203555823625905</v>
      </c>
      <c r="AJ3024">
        <v>90.458565907191002</v>
      </c>
      <c r="AK3024">
        <v>0.63229892287952805</v>
      </c>
      <c r="AL3024">
        <v>86.968280576661002</v>
      </c>
      <c r="AM3024">
        <v>93.508220782864797</v>
      </c>
      <c r="AN3024">
        <v>1.00000004031579</v>
      </c>
    </row>
    <row r="3025" spans="1:40" x14ac:dyDescent="0.3">
      <c r="A3025" t="str">
        <f>"20200111153937563"</f>
        <v>20200111153937563</v>
      </c>
      <c r="B3025" t="str">
        <f>"1578728377553526"</f>
        <v>1578728377553526</v>
      </c>
      <c r="C3025" t="s">
        <v>40</v>
      </c>
      <c r="D3025">
        <v>5.4025499999999997</v>
      </c>
      <c r="E3025">
        <v>0.51921359999999905</v>
      </c>
      <c r="F3025" t="s">
        <v>41</v>
      </c>
      <c r="G3025">
        <v>-420.56</v>
      </c>
      <c r="H3025">
        <v>1.033064</v>
      </c>
      <c r="I3025">
        <v>108.7222</v>
      </c>
      <c r="J3025">
        <v>-420.59870000000001</v>
      </c>
      <c r="K3025">
        <v>1.1065160000000001</v>
      </c>
      <c r="L3025">
        <v>109.2974</v>
      </c>
      <c r="M3025">
        <v>5.9701850000000001E-2</v>
      </c>
      <c r="N3025">
        <v>0</v>
      </c>
      <c r="O3025">
        <v>-0.9981179</v>
      </c>
      <c r="P3025">
        <v>0.1192314</v>
      </c>
      <c r="Q3025">
        <v>3.8373959999999999E-2</v>
      </c>
      <c r="R3025">
        <v>-0.99212449999999996</v>
      </c>
      <c r="S3025">
        <v>0.19601440000000001</v>
      </c>
      <c r="T3025">
        <v>-0.2269795</v>
      </c>
      <c r="U3025">
        <v>-3.009369</v>
      </c>
      <c r="V3025">
        <v>-6.004698E-2</v>
      </c>
      <c r="W3025">
        <v>5.2043109999999997E-2</v>
      </c>
      <c r="X3025">
        <v>0.99683790000000005</v>
      </c>
      <c r="Y3025">
        <v>-5.1165250000000002E-3</v>
      </c>
      <c r="Z3025">
        <v>7.4930460000000004E-2</v>
      </c>
      <c r="AA3025">
        <v>0.99717560000000005</v>
      </c>
      <c r="AB3025">
        <v>38</v>
      </c>
      <c r="AC3025">
        <v>3.8700000000005702E-2</v>
      </c>
      <c r="AD3025">
        <v>-7.3452000000000003E-2</v>
      </c>
      <c r="AE3025">
        <v>-0.57519999999999505</v>
      </c>
      <c r="AF3025">
        <v>-4.2185975610675996E-3</v>
      </c>
      <c r="AG3025">
        <v>-7.3452000000000003E-2</v>
      </c>
      <c r="AH3025">
        <v>0.56727569422368895</v>
      </c>
      <c r="AI3025">
        <v>97.377523328717103</v>
      </c>
      <c r="AJ3025">
        <v>90.426077448070203</v>
      </c>
      <c r="AK3025">
        <v>0.572026840389811</v>
      </c>
      <c r="AL3025">
        <v>87.016801637801805</v>
      </c>
      <c r="AM3025">
        <v>93.447186642475401</v>
      </c>
      <c r="AN3025">
        <v>0.99999996199100005</v>
      </c>
    </row>
    <row r="3026" spans="1:40" x14ac:dyDescent="0.3">
      <c r="A3026" t="str">
        <f>"20200111153937584"</f>
        <v>20200111153937584</v>
      </c>
      <c r="B3026" t="str">
        <f>"1578728377574021"</f>
        <v>1578728377574021</v>
      </c>
      <c r="C3026" t="s">
        <v>40</v>
      </c>
      <c r="D3026">
        <v>5.391464</v>
      </c>
      <c r="E3026">
        <v>0.52011969999999996</v>
      </c>
      <c r="F3026" t="s">
        <v>41</v>
      </c>
      <c r="G3026">
        <v>-420.53989999999999</v>
      </c>
      <c r="H3026">
        <v>1.0367599999999999</v>
      </c>
      <c r="I3026">
        <v>108.3775</v>
      </c>
      <c r="J3026">
        <v>-420.5763</v>
      </c>
      <c r="K3026">
        <v>1.1060939999999999</v>
      </c>
      <c r="L3026">
        <v>108.9346</v>
      </c>
      <c r="M3026">
        <v>6.0113350000000003E-2</v>
      </c>
      <c r="N3026">
        <v>0</v>
      </c>
      <c r="O3026">
        <v>-0.99809369999999997</v>
      </c>
      <c r="P3026">
        <v>0.1188444</v>
      </c>
      <c r="Q3026">
        <v>3.7514789999999999E-2</v>
      </c>
      <c r="R3026">
        <v>-0.99220390000000003</v>
      </c>
      <c r="S3026">
        <v>0.19271849999999999</v>
      </c>
      <c r="T3026">
        <v>-0.2282256</v>
      </c>
      <c r="U3026">
        <v>-3.0094910000000001</v>
      </c>
      <c r="V3026">
        <v>-5.9185830000000002E-2</v>
      </c>
      <c r="W3026">
        <v>5.1214519999999999E-2</v>
      </c>
      <c r="X3026">
        <v>0.99693229999999999</v>
      </c>
      <c r="Y3026">
        <v>-3.6121460000000001E-3</v>
      </c>
      <c r="Z3026">
        <v>7.5336589999999995E-2</v>
      </c>
      <c r="AA3026">
        <v>0.99715160000000003</v>
      </c>
      <c r="AB3026">
        <v>38</v>
      </c>
      <c r="AC3026">
        <v>3.6400000000014601E-2</v>
      </c>
      <c r="AD3026">
        <v>-6.9334000000000007E-2</v>
      </c>
      <c r="AE3026">
        <v>-0.55710000000000504</v>
      </c>
      <c r="AF3026">
        <v>-2.7985777928311202E-3</v>
      </c>
      <c r="AG3026">
        <v>-6.9334000000000007E-2</v>
      </c>
      <c r="AH3026">
        <v>0.54980093811189801</v>
      </c>
      <c r="AI3026">
        <v>97.187392278741896</v>
      </c>
      <c r="AJ3026">
        <v>90.291642484079603</v>
      </c>
      <c r="AK3026">
        <v>0.55416252773205998</v>
      </c>
      <c r="AL3026">
        <v>87.064339715678003</v>
      </c>
      <c r="AM3026">
        <v>93.397545283510595</v>
      </c>
      <c r="AN3026">
        <v>0.99999995015745302</v>
      </c>
    </row>
    <row r="3027" spans="1:40" x14ac:dyDescent="0.3">
      <c r="A3027" t="str">
        <f>"20200111153937606"</f>
        <v>20200111153937606</v>
      </c>
      <c r="B3027" t="str">
        <f>"1578728377593542"</f>
        <v>1578728377593542</v>
      </c>
      <c r="C3027" t="s">
        <v>40</v>
      </c>
      <c r="D3027">
        <v>5.3944859999999997</v>
      </c>
      <c r="E3027">
        <v>0.52091009999999904</v>
      </c>
      <c r="F3027" t="s">
        <v>41</v>
      </c>
      <c r="G3027">
        <v>-420.5213</v>
      </c>
      <c r="H3027">
        <v>1.038116</v>
      </c>
      <c r="I3027">
        <v>108.0351</v>
      </c>
      <c r="J3027">
        <v>-420.55360000000002</v>
      </c>
      <c r="K3027">
        <v>1.105691</v>
      </c>
      <c r="L3027">
        <v>108.5668</v>
      </c>
      <c r="M3027">
        <v>6.0224090000000001E-2</v>
      </c>
      <c r="N3027">
        <v>0</v>
      </c>
      <c r="O3027">
        <v>-0.99808770000000002</v>
      </c>
      <c r="P3027">
        <v>0.11884119999999999</v>
      </c>
      <c r="Q3027">
        <v>3.6686879999999998E-2</v>
      </c>
      <c r="R3027">
        <v>-0.99223539999999999</v>
      </c>
      <c r="S3027">
        <v>0.18396000000000001</v>
      </c>
      <c r="T3027">
        <v>-0.22750310000000001</v>
      </c>
      <c r="U3027">
        <v>-3.0101469999999999</v>
      </c>
      <c r="V3027">
        <v>-5.9015669999999999E-2</v>
      </c>
      <c r="W3027">
        <v>5.0413989999999999E-2</v>
      </c>
      <c r="X3027">
        <v>0.99698319999999996</v>
      </c>
      <c r="Y3027">
        <v>-5.9842640000000002E-4</v>
      </c>
      <c r="Z3027">
        <v>7.5089420000000004E-2</v>
      </c>
      <c r="AA3027">
        <v>0.99717659999999997</v>
      </c>
      <c r="AB3027">
        <v>38</v>
      </c>
      <c r="AC3027">
        <v>3.2300000000020597E-2</v>
      </c>
      <c r="AD3027">
        <v>-6.7574999999999899E-2</v>
      </c>
      <c r="AE3027">
        <v>-0.53169999999999995</v>
      </c>
      <c r="AF3027">
        <v>-2.13666565490155E-4</v>
      </c>
      <c r="AG3027">
        <v>-6.7574999999999899E-2</v>
      </c>
      <c r="AH3027">
        <v>0.52424345225477698</v>
      </c>
      <c r="AI3027">
        <v>97.344926945159003</v>
      </c>
      <c r="AJ3027">
        <v>90.023352111876804</v>
      </c>
      <c r="AK3027">
        <v>0.52858076346988603</v>
      </c>
      <c r="AL3027">
        <v>87.110266070411697</v>
      </c>
      <c r="AM3027">
        <v>93.387627524087804</v>
      </c>
      <c r="AN3027">
        <v>0.99999996038775296</v>
      </c>
    </row>
    <row r="3028" spans="1:40" x14ac:dyDescent="0.3">
      <c r="A3028" t="str">
        <f>"20200111153937629"</f>
        <v>20200111153937629</v>
      </c>
      <c r="B3028" t="str">
        <f>"1578728377623798"</f>
        <v>1578728377623798</v>
      </c>
      <c r="C3028" t="s">
        <v>40</v>
      </c>
      <c r="D3028">
        <v>5.4065310000000002</v>
      </c>
      <c r="E3028">
        <v>0.52162909999999996</v>
      </c>
      <c r="F3028" t="s">
        <v>41</v>
      </c>
      <c r="G3028">
        <v>-420.5027</v>
      </c>
      <c r="H3028">
        <v>1.0399659999999999</v>
      </c>
      <c r="I3028">
        <v>107.6922</v>
      </c>
      <c r="J3028">
        <v>-420.53</v>
      </c>
      <c r="K3028">
        <v>1.105278</v>
      </c>
      <c r="L3028">
        <v>108.17919999999999</v>
      </c>
      <c r="M3028">
        <v>6.0023189999999997E-2</v>
      </c>
      <c r="N3028">
        <v>0</v>
      </c>
      <c r="O3028">
        <v>-0.99810010000000005</v>
      </c>
      <c r="P3028">
        <v>0.11838079999999999</v>
      </c>
      <c r="Q3028">
        <v>3.7181810000000003E-2</v>
      </c>
      <c r="R3028">
        <v>-0.99227180000000004</v>
      </c>
      <c r="S3028">
        <v>0.17715449999999999</v>
      </c>
      <c r="T3028">
        <v>-0.22625670000000001</v>
      </c>
      <c r="U3028">
        <v>-3.0106350000000002</v>
      </c>
      <c r="V3028">
        <v>-5.8703659999999998E-2</v>
      </c>
      <c r="W3028">
        <v>5.0939270000000002E-2</v>
      </c>
      <c r="X3028">
        <v>0.9969749</v>
      </c>
      <c r="Y3028">
        <v>1.4542820000000001E-3</v>
      </c>
      <c r="Z3028">
        <v>7.4674660000000004E-2</v>
      </c>
      <c r="AA3028">
        <v>0.99720690000000001</v>
      </c>
      <c r="AB3028">
        <v>38</v>
      </c>
      <c r="AC3028">
        <v>2.7299999999968301E-2</v>
      </c>
      <c r="AD3028">
        <v>-6.5311999999999995E-2</v>
      </c>
      <c r="AE3028">
        <v>-0.48699999999999399</v>
      </c>
      <c r="AF3028">
        <v>1.9484186546693701E-3</v>
      </c>
      <c r="AG3028">
        <v>-6.5311999999999995E-2</v>
      </c>
      <c r="AH3028">
        <v>0.479169339768452</v>
      </c>
      <c r="AI3028">
        <v>97.761666169795205</v>
      </c>
      <c r="AJ3028">
        <v>89.767022759801606</v>
      </c>
      <c r="AK3028">
        <v>0.48360387700409202</v>
      </c>
      <c r="AL3028">
        <v>87.080130962351703</v>
      </c>
      <c r="AM3028">
        <v>93.369786843693603</v>
      </c>
      <c r="AN3028">
        <v>0.99999994007776705</v>
      </c>
    </row>
    <row r="3029" spans="1:40" x14ac:dyDescent="0.3">
      <c r="A3029" t="str">
        <f>"20200111153937652"</f>
        <v>20200111153937652</v>
      </c>
      <c r="B3029" t="str">
        <f>"1578728377644299"</f>
        <v>1578728377644299</v>
      </c>
      <c r="C3029" t="s">
        <v>40</v>
      </c>
      <c r="D3029">
        <v>5.4234770000000001</v>
      </c>
      <c r="E3029">
        <v>0.52224619999999999</v>
      </c>
      <c r="F3029" t="s">
        <v>41</v>
      </c>
      <c r="G3029">
        <v>-420.48239999999998</v>
      </c>
      <c r="H3029">
        <v>1.0431569999999999</v>
      </c>
      <c r="I3029">
        <v>107.3378</v>
      </c>
      <c r="J3029">
        <v>-420.50650000000002</v>
      </c>
      <c r="K3029">
        <v>1.1048739999999999</v>
      </c>
      <c r="L3029">
        <v>107.78660000000001</v>
      </c>
      <c r="M3029">
        <v>5.9501030000000003E-2</v>
      </c>
      <c r="N3029">
        <v>0</v>
      </c>
      <c r="O3029">
        <v>-0.99813189999999996</v>
      </c>
      <c r="P3029">
        <v>0.1171275</v>
      </c>
      <c r="Q3029">
        <v>3.8408459999999998E-2</v>
      </c>
      <c r="R3029">
        <v>-0.99237419999999998</v>
      </c>
      <c r="S3029">
        <v>0.1702881</v>
      </c>
      <c r="T3029">
        <v>-0.22231119999999999</v>
      </c>
      <c r="U3029">
        <v>-3.0113829999999999</v>
      </c>
      <c r="V3029">
        <v>-5.7916429999999998E-2</v>
      </c>
      <c r="W3029">
        <v>5.2199299999999997E-2</v>
      </c>
      <c r="X3029">
        <v>0.99695579999999995</v>
      </c>
      <c r="Y3029">
        <v>3.206389E-3</v>
      </c>
      <c r="Z3029">
        <v>7.3369550000000006E-2</v>
      </c>
      <c r="AA3029">
        <v>0.99729970000000001</v>
      </c>
      <c r="AB3029">
        <v>38</v>
      </c>
      <c r="AC3029">
        <v>2.4100000000032599E-2</v>
      </c>
      <c r="AD3029">
        <v>-6.1717000000000001E-2</v>
      </c>
      <c r="AE3029">
        <v>-0.44880000000000497</v>
      </c>
      <c r="AF3029">
        <v>2.6003064580385998E-3</v>
      </c>
      <c r="AG3029">
        <v>-6.1717000000000001E-2</v>
      </c>
      <c r="AH3029">
        <v>0.44112094555743703</v>
      </c>
      <c r="AI3029">
        <v>97.964386750282003</v>
      </c>
      <c r="AJ3029">
        <v>89.662258477305997</v>
      </c>
      <c r="AK3029">
        <v>0.44542500860657003</v>
      </c>
      <c r="AL3029">
        <v>87.007840463647597</v>
      </c>
      <c r="AM3029">
        <v>93.324762813518205</v>
      </c>
      <c r="AN3029">
        <v>0.99999997346903702</v>
      </c>
    </row>
    <row r="3030" spans="1:40" x14ac:dyDescent="0.3">
      <c r="A3030" t="str">
        <f>"20200111153937673"</f>
        <v>20200111153937673</v>
      </c>
      <c r="B3030" t="str">
        <f>"1578728377663813"</f>
        <v>1578728377663813</v>
      </c>
      <c r="C3030" t="s">
        <v>40</v>
      </c>
      <c r="D3030">
        <v>5.393211</v>
      </c>
      <c r="E3030">
        <v>0.52269069999999995</v>
      </c>
      <c r="F3030" t="s">
        <v>42</v>
      </c>
      <c r="G3030">
        <v>-419.68459999999999</v>
      </c>
      <c r="H3030" s="1">
        <v>-1.2792829999999999E-6</v>
      </c>
      <c r="I3030">
        <v>92.484399999999994</v>
      </c>
      <c r="J3030">
        <v>-420.48450000000003</v>
      </c>
      <c r="K3030">
        <v>1.1045</v>
      </c>
      <c r="L3030">
        <v>107.41030000000001</v>
      </c>
      <c r="M3030">
        <v>5.8698819999999999E-2</v>
      </c>
      <c r="N3030">
        <v>0</v>
      </c>
      <c r="O3030">
        <v>-0.99817959999999994</v>
      </c>
      <c r="P3030">
        <v>0.11612</v>
      </c>
      <c r="Q3030">
        <v>3.8437039999999999E-2</v>
      </c>
      <c r="R3030">
        <v>-0.99249149999999997</v>
      </c>
      <c r="S3030">
        <v>0.16180420000000001</v>
      </c>
      <c r="T3030">
        <v>-0.21750410000000001</v>
      </c>
      <c r="U3030">
        <v>-3.012375</v>
      </c>
      <c r="V3030">
        <v>-5.7655730000000002E-2</v>
      </c>
      <c r="W3030">
        <v>5.2260260000000003E-2</v>
      </c>
      <c r="X3030">
        <v>0.99696770000000001</v>
      </c>
      <c r="Y3030">
        <v>5.2151849999999998E-3</v>
      </c>
      <c r="Z3030">
        <v>7.1778220000000004E-2</v>
      </c>
      <c r="AA3030">
        <v>0.99740700000000004</v>
      </c>
      <c r="AB3030">
        <v>38</v>
      </c>
      <c r="AC3030">
        <v>0.79990000000003603</v>
      </c>
      <c r="AD3030">
        <v>-1.104501279283</v>
      </c>
      <c r="AE3030">
        <v>-14.9259</v>
      </c>
      <c r="AF3030">
        <v>7.7274381094348699E-2</v>
      </c>
      <c r="AG3030">
        <v>-1.104501279283</v>
      </c>
      <c r="AH3030">
        <v>14.865946044326799</v>
      </c>
      <c r="AI3030">
        <v>94.249063737369895</v>
      </c>
      <c r="AJ3030">
        <v>89.702174620330197</v>
      </c>
      <c r="AK3030">
        <v>14.907120654195699</v>
      </c>
      <c r="AL3030">
        <v>87.004342887892093</v>
      </c>
      <c r="AM3030">
        <v>93.309790942729293</v>
      </c>
      <c r="AN3030">
        <v>0.99999995641019401</v>
      </c>
    </row>
    <row r="3031" spans="1:40" x14ac:dyDescent="0.3">
      <c r="A3031" t="str">
        <f>"20200111153937696"</f>
        <v>20200111153937696</v>
      </c>
      <c r="B3031" t="str">
        <f>"1578728377694069"</f>
        <v>1578728377694069</v>
      </c>
      <c r="C3031" t="s">
        <v>40</v>
      </c>
      <c r="D3031">
        <v>5.3775719999999998</v>
      </c>
      <c r="E3031">
        <v>0.52324499999999996</v>
      </c>
      <c r="F3031" t="s">
        <v>42</v>
      </c>
      <c r="G3031">
        <v>-419.68689999999998</v>
      </c>
      <c r="H3031" s="1">
        <v>-1.0739359999999999E-6</v>
      </c>
      <c r="I3031">
        <v>92.006659999999997</v>
      </c>
      <c r="J3031">
        <v>-420.46300000000002</v>
      </c>
      <c r="K3031">
        <v>1.1041319999999999</v>
      </c>
      <c r="L3031">
        <v>107.03270000000001</v>
      </c>
      <c r="M3031">
        <v>5.7587270000000003E-2</v>
      </c>
      <c r="N3031">
        <v>0</v>
      </c>
      <c r="O3031">
        <v>-0.99824480000000004</v>
      </c>
      <c r="P3031">
        <v>0.114773</v>
      </c>
      <c r="Q3031">
        <v>3.7973149999999997E-2</v>
      </c>
      <c r="R3031">
        <v>-0.99266600000000005</v>
      </c>
      <c r="S3031">
        <v>0.1560059</v>
      </c>
      <c r="T3031">
        <v>-0.21602930000000001</v>
      </c>
      <c r="U3031">
        <v>-3.0128020000000002</v>
      </c>
      <c r="V3031">
        <v>-5.7363690000000002E-2</v>
      </c>
      <c r="W3031">
        <v>5.1830729999999998E-2</v>
      </c>
      <c r="X3031">
        <v>0.99700699999999998</v>
      </c>
      <c r="Y3031">
        <v>6.0216480000000001E-3</v>
      </c>
      <c r="Z3031">
        <v>7.1294289999999996E-2</v>
      </c>
      <c r="AA3031">
        <v>0.99743709999999997</v>
      </c>
      <c r="AB3031">
        <v>38</v>
      </c>
      <c r="AC3031">
        <v>0.77610000000004198</v>
      </c>
      <c r="AD3031">
        <v>-1.10413307393599</v>
      </c>
      <c r="AE3031">
        <v>-15.02604</v>
      </c>
      <c r="AF3031">
        <v>9.0094314969897199E-2</v>
      </c>
      <c r="AG3031">
        <v>-1.10413307393599</v>
      </c>
      <c r="AH3031">
        <v>14.9652072276011</v>
      </c>
      <c r="AI3031">
        <v>94.219561313376502</v>
      </c>
      <c r="AJ3031">
        <v>89.655069150356994</v>
      </c>
      <c r="AK3031">
        <v>15.0061538775128</v>
      </c>
      <c r="AL3031">
        <v>87.028986637787199</v>
      </c>
      <c r="AM3031">
        <v>93.292933532727602</v>
      </c>
      <c r="AN3031">
        <v>0.99999998777587396</v>
      </c>
    </row>
    <row r="3032" spans="1:40" x14ac:dyDescent="0.3">
      <c r="A3032" t="str">
        <f>"20200111153937718"</f>
        <v>20200111153937718</v>
      </c>
      <c r="B3032" t="str">
        <f>"1578728377713589"</f>
        <v>1578728377713589</v>
      </c>
      <c r="C3032" t="s">
        <v>40</v>
      </c>
      <c r="D3032">
        <v>5.402469</v>
      </c>
      <c r="E3032">
        <v>0.52370119999999998</v>
      </c>
      <c r="F3032" t="s">
        <v>41</v>
      </c>
      <c r="G3032">
        <v>-420.41230000000002</v>
      </c>
      <c r="H3032">
        <v>1.0302659999999999</v>
      </c>
      <c r="I3032">
        <v>105.99379999999999</v>
      </c>
      <c r="J3032">
        <v>-420.44290000000001</v>
      </c>
      <c r="K3032">
        <v>1.103801</v>
      </c>
      <c r="L3032">
        <v>106.666</v>
      </c>
      <c r="M3032">
        <v>5.6232119999999997E-2</v>
      </c>
      <c r="N3032">
        <v>0</v>
      </c>
      <c r="O3032">
        <v>-0.99832200000000004</v>
      </c>
      <c r="P3032">
        <v>0.1131706</v>
      </c>
      <c r="Q3032">
        <v>3.8147819999999999E-2</v>
      </c>
      <c r="R3032">
        <v>-0.99284309999999998</v>
      </c>
      <c r="S3032">
        <v>0.14752199999999999</v>
      </c>
      <c r="T3032">
        <v>-0.2142415</v>
      </c>
      <c r="U3032">
        <v>-3.0133209999999999</v>
      </c>
      <c r="V3032">
        <v>-5.7065949999999997E-2</v>
      </c>
      <c r="W3032">
        <v>5.2035970000000001E-2</v>
      </c>
      <c r="X3032">
        <v>0.99701340000000005</v>
      </c>
      <c r="Y3032">
        <v>7.4721500000000003E-3</v>
      </c>
      <c r="Z3032">
        <v>7.0707980000000004E-2</v>
      </c>
      <c r="AA3032">
        <v>0.9974691</v>
      </c>
      <c r="AB3032">
        <v>38</v>
      </c>
      <c r="AC3032">
        <v>3.0599999999992598E-2</v>
      </c>
      <c r="AD3032">
        <v>-7.35350000000001E-2</v>
      </c>
      <c r="AE3032">
        <v>-0.67220000000000302</v>
      </c>
      <c r="AF3032">
        <v>7.16569517503332E-3</v>
      </c>
      <c r="AG3032">
        <v>-7.35350000000001E-2</v>
      </c>
      <c r="AH3032">
        <v>0.66491635039451802</v>
      </c>
      <c r="AI3032">
        <v>96.310495039231796</v>
      </c>
      <c r="AJ3032">
        <v>89.382556621842198</v>
      </c>
      <c r="AK3032">
        <v>0.66900859219766895</v>
      </c>
      <c r="AL3032">
        <v>87.017211375235803</v>
      </c>
      <c r="AM3032">
        <v>93.275858256757701</v>
      </c>
      <c r="AN3032">
        <v>0.99999999230140102</v>
      </c>
    </row>
    <row r="3033" spans="1:40" x14ac:dyDescent="0.3">
      <c r="A3033" t="str">
        <f>"20200111153937741"</f>
        <v>20200111153937741</v>
      </c>
      <c r="B3033" t="str">
        <f>"1578728377734085"</f>
        <v>1578728377734085</v>
      </c>
      <c r="C3033" t="s">
        <v>40</v>
      </c>
      <c r="D3033">
        <v>5.403289</v>
      </c>
      <c r="E3033">
        <v>0.52408580000000005</v>
      </c>
      <c r="F3033" t="s">
        <v>41</v>
      </c>
      <c r="G3033">
        <v>-420.39640000000003</v>
      </c>
      <c r="H3033">
        <v>1.0331760000000001</v>
      </c>
      <c r="I3033">
        <v>105.6514</v>
      </c>
      <c r="J3033">
        <v>-420.42140000000001</v>
      </c>
      <c r="K3033">
        <v>1.103483</v>
      </c>
      <c r="L3033">
        <v>106.2576</v>
      </c>
      <c r="M3033">
        <v>5.4467149999999999E-2</v>
      </c>
      <c r="N3033">
        <v>0</v>
      </c>
      <c r="O3033">
        <v>-0.99842030000000004</v>
      </c>
      <c r="P3033">
        <v>0.1104161</v>
      </c>
      <c r="Q3033">
        <v>3.837629E-2</v>
      </c>
      <c r="R3033">
        <v>-0.99314429999999998</v>
      </c>
      <c r="S3033">
        <v>0.138549799999999</v>
      </c>
      <c r="T3033">
        <v>-0.20976790000000001</v>
      </c>
      <c r="U3033">
        <v>-3.0138699999999998</v>
      </c>
      <c r="V3033">
        <v>-5.6020680000000003E-2</v>
      </c>
      <c r="W3033">
        <v>5.2292150000000003E-2</v>
      </c>
      <c r="X3033">
        <v>0.99705929999999998</v>
      </c>
      <c r="Y3033">
        <v>8.6711989999999992E-3</v>
      </c>
      <c r="Z3033">
        <v>6.9240850000000007E-2</v>
      </c>
      <c r="AA3033">
        <v>0.99756230000000001</v>
      </c>
      <c r="AB3033">
        <v>38</v>
      </c>
      <c r="AC3033">
        <v>2.49999999999772E-2</v>
      </c>
      <c r="AD3033">
        <v>-7.0306999999999897E-2</v>
      </c>
      <c r="AE3033">
        <v>-0.60620000000000096</v>
      </c>
      <c r="AF3033">
        <v>7.9514691006378896E-3</v>
      </c>
      <c r="AG3033">
        <v>-7.0306999999999897E-2</v>
      </c>
      <c r="AH3033">
        <v>0.59862316461762699</v>
      </c>
      <c r="AI3033">
        <v>96.697992709871997</v>
      </c>
      <c r="AJ3033">
        <v>89.238988972988906</v>
      </c>
      <c r="AK3033">
        <v>0.60279017354854103</v>
      </c>
      <c r="AL3033">
        <v>87.002513404305006</v>
      </c>
      <c r="AM3033">
        <v>93.215834144711906</v>
      </c>
      <c r="AN3033">
        <v>1.00000001662788</v>
      </c>
    </row>
    <row r="3034" spans="1:40" x14ac:dyDescent="0.3">
      <c r="A3034" t="str">
        <f>"20200111153937763"</f>
        <v>20200111153937763</v>
      </c>
      <c r="B3034" t="str">
        <f>"1578728377753605"</f>
        <v>1578728377753605</v>
      </c>
      <c r="C3034" t="s">
        <v>40</v>
      </c>
      <c r="D3034">
        <v>5.3933410000000004</v>
      </c>
      <c r="E3034">
        <v>0.52432140000000005</v>
      </c>
      <c r="F3034" t="s">
        <v>41</v>
      </c>
      <c r="G3034">
        <v>-420.3811</v>
      </c>
      <c r="H3034">
        <v>1.038195</v>
      </c>
      <c r="I3034">
        <v>105.30629999999999</v>
      </c>
      <c r="J3034">
        <v>-420.40249999999997</v>
      </c>
      <c r="K3034">
        <v>1.1032329999999999</v>
      </c>
      <c r="L3034">
        <v>105.8828</v>
      </c>
      <c r="M3034">
        <v>5.2652240000000003E-2</v>
      </c>
      <c r="N3034">
        <v>0</v>
      </c>
      <c r="O3034">
        <v>-0.99851780000000001</v>
      </c>
      <c r="P3034">
        <v>0.10771849999999999</v>
      </c>
      <c r="Q3034">
        <v>3.8325640000000001E-2</v>
      </c>
      <c r="R3034">
        <v>-0.99344279999999996</v>
      </c>
      <c r="S3034">
        <v>0.12805179999999999</v>
      </c>
      <c r="T3034">
        <v>-0.20686019999999999</v>
      </c>
      <c r="U3034">
        <v>-3.014481</v>
      </c>
      <c r="V3034">
        <v>-5.5092229999999999E-2</v>
      </c>
      <c r="W3034">
        <v>5.2261679999999998E-2</v>
      </c>
      <c r="X3034">
        <v>0.99711260000000002</v>
      </c>
      <c r="Y3034">
        <v>1.032727E-2</v>
      </c>
      <c r="Z3034">
        <v>6.8286490000000005E-2</v>
      </c>
      <c r="AA3034">
        <v>0.99761230000000001</v>
      </c>
      <c r="AB3034">
        <v>38</v>
      </c>
      <c r="AC3034">
        <v>2.13999999999714E-2</v>
      </c>
      <c r="AD3034">
        <v>-6.5037999999999901E-2</v>
      </c>
      <c r="AE3034">
        <v>-0.57650000000001</v>
      </c>
      <c r="AF3034">
        <v>8.8738049324452607E-3</v>
      </c>
      <c r="AG3034">
        <v>-6.5037999999999901E-2</v>
      </c>
      <c r="AH3034">
        <v>0.56958772549585701</v>
      </c>
      <c r="AI3034">
        <v>96.513284802753802</v>
      </c>
      <c r="AJ3034">
        <v>89.107441366362593</v>
      </c>
      <c r="AK3034">
        <v>0.57335753495835595</v>
      </c>
      <c r="AL3034">
        <v>87.004261508392801</v>
      </c>
      <c r="AM3034">
        <v>93.162477408042903</v>
      </c>
      <c r="AN3034">
        <v>0.99999998704077697</v>
      </c>
    </row>
    <row r="3035" spans="1:40" x14ac:dyDescent="0.3">
      <c r="A3035" t="str">
        <f>"20200111153937785"</f>
        <v>20200111153937785</v>
      </c>
      <c r="B3035" t="str">
        <f>"1578728377774101"</f>
        <v>1578728377774101</v>
      </c>
      <c r="C3035" t="s">
        <v>40</v>
      </c>
      <c r="D3035">
        <v>5.353243</v>
      </c>
      <c r="E3035">
        <v>0.52456519999999995</v>
      </c>
      <c r="F3035" t="s">
        <v>41</v>
      </c>
      <c r="G3035">
        <v>-420.36680000000001</v>
      </c>
      <c r="H3035">
        <v>1.0408409999999999</v>
      </c>
      <c r="I3035">
        <v>104.96339999999999</v>
      </c>
      <c r="J3035">
        <v>-420.38400000000001</v>
      </c>
      <c r="K3035">
        <v>1.1030139999999999</v>
      </c>
      <c r="L3035">
        <v>105.4988</v>
      </c>
      <c r="M3035">
        <v>5.0634360000000003E-2</v>
      </c>
      <c r="N3035">
        <v>0</v>
      </c>
      <c r="O3035">
        <v>-0.99862220000000002</v>
      </c>
      <c r="P3035">
        <v>0.1041361</v>
      </c>
      <c r="Q3035">
        <v>3.89006E-2</v>
      </c>
      <c r="R3035">
        <v>-0.99380199999999996</v>
      </c>
      <c r="S3035">
        <v>0.1180725</v>
      </c>
      <c r="T3035">
        <v>-0.20450760000000001</v>
      </c>
      <c r="U3035">
        <v>-3.0149080000000001</v>
      </c>
      <c r="V3035">
        <v>-5.3482490000000001E-2</v>
      </c>
      <c r="W3035">
        <v>5.2849760000000003E-2</v>
      </c>
      <c r="X3035">
        <v>0.99716930000000004</v>
      </c>
      <c r="Y3035">
        <v>1.160711E-2</v>
      </c>
      <c r="Z3035">
        <v>6.751857E-2</v>
      </c>
      <c r="AA3035">
        <v>0.9976505</v>
      </c>
      <c r="AB3035">
        <v>38</v>
      </c>
      <c r="AC3035">
        <v>1.7200000000002501E-2</v>
      </c>
      <c r="AD3035">
        <v>-6.2172999999999999E-2</v>
      </c>
      <c r="AE3035">
        <v>-0.53540000000000898</v>
      </c>
      <c r="AF3035">
        <v>9.8022320331775502E-3</v>
      </c>
      <c r="AG3035">
        <v>-6.2172999999999999E-2</v>
      </c>
      <c r="AH3035">
        <v>0.52846514402442502</v>
      </c>
      <c r="AI3035">
        <v>96.708760748834607</v>
      </c>
      <c r="AJ3035">
        <v>88.9373714872455</v>
      </c>
      <c r="AK3035">
        <v>0.53220012601519395</v>
      </c>
      <c r="AL3035">
        <v>86.970520545765396</v>
      </c>
      <c r="AM3035">
        <v>93.070078170656004</v>
      </c>
      <c r="AN3035">
        <v>1.00000004336557</v>
      </c>
    </row>
    <row r="3036" spans="1:40" x14ac:dyDescent="0.3">
      <c r="A3036" t="str">
        <f>"20200111153937807"</f>
        <v>20200111153937807</v>
      </c>
      <c r="B3036" t="str">
        <f>"1578728377804357"</f>
        <v>1578728377804357</v>
      </c>
      <c r="C3036" t="s">
        <v>40</v>
      </c>
      <c r="D3036">
        <v>5.4001939999999999</v>
      </c>
      <c r="E3036">
        <v>0.52497559999999999</v>
      </c>
      <c r="F3036" t="s">
        <v>41</v>
      </c>
      <c r="G3036">
        <v>-420.35300000000001</v>
      </c>
      <c r="H3036">
        <v>1.044125</v>
      </c>
      <c r="I3036">
        <v>104.6139</v>
      </c>
      <c r="J3036">
        <v>-420.36759999999998</v>
      </c>
      <c r="K3036">
        <v>1.1028359999999999</v>
      </c>
      <c r="L3036">
        <v>105.1409</v>
      </c>
      <c r="M3036">
        <v>4.8647900000000001E-2</v>
      </c>
      <c r="N3036">
        <v>0</v>
      </c>
      <c r="O3036">
        <v>-0.99872099999999997</v>
      </c>
      <c r="P3036">
        <v>9.9801089999999995E-2</v>
      </c>
      <c r="Q3036">
        <v>3.8925559999999998E-2</v>
      </c>
      <c r="R3036">
        <v>-0.99424559999999995</v>
      </c>
      <c r="S3036">
        <v>0.1060791</v>
      </c>
      <c r="T3036">
        <v>-0.2006474</v>
      </c>
      <c r="U3036">
        <v>-3.0154420000000002</v>
      </c>
      <c r="V3036">
        <v>-5.1093880000000001E-2</v>
      </c>
      <c r="W3036">
        <v>5.2879280000000001E-2</v>
      </c>
      <c r="X3036">
        <v>0.99729290000000004</v>
      </c>
      <c r="Y3036">
        <v>1.3584519999999999E-2</v>
      </c>
      <c r="Z3036">
        <v>6.6251950000000004E-2</v>
      </c>
      <c r="AA3036">
        <v>0.99771049999999994</v>
      </c>
      <c r="AB3036">
        <v>38</v>
      </c>
      <c r="AC3036">
        <v>1.4599999999972999E-2</v>
      </c>
      <c r="AD3036">
        <v>-5.8711000000000103E-2</v>
      </c>
      <c r="AE3036">
        <v>-0.52700000000000102</v>
      </c>
      <c r="AF3036">
        <v>1.09217168889404E-2</v>
      </c>
      <c r="AG3036">
        <v>-5.8711000000000103E-2</v>
      </c>
      <c r="AH3036">
        <v>0.52062949500948796</v>
      </c>
      <c r="AI3036">
        <v>96.432617221536205</v>
      </c>
      <c r="AJ3036">
        <v>88.798230760038294</v>
      </c>
      <c r="AK3036">
        <v>0.52404325822839903</v>
      </c>
      <c r="AL3036">
        <v>86.968826570145595</v>
      </c>
      <c r="AM3036">
        <v>92.932845903738894</v>
      </c>
      <c r="AN3036">
        <v>0.99999996560859095</v>
      </c>
    </row>
    <row r="3037" spans="1:40" x14ac:dyDescent="0.3">
      <c r="A3037" t="str">
        <f>"20200111153937829"</f>
        <v>20200111153937829</v>
      </c>
      <c r="B3037" t="str">
        <f>"1578728377823878"</f>
        <v>1578728377823878</v>
      </c>
      <c r="C3037" t="s">
        <v>40</v>
      </c>
      <c r="D3037">
        <v>5.3819189999999999</v>
      </c>
      <c r="E3037">
        <v>0.52500340000000001</v>
      </c>
      <c r="F3037" t="s">
        <v>42</v>
      </c>
      <c r="G3037">
        <v>-419.86219999999997</v>
      </c>
      <c r="H3037" s="1">
        <v>-3.7747640000000001E-6</v>
      </c>
      <c r="I3037">
        <v>88.374849999999995</v>
      </c>
      <c r="J3037">
        <v>-420.35059999999999</v>
      </c>
      <c r="K3037">
        <v>1.102681</v>
      </c>
      <c r="L3037">
        <v>104.7533</v>
      </c>
      <c r="M3037">
        <v>4.6423510000000001E-2</v>
      </c>
      <c r="N3037">
        <v>0</v>
      </c>
      <c r="O3037">
        <v>-0.99882720000000003</v>
      </c>
      <c r="P3037">
        <v>9.5179810000000004E-2</v>
      </c>
      <c r="Q3037">
        <v>3.7993560000000003E-2</v>
      </c>
      <c r="R3037">
        <v>-0.99473520000000004</v>
      </c>
      <c r="S3037">
        <v>9.0911870000000006E-2</v>
      </c>
      <c r="T3037">
        <v>-0.19838629999999999</v>
      </c>
      <c r="U3037">
        <v>-3.0159910000000001</v>
      </c>
      <c r="V3037">
        <v>-4.8661320000000001E-2</v>
      </c>
      <c r="W3037">
        <v>5.194787E-2</v>
      </c>
      <c r="X3037">
        <v>0.99746349999999995</v>
      </c>
      <c r="Y3037">
        <v>1.6374509999999998E-2</v>
      </c>
      <c r="Z3037">
        <v>6.5511089999999994E-2</v>
      </c>
      <c r="AA3037">
        <v>0.99771750000000003</v>
      </c>
      <c r="AB3037">
        <v>38</v>
      </c>
      <c r="AC3037">
        <v>0.48840000000001199</v>
      </c>
      <c r="AD3037">
        <v>-1.1026847747640001</v>
      </c>
      <c r="AE3037">
        <v>-16.378450000000001</v>
      </c>
      <c r="AF3037">
        <v>0.271315003230366</v>
      </c>
      <c r="AG3037">
        <v>-1.1026847747640001</v>
      </c>
      <c r="AH3037">
        <v>16.309602691476702</v>
      </c>
      <c r="AI3037">
        <v>93.867321767694094</v>
      </c>
      <c r="AJ3037">
        <v>89.046955883657205</v>
      </c>
      <c r="AK3037">
        <v>16.349087604429101</v>
      </c>
      <c r="AL3037">
        <v>87.022265901945005</v>
      </c>
      <c r="AM3037">
        <v>92.792963900632998</v>
      </c>
      <c r="AN3037">
        <v>0.99999996954696402</v>
      </c>
    </row>
    <row r="3038" spans="1:40" x14ac:dyDescent="0.3">
      <c r="A3038" t="str">
        <f>"20200111153937853"</f>
        <v>20200111153937853</v>
      </c>
      <c r="B3038" t="str">
        <f>"1578728377844373"</f>
        <v>1578728377844373</v>
      </c>
      <c r="C3038" t="s">
        <v>40</v>
      </c>
      <c r="D3038">
        <v>5.3502929999999997</v>
      </c>
      <c r="E3038">
        <v>0.52507250000000005</v>
      </c>
      <c r="F3038" t="s">
        <v>42</v>
      </c>
      <c r="G3038">
        <v>-419.92599999999999</v>
      </c>
      <c r="H3038" s="1">
        <v>-3.7043799999999999E-6</v>
      </c>
      <c r="I3038">
        <v>88.23715</v>
      </c>
      <c r="J3038">
        <v>-420.33390000000003</v>
      </c>
      <c r="K3038">
        <v>1.102552</v>
      </c>
      <c r="L3038">
        <v>104.351</v>
      </c>
      <c r="M3038">
        <v>4.4070690000000003E-2</v>
      </c>
      <c r="N3038">
        <v>0</v>
      </c>
      <c r="O3038">
        <v>-0.99893390000000004</v>
      </c>
      <c r="P3038">
        <v>9.1363819999999998E-2</v>
      </c>
      <c r="Q3038">
        <v>3.6647190000000003E-2</v>
      </c>
      <c r="R3038">
        <v>-0.99514329999999995</v>
      </c>
      <c r="S3038">
        <v>7.7545169999999997E-2</v>
      </c>
      <c r="T3038">
        <v>-0.20137050000000001</v>
      </c>
      <c r="U3038">
        <v>-3.0161440000000002</v>
      </c>
      <c r="V3038">
        <v>-4.7173439999999997E-2</v>
      </c>
      <c r="W3038">
        <v>5.060162E-2</v>
      </c>
      <c r="X3038">
        <v>0.99760420000000005</v>
      </c>
      <c r="Y3038">
        <v>1.8440660000000001E-2</v>
      </c>
      <c r="Z3038">
        <v>6.6502329999999998E-2</v>
      </c>
      <c r="AA3038">
        <v>0.9976159</v>
      </c>
      <c r="AB3038">
        <v>38</v>
      </c>
      <c r="AC3038">
        <v>0.40790000000004001</v>
      </c>
      <c r="AD3038">
        <v>-1.1025557043799901</v>
      </c>
      <c r="AE3038">
        <v>-16.113849999999999</v>
      </c>
      <c r="AF3038">
        <v>0.301302233630656</v>
      </c>
      <c r="AG3038">
        <v>-1.1025557043799901</v>
      </c>
      <c r="AH3038">
        <v>16.041117787296599</v>
      </c>
      <c r="AI3038">
        <v>93.931241108923601</v>
      </c>
      <c r="AJ3038">
        <v>88.923933057422204</v>
      </c>
      <c r="AK3038">
        <v>16.081786964861099</v>
      </c>
      <c r="AL3038">
        <v>87.099502035211898</v>
      </c>
      <c r="AM3038">
        <v>92.7073133495268</v>
      </c>
      <c r="AN3038">
        <v>0.99999999862284905</v>
      </c>
    </row>
    <row r="3039" spans="1:40" x14ac:dyDescent="0.3">
      <c r="A3039" t="str">
        <f>"20200111153937873"</f>
        <v>20200111153937873</v>
      </c>
      <c r="B3039" t="str">
        <f>"1578728377863893"</f>
        <v>1578728377863893</v>
      </c>
      <c r="C3039" t="s">
        <v>40</v>
      </c>
      <c r="D3039">
        <v>5.3130329999999999</v>
      </c>
      <c r="E3039">
        <v>0.52516280000000004</v>
      </c>
      <c r="F3039" t="s">
        <v>42</v>
      </c>
      <c r="G3039">
        <v>-419.9855</v>
      </c>
      <c r="H3039" s="1">
        <v>-3.6533210000000002E-6</v>
      </c>
      <c r="I3039">
        <v>88.114090000000004</v>
      </c>
      <c r="J3039">
        <v>-420.32029999999997</v>
      </c>
      <c r="K3039">
        <v>1.1024689999999999</v>
      </c>
      <c r="L3039">
        <v>103.99979999999999</v>
      </c>
      <c r="M3039">
        <v>4.2004979999999997E-2</v>
      </c>
      <c r="N3039">
        <v>0</v>
      </c>
      <c r="O3039">
        <v>-0.99902270000000004</v>
      </c>
      <c r="P3039">
        <v>8.7382580000000001E-2</v>
      </c>
      <c r="Q3039">
        <v>3.5499070000000001E-2</v>
      </c>
      <c r="R3039">
        <v>-0.99554219999999904</v>
      </c>
      <c r="S3039">
        <v>6.4727779999999999E-2</v>
      </c>
      <c r="T3039">
        <v>-0.2048159</v>
      </c>
      <c r="U3039">
        <v>-3.016235</v>
      </c>
      <c r="V3039">
        <v>-4.5239420000000002E-2</v>
      </c>
      <c r="W3039">
        <v>4.9447699999999997E-2</v>
      </c>
      <c r="X3039">
        <v>0.99775170000000002</v>
      </c>
      <c r="Y3039">
        <v>2.061255E-2</v>
      </c>
      <c r="Z3039">
        <v>6.7643930000000005E-2</v>
      </c>
      <c r="AA3039">
        <v>0.99749659999999996</v>
      </c>
      <c r="AB3039">
        <v>38</v>
      </c>
      <c r="AC3039">
        <v>0.33479999999997201</v>
      </c>
      <c r="AD3039">
        <v>-1.1024726533210001</v>
      </c>
      <c r="AE3039">
        <v>-15.8857099999999</v>
      </c>
      <c r="AF3039">
        <v>0.33124293365794499</v>
      </c>
      <c r="AG3039">
        <v>-1.1024726533210001</v>
      </c>
      <c r="AH3039">
        <v>15.8096395237379</v>
      </c>
      <c r="AI3039">
        <v>93.988145576074203</v>
      </c>
      <c r="AJ3039">
        <v>88.799716738774904</v>
      </c>
      <c r="AK3039">
        <v>15.851494241962</v>
      </c>
      <c r="AL3039">
        <v>87.165699860859704</v>
      </c>
      <c r="AM3039">
        <v>92.5960905478304</v>
      </c>
      <c r="AN3039">
        <v>1.00000006750505</v>
      </c>
    </row>
    <row r="3040" spans="1:40" x14ac:dyDescent="0.3">
      <c r="A3040" t="str">
        <f>"20200111153937897"</f>
        <v>20200111153937897</v>
      </c>
      <c r="B3040" t="str">
        <f>"1578728377884390"</f>
        <v>1578728377884390</v>
      </c>
      <c r="C3040" t="s">
        <v>40</v>
      </c>
      <c r="D3040">
        <v>5.2678770000000004</v>
      </c>
      <c r="E3040">
        <v>0.52516940000000001</v>
      </c>
      <c r="F3040" t="s">
        <v>42</v>
      </c>
      <c r="G3040">
        <v>-420.04239999999999</v>
      </c>
      <c r="H3040" s="1">
        <v>-3.6108860000000001E-6</v>
      </c>
      <c r="I3040">
        <v>87.979849999999999</v>
      </c>
      <c r="J3040">
        <v>-420.30619999999999</v>
      </c>
      <c r="K3040">
        <v>1.1024130000000001</v>
      </c>
      <c r="L3040">
        <v>103.6161</v>
      </c>
      <c r="M3040">
        <v>3.975766E-2</v>
      </c>
      <c r="N3040">
        <v>0</v>
      </c>
      <c r="O3040">
        <v>-0.99911519999999998</v>
      </c>
      <c r="P3040">
        <v>8.2512639999999998E-2</v>
      </c>
      <c r="Q3040">
        <v>3.4793119999999997E-2</v>
      </c>
      <c r="R3040">
        <v>-0.99598260000000005</v>
      </c>
      <c r="S3040">
        <v>5.230713E-2</v>
      </c>
      <c r="T3040">
        <v>-0.20757500000000001</v>
      </c>
      <c r="U3040">
        <v>-3.0162659999999999</v>
      </c>
      <c r="V3040">
        <v>-4.2598839999999999E-2</v>
      </c>
      <c r="W3040">
        <v>4.872949E-2</v>
      </c>
      <c r="X3040">
        <v>0.99790319999999999</v>
      </c>
      <c r="Y3040">
        <v>2.247089E-2</v>
      </c>
      <c r="Z3040">
        <v>6.8561010000000006E-2</v>
      </c>
      <c r="AA3040">
        <v>0.9973938</v>
      </c>
      <c r="AB3040">
        <v>38</v>
      </c>
      <c r="AC3040">
        <v>0.26380000000000298</v>
      </c>
      <c r="AD3040">
        <v>-1.1024166108859901</v>
      </c>
      <c r="AE3040">
        <v>-15.63625</v>
      </c>
      <c r="AF3040">
        <v>0.35635693808233598</v>
      </c>
      <c r="AG3040">
        <v>-1.1024166108859901</v>
      </c>
      <c r="AH3040">
        <v>15.557064902363299</v>
      </c>
      <c r="AI3040">
        <v>94.052302191089893</v>
      </c>
      <c r="AJ3040">
        <v>88.687787271776898</v>
      </c>
      <c r="AK3040">
        <v>15.600146827117401</v>
      </c>
      <c r="AL3040">
        <v>87.206899770975895</v>
      </c>
      <c r="AM3040">
        <v>92.444378156106296</v>
      </c>
      <c r="AN3040">
        <v>1.0000000104676201</v>
      </c>
    </row>
    <row r="3041" spans="1:40" x14ac:dyDescent="0.3">
      <c r="A3041" t="str">
        <f>"20200111153937919"</f>
        <v>20200111153937919</v>
      </c>
      <c r="B3041" t="str">
        <f>"1578728377913670"</f>
        <v>1578728377913670</v>
      </c>
      <c r="C3041" t="s">
        <v>40</v>
      </c>
      <c r="D3041">
        <v>5.1570369999999999</v>
      </c>
      <c r="E3041">
        <v>0.52516390000000002</v>
      </c>
      <c r="F3041" t="s">
        <v>41</v>
      </c>
      <c r="G3041">
        <v>-420.29320000000001</v>
      </c>
      <c r="H3041">
        <v>1.03135</v>
      </c>
      <c r="I3041">
        <v>102.59050000000001</v>
      </c>
      <c r="J3041">
        <v>-420.29320000000001</v>
      </c>
      <c r="K3041">
        <v>1.10239</v>
      </c>
      <c r="L3041">
        <v>103.24209999999999</v>
      </c>
      <c r="M3041">
        <v>3.7590760000000001E-2</v>
      </c>
      <c r="N3041">
        <v>0</v>
      </c>
      <c r="O3041">
        <v>-0.99919899999999995</v>
      </c>
      <c r="P3041">
        <v>7.7965419999999994E-2</v>
      </c>
      <c r="Q3041">
        <v>3.4459429999999999E-2</v>
      </c>
      <c r="R3041">
        <v>-0.99636049999999998</v>
      </c>
      <c r="S3041">
        <v>3.7933349999999998E-2</v>
      </c>
      <c r="T3041">
        <v>-0.208979</v>
      </c>
      <c r="U3041">
        <v>-3.016235</v>
      </c>
      <c r="V3041">
        <v>-4.0203559999999999E-2</v>
      </c>
      <c r="W3041">
        <v>4.8382290000000001E-2</v>
      </c>
      <c r="X3041">
        <v>0.99801949999999995</v>
      </c>
      <c r="Y3041">
        <v>2.505483E-2</v>
      </c>
      <c r="Z3041">
        <v>6.9032239999999995E-2</v>
      </c>
      <c r="AA3041">
        <v>0.99729970000000001</v>
      </c>
      <c r="AB3041">
        <v>38</v>
      </c>
      <c r="AC3041">
        <v>0</v>
      </c>
      <c r="AD3041">
        <v>-7.1039999999999895E-2</v>
      </c>
      <c r="AE3041">
        <v>-0.65159999999998697</v>
      </c>
      <c r="AF3041">
        <v>2.42086957047392E-2</v>
      </c>
      <c r="AG3041">
        <v>-7.1039999999999895E-2</v>
      </c>
      <c r="AH3041">
        <v>0.64349070195653701</v>
      </c>
      <c r="AI3041">
        <v>96.295403325265298</v>
      </c>
      <c r="AJ3041">
        <v>87.845497594851494</v>
      </c>
      <c r="AK3041">
        <v>0.64785262680044897</v>
      </c>
      <c r="AL3041">
        <v>87.226816460010198</v>
      </c>
      <c r="AM3041">
        <v>92.3068181779594</v>
      </c>
      <c r="AN3041">
        <v>1.00000004730128</v>
      </c>
    </row>
    <row r="3042" spans="1:40" x14ac:dyDescent="0.3">
      <c r="A3042" t="str">
        <f>"20200111153937941"</f>
        <v>20200111153937941</v>
      </c>
      <c r="B3042" t="str">
        <f>"1578728377934165"</f>
        <v>1578728377934165</v>
      </c>
      <c r="C3042" t="s">
        <v>40</v>
      </c>
      <c r="D3042">
        <v>5.1414809999999997</v>
      </c>
      <c r="E3042">
        <v>0.52515219999999996</v>
      </c>
      <c r="F3042" t="s">
        <v>41</v>
      </c>
      <c r="G3042">
        <v>-420.28570000000002</v>
      </c>
      <c r="H3042">
        <v>1.0342480000000001</v>
      </c>
      <c r="I3042">
        <v>102.24979999999999</v>
      </c>
      <c r="J3042">
        <v>-420.28050000000002</v>
      </c>
      <c r="K3042">
        <v>1.1023829999999999</v>
      </c>
      <c r="L3042">
        <v>102.8492</v>
      </c>
      <c r="M3042">
        <v>3.5340450000000002E-2</v>
      </c>
      <c r="N3042">
        <v>0</v>
      </c>
      <c r="O3042">
        <v>-0.99928110000000003</v>
      </c>
      <c r="P3042">
        <v>7.5075879999999998E-2</v>
      </c>
      <c r="Q3042">
        <v>3.4778160000000002E-2</v>
      </c>
      <c r="R3042">
        <v>-0.9965714</v>
      </c>
      <c r="S3042">
        <v>2.3864750000000001E-2</v>
      </c>
      <c r="T3042">
        <v>-0.20703920000000001</v>
      </c>
      <c r="U3042">
        <v>-3.0162659999999999</v>
      </c>
      <c r="V3042">
        <v>-3.9553350000000001E-2</v>
      </c>
      <c r="W3042">
        <v>4.8694250000000001E-2</v>
      </c>
      <c r="X3042">
        <v>0.99803019999999998</v>
      </c>
      <c r="Y3042">
        <v>2.745438E-2</v>
      </c>
      <c r="Z3042">
        <v>6.8401669999999998E-2</v>
      </c>
      <c r="AA3042">
        <v>0.9972801</v>
      </c>
      <c r="AB3042">
        <v>38</v>
      </c>
      <c r="AC3042">
        <v>-5.2000000000020901E-3</v>
      </c>
      <c r="AD3042">
        <v>-6.8134999999999807E-2</v>
      </c>
      <c r="AE3042">
        <v>-0.59940000000000204</v>
      </c>
      <c r="AF3042">
        <v>2.6045297465099801E-2</v>
      </c>
      <c r="AG3042">
        <v>-6.8134999999999807E-2</v>
      </c>
      <c r="AH3042">
        <v>0.59120316212531199</v>
      </c>
      <c r="AI3042">
        <v>96.567906881142804</v>
      </c>
      <c r="AJ3042">
        <v>87.477480805064104</v>
      </c>
      <c r="AK3042">
        <v>0.595686087341322</v>
      </c>
      <c r="AL3042">
        <v>87.208921073806707</v>
      </c>
      <c r="AM3042">
        <v>92.269525158837197</v>
      </c>
      <c r="AN3042">
        <v>0.99999993879565996</v>
      </c>
    </row>
    <row r="3043" spans="1:40" x14ac:dyDescent="0.3">
      <c r="A3043" t="str">
        <f>"20200111153937963"</f>
        <v>20200111153937963</v>
      </c>
      <c r="B3043" t="str">
        <f>"1578728377954192"</f>
        <v>1578728377954192</v>
      </c>
      <c r="C3043" t="s">
        <v>40</v>
      </c>
      <c r="D3043">
        <v>5.0203110000000004</v>
      </c>
      <c r="E3043">
        <v>0.52501219999999904</v>
      </c>
      <c r="F3043" t="s">
        <v>41</v>
      </c>
      <c r="G3043">
        <v>-420.27600000000001</v>
      </c>
      <c r="H3043">
        <v>1.038395</v>
      </c>
      <c r="I3043">
        <v>101.9084</v>
      </c>
      <c r="J3043">
        <v>-420.26920000000001</v>
      </c>
      <c r="K3043">
        <v>1.1023879999999999</v>
      </c>
      <c r="L3043">
        <v>102.47669999999999</v>
      </c>
      <c r="M3043">
        <v>3.3231959999999998E-2</v>
      </c>
      <c r="N3043">
        <v>0</v>
      </c>
      <c r="O3043">
        <v>-0.99935350000000001</v>
      </c>
      <c r="P3043">
        <v>7.3520710000000003E-2</v>
      </c>
      <c r="Q3043">
        <v>3.6822189999999998E-2</v>
      </c>
      <c r="R3043">
        <v>-0.996614</v>
      </c>
      <c r="S3043">
        <v>1.528931E-2</v>
      </c>
      <c r="T3043">
        <v>-0.20511940000000001</v>
      </c>
      <c r="U3043">
        <v>-3.016327</v>
      </c>
      <c r="V3043">
        <v>-4.0092740000000002E-2</v>
      </c>
      <c r="W3043">
        <v>5.0735919999999997E-2</v>
      </c>
      <c r="X3043">
        <v>0.99790699999999999</v>
      </c>
      <c r="Y3043">
        <v>2.8180319999999998E-2</v>
      </c>
      <c r="Z3043">
        <v>6.777627E-2</v>
      </c>
      <c r="AA3043">
        <v>0.99730249999999998</v>
      </c>
      <c r="AB3043">
        <v>38</v>
      </c>
      <c r="AC3043">
        <v>-6.7999999999983603E-3</v>
      </c>
      <c r="AD3043">
        <v>-6.3992999999999703E-2</v>
      </c>
      <c r="AE3043">
        <v>-0.56829999999999303</v>
      </c>
      <c r="AF3043">
        <v>2.5362204277118099E-2</v>
      </c>
      <c r="AG3043">
        <v>-6.3992999999999703E-2</v>
      </c>
      <c r="AH3043">
        <v>0.56065215667836699</v>
      </c>
      <c r="AI3043">
        <v>96.5049815333997</v>
      </c>
      <c r="AJ3043">
        <v>87.409878424464296</v>
      </c>
      <c r="AK3043">
        <v>0.56486209488945105</v>
      </c>
      <c r="AL3043">
        <v>87.091797235032502</v>
      </c>
      <c r="AM3043">
        <v>92.300725405136106</v>
      </c>
      <c r="AN3043">
        <v>0.99999997101397597</v>
      </c>
    </row>
    <row r="3044" spans="1:40" x14ac:dyDescent="0.3">
      <c r="A3044" t="str">
        <f>"20200111153937987"</f>
        <v>20200111153937987</v>
      </c>
      <c r="B3044" t="str">
        <f>"1578728377973712"</f>
        <v>1578728377973712</v>
      </c>
      <c r="C3044" t="s">
        <v>40</v>
      </c>
      <c r="D3044">
        <v>4.9491110000000003</v>
      </c>
      <c r="E3044">
        <v>0.52491330000000003</v>
      </c>
      <c r="F3044" t="s">
        <v>41</v>
      </c>
      <c r="G3044">
        <v>-420.26600000000002</v>
      </c>
      <c r="H3044">
        <v>1.042646</v>
      </c>
      <c r="I3044">
        <v>101.56570000000001</v>
      </c>
      <c r="J3044">
        <v>-420.25889999999998</v>
      </c>
      <c r="K3044">
        <v>1.1023860000000001</v>
      </c>
      <c r="L3044">
        <v>102.1125</v>
      </c>
      <c r="M3044">
        <v>3.1190539999999999E-2</v>
      </c>
      <c r="N3044">
        <v>0</v>
      </c>
      <c r="O3044">
        <v>-0.99941930000000001</v>
      </c>
      <c r="P3044">
        <v>7.2297749999999994E-2</v>
      </c>
      <c r="Q3044">
        <v>3.977758E-2</v>
      </c>
      <c r="R3044">
        <v>-0.99658970000000002</v>
      </c>
      <c r="S3044">
        <v>1.1169429999999999E-2</v>
      </c>
      <c r="T3044">
        <v>-0.19778009999999999</v>
      </c>
      <c r="U3044">
        <v>-3.0166629999999999</v>
      </c>
      <c r="V3044">
        <v>-4.0894850000000003E-2</v>
      </c>
      <c r="W3044">
        <v>5.3690179999999997E-2</v>
      </c>
      <c r="X3044">
        <v>0.99771989999999999</v>
      </c>
      <c r="Y3044">
        <v>2.7500409999999999E-2</v>
      </c>
      <c r="Z3044">
        <v>6.5361779999999994E-2</v>
      </c>
      <c r="AA3044">
        <v>0.9974826</v>
      </c>
      <c r="AB3044">
        <v>38</v>
      </c>
      <c r="AC3044">
        <v>-7.0999999999799002E-3</v>
      </c>
      <c r="AD3044">
        <v>-5.9740000000000099E-2</v>
      </c>
      <c r="AE3044">
        <v>-0.54679999999998996</v>
      </c>
      <c r="AF3044">
        <v>2.3868283977973099E-2</v>
      </c>
      <c r="AG3044">
        <v>-5.9740000000000099E-2</v>
      </c>
      <c r="AH3044">
        <v>0.53986942239905</v>
      </c>
      <c r="AI3044">
        <v>96.308341966550202</v>
      </c>
      <c r="AJ3044">
        <v>87.468532384206796</v>
      </c>
      <c r="AK3044">
        <v>0.54368884099412695</v>
      </c>
      <c r="AL3044">
        <v>86.922299462601103</v>
      </c>
      <c r="AM3044">
        <v>92.347143181516799</v>
      </c>
      <c r="AN3044">
        <v>1.0000000115204799</v>
      </c>
    </row>
    <row r="3045" spans="1:40" x14ac:dyDescent="0.3">
      <c r="A3045" t="str">
        <f>"20200111153938008"</f>
        <v>20200111153938008</v>
      </c>
      <c r="B3045" t="str">
        <f>"1578728378003969"</f>
        <v>1578728378003969</v>
      </c>
      <c r="C3045" t="s">
        <v>40</v>
      </c>
      <c r="D3045">
        <v>4.9111200000000004</v>
      </c>
      <c r="E3045">
        <v>0.52471040000000002</v>
      </c>
      <c r="F3045" t="s">
        <v>41</v>
      </c>
      <c r="G3045">
        <v>-420.25639999999999</v>
      </c>
      <c r="H3045">
        <v>1.0466260000000001</v>
      </c>
      <c r="I3045">
        <v>101.2175</v>
      </c>
      <c r="J3045">
        <v>-420.24869999999999</v>
      </c>
      <c r="K3045">
        <v>1.1023889999999901</v>
      </c>
      <c r="L3045">
        <v>101.7204</v>
      </c>
      <c r="M3045">
        <v>2.9009110000000001E-2</v>
      </c>
      <c r="N3045">
        <v>0</v>
      </c>
      <c r="O3045">
        <v>-0.99948510000000002</v>
      </c>
      <c r="P3045">
        <v>7.1852819999999998E-2</v>
      </c>
      <c r="Q3045">
        <v>4.0722220000000003E-2</v>
      </c>
      <c r="R3045">
        <v>-0.99658389999999997</v>
      </c>
      <c r="S3045">
        <v>8.4228519999999998E-3</v>
      </c>
      <c r="T3045">
        <v>-0.18798680000000001</v>
      </c>
      <c r="U3045">
        <v>-3.0171510000000001</v>
      </c>
      <c r="V3045">
        <v>-4.2623370000000001E-2</v>
      </c>
      <c r="W3045">
        <v>5.4639119999999999E-2</v>
      </c>
      <c r="X3045">
        <v>0.99759600000000004</v>
      </c>
      <c r="Y3045">
        <v>2.6226639999999999E-2</v>
      </c>
      <c r="Z3045">
        <v>6.2135429999999998E-2</v>
      </c>
      <c r="AA3045">
        <v>0.99772309999999997</v>
      </c>
      <c r="AB3045">
        <v>38</v>
      </c>
      <c r="AC3045">
        <v>-7.6999999999998103E-3</v>
      </c>
      <c r="AD3045">
        <v>-5.5762999999999702E-2</v>
      </c>
      <c r="AE3045">
        <v>-0.50289999999999602</v>
      </c>
      <c r="AF3045">
        <v>2.20161859718076E-2</v>
      </c>
      <c r="AG3045">
        <v>-5.5762999999999702E-2</v>
      </c>
      <c r="AH3045">
        <v>0.49636355619983002</v>
      </c>
      <c r="AI3045">
        <v>96.403663178464896</v>
      </c>
      <c r="AJ3045">
        <v>87.460312580344095</v>
      </c>
      <c r="AK3045">
        <v>0.49997100369630099</v>
      </c>
      <c r="AL3045">
        <v>86.867849180194796</v>
      </c>
      <c r="AM3045">
        <v>92.446536251814194</v>
      </c>
      <c r="AN3045">
        <v>0.99999998216026498</v>
      </c>
    </row>
    <row r="3046" spans="1:40" x14ac:dyDescent="0.3">
      <c r="A3046" t="str">
        <f>"20200111153938031"</f>
        <v>20200111153938031</v>
      </c>
      <c r="B3046" t="str">
        <f>"1578728378023488"</f>
        <v>1578728378023488</v>
      </c>
      <c r="C3046" t="s">
        <v>40</v>
      </c>
      <c r="D3046">
        <v>4.9386109999999999</v>
      </c>
      <c r="E3046">
        <v>0.52459719999999999</v>
      </c>
      <c r="F3046" t="s">
        <v>42</v>
      </c>
      <c r="G3046">
        <v>-420.19880000000001</v>
      </c>
      <c r="H3046" s="1">
        <v>-1.79160999999999E-6</v>
      </c>
      <c r="I3046">
        <v>83.642099999999999</v>
      </c>
      <c r="J3046">
        <v>-420.23950000000002</v>
      </c>
      <c r="K3046">
        <v>1.102384</v>
      </c>
      <c r="L3046">
        <v>101.3336</v>
      </c>
      <c r="M3046">
        <v>2.6866910000000001E-2</v>
      </c>
      <c r="N3046">
        <v>0</v>
      </c>
      <c r="O3046">
        <v>-0.99954509999999996</v>
      </c>
      <c r="P3046">
        <v>7.1753639999999994E-2</v>
      </c>
      <c r="Q3046">
        <v>4.0011919999999999E-2</v>
      </c>
      <c r="R3046">
        <v>-0.9966197</v>
      </c>
      <c r="S3046">
        <v>8.3312990000000003E-3</v>
      </c>
      <c r="T3046">
        <v>-0.18398400000000001</v>
      </c>
      <c r="U3046">
        <v>-3.0171809999999999</v>
      </c>
      <c r="V3046">
        <v>-4.4666659999999997E-2</v>
      </c>
      <c r="W3046">
        <v>5.3935869999999997E-2</v>
      </c>
      <c r="X3046">
        <v>0.99754489999999996</v>
      </c>
      <c r="Y3046">
        <v>2.4114170000000001E-2</v>
      </c>
      <c r="Z3046">
        <v>6.0823820000000001E-2</v>
      </c>
      <c r="AA3046">
        <v>0.9978572</v>
      </c>
      <c r="AB3046">
        <v>38</v>
      </c>
      <c r="AC3046">
        <v>4.0700000000015203E-2</v>
      </c>
      <c r="AD3046">
        <v>-1.1023857916099999</v>
      </c>
      <c r="AE3046">
        <v>-17.691500000000001</v>
      </c>
      <c r="AF3046">
        <v>0.43299406949378999</v>
      </c>
      <c r="AG3046">
        <v>-1.1023857916099999</v>
      </c>
      <c r="AH3046">
        <v>17.617801183554899</v>
      </c>
      <c r="AI3046">
        <v>93.579380885800006</v>
      </c>
      <c r="AJ3046">
        <v>88.592120594868007</v>
      </c>
      <c r="AK3046">
        <v>17.657566560572</v>
      </c>
      <c r="AL3046">
        <v>86.908202025168805</v>
      </c>
      <c r="AM3046">
        <v>92.563797178408805</v>
      </c>
      <c r="AN3046">
        <v>1.0000000080521101</v>
      </c>
    </row>
    <row r="3047" spans="1:40" x14ac:dyDescent="0.3">
      <c r="A3047" t="str">
        <f>"20200111153938053"</f>
        <v>20200111153938053</v>
      </c>
      <c r="B3047" t="str">
        <f>"1578728378043987"</f>
        <v>1578728378043987</v>
      </c>
      <c r="C3047" t="s">
        <v>40</v>
      </c>
      <c r="D3047">
        <v>4.8696210000000004</v>
      </c>
      <c r="E3047">
        <v>0.5244645</v>
      </c>
      <c r="F3047" t="s">
        <v>42</v>
      </c>
      <c r="G3047">
        <v>-420.18779999999998</v>
      </c>
      <c r="H3047" s="1">
        <v>-1.682814E-6</v>
      </c>
      <c r="I3047">
        <v>83.395319999999998</v>
      </c>
      <c r="J3047">
        <v>-420.23140000000001</v>
      </c>
      <c r="K3047">
        <v>1.1023719999999999</v>
      </c>
      <c r="L3047">
        <v>100.9646</v>
      </c>
      <c r="M3047">
        <v>2.4828300000000001E-2</v>
      </c>
      <c r="N3047">
        <v>0</v>
      </c>
      <c r="O3047">
        <v>-0.99959799999999999</v>
      </c>
      <c r="P3047">
        <v>7.0467340000000003E-2</v>
      </c>
      <c r="Q3047">
        <v>3.9341330000000001E-2</v>
      </c>
      <c r="R3047">
        <v>-0.99673840000000002</v>
      </c>
      <c r="S3047">
        <v>8.6975100000000003E-3</v>
      </c>
      <c r="T3047">
        <v>-0.1854063</v>
      </c>
      <c r="U3047">
        <v>-3.0169679999999999</v>
      </c>
      <c r="V3047">
        <v>-4.541651E-2</v>
      </c>
      <c r="W3047">
        <v>5.3266880000000003E-2</v>
      </c>
      <c r="X3047">
        <v>0.99754699999999996</v>
      </c>
      <c r="Y3047">
        <v>2.1953980000000001E-2</v>
      </c>
      <c r="Z3047">
        <v>6.1302929999999999E-2</v>
      </c>
      <c r="AA3047">
        <v>0.99787769999999998</v>
      </c>
      <c r="AB3047">
        <v>38</v>
      </c>
      <c r="AC3047">
        <v>4.3600000000026201E-2</v>
      </c>
      <c r="AD3047">
        <v>-1.1023736828139901</v>
      </c>
      <c r="AE3047">
        <v>-17.569279999999999</v>
      </c>
      <c r="AF3047">
        <v>0.39112986227612501</v>
      </c>
      <c r="AG3047">
        <v>-1.1023736828139901</v>
      </c>
      <c r="AH3047">
        <v>17.496066418371001</v>
      </c>
      <c r="AI3047">
        <v>93.604368040122907</v>
      </c>
      <c r="AJ3047">
        <v>88.719348811657795</v>
      </c>
      <c r="AK3047">
        <v>17.5351233363719</v>
      </c>
      <c r="AL3047">
        <v>86.946587543672507</v>
      </c>
      <c r="AM3047">
        <v>92.606773047280399</v>
      </c>
      <c r="AN3047">
        <v>1.00000001854725</v>
      </c>
    </row>
    <row r="3048" spans="1:40" x14ac:dyDescent="0.3">
      <c r="A3048" t="str">
        <f>"20200111153938076"</f>
        <v>20200111153938076</v>
      </c>
      <c r="B3048" t="str">
        <f>"1578728378063505"</f>
        <v>1578728378063505</v>
      </c>
      <c r="C3048" t="s">
        <v>40</v>
      </c>
      <c r="D3048">
        <v>4.872109</v>
      </c>
      <c r="E3048">
        <v>0.52432060000000003</v>
      </c>
      <c r="F3048" t="s">
        <v>42</v>
      </c>
      <c r="G3048">
        <v>-420.1968</v>
      </c>
      <c r="H3048" s="1">
        <v>-1.602887E-6</v>
      </c>
      <c r="I3048">
        <v>83.203429999999997</v>
      </c>
      <c r="J3048">
        <v>-420.2242</v>
      </c>
      <c r="K3048">
        <v>1.102371</v>
      </c>
      <c r="L3048">
        <v>100.5943</v>
      </c>
      <c r="M3048">
        <v>2.2783270000000001E-2</v>
      </c>
      <c r="N3048">
        <v>0</v>
      </c>
      <c r="O3048">
        <v>-0.99964649999999999</v>
      </c>
      <c r="P3048">
        <v>6.7888450000000003E-2</v>
      </c>
      <c r="Q3048">
        <v>3.8232439999999999E-2</v>
      </c>
      <c r="R3048">
        <v>-0.99696019999999996</v>
      </c>
      <c r="S3048">
        <v>5.8898930000000002E-3</v>
      </c>
      <c r="T3048">
        <v>-0.18724160000000001</v>
      </c>
      <c r="U3048">
        <v>-3.016785</v>
      </c>
      <c r="V3048">
        <v>-4.488164E-2</v>
      </c>
      <c r="W3048">
        <v>5.2153579999999998E-2</v>
      </c>
      <c r="X3048">
        <v>0.99763000000000002</v>
      </c>
      <c r="Y3048">
        <v>2.0837250000000002E-2</v>
      </c>
      <c r="Z3048">
        <v>6.1916529999999997E-2</v>
      </c>
      <c r="AA3048">
        <v>0.99786379999999997</v>
      </c>
      <c r="AB3048">
        <v>38</v>
      </c>
      <c r="AC3048">
        <v>2.7400000000000001E-2</v>
      </c>
      <c r="AD3048">
        <v>-1.102372602887</v>
      </c>
      <c r="AE3048">
        <v>-17.3908699999999</v>
      </c>
      <c r="AF3048">
        <v>0.36738903029780301</v>
      </c>
      <c r="AG3048">
        <v>-1.102372602887</v>
      </c>
      <c r="AH3048">
        <v>17.317397467733201</v>
      </c>
      <c r="AI3048">
        <v>93.641542485188694</v>
      </c>
      <c r="AJ3048">
        <v>88.784650883677401</v>
      </c>
      <c r="AK3048">
        <v>17.356337606495</v>
      </c>
      <c r="AL3048">
        <v>87.010463640888503</v>
      </c>
      <c r="AM3048">
        <v>92.575900661562699</v>
      </c>
      <c r="AN3048">
        <v>0.99999998720795202</v>
      </c>
    </row>
    <row r="3049" spans="1:40" x14ac:dyDescent="0.3">
      <c r="A3049" t="str">
        <f>"20200111153938099"</f>
        <v>20200111153938099</v>
      </c>
      <c r="B3049" t="str">
        <f>"1578728378093761"</f>
        <v>1578728378093761</v>
      </c>
      <c r="C3049" t="s">
        <v>40</v>
      </c>
      <c r="D3049">
        <v>4.7827539999999997</v>
      </c>
      <c r="E3049">
        <v>0.524092</v>
      </c>
      <c r="F3049" t="s">
        <v>41</v>
      </c>
      <c r="G3049">
        <v>-420.2244</v>
      </c>
      <c r="H3049">
        <v>1.036036</v>
      </c>
      <c r="I3049">
        <v>99.542199999999994</v>
      </c>
      <c r="J3049">
        <v>-420.21699999999998</v>
      </c>
      <c r="K3049">
        <v>1.102368</v>
      </c>
      <c r="L3049">
        <v>100.1865</v>
      </c>
      <c r="M3049">
        <v>2.052996E-2</v>
      </c>
      <c r="N3049">
        <v>0</v>
      </c>
      <c r="O3049">
        <v>-0.99969520000000001</v>
      </c>
      <c r="P3049">
        <v>6.6049360000000001E-2</v>
      </c>
      <c r="Q3049">
        <v>3.6746069999999999E-2</v>
      </c>
      <c r="R3049">
        <v>-0.99713989999999997</v>
      </c>
      <c r="S3049">
        <v>-6.7138669999999997E-4</v>
      </c>
      <c r="T3049">
        <v>-0.19019449999999999</v>
      </c>
      <c r="U3049">
        <v>-3.0164789999999999</v>
      </c>
      <c r="V3049">
        <v>-4.5297539999999997E-2</v>
      </c>
      <c r="W3049">
        <v>5.066735E-2</v>
      </c>
      <c r="X3049">
        <v>0.99768780000000001</v>
      </c>
      <c r="Y3049">
        <v>2.075397E-2</v>
      </c>
      <c r="Z3049">
        <v>6.2900199999999906E-2</v>
      </c>
      <c r="AA3049">
        <v>0.99780400000000002</v>
      </c>
      <c r="AB3049">
        <v>38</v>
      </c>
      <c r="AC3049">
        <v>-7.40000000001828E-3</v>
      </c>
      <c r="AD3049">
        <v>-6.6332000000000002E-2</v>
      </c>
      <c r="AE3049">
        <v>-0.64430000000000098</v>
      </c>
      <c r="AF3049">
        <v>2.0410828692489901E-2</v>
      </c>
      <c r="AG3049">
        <v>-6.6332000000000002E-2</v>
      </c>
      <c r="AH3049">
        <v>0.63725875176281599</v>
      </c>
      <c r="AI3049">
        <v>95.939470087825001</v>
      </c>
      <c r="AJ3049">
        <v>88.165494498227304</v>
      </c>
      <c r="AK3049">
        <v>0.64102671773508502</v>
      </c>
      <c r="AL3049">
        <v>87.095731141444304</v>
      </c>
      <c r="AM3049">
        <v>92.599587485762797</v>
      </c>
      <c r="AN3049">
        <v>0.999999996877457</v>
      </c>
    </row>
    <row r="3050" spans="1:40" x14ac:dyDescent="0.3">
      <c r="A3050" t="str">
        <f>"20200111153938121"</f>
        <v>20200111153938121</v>
      </c>
      <c r="B3050" t="str">
        <f>"1578728378114257"</f>
        <v>1578728378114257</v>
      </c>
      <c r="C3050" t="s">
        <v>40</v>
      </c>
      <c r="D3050">
        <v>4.7984</v>
      </c>
      <c r="E3050">
        <v>0.52408529999999998</v>
      </c>
      <c r="F3050" t="s">
        <v>41</v>
      </c>
      <c r="G3050">
        <v>-420.21850000000001</v>
      </c>
      <c r="H3050">
        <v>1.0390790000000001</v>
      </c>
      <c r="I3050">
        <v>99.202029999999993</v>
      </c>
      <c r="J3050">
        <v>-420.2115</v>
      </c>
      <c r="K3050">
        <v>1.1023700000000001</v>
      </c>
      <c r="L3050">
        <v>99.824250000000006</v>
      </c>
      <c r="M3050">
        <v>1.85255E-2</v>
      </c>
      <c r="N3050">
        <v>0</v>
      </c>
      <c r="O3050">
        <v>-0.99973449999999997</v>
      </c>
      <c r="P3050">
        <v>6.4711089999999999E-2</v>
      </c>
      <c r="Q3050">
        <v>3.5909199999999898E-2</v>
      </c>
      <c r="R3050">
        <v>-0.99725790000000003</v>
      </c>
      <c r="S3050">
        <v>-4.5166019999999998E-3</v>
      </c>
      <c r="T3050">
        <v>-0.19390740000000001</v>
      </c>
      <c r="U3050">
        <v>-3.0160520000000002</v>
      </c>
      <c r="V3050">
        <v>-4.5963110000000001E-2</v>
      </c>
      <c r="W3050">
        <v>4.9832029999999999E-2</v>
      </c>
      <c r="X3050">
        <v>0.99769940000000001</v>
      </c>
      <c r="Y3050">
        <v>2.0021400000000002E-2</v>
      </c>
      <c r="Z3050">
        <v>6.4136360000000003E-2</v>
      </c>
      <c r="AA3050">
        <v>0.99774030000000002</v>
      </c>
      <c r="AB3050">
        <v>38</v>
      </c>
      <c r="AC3050">
        <v>-7.0000000000049996E-3</v>
      </c>
      <c r="AD3050">
        <v>-6.3290999999999903E-2</v>
      </c>
      <c r="AE3050">
        <v>-0.622219999999998</v>
      </c>
      <c r="AF3050">
        <v>1.8337115206911999E-2</v>
      </c>
      <c r="AG3050">
        <v>-6.3290999999999903E-2</v>
      </c>
      <c r="AH3050">
        <v>0.61561481933390405</v>
      </c>
      <c r="AI3050">
        <v>95.867338201461294</v>
      </c>
      <c r="AJ3050">
        <v>88.293854018682893</v>
      </c>
      <c r="AK3050">
        <v>0.61913133199558401</v>
      </c>
      <c r="AL3050">
        <v>87.143651903559402</v>
      </c>
      <c r="AM3050">
        <v>92.637699803039894</v>
      </c>
      <c r="AN3050">
        <v>0.99999996572757499</v>
      </c>
    </row>
    <row r="3051" spans="1:40" x14ac:dyDescent="0.3">
      <c r="A3051" t="str">
        <f>"20200111153938144"</f>
        <v>20200111153938144</v>
      </c>
      <c r="B3051" t="str">
        <f>"1578728378133777"</f>
        <v>1578728378133777</v>
      </c>
      <c r="C3051" t="s">
        <v>40</v>
      </c>
      <c r="D3051">
        <v>4.8116149999999998</v>
      </c>
      <c r="E3051">
        <v>0.52398149999999999</v>
      </c>
      <c r="F3051" t="s">
        <v>41</v>
      </c>
      <c r="G3051">
        <v>-420.21449999999999</v>
      </c>
      <c r="H3051">
        <v>1.0401689999999999</v>
      </c>
      <c r="I3051">
        <v>98.863709999999998</v>
      </c>
      <c r="J3051">
        <v>-420.2063</v>
      </c>
      <c r="K3051">
        <v>1.1023780000000001</v>
      </c>
      <c r="L3051">
        <v>99.430819999999997</v>
      </c>
      <c r="M3051">
        <v>1.6346920000000001E-2</v>
      </c>
      <c r="N3051">
        <v>0</v>
      </c>
      <c r="O3051">
        <v>-0.99977249999999995</v>
      </c>
      <c r="P3051">
        <v>6.2905829999999996E-2</v>
      </c>
      <c r="Q3051">
        <v>3.6104560000000001E-2</v>
      </c>
      <c r="R3051">
        <v>-0.99736630000000004</v>
      </c>
      <c r="S3051">
        <v>-8.9111329999999999E-3</v>
      </c>
      <c r="T3051">
        <v>-0.1952805</v>
      </c>
      <c r="U3051">
        <v>-3.0158689999999999</v>
      </c>
      <c r="V3051">
        <v>-4.633135E-2</v>
      </c>
      <c r="W3051">
        <v>5.0026809999999998E-2</v>
      </c>
      <c r="X3051">
        <v>0.99767269999999997</v>
      </c>
      <c r="Y3051">
        <v>1.9296549999999999E-2</v>
      </c>
      <c r="Z3051">
        <v>6.4596580000000001E-2</v>
      </c>
      <c r="AA3051">
        <v>0.99772490000000003</v>
      </c>
      <c r="AB3051">
        <v>38</v>
      </c>
      <c r="AC3051">
        <v>-8.1999999999879895E-3</v>
      </c>
      <c r="AD3051">
        <v>-6.2208999999999903E-2</v>
      </c>
      <c r="AE3051">
        <v>-0.567109999999999</v>
      </c>
      <c r="AF3051">
        <v>1.7262599749140101E-2</v>
      </c>
      <c r="AG3051">
        <v>-6.2208999999999903E-2</v>
      </c>
      <c r="AH3051">
        <v>0.56016117322280801</v>
      </c>
      <c r="AI3051">
        <v>96.334063847333297</v>
      </c>
      <c r="AJ3051">
        <v>88.234863059516996</v>
      </c>
      <c r="AK3051">
        <v>0.56386921978190296</v>
      </c>
      <c r="AL3051">
        <v>87.132478124855396</v>
      </c>
      <c r="AM3051">
        <v>92.658872959686505</v>
      </c>
      <c r="AN3051">
        <v>1.0000000460184399</v>
      </c>
    </row>
    <row r="3052" spans="1:40" x14ac:dyDescent="0.3">
      <c r="A3052" t="str">
        <f>"20200111153938165"</f>
        <v>20200111153938165</v>
      </c>
      <c r="B3052" t="str">
        <f>"1578728378154272"</f>
        <v>1578728378154272</v>
      </c>
      <c r="C3052" t="s">
        <v>40</v>
      </c>
      <c r="D3052">
        <v>4.8037590000000003</v>
      </c>
      <c r="E3052">
        <v>0.51659699999999997</v>
      </c>
      <c r="F3052" t="s">
        <v>41</v>
      </c>
      <c r="G3052">
        <v>-420.21050000000002</v>
      </c>
      <c r="H3052">
        <v>1.04396</v>
      </c>
      <c r="I3052">
        <v>98.523150000000001</v>
      </c>
      <c r="J3052">
        <v>-420.20240000000001</v>
      </c>
      <c r="K3052">
        <v>1.1023909999999999</v>
      </c>
      <c r="L3052">
        <v>99.079099999999997</v>
      </c>
      <c r="M3052">
        <v>1.4398630000000001E-2</v>
      </c>
      <c r="N3052">
        <v>0</v>
      </c>
      <c r="O3052">
        <v>-0.99980239999999998</v>
      </c>
      <c r="P3052">
        <v>6.0783110000000001E-2</v>
      </c>
      <c r="Q3052">
        <v>3.752544E-2</v>
      </c>
      <c r="R3052">
        <v>-0.99744549999999998</v>
      </c>
      <c r="S3052">
        <v>-1.45874E-2</v>
      </c>
      <c r="T3052">
        <v>-0.1941658</v>
      </c>
      <c r="U3052">
        <v>-3.0158689999999999</v>
      </c>
      <c r="V3052">
        <v>-4.6145829999999999E-2</v>
      </c>
      <c r="W3052">
        <v>5.1444520000000001E-2</v>
      </c>
      <c r="X3052">
        <v>0.99760910000000003</v>
      </c>
      <c r="Y3052">
        <v>1.9226150000000001E-2</v>
      </c>
      <c r="Z3052">
        <v>6.4232079999999997E-2</v>
      </c>
      <c r="AA3052">
        <v>0.99774969999999996</v>
      </c>
      <c r="AB3052">
        <v>38</v>
      </c>
      <c r="AC3052">
        <v>-8.1000000000130898E-3</v>
      </c>
      <c r="AD3052">
        <v>-5.84309999999999E-2</v>
      </c>
      <c r="AE3052">
        <v>-0.55594999999999495</v>
      </c>
      <c r="AF3052">
        <v>1.5928912895433401E-2</v>
      </c>
      <c r="AG3052">
        <v>-5.84309999999999E-2</v>
      </c>
      <c r="AH3052">
        <v>0.54970482397724696</v>
      </c>
      <c r="AI3052">
        <v>96.0649581327786</v>
      </c>
      <c r="AJ3052">
        <v>88.340192548750494</v>
      </c>
      <c r="AK3052">
        <v>0.55303101678919098</v>
      </c>
      <c r="AL3052">
        <v>87.051144279829103</v>
      </c>
      <c r="AM3052">
        <v>92.648410078707499</v>
      </c>
      <c r="AN3052">
        <v>0.999999946333613</v>
      </c>
    </row>
    <row r="3053" spans="1:40" x14ac:dyDescent="0.3">
      <c r="A3053" t="str">
        <f>"20200111153938189"</f>
        <v>20200111153938189</v>
      </c>
      <c r="B3053" t="str">
        <f>"1578728378183553"</f>
        <v>1578728378183553</v>
      </c>
      <c r="C3053" t="s">
        <v>40</v>
      </c>
      <c r="D3053">
        <v>4.8343040000000004</v>
      </c>
      <c r="E3053">
        <v>0.51578119999999905</v>
      </c>
      <c r="F3053" t="s">
        <v>42</v>
      </c>
      <c r="G3053">
        <v>-419.90719999999999</v>
      </c>
      <c r="H3053" s="1">
        <v>-3.0459840000000001E-6</v>
      </c>
      <c r="I3053">
        <v>76.694659999999999</v>
      </c>
      <c r="J3053">
        <v>-420.19889999999998</v>
      </c>
      <c r="K3053">
        <v>1.1024</v>
      </c>
      <c r="L3053">
        <v>98.689239999999998</v>
      </c>
      <c r="M3053">
        <v>1.223802E-2</v>
      </c>
      <c r="N3053">
        <v>0</v>
      </c>
      <c r="O3053">
        <v>-0.99983109999999997</v>
      </c>
      <c r="P3053">
        <v>5.9998580000000003E-2</v>
      </c>
      <c r="Q3053">
        <v>3.8678110000000002E-2</v>
      </c>
      <c r="R3053">
        <v>-0.99744900000000003</v>
      </c>
      <c r="S3053">
        <v>3.9703370000000002E-2</v>
      </c>
      <c r="T3053">
        <v>-0.1482782</v>
      </c>
      <c r="U3053">
        <v>-3.010834</v>
      </c>
      <c r="V3053">
        <v>-4.751292E-2</v>
      </c>
      <c r="W3053">
        <v>5.2600239999999999E-2</v>
      </c>
      <c r="X3053">
        <v>0.9974847</v>
      </c>
      <c r="Y3053">
        <v>-9.306389E-4</v>
      </c>
      <c r="Z3053">
        <v>4.9180950000000001E-2</v>
      </c>
      <c r="AA3053">
        <v>0.99878940000000005</v>
      </c>
      <c r="AB3053">
        <v>38</v>
      </c>
      <c r="AC3053">
        <v>0.29169999999999102</v>
      </c>
      <c r="AD3053">
        <v>-1.102403045984</v>
      </c>
      <c r="AE3053">
        <v>-21.994579999999999</v>
      </c>
      <c r="AF3053">
        <v>-2.2426406346903901E-2</v>
      </c>
      <c r="AG3053">
        <v>-1.102403045984</v>
      </c>
      <c r="AH3053">
        <v>21.941391871561301</v>
      </c>
      <c r="AI3053">
        <v>92.876296124542804</v>
      </c>
      <c r="AJ3053">
        <v>90.058562282346799</v>
      </c>
      <c r="AK3053">
        <v>21.969079923403999</v>
      </c>
      <c r="AL3053">
        <v>86.984836754490402</v>
      </c>
      <c r="AM3053">
        <v>92.727093197170802</v>
      </c>
      <c r="AN3053">
        <v>0.99999999477453605</v>
      </c>
    </row>
    <row r="3054" spans="1:40" x14ac:dyDescent="0.3">
      <c r="A3054" t="str">
        <f>"20200111153938210"</f>
        <v>20200111153938210</v>
      </c>
      <c r="B3054" t="str">
        <f>"1578728378204048"</f>
        <v>1578728378204048</v>
      </c>
      <c r="C3054" t="s">
        <v>40</v>
      </c>
      <c r="D3054">
        <v>4.8206360000000004</v>
      </c>
      <c r="E3054">
        <v>0.5157197</v>
      </c>
      <c r="F3054" t="s">
        <v>42</v>
      </c>
      <c r="G3054">
        <v>-419.88560000000001</v>
      </c>
      <c r="H3054" s="1">
        <v>-3.015869E-6</v>
      </c>
      <c r="I3054">
        <v>76.615539999999996</v>
      </c>
      <c r="J3054">
        <v>-420.19619999999998</v>
      </c>
      <c r="K3054">
        <v>1.1024080000000001</v>
      </c>
      <c r="L3054">
        <v>98.321259999999995</v>
      </c>
      <c r="M3054">
        <v>1.0197889999999999E-2</v>
      </c>
      <c r="N3054">
        <v>0</v>
      </c>
      <c r="O3054">
        <v>-0.99985440000000003</v>
      </c>
      <c r="P3054">
        <v>5.9781969999999997E-2</v>
      </c>
      <c r="Q3054">
        <v>3.8878660000000002E-2</v>
      </c>
      <c r="R3054">
        <v>-0.99745450000000002</v>
      </c>
      <c r="S3054">
        <v>4.2724610000000003E-2</v>
      </c>
      <c r="T3054">
        <v>-0.15037139999999999</v>
      </c>
      <c r="U3054">
        <v>-3.0109249999999999</v>
      </c>
      <c r="V3054">
        <v>-4.933162E-2</v>
      </c>
      <c r="W3054">
        <v>5.2807380000000001E-2</v>
      </c>
      <c r="X3054">
        <v>0.99738539999999998</v>
      </c>
      <c r="Y3054">
        <v>-3.9722189999999999E-3</v>
      </c>
      <c r="Z3054">
        <v>4.9873180000000003E-2</v>
      </c>
      <c r="AA3054">
        <v>0.99874759999999996</v>
      </c>
      <c r="AB3054">
        <v>38</v>
      </c>
      <c r="AC3054">
        <v>0.31059999999996502</v>
      </c>
      <c r="AD3054">
        <v>-1.1024110158689999</v>
      </c>
      <c r="AE3054">
        <v>-21.705719999999999</v>
      </c>
      <c r="AF3054">
        <v>-8.8981099970590699E-2</v>
      </c>
      <c r="AG3054">
        <v>-1.1024110158689999</v>
      </c>
      <c r="AH3054">
        <v>21.65191875879</v>
      </c>
      <c r="AI3054">
        <v>92.914682584316296</v>
      </c>
      <c r="AJ3054">
        <v>90.235462401300794</v>
      </c>
      <c r="AK3054">
        <v>21.680147915115899</v>
      </c>
      <c r="AL3054">
        <v>86.972951799230103</v>
      </c>
      <c r="AM3054">
        <v>92.831595592814494</v>
      </c>
      <c r="AN3054">
        <v>0.99999993212372196</v>
      </c>
    </row>
    <row r="3055" spans="1:40" x14ac:dyDescent="0.3">
      <c r="A3055" t="str">
        <f>"20200111153938233"</f>
        <v>20200111153938233</v>
      </c>
      <c r="B3055" t="str">
        <f>"1578728378223568"</f>
        <v>1578728378223568</v>
      </c>
      <c r="C3055" t="s">
        <v>40</v>
      </c>
      <c r="D3055">
        <v>4.809418</v>
      </c>
      <c r="E3055">
        <v>0.51552349999999902</v>
      </c>
      <c r="F3055" t="s">
        <v>42</v>
      </c>
      <c r="G3055">
        <v>-419.88299999999998</v>
      </c>
      <c r="H3055" s="1">
        <v>-2.7893710000000002E-6</v>
      </c>
      <c r="I3055">
        <v>76.086469999999906</v>
      </c>
      <c r="J3055">
        <v>-420.1943</v>
      </c>
      <c r="K3055">
        <v>1.102425</v>
      </c>
      <c r="L3055">
        <v>97.941010000000006</v>
      </c>
      <c r="M3055">
        <v>8.0898800000000007E-3</v>
      </c>
      <c r="N3055">
        <v>0</v>
      </c>
      <c r="O3055">
        <v>-0.99987360000000003</v>
      </c>
      <c r="P3055">
        <v>5.9316170000000001E-2</v>
      </c>
      <c r="Q3055">
        <v>4.088754E-2</v>
      </c>
      <c r="R3055">
        <v>-0.99740180000000001</v>
      </c>
      <c r="S3055">
        <v>4.2419430000000001E-2</v>
      </c>
      <c r="T3055">
        <v>-0.1492831</v>
      </c>
      <c r="U3055">
        <v>-3.0109249999999999</v>
      </c>
      <c r="V3055">
        <v>-5.0960140000000001E-2</v>
      </c>
      <c r="W3055">
        <v>5.4820529999999999E-2</v>
      </c>
      <c r="X3055">
        <v>0.9971949</v>
      </c>
      <c r="Y3055">
        <v>-5.9795309999999997E-3</v>
      </c>
      <c r="Z3055">
        <v>4.9514309999999999E-2</v>
      </c>
      <c r="AA3055">
        <v>0.99875550000000002</v>
      </c>
      <c r="AB3055">
        <v>38</v>
      </c>
      <c r="AC3055">
        <v>0.31129999999996</v>
      </c>
      <c r="AD3055">
        <v>-1.1024277893709999</v>
      </c>
      <c r="AE3055">
        <v>-21.85454</v>
      </c>
      <c r="AF3055">
        <v>-0.13413140260324699</v>
      </c>
      <c r="AG3055">
        <v>-1.1024277893709999</v>
      </c>
      <c r="AH3055">
        <v>21.800880381806302</v>
      </c>
      <c r="AI3055">
        <v>92.894814733323201</v>
      </c>
      <c r="AJ3055">
        <v>90.352511741054201</v>
      </c>
      <c r="AK3055">
        <v>21.8291484874186</v>
      </c>
      <c r="AL3055">
        <v>86.857439441591893</v>
      </c>
      <c r="AM3055">
        <v>92.925469403306806</v>
      </c>
      <c r="AN3055">
        <v>0.99999994748215304</v>
      </c>
    </row>
    <row r="3056" spans="1:40" x14ac:dyDescent="0.3">
      <c r="A3056" t="str">
        <f>"20200111153938253"</f>
        <v>20200111153938253</v>
      </c>
      <c r="B3056" t="str">
        <f>"1578728378244065"</f>
        <v>1578728378244065</v>
      </c>
      <c r="C3056" t="s">
        <v>40</v>
      </c>
      <c r="D3056">
        <v>4.8935069999999996</v>
      </c>
      <c r="E3056">
        <v>0.5155613</v>
      </c>
      <c r="F3056" t="s">
        <v>42</v>
      </c>
      <c r="G3056">
        <v>-419.87790000000001</v>
      </c>
      <c r="H3056" s="1">
        <v>-2.6048710000000001E-6</v>
      </c>
      <c r="I3056">
        <v>75.654309999999995</v>
      </c>
      <c r="J3056">
        <v>-420.19330000000002</v>
      </c>
      <c r="K3056">
        <v>1.1024320000000001</v>
      </c>
      <c r="L3056">
        <v>97.578699999999998</v>
      </c>
      <c r="M3056">
        <v>6.0810819999999998E-3</v>
      </c>
      <c r="N3056">
        <v>0</v>
      </c>
      <c r="O3056">
        <v>-0.99988809999999995</v>
      </c>
      <c r="P3056">
        <v>5.8141650000000003E-2</v>
      </c>
      <c r="Q3056">
        <v>4.2763929999999999E-2</v>
      </c>
      <c r="R3056">
        <v>-0.99739250000000002</v>
      </c>
      <c r="S3056">
        <v>4.2755130000000002E-2</v>
      </c>
      <c r="T3056">
        <v>-0.14896019999999999</v>
      </c>
      <c r="U3056">
        <v>-3.0113829999999999</v>
      </c>
      <c r="V3056">
        <v>-5.178112E-2</v>
      </c>
      <c r="W3056">
        <v>5.6697289999999997E-2</v>
      </c>
      <c r="X3056">
        <v>0.99704769999999998</v>
      </c>
      <c r="Y3056">
        <v>-8.0977740000000003E-3</v>
      </c>
      <c r="Z3056">
        <v>4.9400630000000001E-2</v>
      </c>
      <c r="AA3056">
        <v>0.99874620000000003</v>
      </c>
      <c r="AB3056">
        <v>38</v>
      </c>
      <c r="AC3056">
        <v>0.315400000000011</v>
      </c>
      <c r="AD3056">
        <v>-1.1024346048710001</v>
      </c>
      <c r="AE3056">
        <v>-21.924389999999999</v>
      </c>
      <c r="AF3056">
        <v>-0.18159863493705999</v>
      </c>
      <c r="AG3056">
        <v>-1.1024346048710001</v>
      </c>
      <c r="AH3056">
        <v>21.870615854233701</v>
      </c>
      <c r="AI3056">
        <v>92.885573137028402</v>
      </c>
      <c r="AJ3056">
        <v>90.4757340308024</v>
      </c>
      <c r="AK3056">
        <v>21.899136466209999</v>
      </c>
      <c r="AL3056">
        <v>86.7497415863795</v>
      </c>
      <c r="AM3056">
        <v>92.972953620321405</v>
      </c>
      <c r="AN3056">
        <v>0.99999999157854402</v>
      </c>
    </row>
    <row r="3057" spans="1:40" x14ac:dyDescent="0.3">
      <c r="A3057" t="str">
        <f>"20200111153938276"</f>
        <v>20200111153938276</v>
      </c>
      <c r="B3057" t="str">
        <f>"1578728378263585"</f>
        <v>1578728378263585</v>
      </c>
      <c r="C3057" t="s">
        <v>40</v>
      </c>
      <c r="D3057">
        <v>4.862908</v>
      </c>
      <c r="E3057">
        <v>0.51541289999999995</v>
      </c>
      <c r="F3057" t="s">
        <v>42</v>
      </c>
      <c r="G3057">
        <v>-419.90010000000001</v>
      </c>
      <c r="H3057" s="1">
        <v>-2.3599009999999999E-6</v>
      </c>
      <c r="I3057">
        <v>75.092439999999996</v>
      </c>
      <c r="J3057">
        <v>-420.19299999999998</v>
      </c>
      <c r="K3057">
        <v>1.102425</v>
      </c>
      <c r="L3057">
        <v>97.218050000000005</v>
      </c>
      <c r="M3057">
        <v>4.0812460000000002E-3</v>
      </c>
      <c r="N3057">
        <v>0</v>
      </c>
      <c r="O3057">
        <v>-0.99989799999999995</v>
      </c>
      <c r="P3057">
        <v>5.5889349999999997E-2</v>
      </c>
      <c r="Q3057">
        <v>4.3089959999999997E-2</v>
      </c>
      <c r="R3057">
        <v>-0.99750669999999997</v>
      </c>
      <c r="S3057">
        <v>3.9276119999999998E-2</v>
      </c>
      <c r="T3057">
        <v>-0.14766309999999999</v>
      </c>
      <c r="U3057">
        <v>-3.0118710000000002</v>
      </c>
      <c r="V3057">
        <v>-5.1522480000000002E-2</v>
      </c>
      <c r="W3057">
        <v>5.7020069999999999E-2</v>
      </c>
      <c r="X3057">
        <v>0.99704269999999995</v>
      </c>
      <c r="Y3057">
        <v>-8.9422999999999898E-3</v>
      </c>
      <c r="Z3057">
        <v>4.8964529999999999E-2</v>
      </c>
      <c r="AA3057">
        <v>0.99876050000000005</v>
      </c>
      <c r="AB3057">
        <v>38</v>
      </c>
      <c r="AC3057">
        <v>0.29290000000003102</v>
      </c>
      <c r="AD3057">
        <v>-1.1024273599009999</v>
      </c>
      <c r="AE3057">
        <v>-22.125610000000002</v>
      </c>
      <c r="AF3057">
        <v>-0.20208742612114899</v>
      </c>
      <c r="AG3057">
        <v>-1.1024273599009999</v>
      </c>
      <c r="AH3057">
        <v>22.071834927169299</v>
      </c>
      <c r="AI3057">
        <v>92.859270505706405</v>
      </c>
      <c r="AJ3057">
        <v>90.524579542804503</v>
      </c>
      <c r="AK3057">
        <v>22.100273357220299</v>
      </c>
      <c r="AL3057">
        <v>86.731217714624194</v>
      </c>
      <c r="AM3057">
        <v>92.958145349706001</v>
      </c>
      <c r="AN3057">
        <v>0.99999999997572198</v>
      </c>
    </row>
    <row r="3058" spans="1:40" x14ac:dyDescent="0.3">
      <c r="A3058" t="str">
        <f>"20200111153938298"</f>
        <v>20200111153938298</v>
      </c>
      <c r="B3058" t="str">
        <f>"1578728378293841"</f>
        <v>1578728378293841</v>
      </c>
      <c r="C3058" t="s">
        <v>40</v>
      </c>
      <c r="D3058">
        <v>4.8506010000000002</v>
      </c>
      <c r="E3058">
        <v>0.51512029999999998</v>
      </c>
      <c r="F3058" t="s">
        <v>42</v>
      </c>
      <c r="G3058">
        <v>-419.94049999999999</v>
      </c>
      <c r="H3058" s="1">
        <v>-2.397633E-6</v>
      </c>
      <c r="I3058">
        <v>75.197100000000006</v>
      </c>
      <c r="J3058">
        <v>-420.19349999999997</v>
      </c>
      <c r="K3058">
        <v>1.102419</v>
      </c>
      <c r="L3058">
        <v>96.832459999999998</v>
      </c>
      <c r="M3058">
        <v>1.9427349999999999E-3</v>
      </c>
      <c r="N3058">
        <v>0</v>
      </c>
      <c r="O3058">
        <v>-0.99990449999999997</v>
      </c>
      <c r="P3058">
        <v>5.4015729999999998E-2</v>
      </c>
      <c r="Q3058">
        <v>4.135453E-2</v>
      </c>
      <c r="R3058">
        <v>-0.99768349999999995</v>
      </c>
      <c r="S3058">
        <v>3.4545899999999997E-2</v>
      </c>
      <c r="T3058">
        <v>-0.15079300000000001</v>
      </c>
      <c r="U3058">
        <v>-3.0120849999999999</v>
      </c>
      <c r="V3058">
        <v>-5.1791869999999997E-2</v>
      </c>
      <c r="W3058">
        <v>5.5285210000000001E-2</v>
      </c>
      <c r="X3058">
        <v>0.99712650000000003</v>
      </c>
      <c r="Y3058">
        <v>-9.5111899999999992E-3</v>
      </c>
      <c r="Z3058">
        <v>4.9997119999999999E-2</v>
      </c>
      <c r="AA3058">
        <v>0.99870409999999998</v>
      </c>
      <c r="AB3058">
        <v>37</v>
      </c>
      <c r="AC3058">
        <v>0.25299999999998501</v>
      </c>
      <c r="AD3058">
        <v>-1.102421397633</v>
      </c>
      <c r="AE3058">
        <v>-21.635359999999899</v>
      </c>
      <c r="AF3058">
        <v>-0.21041756857385899</v>
      </c>
      <c r="AG3058">
        <v>-1.102421397633</v>
      </c>
      <c r="AH3058">
        <v>21.579789209387101</v>
      </c>
      <c r="AI3058">
        <v>92.924321280175704</v>
      </c>
      <c r="AJ3058">
        <v>90.558654972978402</v>
      </c>
      <c r="AK3058">
        <v>21.6089544127592</v>
      </c>
      <c r="AL3058">
        <v>86.830775138511299</v>
      </c>
      <c r="AM3058">
        <v>92.973335140827103</v>
      </c>
      <c r="AN3058">
        <v>1.00000005462254</v>
      </c>
    </row>
    <row r="3059" spans="1:40" x14ac:dyDescent="0.3">
      <c r="A3059" t="str">
        <f>"20200111153938322"</f>
        <v>20200111153938322</v>
      </c>
      <c r="B3059" t="str">
        <f>"1578728378314337"</f>
        <v>1578728378314337</v>
      </c>
      <c r="C3059" t="s">
        <v>40</v>
      </c>
      <c r="D3059">
        <v>4.8392280000000003</v>
      </c>
      <c r="E3059">
        <v>0.51515180000000005</v>
      </c>
      <c r="F3059" t="s">
        <v>42</v>
      </c>
      <c r="G3059">
        <v>-419.97500000000002</v>
      </c>
      <c r="H3059" s="1">
        <v>-2.6207830000000001E-6</v>
      </c>
      <c r="I3059">
        <v>75.713719999999995</v>
      </c>
      <c r="J3059">
        <v>-420.19479999999999</v>
      </c>
      <c r="K3059">
        <v>1.1024069999999999</v>
      </c>
      <c r="L3059">
        <v>96.440799999999996</v>
      </c>
      <c r="M3059">
        <v>-2.2977730000000001E-4</v>
      </c>
      <c r="N3059">
        <v>0</v>
      </c>
      <c r="O3059">
        <v>-0.99990610000000002</v>
      </c>
      <c r="P3059">
        <v>5.2106149999999997E-2</v>
      </c>
      <c r="Q3059">
        <v>3.8600370000000002E-2</v>
      </c>
      <c r="R3059">
        <v>-0.99789519999999998</v>
      </c>
      <c r="S3059">
        <v>3.1158450000000001E-2</v>
      </c>
      <c r="T3059">
        <v>-0.1572182</v>
      </c>
      <c r="U3059">
        <v>-3.0117799999999999</v>
      </c>
      <c r="V3059">
        <v>-5.206446E-2</v>
      </c>
      <c r="W3059">
        <v>5.2531670000000003E-2</v>
      </c>
      <c r="X3059">
        <v>0.99726110000000001</v>
      </c>
      <c r="Y3059">
        <v>-1.0560699999999999E-2</v>
      </c>
      <c r="Z3059">
        <v>5.2127279999999998E-2</v>
      </c>
      <c r="AA3059">
        <v>0.99858460000000004</v>
      </c>
      <c r="AB3059">
        <v>37</v>
      </c>
      <c r="AC3059">
        <v>0.219799999999963</v>
      </c>
      <c r="AD3059">
        <v>-1.1024096207830001</v>
      </c>
      <c r="AE3059">
        <v>-20.727079999999901</v>
      </c>
      <c r="AF3059">
        <v>-0.22392966186430699</v>
      </c>
      <c r="AG3059">
        <v>-1.1024096207830001</v>
      </c>
      <c r="AH3059">
        <v>20.668567264636</v>
      </c>
      <c r="AI3059">
        <v>93.052941496770998</v>
      </c>
      <c r="AJ3059">
        <v>90.620735941203506</v>
      </c>
      <c r="AK3059">
        <v>20.699157573153599</v>
      </c>
      <c r="AL3059">
        <v>86.988770959871502</v>
      </c>
      <c r="AM3059">
        <v>92.988553353203699</v>
      </c>
      <c r="AN3059">
        <v>0.99999999296064501</v>
      </c>
    </row>
    <row r="3060" spans="1:40" x14ac:dyDescent="0.3">
      <c r="A3060" t="str">
        <f>"20200111153938343"</f>
        <v>20200111153938343</v>
      </c>
      <c r="B3060" t="str">
        <f>"1578728378333856"</f>
        <v>1578728378333856</v>
      </c>
      <c r="C3060" t="s">
        <v>40</v>
      </c>
      <c r="D3060">
        <v>4.8617999999999997</v>
      </c>
      <c r="E3060">
        <v>0.51509280000000002</v>
      </c>
      <c r="F3060" t="s">
        <v>42</v>
      </c>
      <c r="G3060">
        <v>-420.0265</v>
      </c>
      <c r="H3060" s="1">
        <v>-2.6304190000000001E-6</v>
      </c>
      <c r="I3060">
        <v>75.704250000000002</v>
      </c>
      <c r="J3060">
        <v>-420.1968</v>
      </c>
      <c r="K3060">
        <v>1.1024069999999999</v>
      </c>
      <c r="L3060">
        <v>96.078860000000006</v>
      </c>
      <c r="M3060">
        <v>-2.2381969999999999E-3</v>
      </c>
      <c r="N3060">
        <v>0</v>
      </c>
      <c r="O3060">
        <v>-0.99990409999999996</v>
      </c>
      <c r="P3060">
        <v>5.0100039999999998E-2</v>
      </c>
      <c r="Q3060">
        <v>3.780538E-2</v>
      </c>
      <c r="R3060">
        <v>-0.99802860000000004</v>
      </c>
      <c r="S3060">
        <v>2.444458E-2</v>
      </c>
      <c r="T3060">
        <v>-0.1600866</v>
      </c>
      <c r="U3060">
        <v>-3.0112610000000002</v>
      </c>
      <c r="V3060">
        <v>-5.2067090000000003E-2</v>
      </c>
      <c r="W3060">
        <v>5.1735490000000002E-2</v>
      </c>
      <c r="X3060">
        <v>0.99730260000000004</v>
      </c>
      <c r="Y3060">
        <v>-1.0344320000000001E-2</v>
      </c>
      <c r="Z3060">
        <v>5.3085180000000003E-2</v>
      </c>
      <c r="AA3060">
        <v>0.99853639999999999</v>
      </c>
      <c r="AB3060">
        <v>37</v>
      </c>
      <c r="AC3060">
        <v>0.17029999999999701</v>
      </c>
      <c r="AD3060">
        <v>-1.1024096304190001</v>
      </c>
      <c r="AE3060">
        <v>-20.374609999999901</v>
      </c>
      <c r="AF3060">
        <v>-0.215276031999342</v>
      </c>
      <c r="AG3060">
        <v>-1.1024096304190001</v>
      </c>
      <c r="AH3060">
        <v>20.3147091641769</v>
      </c>
      <c r="AI3060">
        <v>93.106024782374007</v>
      </c>
      <c r="AJ3060">
        <v>90.607143636048406</v>
      </c>
      <c r="AK3060">
        <v>20.345738108711799</v>
      </c>
      <c r="AL3060">
        <v>87.034450883005107</v>
      </c>
      <c r="AM3060">
        <v>92.988579902985293</v>
      </c>
      <c r="AN3060">
        <v>1.0000000093766801</v>
      </c>
    </row>
    <row r="3061" spans="1:40" x14ac:dyDescent="0.3">
      <c r="A3061" t="str">
        <f>"20200111153938365"</f>
        <v>20200111153938365</v>
      </c>
      <c r="B3061" t="str">
        <f>"1578728378354353"</f>
        <v>1578728378354353</v>
      </c>
      <c r="C3061" t="s">
        <v>40</v>
      </c>
      <c r="D3061">
        <v>4.9411269999999998</v>
      </c>
      <c r="E3061">
        <v>0.5149205</v>
      </c>
      <c r="F3061" t="s">
        <v>42</v>
      </c>
      <c r="G3061">
        <v>-420.0702</v>
      </c>
      <c r="H3061" s="1">
        <v>-2.732703E-6</v>
      </c>
      <c r="I3061">
        <v>75.915599999999998</v>
      </c>
      <c r="J3061">
        <v>-420.19959999999998</v>
      </c>
      <c r="K3061">
        <v>1.102414</v>
      </c>
      <c r="L3061">
        <v>95.716399999999993</v>
      </c>
      <c r="M3061">
        <v>-4.2499219999999997E-3</v>
      </c>
      <c r="N3061">
        <v>0</v>
      </c>
      <c r="O3061">
        <v>-0.99989729999999999</v>
      </c>
      <c r="P3061">
        <v>4.7738849999999999E-2</v>
      </c>
      <c r="Q3061">
        <v>3.8320779999999999E-2</v>
      </c>
      <c r="R3061">
        <v>-0.99812440000000002</v>
      </c>
      <c r="S3061">
        <v>1.8920900000000001E-2</v>
      </c>
      <c r="T3061">
        <v>-0.16463649999999999</v>
      </c>
      <c r="U3061">
        <v>-3.0112299999999999</v>
      </c>
      <c r="V3061">
        <v>-5.1711899999999998E-2</v>
      </c>
      <c r="W3061">
        <v>5.2247389999999998E-2</v>
      </c>
      <c r="X3061">
        <v>0.99729440000000003</v>
      </c>
      <c r="Y3061">
        <v>-1.052413E-2</v>
      </c>
      <c r="Z3061">
        <v>5.4589840000000001E-2</v>
      </c>
      <c r="AA3061">
        <v>0.99845340000000005</v>
      </c>
      <c r="AB3061">
        <v>37</v>
      </c>
      <c r="AC3061">
        <v>0.12939999999997501</v>
      </c>
      <c r="AD3061">
        <v>-1.1024167327029999</v>
      </c>
      <c r="AE3061">
        <v>-19.800799999999899</v>
      </c>
      <c r="AF3061">
        <v>-0.21289866618151701</v>
      </c>
      <c r="AG3061">
        <v>-1.1024167327029999</v>
      </c>
      <c r="AH3061">
        <v>19.738888226543999</v>
      </c>
      <c r="AI3061">
        <v>93.196462319403395</v>
      </c>
      <c r="AJ3061">
        <v>90.617953854050995</v>
      </c>
      <c r="AK3061">
        <v>19.770795555935599</v>
      </c>
      <c r="AL3061">
        <v>87.005081469973007</v>
      </c>
      <c r="AM3061">
        <v>92.968253426024305</v>
      </c>
      <c r="AN3061">
        <v>1.00000001531739</v>
      </c>
    </row>
    <row r="3062" spans="1:40" x14ac:dyDescent="0.3">
      <c r="A3062" t="str">
        <f>"20200111153938387"</f>
        <v>20200111153938387</v>
      </c>
      <c r="B3062" t="str">
        <f>"1578728378383633"</f>
        <v>1578728378383633</v>
      </c>
      <c r="C3062" t="s">
        <v>40</v>
      </c>
      <c r="D3062">
        <v>4.9571350000000001</v>
      </c>
      <c r="E3062">
        <v>0.51418790000000003</v>
      </c>
      <c r="F3062" t="s">
        <v>42</v>
      </c>
      <c r="G3062">
        <v>-420.10680000000002</v>
      </c>
      <c r="H3062" s="1">
        <v>-2.3173030000000001E-6</v>
      </c>
      <c r="I3062">
        <v>74.924530000000004</v>
      </c>
      <c r="J3062">
        <v>-420.20310000000001</v>
      </c>
      <c r="K3062">
        <v>1.1024240000000001</v>
      </c>
      <c r="L3062">
        <v>95.343900000000005</v>
      </c>
      <c r="M3062">
        <v>-6.3178490000000004E-3</v>
      </c>
      <c r="N3062">
        <v>0</v>
      </c>
      <c r="O3062">
        <v>-0.99988650000000001</v>
      </c>
      <c r="P3062">
        <v>4.6598210000000001E-2</v>
      </c>
      <c r="Q3062">
        <v>3.8397279999999999E-2</v>
      </c>
      <c r="R3062">
        <v>-0.99817560000000005</v>
      </c>
      <c r="S3062">
        <v>1.3427730000000001E-2</v>
      </c>
      <c r="T3062">
        <v>-0.15965509999999999</v>
      </c>
      <c r="U3062">
        <v>-3.011139</v>
      </c>
      <c r="V3062">
        <v>-5.2635179999999997E-2</v>
      </c>
      <c r="W3062">
        <v>5.2325959999999998E-2</v>
      </c>
      <c r="X3062">
        <v>0.99724199999999996</v>
      </c>
      <c r="Y3062">
        <v>-1.0771340000000001E-2</v>
      </c>
      <c r="Z3062">
        <v>5.2943740000000003E-2</v>
      </c>
      <c r="AA3062">
        <v>0.99853939999999997</v>
      </c>
      <c r="AB3062">
        <v>37</v>
      </c>
      <c r="AC3062">
        <v>9.6299999999985106E-2</v>
      </c>
      <c r="AD3062">
        <v>-1.102426317303</v>
      </c>
      <c r="AE3062">
        <v>-20.419370000000001</v>
      </c>
      <c r="AF3062">
        <v>-0.22466180421079501</v>
      </c>
      <c r="AG3062">
        <v>-1.102426317303</v>
      </c>
      <c r="AH3062">
        <v>20.359012024017801</v>
      </c>
      <c r="AI3062">
        <v>93.099311182555695</v>
      </c>
      <c r="AJ3062">
        <v>90.632233564909598</v>
      </c>
      <c r="AK3062">
        <v>20.390075706221801</v>
      </c>
      <c r="AL3062">
        <v>87.000573640704602</v>
      </c>
      <c r="AM3062">
        <v>93.021310659367899</v>
      </c>
      <c r="AN3062">
        <v>1.0000000374137701</v>
      </c>
    </row>
    <row r="3063" spans="1:40" x14ac:dyDescent="0.3">
      <c r="A3063" t="str">
        <f>"20200111153938410"</f>
        <v>20200111153938410</v>
      </c>
      <c r="B3063" t="str">
        <f>"1578728378404131"</f>
        <v>1578728378404131</v>
      </c>
      <c r="C3063" t="s">
        <v>40</v>
      </c>
      <c r="D3063">
        <v>5.0175769999999904</v>
      </c>
      <c r="E3063">
        <v>0.51368800000000003</v>
      </c>
      <c r="F3063" t="s">
        <v>42</v>
      </c>
      <c r="G3063">
        <v>-420.10149999999999</v>
      </c>
      <c r="H3063" s="1">
        <v>-2.4722159999999998E-6</v>
      </c>
      <c r="I3063">
        <v>75.28895</v>
      </c>
      <c r="J3063">
        <v>-420.20769999999999</v>
      </c>
      <c r="K3063">
        <v>1.102444</v>
      </c>
      <c r="L3063">
        <v>94.952910000000003</v>
      </c>
      <c r="M3063">
        <v>-8.4884319999999902E-3</v>
      </c>
      <c r="N3063">
        <v>0</v>
      </c>
      <c r="O3063">
        <v>-0.99987060000000005</v>
      </c>
      <c r="P3063">
        <v>4.5592569999999999E-2</v>
      </c>
      <c r="Q3063">
        <v>3.8952260000000002E-2</v>
      </c>
      <c r="R3063">
        <v>-0.9982008</v>
      </c>
      <c r="S3063">
        <v>1.525879E-2</v>
      </c>
      <c r="T3063">
        <v>-0.16552310000000001</v>
      </c>
      <c r="U3063">
        <v>-3.011139</v>
      </c>
      <c r="V3063">
        <v>-5.3793359999999998E-2</v>
      </c>
      <c r="W3063">
        <v>5.2884050000000002E-2</v>
      </c>
      <c r="X3063">
        <v>0.99715069999999995</v>
      </c>
      <c r="Y3063">
        <v>-1.354868E-2</v>
      </c>
      <c r="Z3063">
        <v>5.4881569999999998E-2</v>
      </c>
      <c r="AA3063">
        <v>0.99840090000000004</v>
      </c>
      <c r="AB3063">
        <v>37</v>
      </c>
      <c r="AC3063">
        <v>0.106200000000001</v>
      </c>
      <c r="AD3063">
        <v>-1.1024464722159999</v>
      </c>
      <c r="AE3063">
        <v>-19.663959999999999</v>
      </c>
      <c r="AF3063">
        <v>-0.27227216382032898</v>
      </c>
      <c r="AG3063">
        <v>-1.1024464722159999</v>
      </c>
      <c r="AH3063">
        <v>19.6007424660426</v>
      </c>
      <c r="AI3063">
        <v>93.218907336735398</v>
      </c>
      <c r="AJ3063">
        <v>90.795839373306293</v>
      </c>
      <c r="AK3063">
        <v>19.633609591092</v>
      </c>
      <c r="AL3063">
        <v>86.968552940362798</v>
      </c>
      <c r="AM3063">
        <v>93.087946226296197</v>
      </c>
      <c r="AN3063">
        <v>0.99999998341748997</v>
      </c>
    </row>
    <row r="3064" spans="1:40" x14ac:dyDescent="0.3">
      <c r="A3064" t="str">
        <f>"20200111153938433"</f>
        <v>20200111153938433</v>
      </c>
      <c r="B3064" t="str">
        <f>"1578728378423648"</f>
        <v>1578728378423648</v>
      </c>
      <c r="C3064" t="s">
        <v>40</v>
      </c>
      <c r="D3064">
        <v>4.9354519999999997</v>
      </c>
      <c r="E3064">
        <v>0.51325600000000005</v>
      </c>
      <c r="F3064" t="s">
        <v>42</v>
      </c>
      <c r="G3064">
        <v>-420.09829999999999</v>
      </c>
      <c r="H3064" s="1">
        <v>-2.3968789999999999E-6</v>
      </c>
      <c r="I3064">
        <v>75.115319999999997</v>
      </c>
      <c r="J3064">
        <v>-420.21269999999998</v>
      </c>
      <c r="K3064">
        <v>1.102457</v>
      </c>
      <c r="L3064">
        <v>94.587770000000006</v>
      </c>
      <c r="M3064">
        <v>-1.051621E-2</v>
      </c>
      <c r="N3064">
        <v>0</v>
      </c>
      <c r="O3064">
        <v>-0.99985100000000005</v>
      </c>
      <c r="P3064">
        <v>4.3419260000000001E-2</v>
      </c>
      <c r="Q3064">
        <v>4.1435279999999998E-2</v>
      </c>
      <c r="R3064">
        <v>-0.99819729999999995</v>
      </c>
      <c r="S3064">
        <v>1.6601560000000001E-2</v>
      </c>
      <c r="T3064">
        <v>-0.1673432</v>
      </c>
      <c r="U3064">
        <v>-3.0112000000000001</v>
      </c>
      <c r="V3064">
        <v>-5.3631129999999999E-2</v>
      </c>
      <c r="W3064">
        <v>5.5362809999999998E-2</v>
      </c>
      <c r="X3064">
        <v>0.99702489999999999</v>
      </c>
      <c r="Y3064">
        <v>-1.602143E-2</v>
      </c>
      <c r="Z3064">
        <v>5.5479390000000003E-2</v>
      </c>
      <c r="AA3064">
        <v>0.99833130000000003</v>
      </c>
      <c r="AB3064">
        <v>37</v>
      </c>
      <c r="AC3064">
        <v>0.114399999999989</v>
      </c>
      <c r="AD3064">
        <v>-1.102459396879</v>
      </c>
      <c r="AE3064">
        <v>-19.472449999999899</v>
      </c>
      <c r="AF3064">
        <v>-0.318169405998532</v>
      </c>
      <c r="AG3064">
        <v>-1.102459396879</v>
      </c>
      <c r="AH3064">
        <v>19.407961478053402</v>
      </c>
      <c r="AI3064">
        <v>93.250727908978504</v>
      </c>
      <c r="AJ3064">
        <v>90.939208958279195</v>
      </c>
      <c r="AK3064">
        <v>19.4418522066773</v>
      </c>
      <c r="AL3064">
        <v>86.826321977005193</v>
      </c>
      <c r="AM3064">
        <v>93.079039243143399</v>
      </c>
      <c r="AN3064">
        <v>0.999999995028091</v>
      </c>
    </row>
    <row r="3065" spans="1:40" x14ac:dyDescent="0.3">
      <c r="A3065" t="str">
        <f>"20200111153938454"</f>
        <v>20200111153938454</v>
      </c>
      <c r="B3065" t="str">
        <f>"1578728378444145"</f>
        <v>1578728378444145</v>
      </c>
      <c r="C3065" t="s">
        <v>40</v>
      </c>
      <c r="D3065">
        <v>5.0042150000000003</v>
      </c>
      <c r="E3065">
        <v>0.51296579999999903</v>
      </c>
      <c r="F3065" t="s">
        <v>42</v>
      </c>
      <c r="G3065">
        <v>-420.11369999999999</v>
      </c>
      <c r="H3065" s="1">
        <v>-2.027137E-6</v>
      </c>
      <c r="I3065">
        <v>74.243859999999998</v>
      </c>
      <c r="J3065">
        <v>-420.21839999999997</v>
      </c>
      <c r="K3065">
        <v>1.102463</v>
      </c>
      <c r="L3065">
        <v>94.223659999999995</v>
      </c>
      <c r="M3065">
        <v>-1.253841E-2</v>
      </c>
      <c r="N3065">
        <v>0</v>
      </c>
      <c r="O3065">
        <v>-0.99982769999999999</v>
      </c>
      <c r="P3065">
        <v>3.894384E-2</v>
      </c>
      <c r="Q3065">
        <v>4.3072979999999997E-2</v>
      </c>
      <c r="R3065">
        <v>-0.9983128</v>
      </c>
      <c r="S3065">
        <v>1.464844E-2</v>
      </c>
      <c r="T3065">
        <v>-0.1631985</v>
      </c>
      <c r="U3065">
        <v>-3.011536</v>
      </c>
      <c r="V3065">
        <v>-5.1166959999999997E-2</v>
      </c>
      <c r="W3065">
        <v>5.6986259999999997E-2</v>
      </c>
      <c r="X3065">
        <v>0.99706289999999997</v>
      </c>
      <c r="Y3065">
        <v>-1.7395979999999998E-2</v>
      </c>
      <c r="Z3065">
        <v>5.4100919999999997E-2</v>
      </c>
      <c r="AA3065">
        <v>0.99838389999999999</v>
      </c>
      <c r="AB3065">
        <v>37</v>
      </c>
      <c r="AC3065">
        <v>0.104699999999979</v>
      </c>
      <c r="AD3065">
        <v>-1.102465027137</v>
      </c>
      <c r="AE3065">
        <v>-19.979800000000001</v>
      </c>
      <c r="AF3065">
        <v>-0.35415189979082001</v>
      </c>
      <c r="AG3065">
        <v>-1.102465027137</v>
      </c>
      <c r="AH3065">
        <v>19.916278392637501</v>
      </c>
      <c r="AI3065">
        <v>93.167872965289206</v>
      </c>
      <c r="AJ3065">
        <v>91.018728019925405</v>
      </c>
      <c r="AK3065">
        <v>19.949912223296302</v>
      </c>
      <c r="AL3065">
        <v>86.733157906192403</v>
      </c>
      <c r="AM3065">
        <v>92.937709759070799</v>
      </c>
      <c r="AN3065">
        <v>0.99999995909041794</v>
      </c>
    </row>
    <row r="3066" spans="1:40" x14ac:dyDescent="0.3">
      <c r="A3066" t="str">
        <f>"20200111153938477"</f>
        <v>20200111153938477</v>
      </c>
      <c r="B3066" t="str">
        <f>"1578728378473902"</f>
        <v>1578728378473902</v>
      </c>
      <c r="C3066" t="s">
        <v>40</v>
      </c>
      <c r="D3066">
        <v>4.931349</v>
      </c>
      <c r="E3066">
        <v>0.51249169999999999</v>
      </c>
      <c r="F3066" t="s">
        <v>42</v>
      </c>
      <c r="G3066">
        <v>-420.1857</v>
      </c>
      <c r="H3066" s="1">
        <v>-1.7935240000000001E-6</v>
      </c>
      <c r="I3066">
        <v>73.654659999999893</v>
      </c>
      <c r="J3066">
        <v>-420.22519999999997</v>
      </c>
      <c r="K3066">
        <v>1.1024579999999999</v>
      </c>
      <c r="L3066">
        <v>93.844539999999995</v>
      </c>
      <c r="M3066">
        <v>-1.464412E-2</v>
      </c>
      <c r="N3066">
        <v>0</v>
      </c>
      <c r="O3066">
        <v>-0.99979929999999995</v>
      </c>
      <c r="P3066">
        <v>3.5803080000000001E-2</v>
      </c>
      <c r="Q3066">
        <v>4.1575429999999997E-2</v>
      </c>
      <c r="R3066">
        <v>-0.99849379999999999</v>
      </c>
      <c r="S3066">
        <v>4.7912600000000003E-3</v>
      </c>
      <c r="T3066">
        <v>-0.161431399999999</v>
      </c>
      <c r="U3066">
        <v>-3.0118710000000002</v>
      </c>
      <c r="V3066">
        <v>-5.0139000000000003E-2</v>
      </c>
      <c r="W3066">
        <v>5.5483739999999997E-2</v>
      </c>
      <c r="X3066">
        <v>0.99719990000000003</v>
      </c>
      <c r="Y3066">
        <v>-1.6233810000000001E-2</v>
      </c>
      <c r="Z3066">
        <v>5.3509370000000001E-2</v>
      </c>
      <c r="AA3066">
        <v>0.99843539999999997</v>
      </c>
      <c r="AB3066">
        <v>37</v>
      </c>
      <c r="AC3066">
        <v>3.9499999999975402E-2</v>
      </c>
      <c r="AD3066">
        <v>-1.1024597935239999</v>
      </c>
      <c r="AE3066">
        <v>-20.189879999999999</v>
      </c>
      <c r="AF3066">
        <v>-0.334189987146503</v>
      </c>
      <c r="AG3066">
        <v>-1.1024597935239999</v>
      </c>
      <c r="AH3066">
        <v>20.127124119108199</v>
      </c>
      <c r="AI3066">
        <v>93.134802307426398</v>
      </c>
      <c r="AJ3066">
        <v>90.951249486981297</v>
      </c>
      <c r="AK3066">
        <v>20.160065125138701</v>
      </c>
      <c r="AL3066">
        <v>86.8193825563134</v>
      </c>
      <c r="AM3066">
        <v>92.878395722273694</v>
      </c>
      <c r="AN3066">
        <v>1.0000000026426901</v>
      </c>
    </row>
    <row r="3067" spans="1:40" x14ac:dyDescent="0.3">
      <c r="A3067" t="str">
        <f>"20200111153938500"</f>
        <v>20200111153938500</v>
      </c>
      <c r="B3067" t="str">
        <f>"1578728378494397"</f>
        <v>1578728378494397</v>
      </c>
      <c r="C3067" t="s">
        <v>40</v>
      </c>
      <c r="D3067">
        <v>4.8740779999999999</v>
      </c>
      <c r="E3067">
        <v>0.48838540000000003</v>
      </c>
      <c r="F3067" t="s">
        <v>42</v>
      </c>
      <c r="G3067">
        <v>-420.23309999999998</v>
      </c>
      <c r="H3067" s="1">
        <v>-1.9028879999999999E-6</v>
      </c>
      <c r="I3067">
        <v>73.880200000000002</v>
      </c>
      <c r="J3067">
        <v>-420.2328</v>
      </c>
      <c r="K3067">
        <v>1.102463</v>
      </c>
      <c r="L3067">
        <v>93.467219999999998</v>
      </c>
      <c r="M3067">
        <v>-1.6740029999999999E-2</v>
      </c>
      <c r="N3067">
        <v>0</v>
      </c>
      <c r="O3067">
        <v>-0.9997665</v>
      </c>
      <c r="P3067">
        <v>3.2832159999999999E-2</v>
      </c>
      <c r="Q3067">
        <v>4.1121930000000001E-2</v>
      </c>
      <c r="R3067">
        <v>-0.99861500000000003</v>
      </c>
      <c r="S3067">
        <v>-1.190186E-3</v>
      </c>
      <c r="T3067">
        <v>-0.16629969999999999</v>
      </c>
      <c r="U3067">
        <v>-3.0115050000000001</v>
      </c>
      <c r="V3067">
        <v>-4.9264839999999997E-2</v>
      </c>
      <c r="W3067">
        <v>5.5024780000000002E-2</v>
      </c>
      <c r="X3067">
        <v>0.99726890000000001</v>
      </c>
      <c r="Y3067">
        <v>-1.634704E-2</v>
      </c>
      <c r="Z3067">
        <v>5.512218E-2</v>
      </c>
      <c r="AA3067">
        <v>0.99834579999999995</v>
      </c>
      <c r="AB3067">
        <v>37</v>
      </c>
      <c r="AC3067">
        <v>-2.9999999998153699E-4</v>
      </c>
      <c r="AD3067">
        <v>-1.102464902888</v>
      </c>
      <c r="AE3067">
        <v>-19.5870199999999</v>
      </c>
      <c r="AF3067">
        <v>-0.32658332561616699</v>
      </c>
      <c r="AG3067">
        <v>-1.102464902888</v>
      </c>
      <c r="AH3067">
        <v>19.522431744386299</v>
      </c>
      <c r="AI3067">
        <v>93.231705930886804</v>
      </c>
      <c r="AJ3067">
        <v>90.958389880541205</v>
      </c>
      <c r="AK3067">
        <v>19.556263107886799</v>
      </c>
      <c r="AL3067">
        <v>86.845719268691695</v>
      </c>
      <c r="AM3067">
        <v>92.828098500784193</v>
      </c>
      <c r="AN3067">
        <v>1.00000000489074</v>
      </c>
    </row>
    <row r="3068" spans="1:40" x14ac:dyDescent="0.3">
      <c r="A3068" t="str">
        <f>"20200111153938523"</f>
        <v>20200111153938523</v>
      </c>
      <c r="B3068" t="str">
        <f>"1578728378513918"</f>
        <v>1578728378513918</v>
      </c>
      <c r="C3068" t="s">
        <v>40</v>
      </c>
      <c r="D3068">
        <v>4.9297890000000004</v>
      </c>
      <c r="E3068">
        <v>0.48248609999999997</v>
      </c>
      <c r="F3068" t="s">
        <v>42</v>
      </c>
      <c r="G3068">
        <v>-419.0256</v>
      </c>
      <c r="H3068" s="1">
        <v>-1.844023E-6</v>
      </c>
      <c r="I3068">
        <v>73.528319999999994</v>
      </c>
      <c r="J3068">
        <v>-420.24169999999998</v>
      </c>
      <c r="K3068">
        <v>1.1024590000000001</v>
      </c>
      <c r="L3068">
        <v>93.067599999999999</v>
      </c>
      <c r="M3068">
        <v>-1.896103E-2</v>
      </c>
      <c r="N3068">
        <v>0</v>
      </c>
      <c r="O3068">
        <v>-0.99972660000000002</v>
      </c>
      <c r="P3068">
        <v>2.8353300000000001E-2</v>
      </c>
      <c r="Q3068">
        <v>4.0970720000000002E-2</v>
      </c>
      <c r="R3068">
        <v>-0.99875809999999998</v>
      </c>
      <c r="S3068">
        <v>0.18194579999999999</v>
      </c>
      <c r="T3068">
        <v>-0.1661532</v>
      </c>
      <c r="U3068">
        <v>-3.0050050000000001</v>
      </c>
      <c r="V3068">
        <v>-4.700729E-2</v>
      </c>
      <c r="W3068">
        <v>5.4861470000000002E-2</v>
      </c>
      <c r="X3068">
        <v>0.99738689999999997</v>
      </c>
      <c r="Y3068">
        <v>-7.9262460000000007E-2</v>
      </c>
      <c r="Z3068">
        <v>5.5055819999999998E-2</v>
      </c>
      <c r="AA3068">
        <v>0.9953322</v>
      </c>
      <c r="AB3068">
        <v>37</v>
      </c>
      <c r="AC3068">
        <v>1.21609999999998</v>
      </c>
      <c r="AD3068">
        <v>-1.1024608440229999</v>
      </c>
      <c r="AE3068">
        <v>-19.539280000000002</v>
      </c>
      <c r="AF3068">
        <v>-1.5813859236461201</v>
      </c>
      <c r="AG3068">
        <v>-1.1024608440229999</v>
      </c>
      <c r="AH3068">
        <v>19.451021961759199</v>
      </c>
      <c r="AI3068">
        <v>93.233340427754499</v>
      </c>
      <c r="AJ3068">
        <v>94.647976615145794</v>
      </c>
      <c r="AK3068">
        <v>19.546315681195502</v>
      </c>
      <c r="AL3068">
        <v>86.855090530975701</v>
      </c>
      <c r="AM3068">
        <v>92.6983789063231</v>
      </c>
      <c r="AN3068">
        <v>1.00000004724765</v>
      </c>
    </row>
    <row r="3069" spans="1:40" x14ac:dyDescent="0.3">
      <c r="A3069" t="str">
        <f>"20200111153938544"</f>
        <v>20200111153938544</v>
      </c>
      <c r="B3069" t="str">
        <f>"1578728378534413"</f>
        <v>1578728378534413</v>
      </c>
      <c r="C3069" t="s">
        <v>40</v>
      </c>
      <c r="D3069">
        <v>4.868868</v>
      </c>
      <c r="E3069">
        <v>0.4811974</v>
      </c>
      <c r="F3069" t="s">
        <v>42</v>
      </c>
      <c r="G3069">
        <v>-418.92950000000002</v>
      </c>
      <c r="H3069" s="1">
        <v>-2.4359260000000001E-6</v>
      </c>
      <c r="I3069">
        <v>74.868319999999997</v>
      </c>
      <c r="J3069">
        <v>-420.24979999999999</v>
      </c>
      <c r="K3069">
        <v>1.1024400000000001</v>
      </c>
      <c r="L3069">
        <v>92.733490000000003</v>
      </c>
      <c r="M3069">
        <v>-2.0817929999999998E-2</v>
      </c>
      <c r="N3069">
        <v>0</v>
      </c>
      <c r="O3069">
        <v>-0.99968979999999996</v>
      </c>
      <c r="P3069">
        <v>2.4764049999999999E-2</v>
      </c>
      <c r="Q3069">
        <v>3.9436699999999998E-2</v>
      </c>
      <c r="R3069">
        <v>-0.99891529999999995</v>
      </c>
      <c r="S3069">
        <v>0.2166748</v>
      </c>
      <c r="T3069">
        <v>-0.18203659999999999</v>
      </c>
      <c r="U3069">
        <v>-3.0050349999999999</v>
      </c>
      <c r="V3069">
        <v>-4.5284140000000001E-2</v>
      </c>
      <c r="W3069">
        <v>5.3318780000000003E-2</v>
      </c>
      <c r="X3069">
        <v>0.99755020000000005</v>
      </c>
      <c r="Y3069">
        <v>-9.2536889999999997E-2</v>
      </c>
      <c r="Z3069">
        <v>6.0239040000000001E-2</v>
      </c>
      <c r="AA3069">
        <v>0.99388540000000003</v>
      </c>
      <c r="AB3069">
        <v>37</v>
      </c>
      <c r="AC3069">
        <v>1.3202999999999701</v>
      </c>
      <c r="AD3069">
        <v>-1.1024424359260001</v>
      </c>
      <c r="AE3069">
        <v>-17.865169999999999</v>
      </c>
      <c r="AF3069">
        <v>-1.68558060481387</v>
      </c>
      <c r="AG3069">
        <v>-1.1024424359260001</v>
      </c>
      <c r="AH3069">
        <v>17.766521614582398</v>
      </c>
      <c r="AI3069">
        <v>93.5349136700804</v>
      </c>
      <c r="AJ3069">
        <v>95.419656544150598</v>
      </c>
      <c r="AK3069">
        <v>17.880320231508101</v>
      </c>
      <c r="AL3069">
        <v>86.943609523409606</v>
      </c>
      <c r="AM3069">
        <v>92.599177509766093</v>
      </c>
      <c r="AN3069">
        <v>0.99999997357813297</v>
      </c>
    </row>
    <row r="3070" spans="1:40" x14ac:dyDescent="0.3">
      <c r="A3070" t="str">
        <f>"20200111153938566"</f>
        <v>20200111153938566</v>
      </c>
      <c r="B3070" t="str">
        <f>"1578728378554444"</f>
        <v>1578728378554444</v>
      </c>
      <c r="C3070" t="s">
        <v>40</v>
      </c>
      <c r="D3070">
        <v>4.8955270000000004</v>
      </c>
      <c r="E3070">
        <v>0.48098289999999999</v>
      </c>
      <c r="F3070" t="s">
        <v>42</v>
      </c>
      <c r="G3070">
        <v>-418.97559999999999</v>
      </c>
      <c r="H3070" s="1">
        <v>-2.4827099999999998E-6</v>
      </c>
      <c r="I3070">
        <v>74.996480000000005</v>
      </c>
      <c r="J3070">
        <v>-420.2593</v>
      </c>
      <c r="K3070">
        <v>1.1024259999999999</v>
      </c>
      <c r="L3070">
        <v>92.368440000000007</v>
      </c>
      <c r="M3070">
        <v>-2.284769E-2</v>
      </c>
      <c r="N3070">
        <v>0</v>
      </c>
      <c r="O3070">
        <v>-0.99964549999999996</v>
      </c>
      <c r="P3070">
        <v>2.2416780000000001E-2</v>
      </c>
      <c r="Q3070">
        <v>3.7788200000000001E-2</v>
      </c>
      <c r="R3070">
        <v>-0.99903459999999999</v>
      </c>
      <c r="S3070">
        <v>0.2158813</v>
      </c>
      <c r="T3070">
        <v>-0.18679299999999999</v>
      </c>
      <c r="U3070">
        <v>-3.00528</v>
      </c>
      <c r="V3070">
        <v>-4.497553E-2</v>
      </c>
      <c r="W3070">
        <v>5.166834E-2</v>
      </c>
      <c r="X3070">
        <v>0.99765099999999995</v>
      </c>
      <c r="Y3070">
        <v>-9.4284740000000006E-2</v>
      </c>
      <c r="Z3070">
        <v>6.1793420000000002E-2</v>
      </c>
      <c r="AA3070">
        <v>0.9936256</v>
      </c>
      <c r="AB3070">
        <v>37</v>
      </c>
      <c r="AC3070">
        <v>1.2837000000000101</v>
      </c>
      <c r="AD3070">
        <v>-1.1024284827099999</v>
      </c>
      <c r="AE3070">
        <v>-17.371960000000001</v>
      </c>
      <c r="AF3070">
        <v>-1.6736077318928899</v>
      </c>
      <c r="AG3070">
        <v>-1.1024284827099999</v>
      </c>
      <c r="AH3070">
        <v>17.268924285672998</v>
      </c>
      <c r="AI3070">
        <v>93.635752331795402</v>
      </c>
      <c r="AJ3070">
        <v>95.535499720642406</v>
      </c>
      <c r="AK3070">
        <v>17.384822615834999</v>
      </c>
      <c r="AL3070">
        <v>87.038303320709204</v>
      </c>
      <c r="AM3070">
        <v>92.581227766557504</v>
      </c>
      <c r="AN3070">
        <v>0.99999996672906699</v>
      </c>
    </row>
    <row r="3071" spans="1:40" x14ac:dyDescent="0.3">
      <c r="A3071" t="str">
        <f>"20200111153938589"</f>
        <v>20200111153938589</v>
      </c>
      <c r="B3071" t="str">
        <f>"1578728378583725"</f>
        <v>1578728378583725</v>
      </c>
      <c r="C3071" t="s">
        <v>40</v>
      </c>
      <c r="D3071">
        <v>4.9189449999999999</v>
      </c>
      <c r="E3071">
        <v>0.48075560000000001</v>
      </c>
      <c r="F3071" t="s">
        <v>42</v>
      </c>
      <c r="G3071">
        <v>-419.03339999999997</v>
      </c>
      <c r="H3071" s="1">
        <v>-2.4005140000000001E-6</v>
      </c>
      <c r="I3071">
        <v>74.828739999999996</v>
      </c>
      <c r="J3071">
        <v>-420.27010000000001</v>
      </c>
      <c r="K3071">
        <v>1.102422</v>
      </c>
      <c r="L3071">
        <v>91.985600000000005</v>
      </c>
      <c r="M3071">
        <v>-2.4977070000000001E-2</v>
      </c>
      <c r="N3071">
        <v>0</v>
      </c>
      <c r="O3071">
        <v>-0.99959469999999995</v>
      </c>
      <c r="P3071">
        <v>2.0259369999999999E-2</v>
      </c>
      <c r="Q3071">
        <v>3.7724439999999998E-2</v>
      </c>
      <c r="R3071">
        <v>-0.9990831</v>
      </c>
      <c r="S3071">
        <v>0.2100525</v>
      </c>
      <c r="T3071">
        <v>-0.1888957</v>
      </c>
      <c r="U3071">
        <v>-3.005341</v>
      </c>
      <c r="V3071">
        <v>-4.4947139999999997E-2</v>
      </c>
      <c r="W3071">
        <v>5.1600720000000003E-2</v>
      </c>
      <c r="X3071">
        <v>0.99765579999999998</v>
      </c>
      <c r="Y3071">
        <v>-9.4483449999999997E-2</v>
      </c>
      <c r="Z3071">
        <v>6.248393E-2</v>
      </c>
      <c r="AA3071">
        <v>0.99356359999999999</v>
      </c>
      <c r="AB3071">
        <v>37</v>
      </c>
      <c r="AC3071">
        <v>1.2367000000000401</v>
      </c>
      <c r="AD3071">
        <v>-1.102424400514</v>
      </c>
      <c r="AE3071">
        <v>-17.156860000000002</v>
      </c>
      <c r="AF3071">
        <v>-1.65807175205817</v>
      </c>
      <c r="AG3071">
        <v>-1.102424400514</v>
      </c>
      <c r="AH3071">
        <v>17.0505801985388</v>
      </c>
      <c r="AI3071">
        <v>93.6820531958233</v>
      </c>
      <c r="AJ3071">
        <v>95.554224202632497</v>
      </c>
      <c r="AK3071">
        <v>17.166444786286601</v>
      </c>
      <c r="AL3071">
        <v>87.042182897988297</v>
      </c>
      <c r="AM3071">
        <v>92.579588219852596</v>
      </c>
      <c r="AN3071">
        <v>0.99999998748616803</v>
      </c>
    </row>
    <row r="3072" spans="1:40" x14ac:dyDescent="0.3">
      <c r="A3072" t="str">
        <f>"20200111153938613"</f>
        <v>20200111153938613</v>
      </c>
      <c r="B3072" t="str">
        <f>"1578728378604220"</f>
        <v>1578728378604220</v>
      </c>
      <c r="C3072" t="s">
        <v>40</v>
      </c>
      <c r="D3072">
        <v>4.9190170000000002</v>
      </c>
      <c r="E3072">
        <v>0.48053370000000001</v>
      </c>
      <c r="F3072" t="s">
        <v>42</v>
      </c>
      <c r="G3072">
        <v>-419.09219999999999</v>
      </c>
      <c r="H3072" s="1">
        <v>-2.3407720000000002E-6</v>
      </c>
      <c r="I3072">
        <v>74.713809999999995</v>
      </c>
      <c r="J3072">
        <v>-420.28219999999999</v>
      </c>
      <c r="K3072">
        <v>1.1024179999999999</v>
      </c>
      <c r="L3072">
        <v>91.584720000000004</v>
      </c>
      <c r="M3072">
        <v>-2.7207660000000002E-2</v>
      </c>
      <c r="N3072">
        <v>0</v>
      </c>
      <c r="O3072">
        <v>-0.9995366</v>
      </c>
      <c r="P3072">
        <v>1.7633139999999999E-2</v>
      </c>
      <c r="Q3072">
        <v>3.7954559999999998E-2</v>
      </c>
      <c r="R3072">
        <v>-0.99912420000000002</v>
      </c>
      <c r="S3072">
        <v>0.20498659999999999</v>
      </c>
      <c r="T3072">
        <v>-0.1918561</v>
      </c>
      <c r="U3072">
        <v>-3.0058289999999999</v>
      </c>
      <c r="V3072">
        <v>-4.4549890000000002E-2</v>
      </c>
      <c r="W3072">
        <v>5.1819289999999997E-2</v>
      </c>
      <c r="X3072">
        <v>0.9976623</v>
      </c>
      <c r="Y3072">
        <v>-9.5023029999999994E-2</v>
      </c>
      <c r="Z3072">
        <v>6.3445489999999993E-2</v>
      </c>
      <c r="AA3072">
        <v>0.99345119999999998</v>
      </c>
      <c r="AB3072">
        <v>37</v>
      </c>
      <c r="AC3072">
        <v>1.18999999999999</v>
      </c>
      <c r="AD3072">
        <v>-1.1024203407719999</v>
      </c>
      <c r="AE3072">
        <v>-16.870909999999899</v>
      </c>
      <c r="AF3072">
        <v>-1.6416451829263701</v>
      </c>
      <c r="AG3072">
        <v>-1.1024203407719999</v>
      </c>
      <c r="AH3072">
        <v>16.7610694095555</v>
      </c>
      <c r="AI3072">
        <v>93.745206748710103</v>
      </c>
      <c r="AJ3072">
        <v>95.593932382944004</v>
      </c>
      <c r="AK3072">
        <v>16.87731546385</v>
      </c>
      <c r="AL3072">
        <v>87.029643014448894</v>
      </c>
      <c r="AM3072">
        <v>92.556803161129693</v>
      </c>
      <c r="AN3072">
        <v>0.99999999817820295</v>
      </c>
    </row>
    <row r="3073" spans="1:40" x14ac:dyDescent="0.3">
      <c r="A3073" t="str">
        <f>"20200111153938634"</f>
        <v>20200111153938634</v>
      </c>
      <c r="B3073" t="str">
        <f>"1578728378623741"</f>
        <v>1578728378623741</v>
      </c>
      <c r="C3073" t="s">
        <v>40</v>
      </c>
      <c r="D3073">
        <v>4.9261650000000001</v>
      </c>
      <c r="E3073">
        <v>0.48008420000000002</v>
      </c>
      <c r="F3073" t="s">
        <v>42</v>
      </c>
      <c r="G3073">
        <v>-419.1481</v>
      </c>
      <c r="H3073" s="1">
        <v>-2.1828020000000001E-6</v>
      </c>
      <c r="I3073">
        <v>74.368679999999998</v>
      </c>
      <c r="J3073">
        <v>-420.29349999999999</v>
      </c>
      <c r="K3073">
        <v>1.10242</v>
      </c>
      <c r="L3073">
        <v>91.237790000000004</v>
      </c>
      <c r="M3073">
        <v>-2.914044E-2</v>
      </c>
      <c r="N3073">
        <v>0</v>
      </c>
      <c r="O3073">
        <v>-0.99948250000000005</v>
      </c>
      <c r="P3073">
        <v>1.6336469999999999E-2</v>
      </c>
      <c r="Q3073">
        <v>3.7813270000000003E-2</v>
      </c>
      <c r="R3073">
        <v>-0.99915160000000003</v>
      </c>
      <c r="S3073">
        <v>0.19805909999999999</v>
      </c>
      <c r="T3073">
        <v>-0.19251570000000001</v>
      </c>
      <c r="U3073">
        <v>-3.0064389999999999</v>
      </c>
      <c r="V3073">
        <v>-4.518581E-2</v>
      </c>
      <c r="W3073">
        <v>5.1661199999999997E-2</v>
      </c>
      <c r="X3073">
        <v>0.99764189999999997</v>
      </c>
      <c r="Y3073">
        <v>-9.4654509999999997E-2</v>
      </c>
      <c r="Z3073">
        <v>6.3650650000000003E-2</v>
      </c>
      <c r="AA3073">
        <v>0.9934733</v>
      </c>
      <c r="AB3073">
        <v>37</v>
      </c>
      <c r="AC3073">
        <v>1.14539999999999</v>
      </c>
      <c r="AD3073">
        <v>-1.102422182802</v>
      </c>
      <c r="AE3073">
        <v>-16.869109999999999</v>
      </c>
      <c r="AF3073">
        <v>-1.6296045805713499</v>
      </c>
      <c r="AG3073">
        <v>-1.102422182802</v>
      </c>
      <c r="AH3073">
        <v>16.757325129864501</v>
      </c>
      <c r="AI3073">
        <v>93.7462990199394</v>
      </c>
      <c r="AJ3073">
        <v>95.554394278809696</v>
      </c>
      <c r="AK3073">
        <v>16.872429915875799</v>
      </c>
      <c r="AL3073">
        <v>87.038713054792595</v>
      </c>
      <c r="AM3073">
        <v>92.593303304934693</v>
      </c>
      <c r="AN3073">
        <v>0.99999999882320301</v>
      </c>
    </row>
    <row r="3074" spans="1:40" x14ac:dyDescent="0.3">
      <c r="A3074" t="str">
        <f>"20200111153938656"</f>
        <v>20200111153938656</v>
      </c>
      <c r="B3074" t="str">
        <f>"1578728378644236"</f>
        <v>1578728378644236</v>
      </c>
      <c r="C3074" t="s">
        <v>40</v>
      </c>
      <c r="D3074">
        <v>4.9090879999999997</v>
      </c>
      <c r="E3074">
        <v>0.47983100000000001</v>
      </c>
      <c r="F3074" t="s">
        <v>42</v>
      </c>
      <c r="G3074">
        <v>-419.16770000000002</v>
      </c>
      <c r="H3074" s="1">
        <v>-2.058453E-6</v>
      </c>
      <c r="I3074">
        <v>74.086929999999995</v>
      </c>
      <c r="J3074">
        <v>-420.30590000000001</v>
      </c>
      <c r="K3074">
        <v>1.1024229999999999</v>
      </c>
      <c r="L3074">
        <v>90.877690000000001</v>
      </c>
      <c r="M3074">
        <v>-3.1146440000000001E-2</v>
      </c>
      <c r="N3074">
        <v>0</v>
      </c>
      <c r="O3074">
        <v>-0.99942229999999999</v>
      </c>
      <c r="P3074">
        <v>1.529437E-2</v>
      </c>
      <c r="Q3074">
        <v>3.9173609999999998E-2</v>
      </c>
      <c r="R3074">
        <v>-0.99911559999999999</v>
      </c>
      <c r="S3074">
        <v>0.19735720000000001</v>
      </c>
      <c r="T3074">
        <v>-0.1932614</v>
      </c>
      <c r="U3074">
        <v>-3.006653</v>
      </c>
      <c r="V3074">
        <v>-4.6140170000000001E-2</v>
      </c>
      <c r="W3074">
        <v>5.2996420000000002E-2</v>
      </c>
      <c r="X3074">
        <v>0.99752819999999998</v>
      </c>
      <c r="Y3074">
        <v>-9.6415879999999995E-2</v>
      </c>
      <c r="Z3074">
        <v>6.3880960000000001E-2</v>
      </c>
      <c r="AA3074">
        <v>0.99328910000000004</v>
      </c>
      <c r="AB3074">
        <v>37</v>
      </c>
      <c r="AC3074">
        <v>1.1381999999999799</v>
      </c>
      <c r="AD3074">
        <v>-1.102425058453</v>
      </c>
      <c r="AE3074">
        <v>-16.790759999999899</v>
      </c>
      <c r="AF3074">
        <v>-1.65357284146798</v>
      </c>
      <c r="AG3074">
        <v>-1.102425058453</v>
      </c>
      <c r="AH3074">
        <v>16.675601691947499</v>
      </c>
      <c r="AI3074">
        <v>93.763917191036697</v>
      </c>
      <c r="AJ3074">
        <v>95.663005903169804</v>
      </c>
      <c r="AK3074">
        <v>16.793609973440098</v>
      </c>
      <c r="AL3074">
        <v>86.962105692027393</v>
      </c>
      <c r="AM3074">
        <v>92.648300156594502</v>
      </c>
      <c r="AN3074">
        <v>1.0000000228078401</v>
      </c>
    </row>
    <row r="3075" spans="1:40" x14ac:dyDescent="0.3">
      <c r="A3075" t="str">
        <f>"20200111153938678"</f>
        <v>20200111153938678</v>
      </c>
      <c r="B3075" t="str">
        <f>"1578728378674022"</f>
        <v>1578728378674022</v>
      </c>
      <c r="C3075" t="s">
        <v>40</v>
      </c>
      <c r="D3075">
        <v>4.9270800000000001</v>
      </c>
      <c r="E3075">
        <v>0.47933419999999999</v>
      </c>
      <c r="F3075" t="s">
        <v>42</v>
      </c>
      <c r="G3075">
        <v>-419.15899999999999</v>
      </c>
      <c r="H3075" s="1">
        <v>-1.7303350000000001E-6</v>
      </c>
      <c r="I3075">
        <v>73.318479999999994</v>
      </c>
      <c r="J3075">
        <v>-420.31979999999999</v>
      </c>
      <c r="K3075">
        <v>1.1024309999999999</v>
      </c>
      <c r="L3075">
        <v>90.499110000000002</v>
      </c>
      <c r="M3075">
        <v>-3.3256750000000002E-2</v>
      </c>
      <c r="N3075">
        <v>0</v>
      </c>
      <c r="O3075">
        <v>-0.99935469999999904</v>
      </c>
      <c r="P3075">
        <v>1.3530189999999999E-2</v>
      </c>
      <c r="Q3075">
        <v>4.0406360000000002E-2</v>
      </c>
      <c r="R3075">
        <v>-0.99909199999999998</v>
      </c>
      <c r="S3075">
        <v>0.19641110000000001</v>
      </c>
      <c r="T3075">
        <v>-0.1887925</v>
      </c>
      <c r="U3075">
        <v>-3.00705</v>
      </c>
      <c r="V3075">
        <v>-4.6477749999999998E-2</v>
      </c>
      <c r="W3075">
        <v>5.4194899999999997E-2</v>
      </c>
      <c r="X3075">
        <v>0.99744809999999995</v>
      </c>
      <c r="Y3075">
        <v>-9.8203819999999997E-2</v>
      </c>
      <c r="Z3075">
        <v>6.2390210000000002E-2</v>
      </c>
      <c r="AA3075">
        <v>0.9932086</v>
      </c>
      <c r="AB3075">
        <v>37</v>
      </c>
      <c r="AC3075">
        <v>1.1607999999999901</v>
      </c>
      <c r="AD3075">
        <v>-1.1024327303350001</v>
      </c>
      <c r="AE3075">
        <v>-17.180629999999901</v>
      </c>
      <c r="AF3075">
        <v>-1.7245140184233101</v>
      </c>
      <c r="AG3075">
        <v>-1.1024327303350001</v>
      </c>
      <c r="AH3075">
        <v>17.062581937125799</v>
      </c>
      <c r="AI3075">
        <v>93.678119972544906</v>
      </c>
      <c r="AJ3075">
        <v>95.771282391515001</v>
      </c>
      <c r="AK3075">
        <v>17.1849064264483</v>
      </c>
      <c r="AL3075">
        <v>86.893338905558196</v>
      </c>
      <c r="AM3075">
        <v>92.667862210921598</v>
      </c>
      <c r="AN3075">
        <v>0.99999999031234099</v>
      </c>
    </row>
    <row r="3076" spans="1:40" x14ac:dyDescent="0.3">
      <c r="A3076" t="str">
        <f>"20200111153938701"</f>
        <v>20200111153938701</v>
      </c>
      <c r="B3076" t="str">
        <f>"1578728378693541"</f>
        <v>1578728378693541</v>
      </c>
      <c r="C3076" t="s">
        <v>40</v>
      </c>
      <c r="D3076">
        <v>4.9580310000000001</v>
      </c>
      <c r="E3076">
        <v>0.47890359999999998</v>
      </c>
      <c r="F3076" t="s">
        <v>42</v>
      </c>
      <c r="G3076">
        <v>-419.15030000000002</v>
      </c>
      <c r="H3076" s="1">
        <v>-1.35135E-6</v>
      </c>
      <c r="I3076">
        <v>72.431460000000001</v>
      </c>
      <c r="J3076">
        <v>-420.33429999999998</v>
      </c>
      <c r="K3076">
        <v>1.1024369999999999</v>
      </c>
      <c r="L3076">
        <v>90.123869999999997</v>
      </c>
      <c r="M3076">
        <v>-3.5348089999999999E-2</v>
      </c>
      <c r="N3076">
        <v>0</v>
      </c>
      <c r="O3076">
        <v>-0.99928320000000004</v>
      </c>
      <c r="P3076">
        <v>1.284944E-2</v>
      </c>
      <c r="Q3076">
        <v>4.199282E-2</v>
      </c>
      <c r="R3076">
        <v>-0.99903509999999995</v>
      </c>
      <c r="S3076">
        <v>0.1946716</v>
      </c>
      <c r="T3076">
        <v>-0.1835106</v>
      </c>
      <c r="U3076">
        <v>-3.0075379999999998</v>
      </c>
      <c r="V3076">
        <v>-4.7876660000000001E-2</v>
      </c>
      <c r="W3076">
        <v>5.5753219999999999E-2</v>
      </c>
      <c r="X3076">
        <v>0.99729599999999996</v>
      </c>
      <c r="Y3076">
        <v>-9.9710809999999997E-2</v>
      </c>
      <c r="Z3076">
        <v>6.063151E-2</v>
      </c>
      <c r="AA3076">
        <v>0.99316749999999998</v>
      </c>
      <c r="AB3076">
        <v>37</v>
      </c>
      <c r="AC3076">
        <v>1.18399999999996</v>
      </c>
      <c r="AD3076">
        <v>-1.10243835135</v>
      </c>
      <c r="AE3076">
        <v>-17.692409999999899</v>
      </c>
      <c r="AF3076">
        <v>-1.8017457947001401</v>
      </c>
      <c r="AG3076">
        <v>-1.10243835135</v>
      </c>
      <c r="AH3076">
        <v>17.571574216272001</v>
      </c>
      <c r="AI3076">
        <v>93.571347915464798</v>
      </c>
      <c r="AJ3076">
        <v>95.854506858297299</v>
      </c>
      <c r="AK3076">
        <v>17.698075563891202</v>
      </c>
      <c r="AL3076">
        <v>86.803918396764402</v>
      </c>
      <c r="AM3076">
        <v>92.748458002541597</v>
      </c>
      <c r="AN3076">
        <v>0.99999995386455998</v>
      </c>
    </row>
    <row r="3077" spans="1:40" x14ac:dyDescent="0.3">
      <c r="A3077" t="str">
        <f>"20200111153938726"</f>
        <v>20200111153938726</v>
      </c>
      <c r="B3077" t="str">
        <f>"1578728378723797"</f>
        <v>1578728378723797</v>
      </c>
      <c r="C3077" t="s">
        <v>40</v>
      </c>
      <c r="D3077">
        <v>4.8924960000000004</v>
      </c>
      <c r="E3077">
        <v>0.45692270000000001</v>
      </c>
      <c r="F3077" t="s">
        <v>42</v>
      </c>
      <c r="G3077">
        <v>-419.13569999999999</v>
      </c>
      <c r="H3077" s="1">
        <v>-1.036355E-6</v>
      </c>
      <c r="I3077">
        <v>71.691159999999996</v>
      </c>
      <c r="J3077">
        <v>-420.35149999999999</v>
      </c>
      <c r="K3077">
        <v>1.1024480000000001</v>
      </c>
      <c r="L3077">
        <v>89.701139999999995</v>
      </c>
      <c r="M3077">
        <v>-3.7695369999999999E-2</v>
      </c>
      <c r="N3077">
        <v>0</v>
      </c>
      <c r="O3077">
        <v>-0.99919809999999998</v>
      </c>
      <c r="P3077">
        <v>1.2289700000000001E-2</v>
      </c>
      <c r="Q3077">
        <v>4.339879E-2</v>
      </c>
      <c r="R3077">
        <v>-0.9989825</v>
      </c>
      <c r="S3077">
        <v>0.19558719999999999</v>
      </c>
      <c r="T3077">
        <v>-0.17990100000000001</v>
      </c>
      <c r="U3077">
        <v>-3.0079349999999998</v>
      </c>
      <c r="V3077">
        <v>-4.9653170000000003E-2</v>
      </c>
      <c r="W3077">
        <v>5.7129560000000003E-2</v>
      </c>
      <c r="X3077">
        <v>0.99713130000000005</v>
      </c>
      <c r="Y3077">
        <v>-0.10234500000000001</v>
      </c>
      <c r="Z3077">
        <v>5.9419159999999999E-2</v>
      </c>
      <c r="AA3077">
        <v>0.99297270000000004</v>
      </c>
      <c r="AB3077">
        <v>37</v>
      </c>
      <c r="AC3077">
        <v>1.2158</v>
      </c>
      <c r="AD3077">
        <v>-1.1024490363549999</v>
      </c>
      <c r="AE3077">
        <v>-18.009979999999999</v>
      </c>
      <c r="AF3077">
        <v>-1.8868523920508999</v>
      </c>
      <c r="AG3077">
        <v>-1.1024490363549999</v>
      </c>
      <c r="AH3077">
        <v>17.8846325846498</v>
      </c>
      <c r="AI3077">
        <v>93.507958014377493</v>
      </c>
      <c r="AJ3077">
        <v>96.022501912172999</v>
      </c>
      <c r="AK3077">
        <v>18.017649361530601</v>
      </c>
      <c r="AL3077">
        <v>86.724934244468599</v>
      </c>
      <c r="AM3077">
        <v>92.850747050658896</v>
      </c>
      <c r="AN3077">
        <v>1.00000002667826</v>
      </c>
    </row>
    <row r="3078" spans="1:40" x14ac:dyDescent="0.3">
      <c r="A3078" t="str">
        <f>"20200111153938747"</f>
        <v>20200111153938747</v>
      </c>
      <c r="B3078" t="str">
        <f>"1578728378744294"</f>
        <v>1578728378744294</v>
      </c>
      <c r="C3078" t="s">
        <v>40</v>
      </c>
      <c r="D3078">
        <v>4.9844160000000004</v>
      </c>
      <c r="E3078">
        <v>0.44698270000000001</v>
      </c>
      <c r="F3078" t="s">
        <v>42</v>
      </c>
      <c r="G3078">
        <v>-418.41629999999998</v>
      </c>
      <c r="H3078" s="1">
        <v>-2.1019350000000001E-6</v>
      </c>
      <c r="I3078">
        <v>73.877600000000001</v>
      </c>
      <c r="J3078">
        <v>-420.36610000000002</v>
      </c>
      <c r="K3078">
        <v>1.1024620000000001</v>
      </c>
      <c r="L3078">
        <v>89.360349999999997</v>
      </c>
      <c r="M3078">
        <v>-3.9561430000000002E-2</v>
      </c>
      <c r="N3078">
        <v>0</v>
      </c>
      <c r="O3078">
        <v>-0.99912610000000002</v>
      </c>
      <c r="P3078">
        <v>1.271926E-2</v>
      </c>
      <c r="Q3078">
        <v>4.3672570000000001E-2</v>
      </c>
      <c r="R3078">
        <v>-0.99896510000000005</v>
      </c>
      <c r="S3078">
        <v>0.3678284</v>
      </c>
      <c r="T3078">
        <v>-0.20954610000000001</v>
      </c>
      <c r="U3078">
        <v>-3.0076290000000001</v>
      </c>
      <c r="V3078">
        <v>-5.1945940000000003E-2</v>
      </c>
      <c r="W3078">
        <v>5.7383770000000001E-2</v>
      </c>
      <c r="X3078">
        <v>0.99699990000000005</v>
      </c>
      <c r="Y3078">
        <v>-0.1602836</v>
      </c>
      <c r="Z3078">
        <v>6.8717130000000001E-2</v>
      </c>
      <c r="AA3078">
        <v>0.9846762</v>
      </c>
      <c r="AB3078">
        <v>37</v>
      </c>
      <c r="AC3078">
        <v>1.94980000000003</v>
      </c>
      <c r="AD3078">
        <v>-1.1024641019349899</v>
      </c>
      <c r="AE3078">
        <v>-15.4827499999999</v>
      </c>
      <c r="AF3078">
        <v>-2.5481306982612799</v>
      </c>
      <c r="AG3078">
        <v>-1.1024641019349899</v>
      </c>
      <c r="AH3078">
        <v>15.317033722928</v>
      </c>
      <c r="AI3078">
        <v>94.061217571646793</v>
      </c>
      <c r="AJ3078">
        <v>99.445185381352005</v>
      </c>
      <c r="AK3078">
        <v>15.5666283832046</v>
      </c>
      <c r="AL3078">
        <v>86.710345192319295</v>
      </c>
      <c r="AM3078">
        <v>92.982542244263897</v>
      </c>
      <c r="AN3078">
        <v>1.00000003917095</v>
      </c>
    </row>
    <row r="3079" spans="1:40" x14ac:dyDescent="0.3">
      <c r="A3079" t="str">
        <f>"20200111153938771"</f>
        <v>20200111153938771</v>
      </c>
      <c r="B3079" t="str">
        <f>"1578728378764321"</f>
        <v>1578728378764321</v>
      </c>
      <c r="C3079" t="s">
        <v>40</v>
      </c>
      <c r="D3079">
        <v>4.9371700000000001</v>
      </c>
      <c r="E3079">
        <v>0.44320090000000001</v>
      </c>
      <c r="F3079" t="s">
        <v>42</v>
      </c>
      <c r="G3079">
        <v>-417.89089999999999</v>
      </c>
      <c r="H3079" s="1">
        <v>-1.7226400000000001E-6</v>
      </c>
      <c r="I3079">
        <v>72.776209999999907</v>
      </c>
      <c r="J3079">
        <v>-420.38389999999998</v>
      </c>
      <c r="K3079">
        <v>1.102503</v>
      </c>
      <c r="L3079">
        <v>88.964019999999906</v>
      </c>
      <c r="M3079">
        <v>-4.1664550000000002E-2</v>
      </c>
      <c r="N3079">
        <v>0</v>
      </c>
      <c r="O3079">
        <v>-0.99904099999999996</v>
      </c>
      <c r="P3079">
        <v>1.286444E-2</v>
      </c>
      <c r="Q3079">
        <v>4.3928849999999998E-2</v>
      </c>
      <c r="R3079">
        <v>-0.9989517</v>
      </c>
      <c r="S3079">
        <v>0.4486694</v>
      </c>
      <c r="T3079">
        <v>-0.19983670000000001</v>
      </c>
      <c r="U3079">
        <v>-3.0061040000000001</v>
      </c>
      <c r="V3079">
        <v>-5.419566E-2</v>
      </c>
      <c r="W3079">
        <v>5.7614180000000001E-2</v>
      </c>
      <c r="X3079">
        <v>0.99686680000000005</v>
      </c>
      <c r="Y3079">
        <v>-0.18838530000000001</v>
      </c>
      <c r="Z3079">
        <v>6.5290099999999907E-2</v>
      </c>
      <c r="AA3079">
        <v>0.97992250000000003</v>
      </c>
      <c r="AB3079">
        <v>37</v>
      </c>
      <c r="AC3079">
        <v>2.4929999999999901</v>
      </c>
      <c r="AD3079">
        <v>-1.10250472264</v>
      </c>
      <c r="AE3079">
        <v>-16.187809999999999</v>
      </c>
      <c r="AF3079">
        <v>-3.1510758686780602</v>
      </c>
      <c r="AG3079">
        <v>-1.10250472264</v>
      </c>
      <c r="AH3079">
        <v>15.9973858113636</v>
      </c>
      <c r="AI3079">
        <v>93.868367545881199</v>
      </c>
      <c r="AJ3079">
        <v>101.14315062643099</v>
      </c>
      <c r="AK3079">
        <v>16.3420056477541</v>
      </c>
      <c r="AL3079">
        <v>86.697121632818906</v>
      </c>
      <c r="AM3079">
        <v>93.111878848681897</v>
      </c>
      <c r="AN3079">
        <v>0.99999999012107399</v>
      </c>
    </row>
    <row r="3080" spans="1:40" x14ac:dyDescent="0.3">
      <c r="A3080" t="str">
        <f>"20200111153938792"</f>
        <v>20200111153938792</v>
      </c>
      <c r="B3080" t="str">
        <f>"1578728378783841"</f>
        <v>1578728378783841</v>
      </c>
      <c r="C3080" t="s">
        <v>40</v>
      </c>
      <c r="D3080">
        <v>4.9433920000000002</v>
      </c>
      <c r="E3080">
        <v>0.44137140000000002</v>
      </c>
      <c r="F3080" t="s">
        <v>42</v>
      </c>
      <c r="G3080">
        <v>-417.6696</v>
      </c>
      <c r="H3080" s="1">
        <v>-1.4053210000000001E-6</v>
      </c>
      <c r="I3080">
        <v>71.945009999999996</v>
      </c>
      <c r="J3080">
        <v>-420.4006</v>
      </c>
      <c r="K3080">
        <v>1.102573</v>
      </c>
      <c r="L3080">
        <v>88.604029999999995</v>
      </c>
      <c r="M3080">
        <v>-4.3466709999999999E-2</v>
      </c>
      <c r="N3080">
        <v>0</v>
      </c>
      <c r="O3080">
        <v>-0.99896450000000003</v>
      </c>
      <c r="P3080">
        <v>1.3174190000000001E-2</v>
      </c>
      <c r="Q3080">
        <v>4.5222129999999999E-2</v>
      </c>
      <c r="R3080">
        <v>-0.9988901</v>
      </c>
      <c r="S3080">
        <v>0.47933959999999998</v>
      </c>
      <c r="T3080">
        <v>-0.19470219999999999</v>
      </c>
      <c r="U3080">
        <v>-3.0055540000000001</v>
      </c>
      <c r="V3080">
        <v>-5.63057E-2</v>
      </c>
      <c r="W3080">
        <v>5.8880410000000001E-2</v>
      </c>
      <c r="X3080">
        <v>0.9966758</v>
      </c>
      <c r="Y3080">
        <v>-0.1999544</v>
      </c>
      <c r="Z3080">
        <v>6.350103E-2</v>
      </c>
      <c r="AA3080">
        <v>0.97774530000000004</v>
      </c>
      <c r="AB3080">
        <v>37</v>
      </c>
      <c r="AC3080">
        <v>2.7309999999999901</v>
      </c>
      <c r="AD3080">
        <v>-1.102574405321</v>
      </c>
      <c r="AE3080">
        <v>-16.659020000000002</v>
      </c>
      <c r="AF3080">
        <v>-3.4379310865294399</v>
      </c>
      <c r="AG3080">
        <v>-1.102574405321</v>
      </c>
      <c r="AH3080">
        <v>16.454363157873399</v>
      </c>
      <c r="AI3080">
        <v>93.752747651221298</v>
      </c>
      <c r="AJ3080">
        <v>101.80145312493001</v>
      </c>
      <c r="AK3080">
        <v>16.845803851587899</v>
      </c>
      <c r="AL3080">
        <v>86.624448445738196</v>
      </c>
      <c r="AM3080">
        <v>93.233401977923194</v>
      </c>
      <c r="AN3080">
        <v>0.99999994241994705</v>
      </c>
    </row>
    <row r="3081" spans="1:40" x14ac:dyDescent="0.3">
      <c r="A3081" t="str">
        <f>"20200111153938813"</f>
        <v>20200111153938813</v>
      </c>
      <c r="B3081" t="str">
        <f>"1578728378804337"</f>
        <v>1578728378804337</v>
      </c>
      <c r="C3081" t="s">
        <v>40</v>
      </c>
      <c r="D3081">
        <v>4.8934179999999996</v>
      </c>
      <c r="E3081">
        <v>0.44027450000000001</v>
      </c>
      <c r="F3081" t="s">
        <v>42</v>
      </c>
      <c r="G3081">
        <v>-417.53190000000001</v>
      </c>
      <c r="H3081" s="1">
        <v>-1.1857510000000001E-6</v>
      </c>
      <c r="I3081">
        <v>71.202730000000003</v>
      </c>
      <c r="J3081">
        <v>-420.41680000000002</v>
      </c>
      <c r="K3081">
        <v>1.1026769999999999</v>
      </c>
      <c r="L3081">
        <v>88.265929999999997</v>
      </c>
      <c r="M3081">
        <v>-4.5023430000000003E-2</v>
      </c>
      <c r="N3081">
        <v>0</v>
      </c>
      <c r="O3081">
        <v>-0.99889589999999995</v>
      </c>
      <c r="P3081">
        <v>1.3073420000000001E-2</v>
      </c>
      <c r="Q3081">
        <v>4.5565509999999997E-2</v>
      </c>
      <c r="R3081">
        <v>-0.99887579999999998</v>
      </c>
      <c r="S3081">
        <v>0.49545289999999997</v>
      </c>
      <c r="T3081">
        <v>-0.19042690000000001</v>
      </c>
      <c r="U3081">
        <v>-3.0054020000000001</v>
      </c>
      <c r="V3081">
        <v>-5.7771669999999997E-2</v>
      </c>
      <c r="W3081">
        <v>5.9192679999999998E-2</v>
      </c>
      <c r="X3081">
        <v>0.99657340000000005</v>
      </c>
      <c r="Y3081">
        <v>-0.20660690000000001</v>
      </c>
      <c r="Z3081">
        <v>6.2039070000000002E-2</v>
      </c>
      <c r="AA3081">
        <v>0.97645519999999997</v>
      </c>
      <c r="AB3081">
        <v>37</v>
      </c>
      <c r="AC3081">
        <v>2.8849000000000098</v>
      </c>
      <c r="AD3081">
        <v>-1.102678185751</v>
      </c>
      <c r="AE3081">
        <v>-17.063199999999998</v>
      </c>
      <c r="AF3081">
        <v>-3.6355262917213498</v>
      </c>
      <c r="AG3081">
        <v>-1.102678185751</v>
      </c>
      <c r="AH3081">
        <v>16.847591005984501</v>
      </c>
      <c r="AI3081">
        <v>93.660656869741103</v>
      </c>
      <c r="AJ3081">
        <v>102.17708698688401</v>
      </c>
      <c r="AK3081">
        <v>17.270618787526299</v>
      </c>
      <c r="AL3081">
        <v>86.606525423785698</v>
      </c>
      <c r="AM3081">
        <v>93.317741000049196</v>
      </c>
      <c r="AN3081">
        <v>0.99999994040386397</v>
      </c>
    </row>
    <row r="3082" spans="1:40" x14ac:dyDescent="0.3">
      <c r="A3082" t="str">
        <f>"20200111153938834"</f>
        <v>20200111153938834</v>
      </c>
      <c r="B3082" t="str">
        <f>"1578728378823858"</f>
        <v>1578728378823858</v>
      </c>
      <c r="C3082" t="s">
        <v>40</v>
      </c>
      <c r="D3082">
        <v>4.9290139999999996</v>
      </c>
      <c r="E3082">
        <v>0.43954539999999998</v>
      </c>
      <c r="F3082" t="s">
        <v>42</v>
      </c>
      <c r="G3082">
        <v>-417.4794</v>
      </c>
      <c r="H3082" s="1">
        <v>-1.049857E-6</v>
      </c>
      <c r="I3082">
        <v>70.762309999999999</v>
      </c>
      <c r="J3082">
        <v>-420.43389999999999</v>
      </c>
      <c r="K3082">
        <v>1.102808</v>
      </c>
      <c r="L3082">
        <v>87.916869999999903</v>
      </c>
      <c r="M3082">
        <v>-4.646492E-2</v>
      </c>
      <c r="N3082">
        <v>0</v>
      </c>
      <c r="O3082">
        <v>-0.9988302</v>
      </c>
      <c r="P3082">
        <v>1.306179E-2</v>
      </c>
      <c r="Q3082">
        <v>4.5788450000000001E-2</v>
      </c>
      <c r="R3082">
        <v>-0.99886600000000003</v>
      </c>
      <c r="S3082">
        <v>0.50436400000000003</v>
      </c>
      <c r="T3082">
        <v>-0.18933159999999999</v>
      </c>
      <c r="U3082">
        <v>-3.0054020000000001</v>
      </c>
      <c r="V3082">
        <v>-5.921746E-2</v>
      </c>
      <c r="W3082">
        <v>5.937974E-2</v>
      </c>
      <c r="X3082">
        <v>0.99647750000000002</v>
      </c>
      <c r="Y3082">
        <v>-0.2108382</v>
      </c>
      <c r="Z3082">
        <v>6.1634370000000001E-2</v>
      </c>
      <c r="AA3082">
        <v>0.975576</v>
      </c>
      <c r="AB3082">
        <v>37</v>
      </c>
      <c r="AC3082">
        <v>2.9544999999999901</v>
      </c>
      <c r="AD3082">
        <v>-1.102809049857</v>
      </c>
      <c r="AE3082">
        <v>-17.154559999999901</v>
      </c>
      <c r="AF3082">
        <v>-3.7334799166783199</v>
      </c>
      <c r="AG3082">
        <v>-1.102809049857</v>
      </c>
      <c r="AH3082">
        <v>16.930780178991299</v>
      </c>
      <c r="AI3082">
        <v>93.639576551881802</v>
      </c>
      <c r="AJ3082">
        <v>102.43552484777599</v>
      </c>
      <c r="AK3082">
        <v>17.372575444015499</v>
      </c>
      <c r="AL3082">
        <v>86.595789110015104</v>
      </c>
      <c r="AM3082">
        <v>93.400904589403098</v>
      </c>
      <c r="AN3082">
        <v>1.0000000345487801</v>
      </c>
    </row>
    <row r="3083" spans="1:40" x14ac:dyDescent="0.3">
      <c r="A3083" t="str">
        <f>"20200111153938857"</f>
        <v>20200111153938857</v>
      </c>
      <c r="B3083" t="str">
        <f>"1578728378853645"</f>
        <v>1578728378853645</v>
      </c>
      <c r="C3083" t="s">
        <v>40</v>
      </c>
      <c r="D3083">
        <v>4.9373959999999997</v>
      </c>
      <c r="E3083">
        <v>0.43867590000000001</v>
      </c>
      <c r="F3083" t="s">
        <v>42</v>
      </c>
      <c r="G3083">
        <v>-417.46550000000002</v>
      </c>
      <c r="H3083" s="1">
        <v>-9.442554E-7</v>
      </c>
      <c r="I3083">
        <v>70.44117</v>
      </c>
      <c r="J3083">
        <v>-420.45249999999999</v>
      </c>
      <c r="K3083">
        <v>1.102973</v>
      </c>
      <c r="L3083">
        <v>87.546509999999998</v>
      </c>
      <c r="M3083">
        <v>-4.7777090000000001E-2</v>
      </c>
      <c r="N3083">
        <v>0</v>
      </c>
      <c r="O3083">
        <v>-0.99876869999999995</v>
      </c>
      <c r="P3083">
        <v>1.300101E-2</v>
      </c>
      <c r="Q3083">
        <v>4.5158370000000003E-2</v>
      </c>
      <c r="R3083">
        <v>-0.99889519999999998</v>
      </c>
      <c r="S3083">
        <v>0.51049800000000001</v>
      </c>
      <c r="T3083">
        <v>-0.18965860000000001</v>
      </c>
      <c r="U3083">
        <v>-3.0054319999999999</v>
      </c>
      <c r="V3083">
        <v>-6.0495149999999998E-2</v>
      </c>
      <c r="W3083">
        <v>5.8708570000000002E-2</v>
      </c>
      <c r="X3083">
        <v>0.99644049999999995</v>
      </c>
      <c r="Y3083">
        <v>-0.21405469999999999</v>
      </c>
      <c r="Z3083">
        <v>6.1701739999999998E-2</v>
      </c>
      <c r="AA3083">
        <v>0.97487100000000004</v>
      </c>
      <c r="AB3083">
        <v>37</v>
      </c>
      <c r="AC3083">
        <v>2.9869999999999601</v>
      </c>
      <c r="AD3083">
        <v>-1.1029739442553901</v>
      </c>
      <c r="AE3083">
        <v>-17.105339999999899</v>
      </c>
      <c r="AF3083">
        <v>-3.7856303401143698</v>
      </c>
      <c r="AG3083">
        <v>-1.1029739442553901</v>
      </c>
      <c r="AH3083">
        <v>16.874992509573602</v>
      </c>
      <c r="AI3083">
        <v>93.649173651287001</v>
      </c>
      <c r="AJ3083">
        <v>102.644044367916</v>
      </c>
      <c r="AK3083">
        <v>17.329538966512199</v>
      </c>
      <c r="AL3083">
        <v>86.6343114581598</v>
      </c>
      <c r="AM3083">
        <v>93.474234169756599</v>
      </c>
      <c r="AN3083">
        <v>1.0000000147026</v>
      </c>
    </row>
    <row r="3084" spans="1:40" x14ac:dyDescent="0.3">
      <c r="A3084" t="str">
        <f>"20200111153938879"</f>
        <v>20200111153938879</v>
      </c>
      <c r="B3084" t="str">
        <f>"1578728378874141"</f>
        <v>1578728378874141</v>
      </c>
      <c r="C3084" t="s">
        <v>40</v>
      </c>
      <c r="D3084">
        <v>4.9571300000000003</v>
      </c>
      <c r="E3084">
        <v>0.4384807</v>
      </c>
      <c r="F3084" t="s">
        <v>42</v>
      </c>
      <c r="G3084">
        <v>-417.49770000000001</v>
      </c>
      <c r="H3084" s="1">
        <v>-9.1526260000000001E-7</v>
      </c>
      <c r="I3084">
        <v>70.381100000000004</v>
      </c>
      <c r="J3084">
        <v>-420.47109999999998</v>
      </c>
      <c r="K3084">
        <v>1.103143</v>
      </c>
      <c r="L3084">
        <v>87.181519999999907</v>
      </c>
      <c r="M3084">
        <v>-4.8857890000000001E-2</v>
      </c>
      <c r="N3084">
        <v>0</v>
      </c>
      <c r="O3084">
        <v>-0.99871679999999996</v>
      </c>
      <c r="P3084">
        <v>1.2618610000000001E-2</v>
      </c>
      <c r="Q3084">
        <v>4.4091789999999999E-2</v>
      </c>
      <c r="R3084">
        <v>-0.99894810000000001</v>
      </c>
      <c r="S3084">
        <v>0.51733399999999996</v>
      </c>
      <c r="T3084">
        <v>-0.193108</v>
      </c>
      <c r="U3084">
        <v>-3.0053100000000001</v>
      </c>
      <c r="V3084">
        <v>-6.1223680000000003E-2</v>
      </c>
      <c r="W3084">
        <v>5.7600850000000002E-2</v>
      </c>
      <c r="X3084">
        <v>0.99646060000000003</v>
      </c>
      <c r="Y3084">
        <v>-0.21726000000000001</v>
      </c>
      <c r="Z3084">
        <v>6.2782450000000004E-2</v>
      </c>
      <c r="AA3084">
        <v>0.97409270000000003</v>
      </c>
      <c r="AB3084">
        <v>37</v>
      </c>
      <c r="AC3084">
        <v>2.9733999999999599</v>
      </c>
      <c r="AD3084">
        <v>-1.1031439152625999</v>
      </c>
      <c r="AE3084">
        <v>-16.8004199999999</v>
      </c>
      <c r="AF3084">
        <v>-3.7749730402538799</v>
      </c>
      <c r="AG3084">
        <v>-1.1031439152625999</v>
      </c>
      <c r="AH3084">
        <v>16.565811865939398</v>
      </c>
      <c r="AI3084">
        <v>93.714838243856306</v>
      </c>
      <c r="AJ3084">
        <v>102.837201716431</v>
      </c>
      <c r="AK3084">
        <v>17.026258271567599</v>
      </c>
      <c r="AL3084">
        <v>86.697886563512597</v>
      </c>
      <c r="AM3084">
        <v>93.515898540654405</v>
      </c>
      <c r="AN3084">
        <v>0.99999996213291098</v>
      </c>
    </row>
    <row r="3085" spans="1:40" x14ac:dyDescent="0.3">
      <c r="A3085" t="str">
        <f>"20200111153938902"</f>
        <v>20200111153938902</v>
      </c>
      <c r="B3085" t="str">
        <f>"1578728378893661"</f>
        <v>1578728378893661</v>
      </c>
      <c r="C3085" t="s">
        <v>40</v>
      </c>
      <c r="D3085">
        <v>4.9959179999999996</v>
      </c>
      <c r="E3085">
        <v>0.4380868</v>
      </c>
      <c r="F3085" t="s">
        <v>42</v>
      </c>
      <c r="G3085">
        <v>-417.56700000000001</v>
      </c>
      <c r="H3085" s="1">
        <v>-8.7547720000000001E-7</v>
      </c>
      <c r="I3085">
        <v>70.318439999999995</v>
      </c>
      <c r="J3085">
        <v>-420.49059999999997</v>
      </c>
      <c r="K3085">
        <v>1.1033029999999999</v>
      </c>
      <c r="L3085">
        <v>86.800839999999994</v>
      </c>
      <c r="M3085">
        <v>-4.9792469999999998E-2</v>
      </c>
      <c r="N3085">
        <v>0</v>
      </c>
      <c r="O3085">
        <v>-0.99867079999999997</v>
      </c>
      <c r="P3085">
        <v>1.213069E-2</v>
      </c>
      <c r="Q3085">
        <v>4.3733649999999999E-2</v>
      </c>
      <c r="R3085">
        <v>-0.99897000000000002</v>
      </c>
      <c r="S3085">
        <v>0.5175476</v>
      </c>
      <c r="T3085">
        <v>-0.19660059999999999</v>
      </c>
      <c r="U3085">
        <v>-3.0053100000000001</v>
      </c>
      <c r="V3085">
        <v>-6.1695479999999997E-2</v>
      </c>
      <c r="W3085">
        <v>5.72024E-2</v>
      </c>
      <c r="X3085">
        <v>0.99645450000000002</v>
      </c>
      <c r="Y3085">
        <v>-0.21822829999999999</v>
      </c>
      <c r="Z3085">
        <v>6.3901360000000004E-2</v>
      </c>
      <c r="AA3085">
        <v>0.97380339999999999</v>
      </c>
      <c r="AB3085">
        <v>37</v>
      </c>
      <c r="AC3085">
        <v>2.92360000000002</v>
      </c>
      <c r="AD3085">
        <v>-1.1033038754772</v>
      </c>
      <c r="AE3085">
        <v>-16.482399999999998</v>
      </c>
      <c r="AF3085">
        <v>-3.7245653327903101</v>
      </c>
      <c r="AG3085">
        <v>-1.1033038754772</v>
      </c>
      <c r="AH3085">
        <v>16.245792481068499</v>
      </c>
      <c r="AI3085">
        <v>93.787214924152096</v>
      </c>
      <c r="AJ3085">
        <v>102.912673460848</v>
      </c>
      <c r="AK3085">
        <v>16.703755257360701</v>
      </c>
      <c r="AL3085">
        <v>86.720753924931898</v>
      </c>
      <c r="AM3085">
        <v>93.542945531036494</v>
      </c>
      <c r="AN3085">
        <v>1.00000000869422</v>
      </c>
    </row>
    <row r="3086" spans="1:40" x14ac:dyDescent="0.3">
      <c r="A3086" t="str">
        <f>"20200111153938923"</f>
        <v>20200111153938923</v>
      </c>
      <c r="B3086" t="str">
        <f>"1578728378914157"</f>
        <v>1578728378914157</v>
      </c>
      <c r="C3086" t="s">
        <v>40</v>
      </c>
      <c r="D3086">
        <v>5.0446049999999998</v>
      </c>
      <c r="E3086">
        <v>0.43764189999999997</v>
      </c>
      <c r="F3086" t="s">
        <v>42</v>
      </c>
      <c r="G3086">
        <v>-417.61709999999999</v>
      </c>
      <c r="H3086" s="1">
        <v>-8.1191959999999996E-7</v>
      </c>
      <c r="I3086">
        <v>70.170839999999998</v>
      </c>
      <c r="J3086">
        <v>-420.50920000000002</v>
      </c>
      <c r="K3086">
        <v>1.1034539999999999</v>
      </c>
      <c r="L3086">
        <v>86.442959999999999</v>
      </c>
      <c r="M3086">
        <v>-5.049646E-2</v>
      </c>
      <c r="N3086">
        <v>0</v>
      </c>
      <c r="O3086">
        <v>-0.99863539999999995</v>
      </c>
      <c r="P3086">
        <v>1.113779E-2</v>
      </c>
      <c r="Q3086">
        <v>4.3775969999999997E-2</v>
      </c>
      <c r="R3086">
        <v>-0.99897930000000001</v>
      </c>
      <c r="S3086">
        <v>0.51931759999999905</v>
      </c>
      <c r="T3086">
        <v>-0.19939899999999999</v>
      </c>
      <c r="U3086">
        <v>-3.0055239999999999</v>
      </c>
      <c r="V3086">
        <v>-6.1427959999999997E-2</v>
      </c>
      <c r="W3086">
        <v>5.7208120000000001E-2</v>
      </c>
      <c r="X3086">
        <v>0.99647070000000004</v>
      </c>
      <c r="Y3086">
        <v>-0.2194516</v>
      </c>
      <c r="Z3086">
        <v>6.4786780000000002E-2</v>
      </c>
      <c r="AA3086">
        <v>0.9734699</v>
      </c>
      <c r="AB3086">
        <v>37</v>
      </c>
      <c r="AC3086">
        <v>2.8921000000000201</v>
      </c>
      <c r="AD3086">
        <v>-1.1034548119195999</v>
      </c>
      <c r="AE3086">
        <v>-16.272120000000001</v>
      </c>
      <c r="AF3086">
        <v>-3.69370155241069</v>
      </c>
      <c r="AG3086">
        <v>-1.1034548119195999</v>
      </c>
      <c r="AH3086">
        <v>16.033828695310898</v>
      </c>
      <c r="AI3086">
        <v>93.836732324184297</v>
      </c>
      <c r="AJ3086">
        <v>102.97285797649501</v>
      </c>
      <c r="AK3086">
        <v>16.490746081084598</v>
      </c>
      <c r="AL3086">
        <v>86.720425658524704</v>
      </c>
      <c r="AM3086">
        <v>93.527564510072594</v>
      </c>
      <c r="AN3086">
        <v>1.0000000096110899</v>
      </c>
    </row>
    <row r="3087" spans="1:40" x14ac:dyDescent="0.3">
      <c r="A3087" t="str">
        <f>"20200111153938946"</f>
        <v>20200111153938946</v>
      </c>
      <c r="B3087" t="str">
        <f>"1578728378933677"</f>
        <v>1578728378933677</v>
      </c>
      <c r="C3087" t="s">
        <v>40</v>
      </c>
      <c r="D3087">
        <v>5.1928539999999996</v>
      </c>
      <c r="E3087">
        <v>0.43760959999999899</v>
      </c>
      <c r="F3087" t="s">
        <v>42</v>
      </c>
      <c r="G3087">
        <v>-417.63659999999999</v>
      </c>
      <c r="H3087" s="1">
        <v>-6.946106E-7</v>
      </c>
      <c r="I3087">
        <v>69.841340000000002</v>
      </c>
      <c r="J3087">
        <v>-420.52859999999998</v>
      </c>
      <c r="K3087">
        <v>1.1036109999999999</v>
      </c>
      <c r="L3087">
        <v>86.074770000000001</v>
      </c>
      <c r="M3087">
        <v>-5.1047750000000003E-2</v>
      </c>
      <c r="N3087">
        <v>0</v>
      </c>
      <c r="O3087">
        <v>-0.99860760000000004</v>
      </c>
      <c r="P3087">
        <v>9.2774989999999998E-3</v>
      </c>
      <c r="Q3087">
        <v>4.436027E-2</v>
      </c>
      <c r="R3087">
        <v>-0.99897279999999999</v>
      </c>
      <c r="S3087">
        <v>0.52014159999999998</v>
      </c>
      <c r="T3087">
        <v>-0.19979959999999999</v>
      </c>
      <c r="U3087">
        <v>-3.0060120000000001</v>
      </c>
      <c r="V3087">
        <v>-6.0139289999999998E-2</v>
      </c>
      <c r="W3087">
        <v>5.775462E-2</v>
      </c>
      <c r="X3087">
        <v>0.99651780000000001</v>
      </c>
      <c r="Y3087">
        <v>-0.22022140000000001</v>
      </c>
      <c r="Z3087">
        <v>6.4896040000000002E-2</v>
      </c>
      <c r="AA3087">
        <v>0.97328879999999995</v>
      </c>
      <c r="AB3087">
        <v>37</v>
      </c>
      <c r="AC3087">
        <v>2.8919999999999901</v>
      </c>
      <c r="AD3087">
        <v>-1.1036116946106</v>
      </c>
      <c r="AE3087">
        <v>-16.233429999999998</v>
      </c>
      <c r="AF3087">
        <v>-3.7004057322889401</v>
      </c>
      <c r="AG3087">
        <v>-1.1036116946106</v>
      </c>
      <c r="AH3087">
        <v>15.9929754658564</v>
      </c>
      <c r="AI3087">
        <v>93.846201855726406</v>
      </c>
      <c r="AJ3087">
        <v>103.027671066656</v>
      </c>
      <c r="AK3087">
        <v>16.452544654475801</v>
      </c>
      <c r="AL3087">
        <v>86.689061718068999</v>
      </c>
      <c r="AM3087">
        <v>93.453579495847094</v>
      </c>
      <c r="AN3087">
        <v>1.0000000280249399</v>
      </c>
    </row>
    <row r="3088" spans="1:40" x14ac:dyDescent="0.3">
      <c r="A3088" t="str">
        <f>"20200111153938969"</f>
        <v>20200111153938969</v>
      </c>
      <c r="B3088" t="str">
        <f>"1578728378963465"</f>
        <v>1578728378963465</v>
      </c>
      <c r="C3088" t="s">
        <v>40</v>
      </c>
      <c r="D3088">
        <v>5.2867360000000003</v>
      </c>
      <c r="E3088">
        <v>0.47969780000000001</v>
      </c>
      <c r="F3088" t="s">
        <v>42</v>
      </c>
      <c r="G3088">
        <v>-417.6499</v>
      </c>
      <c r="H3088" s="1">
        <v>-4.5586849999999999E-6</v>
      </c>
      <c r="I3088">
        <v>69.287430000000001</v>
      </c>
      <c r="J3088">
        <v>-420.54849999999999</v>
      </c>
      <c r="K3088">
        <v>1.1037760000000001</v>
      </c>
      <c r="L3088">
        <v>85.694850000000002</v>
      </c>
      <c r="M3088">
        <v>-5.1450040000000002E-2</v>
      </c>
      <c r="N3088">
        <v>0</v>
      </c>
      <c r="O3088">
        <v>-0.99858729999999996</v>
      </c>
      <c r="P3088">
        <v>7.458419E-3</v>
      </c>
      <c r="Q3088">
        <v>4.5641939999999999E-2</v>
      </c>
      <c r="R3088">
        <v>-0.99893010000000004</v>
      </c>
      <c r="S3088">
        <v>0.51565550000000004</v>
      </c>
      <c r="T3088">
        <v>-0.19768849999999999</v>
      </c>
      <c r="U3088">
        <v>-3.0070800000000002</v>
      </c>
      <c r="V3088">
        <v>-5.8742200000000001E-2</v>
      </c>
      <c r="W3088">
        <v>5.8999410000000002E-2</v>
      </c>
      <c r="X3088">
        <v>0.99652819999999998</v>
      </c>
      <c r="Y3088">
        <v>-0.2191535</v>
      </c>
      <c r="Z3088">
        <v>6.4204720000000007E-2</v>
      </c>
      <c r="AA3088">
        <v>0.97357570000000004</v>
      </c>
      <c r="AB3088">
        <v>37</v>
      </c>
      <c r="AC3088">
        <v>2.8985999999999801</v>
      </c>
      <c r="AD3088">
        <v>-1.103780558685</v>
      </c>
      <c r="AE3088">
        <v>-16.407419999999998</v>
      </c>
      <c r="AF3088">
        <v>-3.7226594620713001</v>
      </c>
      <c r="AG3088">
        <v>-1.103780558685</v>
      </c>
      <c r="AH3088">
        <v>16.165593211874899</v>
      </c>
      <c r="AI3088">
        <v>93.806743521174198</v>
      </c>
      <c r="AJ3088">
        <v>102.96815741280101</v>
      </c>
      <c r="AK3088">
        <v>16.625370037508802</v>
      </c>
      <c r="AL3088">
        <v>86.617618619221005</v>
      </c>
      <c r="AM3088">
        <v>93.373502092976196</v>
      </c>
      <c r="AN3088">
        <v>1.00000001491821</v>
      </c>
    </row>
    <row r="3089" spans="1:40" x14ac:dyDescent="0.3">
      <c r="A3089" t="str">
        <f>"20200111153938991"</f>
        <v>20200111153938991</v>
      </c>
      <c r="B3089" t="str">
        <f>"1578728378983961"</f>
        <v>1578728378983961</v>
      </c>
      <c r="C3089" t="s">
        <v>40</v>
      </c>
      <c r="D3089">
        <v>4.8606720000000001</v>
      </c>
      <c r="E3089">
        <v>0.54757519999999904</v>
      </c>
      <c r="F3089" t="s">
        <v>42</v>
      </c>
      <c r="G3089">
        <v>-419.57709999999997</v>
      </c>
      <c r="H3089" s="1">
        <v>-4.0623920000000001E-6</v>
      </c>
      <c r="I3089">
        <v>68.927440000000004</v>
      </c>
      <c r="J3089">
        <v>-420.56760000000003</v>
      </c>
      <c r="K3089">
        <v>1.103928</v>
      </c>
      <c r="L3089">
        <v>85.332579999999993</v>
      </c>
      <c r="M3089">
        <v>-5.1697149999999997E-2</v>
      </c>
      <c r="N3089">
        <v>0</v>
      </c>
      <c r="O3089">
        <v>-0.99857439999999997</v>
      </c>
      <c r="P3089">
        <v>5.7198980000000002E-3</v>
      </c>
      <c r="Q3089">
        <v>4.6585519999999998E-2</v>
      </c>
      <c r="R3089">
        <v>-0.99889790000000001</v>
      </c>
      <c r="S3089">
        <v>0.1744385</v>
      </c>
      <c r="T3089">
        <v>-0.19820789999999999</v>
      </c>
      <c r="U3089">
        <v>-3.0109560000000002</v>
      </c>
      <c r="V3089">
        <v>-5.7271669999999997E-2</v>
      </c>
      <c r="W3089">
        <v>5.9909990000000003E-2</v>
      </c>
      <c r="X3089">
        <v>0.99655939999999998</v>
      </c>
      <c r="Y3089">
        <v>-0.1092515</v>
      </c>
      <c r="Z3089">
        <v>6.5303769999999997E-2</v>
      </c>
      <c r="AA3089">
        <v>0.99186669999999999</v>
      </c>
      <c r="AB3089">
        <v>37</v>
      </c>
      <c r="AC3089">
        <v>0.990500000000054</v>
      </c>
      <c r="AD3089">
        <v>-1.1039320623919999</v>
      </c>
      <c r="AE3089">
        <v>-16.405139999999999</v>
      </c>
      <c r="AF3089">
        <v>-1.82909672908998</v>
      </c>
      <c r="AG3089">
        <v>-1.1039320623919999</v>
      </c>
      <c r="AH3089">
        <v>16.258633955106099</v>
      </c>
      <c r="AI3089">
        <v>93.860043054229607</v>
      </c>
      <c r="AJ3089">
        <v>96.418788154038893</v>
      </c>
      <c r="AK3089">
        <v>16.398397450021601</v>
      </c>
      <c r="AL3089">
        <v>86.5653535285212</v>
      </c>
      <c r="AM3089">
        <v>93.289136164900995</v>
      </c>
      <c r="AN3089">
        <v>0.99999994440737305</v>
      </c>
    </row>
    <row r="3090" spans="1:40" x14ac:dyDescent="0.3">
      <c r="A3090" t="str">
        <f>"20200111153939013"</f>
        <v>20200111153939013</v>
      </c>
      <c r="B3090" t="str">
        <f>"1578728379003481"</f>
        <v>1578728379003481</v>
      </c>
      <c r="C3090" t="s">
        <v>40</v>
      </c>
      <c r="D3090">
        <v>5.4229589999999996</v>
      </c>
      <c r="E3090">
        <v>0.54980980000000002</v>
      </c>
      <c r="F3090" t="s">
        <v>42</v>
      </c>
      <c r="G3090">
        <v>-423.17739999999998</v>
      </c>
      <c r="H3090" s="1">
        <v>-2.8131560000000001E-6</v>
      </c>
      <c r="I3090">
        <v>64.175929999999994</v>
      </c>
      <c r="J3090">
        <v>-420.58679999999998</v>
      </c>
      <c r="K3090">
        <v>1.10406</v>
      </c>
      <c r="L3090">
        <v>84.967680000000001</v>
      </c>
      <c r="M3090">
        <v>-5.1842689999999997E-2</v>
      </c>
      <c r="N3090">
        <v>0</v>
      </c>
      <c r="O3090">
        <v>-0.99856719999999999</v>
      </c>
      <c r="P3090">
        <v>3.514891E-3</v>
      </c>
      <c r="Q3090">
        <v>4.6476110000000001E-2</v>
      </c>
      <c r="R3090">
        <v>-0.99891350000000001</v>
      </c>
      <c r="S3090">
        <v>-0.3716431</v>
      </c>
      <c r="T3090">
        <v>-0.15720390000000001</v>
      </c>
      <c r="U3090">
        <v>-3.0127869999999999</v>
      </c>
      <c r="V3090">
        <v>-5.523579E-2</v>
      </c>
      <c r="W3090">
        <v>5.9771480000000002E-2</v>
      </c>
      <c r="X3090">
        <v>0.99668270000000003</v>
      </c>
      <c r="Y3090">
        <v>7.0641289999999995E-2</v>
      </c>
      <c r="Z3090">
        <v>5.174252E-2</v>
      </c>
      <c r="AA3090">
        <v>0.99615889999999996</v>
      </c>
      <c r="AB3090">
        <v>37</v>
      </c>
      <c r="AC3090">
        <v>-2.59059999999999</v>
      </c>
      <c r="AD3090">
        <v>-1.104062813156</v>
      </c>
      <c r="AE3090">
        <v>-20.79175</v>
      </c>
      <c r="AF3090">
        <v>1.50494201965651</v>
      </c>
      <c r="AG3090">
        <v>-1.104062813156</v>
      </c>
      <c r="AH3090">
        <v>20.840235909848701</v>
      </c>
      <c r="AI3090">
        <v>93.024688484324898</v>
      </c>
      <c r="AJ3090">
        <v>85.8696528347444</v>
      </c>
      <c r="AK3090">
        <v>20.923652595951499</v>
      </c>
      <c r="AL3090">
        <v>86.573304051495896</v>
      </c>
      <c r="AM3090">
        <v>93.172066266555802</v>
      </c>
      <c r="AN3090">
        <v>1.0000000133988001</v>
      </c>
    </row>
    <row r="3091" spans="1:40" x14ac:dyDescent="0.3">
      <c r="A3091" t="str">
        <f>"20200111153939035"</f>
        <v>20200111153939035</v>
      </c>
      <c r="B3091" t="str">
        <f>"1578728379023977"</f>
        <v>1578728379023977</v>
      </c>
      <c r="C3091" t="s">
        <v>40</v>
      </c>
      <c r="D3091">
        <v>5.2488989999999998</v>
      </c>
      <c r="E3091">
        <v>0.55022260000000001</v>
      </c>
      <c r="F3091" t="s">
        <v>42</v>
      </c>
      <c r="G3091">
        <v>-423.0367</v>
      </c>
      <c r="H3091" s="1">
        <v>-3.7056129999999999E-6</v>
      </c>
      <c r="I3091">
        <v>66.34357</v>
      </c>
      <c r="J3091">
        <v>-420.60579999999999</v>
      </c>
      <c r="K3091">
        <v>1.1041810000000001</v>
      </c>
      <c r="L3091">
        <v>84.606480000000005</v>
      </c>
      <c r="M3091">
        <v>-5.1909629999999998E-2</v>
      </c>
      <c r="N3091">
        <v>0</v>
      </c>
      <c r="O3091">
        <v>-0.9985636</v>
      </c>
      <c r="P3091">
        <v>1.7649460000000001E-3</v>
      </c>
      <c r="Q3091">
        <v>4.6737639999999997E-2</v>
      </c>
      <c r="R3091">
        <v>-0.99890570000000001</v>
      </c>
      <c r="S3091">
        <v>-0.39633180000000001</v>
      </c>
      <c r="T3091">
        <v>-0.1786132</v>
      </c>
      <c r="U3091">
        <v>-3.0129700000000001</v>
      </c>
      <c r="V3091">
        <v>-5.3571090000000002E-2</v>
      </c>
      <c r="W3091">
        <v>6.0009E-2</v>
      </c>
      <c r="X3091">
        <v>0.99675930000000001</v>
      </c>
      <c r="Y3091">
        <v>7.8546589999999999E-2</v>
      </c>
      <c r="Z3091">
        <v>5.8714799999999998E-2</v>
      </c>
      <c r="AA3091">
        <v>0.99517990000000001</v>
      </c>
      <c r="AB3091">
        <v>37</v>
      </c>
      <c r="AC3091">
        <v>-2.4308999999999998</v>
      </c>
      <c r="AD3091">
        <v>-1.1041847056130001</v>
      </c>
      <c r="AE3091">
        <v>-18.262910000000002</v>
      </c>
      <c r="AF3091">
        <v>1.47422248754365</v>
      </c>
      <c r="AG3091">
        <v>-1.1041847056130001</v>
      </c>
      <c r="AH3091">
        <v>18.298755474720402</v>
      </c>
      <c r="AI3091">
        <v>93.442033210131797</v>
      </c>
      <c r="AJ3091">
        <v>85.393966036404606</v>
      </c>
      <c r="AK3091">
        <v>18.391220941810801</v>
      </c>
      <c r="AL3091">
        <v>86.559670715232201</v>
      </c>
      <c r="AM3091">
        <v>93.076416843947797</v>
      </c>
      <c r="AN3091">
        <v>1.00000002195063</v>
      </c>
    </row>
    <row r="3092" spans="1:40" x14ac:dyDescent="0.3">
      <c r="A3092" t="str">
        <f>"20200111153939058"</f>
        <v>20200111153939058</v>
      </c>
      <c r="B3092" t="str">
        <f>"1578728379053764"</f>
        <v>1578728379053764</v>
      </c>
      <c r="C3092" t="s">
        <v>40</v>
      </c>
      <c r="D3092">
        <v>5.2426380000000004</v>
      </c>
      <c r="E3092">
        <v>0.54967580000000005</v>
      </c>
      <c r="F3092" t="s">
        <v>41</v>
      </c>
      <c r="G3092">
        <v>-420.74520000000001</v>
      </c>
      <c r="H3092">
        <v>1.044638</v>
      </c>
      <c r="I3092">
        <v>83.570210000000003</v>
      </c>
      <c r="J3092">
        <v>-420.62529999999998</v>
      </c>
      <c r="K3092">
        <v>1.1042700000000001</v>
      </c>
      <c r="L3092">
        <v>84.233339999999998</v>
      </c>
      <c r="M3092">
        <v>-5.191279E-2</v>
      </c>
      <c r="N3092">
        <v>0</v>
      </c>
      <c r="O3092">
        <v>-0.9985636</v>
      </c>
      <c r="P3092">
        <v>8.8473600000000001E-4</v>
      </c>
      <c r="Q3092">
        <v>4.7160430000000003E-2</v>
      </c>
      <c r="R3092">
        <v>-0.99888690000000002</v>
      </c>
      <c r="S3092">
        <v>-0.40444950000000002</v>
      </c>
      <c r="T3092">
        <v>-0.17311099999999999</v>
      </c>
      <c r="U3092">
        <v>-3.0121150000000001</v>
      </c>
      <c r="V3092">
        <v>-5.2707120000000003E-2</v>
      </c>
      <c r="W3092">
        <v>6.041262E-2</v>
      </c>
      <c r="X3092">
        <v>0.99678089999999997</v>
      </c>
      <c r="Y3092">
        <v>8.1228999999999996E-2</v>
      </c>
      <c r="Z3092">
        <v>5.6911829999999997E-2</v>
      </c>
      <c r="AA3092">
        <v>0.99506930000000005</v>
      </c>
      <c r="AB3092">
        <v>37</v>
      </c>
      <c r="AC3092">
        <v>-0.119900000000029</v>
      </c>
      <c r="AD3092">
        <v>-5.9632000000000102E-2</v>
      </c>
      <c r="AE3092">
        <v>-0.663129999999995</v>
      </c>
      <c r="AF3092">
        <v>8.4647512238165495E-2</v>
      </c>
      <c r="AG3092">
        <v>-5.9632000000000102E-2</v>
      </c>
      <c r="AH3092">
        <v>0.66326685913245897</v>
      </c>
      <c r="AI3092">
        <v>95.096335161808696</v>
      </c>
      <c r="AJ3092">
        <v>82.727107511043499</v>
      </c>
      <c r="AK3092">
        <v>0.67130030774277705</v>
      </c>
      <c r="AL3092">
        <v>86.536502688679803</v>
      </c>
      <c r="AM3092">
        <v>93.026829349428894</v>
      </c>
      <c r="AN3092">
        <v>0.99999994387938196</v>
      </c>
    </row>
    <row r="3093" spans="1:40" x14ac:dyDescent="0.3">
      <c r="A3093" t="str">
        <f>"20200111153939081"</f>
        <v>20200111153939081</v>
      </c>
      <c r="B3093" t="str">
        <f>"1578728379074260"</f>
        <v>1578728379074260</v>
      </c>
      <c r="C3093" t="s">
        <v>40</v>
      </c>
      <c r="D3093">
        <v>5.2598839999999996</v>
      </c>
      <c r="E3093">
        <v>0.54873649999999996</v>
      </c>
      <c r="F3093" t="s">
        <v>41</v>
      </c>
      <c r="G3093">
        <v>-420.75850000000003</v>
      </c>
      <c r="H3093">
        <v>1.047552</v>
      </c>
      <c r="I3093">
        <v>83.239500000000007</v>
      </c>
      <c r="J3093">
        <v>-420.64440000000002</v>
      </c>
      <c r="K3093">
        <v>1.104336</v>
      </c>
      <c r="L3093">
        <v>83.867369999999994</v>
      </c>
      <c r="M3093">
        <v>-5.1874940000000001E-2</v>
      </c>
      <c r="N3093">
        <v>0</v>
      </c>
      <c r="O3093">
        <v>-0.99856590000000001</v>
      </c>
      <c r="P3093">
        <v>6.1827949999999996E-4</v>
      </c>
      <c r="Q3093">
        <v>4.7163110000000001E-2</v>
      </c>
      <c r="R3093">
        <v>-0.99888710000000003</v>
      </c>
      <c r="S3093">
        <v>-0.40341189999999999</v>
      </c>
      <c r="T3093">
        <v>-0.17190559999999999</v>
      </c>
      <c r="U3093">
        <v>-3.0118100000000001</v>
      </c>
      <c r="V3093">
        <v>-5.2412960000000001E-2</v>
      </c>
      <c r="W3093">
        <v>6.0399769999999998E-2</v>
      </c>
      <c r="X3093">
        <v>0.9967973</v>
      </c>
      <c r="Y3093">
        <v>8.0946299999999999E-2</v>
      </c>
      <c r="Z3093">
        <v>5.652459E-2</v>
      </c>
      <c r="AA3093">
        <v>0.99511439999999995</v>
      </c>
      <c r="AB3093">
        <v>37</v>
      </c>
      <c r="AC3093">
        <v>-0.114100000000007</v>
      </c>
      <c r="AD3093">
        <v>-5.6783999999999897E-2</v>
      </c>
      <c r="AE3093">
        <v>-0.62786999999998705</v>
      </c>
      <c r="AF3093">
        <v>8.0733548098274294E-2</v>
      </c>
      <c r="AG3093">
        <v>-5.6783999999999897E-2</v>
      </c>
      <c r="AH3093">
        <v>0.62797180328285596</v>
      </c>
      <c r="AI3093">
        <v>95.124934753609097</v>
      </c>
      <c r="AJ3093">
        <v>82.674103489574406</v>
      </c>
      <c r="AK3093">
        <v>0.63568145651958297</v>
      </c>
      <c r="AL3093">
        <v>86.537240668008096</v>
      </c>
      <c r="AM3093">
        <v>93.009918244403906</v>
      </c>
      <c r="AN3093">
        <v>1.0000000539396501</v>
      </c>
    </row>
    <row r="3094" spans="1:40" x14ac:dyDescent="0.3">
      <c r="A3094" t="str">
        <f>"20200111153939103"</f>
        <v>20200111153939103</v>
      </c>
      <c r="B3094" t="str">
        <f>"1578728379093780"</f>
        <v>1578728379093780</v>
      </c>
      <c r="C3094" t="s">
        <v>40</v>
      </c>
      <c r="D3094">
        <v>5.2431049999999999</v>
      </c>
      <c r="E3094">
        <v>0.54809090000000005</v>
      </c>
      <c r="F3094" t="s">
        <v>41</v>
      </c>
      <c r="G3094">
        <v>-420.77050000000003</v>
      </c>
      <c r="H3094">
        <v>1.0489850000000001</v>
      </c>
      <c r="I3094">
        <v>82.910259999999994</v>
      </c>
      <c r="J3094">
        <v>-420.66370000000001</v>
      </c>
      <c r="K3094">
        <v>1.1043959999999999</v>
      </c>
      <c r="L3094">
        <v>83.496919999999903</v>
      </c>
      <c r="M3094">
        <v>-5.1819270000000001E-2</v>
      </c>
      <c r="N3094">
        <v>0</v>
      </c>
      <c r="O3094">
        <v>-0.99856900000000004</v>
      </c>
      <c r="P3094">
        <v>1.083613E-3</v>
      </c>
      <c r="Q3094">
        <v>4.7950439999999997E-2</v>
      </c>
      <c r="R3094">
        <v>-0.99884930000000005</v>
      </c>
      <c r="S3094">
        <v>-0.39602660000000001</v>
      </c>
      <c r="T3094">
        <v>-0.1741991</v>
      </c>
      <c r="U3094">
        <v>-3.0118100000000001</v>
      </c>
      <c r="V3094">
        <v>-5.2828239999999999E-2</v>
      </c>
      <c r="W3094">
        <v>6.1174140000000002E-2</v>
      </c>
      <c r="X3094">
        <v>0.99672810000000001</v>
      </c>
      <c r="Y3094">
        <v>7.8598050000000003E-2</v>
      </c>
      <c r="Z3094">
        <v>5.7291069999999999E-2</v>
      </c>
      <c r="AA3094">
        <v>0.9952588</v>
      </c>
      <c r="AB3094">
        <v>37</v>
      </c>
      <c r="AC3094">
        <v>-0.106800000000021</v>
      </c>
      <c r="AD3094">
        <v>-5.5410999999999801E-2</v>
      </c>
      <c r="AE3094">
        <v>-0.58665999999999396</v>
      </c>
      <c r="AF3094">
        <v>7.5600730162359603E-2</v>
      </c>
      <c r="AG3094">
        <v>-5.5410999999999801E-2</v>
      </c>
      <c r="AH3094">
        <v>0.58634341388931299</v>
      </c>
      <c r="AI3094">
        <v>95.354505727948805</v>
      </c>
      <c r="AJ3094">
        <v>82.653049820306407</v>
      </c>
      <c r="AK3094">
        <v>0.59378821841920804</v>
      </c>
      <c r="AL3094">
        <v>86.492790154356598</v>
      </c>
      <c r="AM3094">
        <v>93.033932378316507</v>
      </c>
      <c r="AN3094">
        <v>1.00000000183792</v>
      </c>
    </row>
    <row r="3095" spans="1:40" x14ac:dyDescent="0.3">
      <c r="A3095" t="str">
        <f>"20200111153939127"</f>
        <v>20200111153939127</v>
      </c>
      <c r="B3095" t="str">
        <f>"1578728379124037"</f>
        <v>1578728379124037</v>
      </c>
      <c r="C3095" t="s">
        <v>40</v>
      </c>
      <c r="D3095">
        <v>5.3894270000000004</v>
      </c>
      <c r="E3095">
        <v>0.54731430000000003</v>
      </c>
      <c r="F3095" t="s">
        <v>41</v>
      </c>
      <c r="G3095">
        <v>-420.78230000000002</v>
      </c>
      <c r="H3095">
        <v>1.0524800000000001</v>
      </c>
      <c r="I3095">
        <v>82.579279999999997</v>
      </c>
      <c r="J3095">
        <v>-420.68490000000003</v>
      </c>
      <c r="K3095">
        <v>1.104455</v>
      </c>
      <c r="L3095">
        <v>83.089479999999995</v>
      </c>
      <c r="M3095">
        <v>-5.1763940000000001E-2</v>
      </c>
      <c r="N3095">
        <v>0</v>
      </c>
      <c r="O3095">
        <v>-0.9985716</v>
      </c>
      <c r="P3095">
        <v>1.4435520000000001E-3</v>
      </c>
      <c r="Q3095">
        <v>4.8537669999999998E-2</v>
      </c>
      <c r="R3095">
        <v>-0.99882020000000005</v>
      </c>
      <c r="S3095">
        <v>-0.38858029999999999</v>
      </c>
      <c r="T3095">
        <v>-0.17045389999999999</v>
      </c>
      <c r="U3095">
        <v>-3.012054</v>
      </c>
      <c r="V3095">
        <v>-5.3138150000000002E-2</v>
      </c>
      <c r="W3095">
        <v>6.1748129999999998E-2</v>
      </c>
      <c r="X3095">
        <v>0.99667620000000001</v>
      </c>
      <c r="Y3095">
        <v>7.6232079999999994E-2</v>
      </c>
      <c r="Z3095">
        <v>5.6073070000000003E-2</v>
      </c>
      <c r="AA3095">
        <v>0.99551219999999996</v>
      </c>
      <c r="AB3095">
        <v>37</v>
      </c>
      <c r="AC3095">
        <v>-9.73999999999932E-2</v>
      </c>
      <c r="AD3095">
        <v>-5.1975E-2</v>
      </c>
      <c r="AE3095">
        <v>-0.51019999999999699</v>
      </c>
      <c r="AF3095">
        <v>7.01546660672559E-2</v>
      </c>
      <c r="AG3095">
        <v>-5.1975E-2</v>
      </c>
      <c r="AH3095">
        <v>0.50945696437563504</v>
      </c>
      <c r="AI3095">
        <v>95.771096170568896</v>
      </c>
      <c r="AJ3095">
        <v>82.159407731986704</v>
      </c>
      <c r="AK3095">
        <v>0.51688439359961902</v>
      </c>
      <c r="AL3095">
        <v>86.4598405487354</v>
      </c>
      <c r="AM3095">
        <v>93.051855615258503</v>
      </c>
      <c r="AN3095">
        <v>0.99999997109517902</v>
      </c>
    </row>
    <row r="3096" spans="1:40" x14ac:dyDescent="0.3">
      <c r="A3096" t="str">
        <f>"20200111153939150"</f>
        <v>20200111153939150</v>
      </c>
      <c r="B3096" t="str">
        <f>"1578728379143558"</f>
        <v>1578728379143558</v>
      </c>
      <c r="C3096" t="s">
        <v>40</v>
      </c>
      <c r="D3096">
        <v>5.2590430000000001</v>
      </c>
      <c r="E3096">
        <v>0.54672310000000002</v>
      </c>
      <c r="F3096" t="s">
        <v>42</v>
      </c>
      <c r="G3096">
        <v>-423.12079999999997</v>
      </c>
      <c r="H3096" s="1">
        <v>-2.6555970000000002E-6</v>
      </c>
      <c r="I3096">
        <v>63.84375</v>
      </c>
      <c r="J3096">
        <v>-420.70420000000001</v>
      </c>
      <c r="K3096">
        <v>1.1044879999999999</v>
      </c>
      <c r="L3096">
        <v>82.717770000000002</v>
      </c>
      <c r="M3096">
        <v>-5.1721070000000001E-2</v>
      </c>
      <c r="N3096">
        <v>0</v>
      </c>
      <c r="O3096">
        <v>-0.99857410000000002</v>
      </c>
      <c r="P3096">
        <v>2.3325389999999998E-3</v>
      </c>
      <c r="Q3096">
        <v>4.9586180000000001E-2</v>
      </c>
      <c r="R3096">
        <v>-0.99876759999999998</v>
      </c>
      <c r="S3096">
        <v>-0.38128659999999998</v>
      </c>
      <c r="T3096">
        <v>-0.17287949999999999</v>
      </c>
      <c r="U3096">
        <v>-3.0125120000000001</v>
      </c>
      <c r="V3096">
        <v>-5.3985329999999998E-2</v>
      </c>
      <c r="W3096">
        <v>6.278657E-2</v>
      </c>
      <c r="X3096">
        <v>0.99656579999999995</v>
      </c>
      <c r="Y3096">
        <v>7.3878239999999998E-2</v>
      </c>
      <c r="Z3096">
        <v>5.6873769999999997E-2</v>
      </c>
      <c r="AA3096">
        <v>0.99564419999999998</v>
      </c>
      <c r="AB3096">
        <v>37</v>
      </c>
      <c r="AC3096">
        <v>-2.4165999999999599</v>
      </c>
      <c r="AD3096">
        <v>-1.104490655597</v>
      </c>
      <c r="AE3096">
        <v>-18.874020000000002</v>
      </c>
      <c r="AF3096">
        <v>1.4322695204003399</v>
      </c>
      <c r="AG3096">
        <v>-1.104490655597</v>
      </c>
      <c r="AH3096">
        <v>18.910041422618001</v>
      </c>
      <c r="AI3096">
        <v>93.333187322811796</v>
      </c>
      <c r="AJ3096">
        <v>85.668618048924301</v>
      </c>
      <c r="AK3096">
        <v>18.996340757959</v>
      </c>
      <c r="AL3096">
        <v>86.400226671989003</v>
      </c>
      <c r="AM3096">
        <v>93.100759874190302</v>
      </c>
      <c r="AN3096">
        <v>0.99999998147860603</v>
      </c>
    </row>
    <row r="3097" spans="1:40" x14ac:dyDescent="0.3">
      <c r="A3097" t="str">
        <f>"20200111153939171"</f>
        <v>20200111153939171</v>
      </c>
      <c r="B3097" t="str">
        <f>"1578728379163584"</f>
        <v>1578728379163584</v>
      </c>
      <c r="C3097" t="s">
        <v>40</v>
      </c>
      <c r="D3097">
        <v>5.2764340000000001</v>
      </c>
      <c r="E3097">
        <v>0.54632990000000003</v>
      </c>
      <c r="F3097" t="s">
        <v>42</v>
      </c>
      <c r="G3097">
        <v>-423.11649999999997</v>
      </c>
      <c r="H3097" s="1">
        <v>-2.4154330000000001E-6</v>
      </c>
      <c r="I3097">
        <v>63.2866199999999</v>
      </c>
      <c r="J3097">
        <v>-420.7208</v>
      </c>
      <c r="K3097">
        <v>1.1045130000000001</v>
      </c>
      <c r="L3097">
        <v>82.397189999999995</v>
      </c>
      <c r="M3097">
        <v>-5.168594E-2</v>
      </c>
      <c r="N3097">
        <v>0</v>
      </c>
      <c r="O3097">
        <v>-0.99857569999999996</v>
      </c>
      <c r="P3097">
        <v>3.0358970000000001E-3</v>
      </c>
      <c r="Q3097">
        <v>5.0309590000000001E-2</v>
      </c>
      <c r="R3097">
        <v>-0.99872919999999998</v>
      </c>
      <c r="S3097">
        <v>-0.374054</v>
      </c>
      <c r="T3097">
        <v>-0.171267899999999</v>
      </c>
      <c r="U3097">
        <v>-3.0130919999999999</v>
      </c>
      <c r="V3097">
        <v>-5.4653809999999997E-2</v>
      </c>
      <c r="W3097">
        <v>6.3502299999999998E-2</v>
      </c>
      <c r="X3097">
        <v>0.99648400000000004</v>
      </c>
      <c r="Y3097">
        <v>7.1539920000000007E-2</v>
      </c>
      <c r="Z3097">
        <v>5.6347910000000001E-2</v>
      </c>
      <c r="AA3097">
        <v>0.99584479999999997</v>
      </c>
      <c r="AB3097">
        <v>37</v>
      </c>
      <c r="AC3097">
        <v>-2.39569999999997</v>
      </c>
      <c r="AD3097">
        <v>-1.1045154154329999</v>
      </c>
      <c r="AE3097">
        <v>-19.110569999999999</v>
      </c>
      <c r="AF3097">
        <v>1.4000586642315</v>
      </c>
      <c r="AG3097">
        <v>-1.1045154154329999</v>
      </c>
      <c r="AH3097">
        <v>19.145891856428999</v>
      </c>
      <c r="AI3097">
        <v>93.292927719408297</v>
      </c>
      <c r="AJ3097">
        <v>85.817644554220493</v>
      </c>
      <c r="AK3097">
        <v>19.228762142797802</v>
      </c>
      <c r="AL3097">
        <v>86.359136326384004</v>
      </c>
      <c r="AM3097">
        <v>93.139336263692897</v>
      </c>
      <c r="AN3097">
        <v>0.99999997165440202</v>
      </c>
    </row>
    <row r="3098" spans="1:40" x14ac:dyDescent="0.3">
      <c r="A3098" t="str">
        <f>"20200111153939192"</f>
        <v>20200111153939192</v>
      </c>
      <c r="B3098" t="str">
        <f>"1578728379184081"</f>
        <v>1578728379184081</v>
      </c>
      <c r="C3098" t="s">
        <v>40</v>
      </c>
      <c r="D3098">
        <v>5.2714509999999999</v>
      </c>
      <c r="E3098">
        <v>0.54591509999999999</v>
      </c>
      <c r="F3098" t="s">
        <v>42</v>
      </c>
      <c r="G3098">
        <v>-423.10770000000002</v>
      </c>
      <c r="H3098" s="1">
        <v>-2.2188540000000001E-6</v>
      </c>
      <c r="I3098">
        <v>62.833829999999999</v>
      </c>
      <c r="J3098">
        <v>-420.7398</v>
      </c>
      <c r="K3098">
        <v>1.104525</v>
      </c>
      <c r="L3098">
        <v>82.028169999999903</v>
      </c>
      <c r="M3098">
        <v>-5.1643519999999998E-2</v>
      </c>
      <c r="N3098">
        <v>0</v>
      </c>
      <c r="O3098">
        <v>-0.99857839999999998</v>
      </c>
      <c r="P3098">
        <v>3.2072619999999998E-3</v>
      </c>
      <c r="Q3098">
        <v>5.0924539999999997E-2</v>
      </c>
      <c r="R3098">
        <v>-0.99869790000000003</v>
      </c>
      <c r="S3098">
        <v>-0.3676758</v>
      </c>
      <c r="T3098">
        <v>-0.1701367</v>
      </c>
      <c r="U3098">
        <v>-3.0134889999999999</v>
      </c>
      <c r="V3098">
        <v>-5.4782829999999998E-2</v>
      </c>
      <c r="W3098">
        <v>6.4110929999999997E-2</v>
      </c>
      <c r="X3098">
        <v>0.99643800000000005</v>
      </c>
      <c r="Y3098">
        <v>6.9492319999999996E-2</v>
      </c>
      <c r="Z3098">
        <v>5.5981049999999997E-2</v>
      </c>
      <c r="AA3098">
        <v>0.99601050000000002</v>
      </c>
      <c r="AB3098">
        <v>37</v>
      </c>
      <c r="AC3098">
        <v>-2.3679000000000201</v>
      </c>
      <c r="AD3098">
        <v>-1.1045272188540001</v>
      </c>
      <c r="AE3098">
        <v>-19.194339999999901</v>
      </c>
      <c r="AF3098">
        <v>1.3689250365529999</v>
      </c>
      <c r="AG3098">
        <v>-1.1045272188540001</v>
      </c>
      <c r="AH3098">
        <v>19.2283022635146</v>
      </c>
      <c r="AI3098">
        <v>93.279334331196907</v>
      </c>
      <c r="AJ3098">
        <v>85.927798797917404</v>
      </c>
      <c r="AK3098">
        <v>19.308587314196998</v>
      </c>
      <c r="AL3098">
        <v>86.324193400735894</v>
      </c>
      <c r="AM3098">
        <v>93.146877322249495</v>
      </c>
      <c r="AN3098">
        <v>1.0000000288261299</v>
      </c>
    </row>
    <row r="3099" spans="1:40" x14ac:dyDescent="0.3">
      <c r="A3099" t="str">
        <f>"20200111153939216"</f>
        <v>20200111153939216</v>
      </c>
      <c r="B3099" t="str">
        <f>"1578728379203601"</f>
        <v>1578728379203601</v>
      </c>
      <c r="C3099" t="s">
        <v>40</v>
      </c>
      <c r="D3099">
        <v>5.2497669999999896</v>
      </c>
      <c r="E3099">
        <v>0.54556470000000001</v>
      </c>
      <c r="F3099" t="s">
        <v>42</v>
      </c>
      <c r="G3099">
        <v>-423.10629999999998</v>
      </c>
      <c r="H3099" s="1">
        <v>-2.0485310000000002E-6</v>
      </c>
      <c r="I3099">
        <v>62.437690000000003</v>
      </c>
      <c r="J3099">
        <v>-420.75869999999998</v>
      </c>
      <c r="K3099">
        <v>1.1045210000000001</v>
      </c>
      <c r="L3099">
        <v>81.663790000000006</v>
      </c>
      <c r="M3099">
        <v>-5.1599840000000001E-2</v>
      </c>
      <c r="N3099">
        <v>0</v>
      </c>
      <c r="O3099">
        <v>-0.99858029999999998</v>
      </c>
      <c r="P3099">
        <v>2.8094859999999999E-3</v>
      </c>
      <c r="Q3099">
        <v>5.0168480000000001E-2</v>
      </c>
      <c r="R3099">
        <v>-0.99873710000000004</v>
      </c>
      <c r="S3099">
        <v>-0.36404419999999998</v>
      </c>
      <c r="T3099">
        <v>-0.1699166</v>
      </c>
      <c r="U3099">
        <v>-3.0137330000000002</v>
      </c>
      <c r="V3099">
        <v>-5.4345480000000002E-2</v>
      </c>
      <c r="W3099">
        <v>6.3351450000000004E-2</v>
      </c>
      <c r="X3099">
        <v>0.99651049999999997</v>
      </c>
      <c r="Y3099">
        <v>6.8343890000000004E-2</v>
      </c>
      <c r="Z3099">
        <v>5.5910809999999998E-2</v>
      </c>
      <c r="AA3099">
        <v>0.99609389999999998</v>
      </c>
      <c r="AB3099">
        <v>37</v>
      </c>
      <c r="AC3099">
        <v>-2.3475999999999999</v>
      </c>
      <c r="AD3099">
        <v>-1.10452304853099</v>
      </c>
      <c r="AE3099">
        <v>-19.226099999999999</v>
      </c>
      <c r="AF3099">
        <v>1.3479382672159299</v>
      </c>
      <c r="AG3099">
        <v>-1.10452304853099</v>
      </c>
      <c r="AH3099">
        <v>19.259000945464201</v>
      </c>
      <c r="AI3099">
        <v>93.274382264691397</v>
      </c>
      <c r="AJ3099">
        <v>85.996394881788305</v>
      </c>
      <c r="AK3099">
        <v>19.3376840949052</v>
      </c>
      <c r="AL3099">
        <v>86.367796961604199</v>
      </c>
      <c r="AM3099">
        <v>93.121577944792605</v>
      </c>
      <c r="AN3099">
        <v>1.00000000701189</v>
      </c>
    </row>
    <row r="3100" spans="1:40" x14ac:dyDescent="0.3">
      <c r="A3100" t="str">
        <f>"20200111153939237"</f>
        <v>20200111153939237</v>
      </c>
      <c r="B3100" t="str">
        <f>"1578728379233857"</f>
        <v>1578728379233857</v>
      </c>
      <c r="C3100" t="s">
        <v>40</v>
      </c>
      <c r="D3100">
        <v>5.2311439999999996</v>
      </c>
      <c r="E3100">
        <v>0.54517609999999905</v>
      </c>
      <c r="F3100" t="s">
        <v>41</v>
      </c>
      <c r="G3100">
        <v>-420.8836</v>
      </c>
      <c r="H3100">
        <v>1.0441020000000001</v>
      </c>
      <c r="I3100">
        <v>80.622769999999903</v>
      </c>
      <c r="J3100">
        <v>-420.77719999999999</v>
      </c>
      <c r="K3100">
        <v>1.104517</v>
      </c>
      <c r="L3100">
        <v>81.303560000000004</v>
      </c>
      <c r="M3100">
        <v>-5.1557470000000001E-2</v>
      </c>
      <c r="N3100">
        <v>0</v>
      </c>
      <c r="O3100">
        <v>-0.99858239999999998</v>
      </c>
      <c r="P3100">
        <v>2.6031790000000002E-3</v>
      </c>
      <c r="Q3100">
        <v>4.8422050000000001E-2</v>
      </c>
      <c r="R3100">
        <v>-0.99882320000000002</v>
      </c>
      <c r="S3100">
        <v>-0.3617554</v>
      </c>
      <c r="T3100">
        <v>-0.17489849999999901</v>
      </c>
      <c r="U3100">
        <v>-3.0135800000000001</v>
      </c>
      <c r="V3100">
        <v>-5.4102409999999997E-2</v>
      </c>
      <c r="W3100">
        <v>6.1602490000000003E-2</v>
      </c>
      <c r="X3100">
        <v>0.9966334</v>
      </c>
      <c r="Y3100">
        <v>6.7635360000000005E-2</v>
      </c>
      <c r="Z3100">
        <v>5.7551779999999997E-2</v>
      </c>
      <c r="AA3100">
        <v>0.99604879999999996</v>
      </c>
      <c r="AB3100">
        <v>37</v>
      </c>
      <c r="AC3100">
        <v>-0.106400000000007</v>
      </c>
      <c r="AD3100">
        <v>-6.0414999999999802E-2</v>
      </c>
      <c r="AE3100">
        <v>-0.68079000000001599</v>
      </c>
      <c r="AF3100">
        <v>7.0612752100107604E-2</v>
      </c>
      <c r="AG3100">
        <v>-6.0414999999999802E-2</v>
      </c>
      <c r="AH3100">
        <v>0.68014204492629404</v>
      </c>
      <c r="AI3100">
        <v>95.049094516443503</v>
      </c>
      <c r="AJ3100">
        <v>84.072753221866506</v>
      </c>
      <c r="AK3100">
        <v>0.68646145868553399</v>
      </c>
      <c r="AL3100">
        <v>86.468201251135497</v>
      </c>
      <c r="AM3100">
        <v>93.107261080999805</v>
      </c>
      <c r="AN3100">
        <v>1.0000000357687799</v>
      </c>
    </row>
    <row r="3101" spans="1:40" x14ac:dyDescent="0.3">
      <c r="A3101" t="str">
        <f>"20200111153939259"</f>
        <v>20200111153939259</v>
      </c>
      <c r="B3101" t="str">
        <f>"1578728379253885"</f>
        <v>1578728379253885</v>
      </c>
      <c r="C3101" t="s">
        <v>40</v>
      </c>
      <c r="D3101">
        <v>5.2339510000000002</v>
      </c>
      <c r="E3101">
        <v>0.54504249999999999</v>
      </c>
      <c r="F3101" t="s">
        <v>41</v>
      </c>
      <c r="G3101">
        <v>-420.89789999999999</v>
      </c>
      <c r="H3101">
        <v>1.0438909999999999</v>
      </c>
      <c r="I3101">
        <v>80.295909999999907</v>
      </c>
      <c r="J3101">
        <v>-420.79579999999999</v>
      </c>
      <c r="K3101">
        <v>1.1045149999999999</v>
      </c>
      <c r="L3101">
        <v>80.943569999999994</v>
      </c>
      <c r="M3101">
        <v>-5.151737E-2</v>
      </c>
      <c r="N3101">
        <v>0</v>
      </c>
      <c r="O3101">
        <v>-0.99858480000000005</v>
      </c>
      <c r="P3101">
        <v>1.849479E-3</v>
      </c>
      <c r="Q3101">
        <v>4.6435539999999997E-2</v>
      </c>
      <c r="R3101">
        <v>-0.99891969999999997</v>
      </c>
      <c r="S3101">
        <v>-0.35989379999999999</v>
      </c>
      <c r="T3101">
        <v>-0.18132010000000001</v>
      </c>
      <c r="U3101">
        <v>-3.0132750000000001</v>
      </c>
      <c r="V3101">
        <v>-5.3314739999999999E-2</v>
      </c>
      <c r="W3101">
        <v>5.9615359999999999E-2</v>
      </c>
      <c r="X3101">
        <v>0.99679669999999998</v>
      </c>
      <c r="Y3101">
        <v>6.7065970000000003E-2</v>
      </c>
      <c r="Z3101">
        <v>5.9666940000000002E-2</v>
      </c>
      <c r="AA3101">
        <v>0.99596289999999998</v>
      </c>
      <c r="AB3101">
        <v>37</v>
      </c>
      <c r="AC3101">
        <v>-0.102100000000007</v>
      </c>
      <c r="AD3101">
        <v>-6.0623999999999997E-2</v>
      </c>
      <c r="AE3101">
        <v>-0.64766000000000101</v>
      </c>
      <c r="AF3101">
        <v>6.80142696244809E-2</v>
      </c>
      <c r="AG3101">
        <v>-6.0623999999999997E-2</v>
      </c>
      <c r="AH3101">
        <v>0.64653275748221295</v>
      </c>
      <c r="AI3101">
        <v>95.327612101120906</v>
      </c>
      <c r="AJ3101">
        <v>83.994658677078505</v>
      </c>
      <c r="AK3101">
        <v>0.65292098813417399</v>
      </c>
      <c r="AL3101">
        <v>86.582265196927494</v>
      </c>
      <c r="AM3101">
        <v>93.061608899123598</v>
      </c>
      <c r="AN3101">
        <v>1.00000005689004</v>
      </c>
    </row>
    <row r="3102" spans="1:40" x14ac:dyDescent="0.3">
      <c r="A3102" t="str">
        <f>"20200111153939282"</f>
        <v>20200111153939282</v>
      </c>
      <c r="B3102" t="str">
        <f>"1578728379274380"</f>
        <v>1578728379274380</v>
      </c>
      <c r="C3102" t="s">
        <v>40</v>
      </c>
      <c r="D3102">
        <v>5.2490269999999999</v>
      </c>
      <c r="E3102">
        <v>0.54504249999999999</v>
      </c>
      <c r="F3102" t="s">
        <v>41</v>
      </c>
      <c r="G3102">
        <v>-420.9126</v>
      </c>
      <c r="H3102">
        <v>1.0437639999999999</v>
      </c>
      <c r="I3102">
        <v>79.969149999999999</v>
      </c>
      <c r="J3102">
        <v>-420.81490000000002</v>
      </c>
      <c r="K3102">
        <v>1.1045119999999999</v>
      </c>
      <c r="L3102">
        <v>80.571690000000004</v>
      </c>
      <c r="M3102">
        <v>-5.1477889999999998E-2</v>
      </c>
      <c r="N3102">
        <v>0</v>
      </c>
      <c r="O3102">
        <v>-0.99858670000000005</v>
      </c>
      <c r="P3102">
        <v>1.1168020000000001E-3</v>
      </c>
      <c r="Q3102">
        <v>4.552821E-2</v>
      </c>
      <c r="R3102">
        <v>-0.99896260000000003</v>
      </c>
      <c r="S3102">
        <v>-0.3609619</v>
      </c>
      <c r="T3102">
        <v>-0.18783430000000001</v>
      </c>
      <c r="U3102">
        <v>-3.0126339999999998</v>
      </c>
      <c r="V3102">
        <v>-5.2546610000000001E-2</v>
      </c>
      <c r="W3102">
        <v>5.8703810000000002E-2</v>
      </c>
      <c r="X3102">
        <v>0.99689150000000004</v>
      </c>
      <c r="Y3102">
        <v>6.7462939999999999E-2</v>
      </c>
      <c r="Z3102">
        <v>6.1813559999999997E-2</v>
      </c>
      <c r="AA3102">
        <v>0.9958051</v>
      </c>
      <c r="AB3102">
        <v>37</v>
      </c>
      <c r="AC3102">
        <v>-9.7699999999974793E-2</v>
      </c>
      <c r="AD3102">
        <v>-6.0748000000000198E-2</v>
      </c>
      <c r="AE3102">
        <v>-0.60254000000000396</v>
      </c>
      <c r="AF3102">
        <v>6.5897577994553605E-2</v>
      </c>
      <c r="AG3102">
        <v>-6.0748000000000198E-2</v>
      </c>
      <c r="AH3102">
        <v>0.60082013200706497</v>
      </c>
      <c r="AI3102">
        <v>95.739282121326696</v>
      </c>
      <c r="AJ3102">
        <v>83.7408528419178</v>
      </c>
      <c r="AK3102">
        <v>0.60746822247302401</v>
      </c>
      <c r="AL3102">
        <v>86.634584517254197</v>
      </c>
      <c r="AM3102">
        <v>93.0172945786112</v>
      </c>
      <c r="AN3102">
        <v>0.99999997315162803</v>
      </c>
    </row>
    <row r="3103" spans="1:40" x14ac:dyDescent="0.3">
      <c r="A3103" t="str">
        <f>"20200111153939303"</f>
        <v>20200111153939303</v>
      </c>
      <c r="B3103" t="str">
        <f>"1578728379293902"</f>
        <v>1578728379293902</v>
      </c>
      <c r="C3103" t="s">
        <v>40</v>
      </c>
      <c r="D3103">
        <v>5.235792</v>
      </c>
      <c r="E3103">
        <v>0.54491540000000005</v>
      </c>
      <c r="F3103" t="s">
        <v>41</v>
      </c>
      <c r="G3103">
        <v>-420.92739999999998</v>
      </c>
      <c r="H3103">
        <v>1.0456190000000001</v>
      </c>
      <c r="I3103">
        <v>79.641109999999998</v>
      </c>
      <c r="J3103">
        <v>-420.83330000000001</v>
      </c>
      <c r="K3103">
        <v>1.1045119999999999</v>
      </c>
      <c r="L3103">
        <v>80.213679999999997</v>
      </c>
      <c r="M3103">
        <v>-5.1440550000000002E-2</v>
      </c>
      <c r="N3103">
        <v>0</v>
      </c>
      <c r="O3103">
        <v>-0.9985889</v>
      </c>
      <c r="P3103">
        <v>7.5396389999999897E-4</v>
      </c>
      <c r="Q3103">
        <v>4.555915E-2</v>
      </c>
      <c r="R3103">
        <v>-0.99896160000000001</v>
      </c>
      <c r="S3103">
        <v>-0.36346440000000002</v>
      </c>
      <c r="T3103">
        <v>-0.19067029999999999</v>
      </c>
      <c r="U3103">
        <v>-3.012238</v>
      </c>
      <c r="V3103">
        <v>-5.2147249999999999E-2</v>
      </c>
      <c r="W3103">
        <v>5.8726189999999998E-2</v>
      </c>
      <c r="X3103">
        <v>0.9969112</v>
      </c>
      <c r="Y3103">
        <v>6.8324220000000005E-2</v>
      </c>
      <c r="Z3103">
        <v>6.2746570000000002E-2</v>
      </c>
      <c r="AA3103">
        <v>0.99568800000000002</v>
      </c>
      <c r="AB3103">
        <v>37</v>
      </c>
      <c r="AC3103">
        <v>-9.4099999999969E-2</v>
      </c>
      <c r="AD3103">
        <v>-5.8893000000000001E-2</v>
      </c>
      <c r="AE3103">
        <v>-0.57257000000001301</v>
      </c>
      <c r="AF3103">
        <v>6.38616523595016E-2</v>
      </c>
      <c r="AG3103">
        <v>-5.8893000000000001E-2</v>
      </c>
      <c r="AH3103">
        <v>0.57077304364881198</v>
      </c>
      <c r="AI3103">
        <v>95.854719543969594</v>
      </c>
      <c r="AJ3103">
        <v>83.615941726739706</v>
      </c>
      <c r="AK3103">
        <v>0.57734613833229598</v>
      </c>
      <c r="AL3103">
        <v>86.633300182516706</v>
      </c>
      <c r="AM3103">
        <v>92.994345636811801</v>
      </c>
      <c r="AN3103">
        <v>1.00000002087995</v>
      </c>
    </row>
    <row r="3104" spans="1:40" x14ac:dyDescent="0.3">
      <c r="A3104" t="str">
        <f>"20200111153939348"</f>
        <v>20200111153939348</v>
      </c>
      <c r="B3104" t="str">
        <f>"1578728379343677"</f>
        <v>1578728379343677</v>
      </c>
      <c r="C3104" t="s">
        <v>40</v>
      </c>
      <c r="D3104">
        <v>5.2649900000000001</v>
      </c>
      <c r="E3104">
        <v>0.54484750000000004</v>
      </c>
      <c r="F3104" t="s">
        <v>41</v>
      </c>
      <c r="G3104">
        <v>-420.94220000000001</v>
      </c>
      <c r="H3104">
        <v>1.0472490000000001</v>
      </c>
      <c r="I3104">
        <v>79.312969999999893</v>
      </c>
      <c r="J3104">
        <v>-420.87040000000002</v>
      </c>
      <c r="K3104">
        <v>1.1045130000000001</v>
      </c>
      <c r="L3104">
        <v>79.490880000000004</v>
      </c>
      <c r="M3104">
        <v>-5.1364489999999999E-2</v>
      </c>
      <c r="N3104">
        <v>0</v>
      </c>
      <c r="O3104">
        <v>-0.99859290000000001</v>
      </c>
      <c r="P3104">
        <v>-2.5335990000000002E-4</v>
      </c>
      <c r="Q3104">
        <v>4.5385370000000001E-2</v>
      </c>
      <c r="R3104">
        <v>-0.99896980000000002</v>
      </c>
      <c r="S3104">
        <v>-0.36349490000000001</v>
      </c>
      <c r="T3104">
        <v>-0.19152150000000001</v>
      </c>
      <c r="U3104">
        <v>-3.012146</v>
      </c>
      <c r="V3104">
        <v>-5.106633E-2</v>
      </c>
      <c r="W3104">
        <v>5.8533870000000002E-2</v>
      </c>
      <c r="X3104">
        <v>0.99697849999999999</v>
      </c>
      <c r="Y3104">
        <v>6.8411630000000001E-2</v>
      </c>
      <c r="Z3104">
        <v>6.3027609999999998E-2</v>
      </c>
      <c r="AA3104">
        <v>0.99566429999999995</v>
      </c>
      <c r="AB3104">
        <v>37</v>
      </c>
      <c r="AC3104">
        <v>-7.1799999999996006E-2</v>
      </c>
      <c r="AD3104">
        <v>-5.7263999999999898E-2</v>
      </c>
      <c r="AE3104">
        <v>-0.177910000000011</v>
      </c>
      <c r="AF3104">
        <v>5.7448086445161202E-2</v>
      </c>
      <c r="AG3104">
        <v>-5.7263999999999898E-2</v>
      </c>
      <c r="AH3104">
        <v>0.16652742394419401</v>
      </c>
      <c r="AI3104">
        <v>108.007876221789</v>
      </c>
      <c r="AJ3104">
        <v>70.966757027709306</v>
      </c>
      <c r="AK3104">
        <v>0.185231831113608</v>
      </c>
      <c r="AL3104">
        <v>86.644338415034696</v>
      </c>
      <c r="AM3104">
        <v>92.932190032172997</v>
      </c>
      <c r="AN3104">
        <v>1.00000005672954</v>
      </c>
    </row>
    <row r="3105" spans="1:40" x14ac:dyDescent="0.3">
      <c r="A3105" t="str">
        <f>"20200111153939373"</f>
        <v>20200111153939373</v>
      </c>
      <c r="B3105" t="str">
        <f>"1578728379363707"</f>
        <v>1578728379363707</v>
      </c>
      <c r="C3105" t="s">
        <v>40</v>
      </c>
      <c r="D3105">
        <v>5.2415269999999996</v>
      </c>
      <c r="E3105">
        <v>0.5448132</v>
      </c>
      <c r="F3105" t="s">
        <v>41</v>
      </c>
      <c r="G3105">
        <v>-420.97190000000001</v>
      </c>
      <c r="H3105">
        <v>1.05131</v>
      </c>
      <c r="I3105">
        <v>78.656359999999907</v>
      </c>
      <c r="J3105">
        <v>-420.89109999999999</v>
      </c>
      <c r="K3105">
        <v>1.104509</v>
      </c>
      <c r="L3105">
        <v>79.088200000000001</v>
      </c>
      <c r="M3105">
        <v>-5.1322010000000001E-2</v>
      </c>
      <c r="N3105">
        <v>0</v>
      </c>
      <c r="O3105">
        <v>-0.99859549999999997</v>
      </c>
      <c r="P3105">
        <v>-5.6245299999999998E-4</v>
      </c>
      <c r="Q3105">
        <v>4.5762619999999997E-2</v>
      </c>
      <c r="R3105">
        <v>-0.99895279999999997</v>
      </c>
      <c r="S3105">
        <v>-0.36535640000000003</v>
      </c>
      <c r="T3105">
        <v>-0.1920463</v>
      </c>
      <c r="U3105">
        <v>-3.0117189999999998</v>
      </c>
      <c r="V3105">
        <v>-5.0714410000000001E-2</v>
      </c>
      <c r="W3105">
        <v>5.8895169999999997E-2</v>
      </c>
      <c r="X3105">
        <v>0.9969751</v>
      </c>
      <c r="Y3105">
        <v>6.9076079999999998E-2</v>
      </c>
      <c r="Z3105">
        <v>6.3204960000000004E-2</v>
      </c>
      <c r="AA3105">
        <v>0.99560709999999997</v>
      </c>
      <c r="AB3105">
        <v>37</v>
      </c>
      <c r="AC3105">
        <v>-8.0800000000010599E-2</v>
      </c>
      <c r="AD3105">
        <v>-5.3199000000000003E-2</v>
      </c>
      <c r="AE3105">
        <v>-0.431840000000008</v>
      </c>
      <c r="AF3105">
        <v>5.7682891648114201E-2</v>
      </c>
      <c r="AG3105">
        <v>-5.3199000000000003E-2</v>
      </c>
      <c r="AH3105">
        <v>0.429125792138009</v>
      </c>
      <c r="AI3105">
        <v>97.004574522734003</v>
      </c>
      <c r="AJ3105">
        <v>82.344217363405903</v>
      </c>
      <c r="AK3105">
        <v>0.43624121202376298</v>
      </c>
      <c r="AL3105">
        <v>86.623601387208097</v>
      </c>
      <c r="AM3105">
        <v>92.912027866103202</v>
      </c>
      <c r="AN3105">
        <v>0.999999971225493</v>
      </c>
    </row>
    <row r="3106" spans="1:40" x14ac:dyDescent="0.3">
      <c r="A3106" t="str">
        <f>"20200111153939395"</f>
        <v>20200111153939395</v>
      </c>
      <c r="B3106" t="str">
        <f>"1578728379384203"</f>
        <v>1578728379384203</v>
      </c>
      <c r="C3106" t="s">
        <v>40</v>
      </c>
      <c r="D3106">
        <v>5.2384019999999998</v>
      </c>
      <c r="E3106">
        <v>0.54466840000000005</v>
      </c>
      <c r="F3106" t="s">
        <v>42</v>
      </c>
      <c r="G3106">
        <v>-423.01659999999998</v>
      </c>
      <c r="H3106" s="1">
        <v>-1.677037E-6</v>
      </c>
      <c r="I3106">
        <v>61.62735</v>
      </c>
      <c r="J3106">
        <v>-420.90969999999999</v>
      </c>
      <c r="K3106">
        <v>1.1045100000000001</v>
      </c>
      <c r="L3106">
        <v>78.724490000000003</v>
      </c>
      <c r="M3106">
        <v>-5.1282319999999999E-2</v>
      </c>
      <c r="N3106">
        <v>0</v>
      </c>
      <c r="O3106">
        <v>-0.99859770000000003</v>
      </c>
      <c r="P3106" s="1">
        <v>2.8810350000000001E-5</v>
      </c>
      <c r="Q3106">
        <v>4.576943E-2</v>
      </c>
      <c r="R3106">
        <v>-0.99895219999999996</v>
      </c>
      <c r="S3106">
        <v>-0.36660769999999998</v>
      </c>
      <c r="T3106">
        <v>-0.1905086</v>
      </c>
      <c r="U3106">
        <v>-3.0116879999999999</v>
      </c>
      <c r="V3106">
        <v>-5.1265400000000003E-2</v>
      </c>
      <c r="W3106">
        <v>5.888898E-2</v>
      </c>
      <c r="X3106">
        <v>0.99694729999999998</v>
      </c>
      <c r="Y3106">
        <v>6.9528409999999999E-2</v>
      </c>
      <c r="Z3106">
        <v>6.2699149999999995E-2</v>
      </c>
      <c r="AA3106">
        <v>0.99560769999999998</v>
      </c>
      <c r="AB3106">
        <v>37</v>
      </c>
      <c r="AC3106">
        <v>-2.1068999999999898</v>
      </c>
      <c r="AD3106">
        <v>-1.104511677037</v>
      </c>
      <c r="AE3106">
        <v>-17.09714</v>
      </c>
      <c r="AF3106">
        <v>1.22224584412874</v>
      </c>
      <c r="AG3106">
        <v>-1.104511677037</v>
      </c>
      <c r="AH3106">
        <v>17.112346722894699</v>
      </c>
      <c r="AI3106">
        <v>93.683659292574305</v>
      </c>
      <c r="AJ3106">
        <v>85.914598536875999</v>
      </c>
      <c r="AK3106">
        <v>17.191458382370101</v>
      </c>
      <c r="AL3106">
        <v>86.623956714970205</v>
      </c>
      <c r="AM3106">
        <v>92.943692376672303</v>
      </c>
      <c r="AN3106">
        <v>0.999999986089945</v>
      </c>
    </row>
    <row r="3107" spans="1:40" x14ac:dyDescent="0.3">
      <c r="A3107" t="str">
        <f>"20200111153939416"</f>
        <v>20200111153939416</v>
      </c>
      <c r="B3107" t="str">
        <f>"1578728379403723"</f>
        <v>1578728379403723</v>
      </c>
      <c r="C3107" t="s">
        <v>40</v>
      </c>
      <c r="D3107">
        <v>5.3132820000000001</v>
      </c>
      <c r="E3107">
        <v>0.54466669999999995</v>
      </c>
      <c r="F3107" t="s">
        <v>41</v>
      </c>
      <c r="G3107">
        <v>-421.03559999999999</v>
      </c>
      <c r="H3107">
        <v>1.0388569999999999</v>
      </c>
      <c r="I3107">
        <v>77.688269999999903</v>
      </c>
      <c r="J3107">
        <v>-420.9273</v>
      </c>
      <c r="K3107">
        <v>1.104506</v>
      </c>
      <c r="L3107">
        <v>78.381769999999904</v>
      </c>
      <c r="M3107">
        <v>-5.124066E-2</v>
      </c>
      <c r="N3107">
        <v>0</v>
      </c>
      <c r="O3107">
        <v>-0.99859980000000004</v>
      </c>
      <c r="P3107">
        <v>1.180862E-3</v>
      </c>
      <c r="Q3107">
        <v>4.543871E-2</v>
      </c>
      <c r="R3107">
        <v>-0.99896640000000003</v>
      </c>
      <c r="S3107">
        <v>-0.36428830000000001</v>
      </c>
      <c r="T3107">
        <v>-0.19088040000000001</v>
      </c>
      <c r="U3107">
        <v>-3.0119020000000001</v>
      </c>
      <c r="V3107">
        <v>-5.2375520000000002E-2</v>
      </c>
      <c r="W3107">
        <v>5.854007E-2</v>
      </c>
      <c r="X3107">
        <v>0.99691019999999997</v>
      </c>
      <c r="Y3107">
        <v>6.8805060000000001E-2</v>
      </c>
      <c r="Z3107">
        <v>6.2821279999999993E-2</v>
      </c>
      <c r="AA3107">
        <v>0.99565020000000004</v>
      </c>
      <c r="AB3107">
        <v>37</v>
      </c>
      <c r="AC3107">
        <v>-0.10829999999998501</v>
      </c>
      <c r="AD3107">
        <v>-6.5648999999999999E-2</v>
      </c>
      <c r="AE3107">
        <v>-0.69350000000000001</v>
      </c>
      <c r="AF3107">
        <v>7.1989486435363195E-2</v>
      </c>
      <c r="AG3107">
        <v>-6.5648999999999999E-2</v>
      </c>
      <c r="AH3107">
        <v>0.69208443859641</v>
      </c>
      <c r="AI3107">
        <v>95.389780828598305</v>
      </c>
      <c r="AJ3107">
        <v>84.061543359554406</v>
      </c>
      <c r="AK3107">
        <v>0.69890854015782</v>
      </c>
      <c r="AL3107">
        <v>86.643982517774504</v>
      </c>
      <c r="AM3107">
        <v>93.007432122804602</v>
      </c>
      <c r="AN3107">
        <v>1.0000000408774501</v>
      </c>
    </row>
    <row r="3108" spans="1:40" x14ac:dyDescent="0.3">
      <c r="A3108" t="str">
        <f>"20200111153939439"</f>
        <v>20200111153939439</v>
      </c>
      <c r="B3108" t="str">
        <f>"1578728379433979"</f>
        <v>1578728379433979</v>
      </c>
      <c r="C3108" t="s">
        <v>40</v>
      </c>
      <c r="D3108">
        <v>5.4218080000000004</v>
      </c>
      <c r="E3108">
        <v>0.50056199999999995</v>
      </c>
      <c r="F3108" t="s">
        <v>41</v>
      </c>
      <c r="G3108">
        <v>-421.05009999999999</v>
      </c>
      <c r="H3108">
        <v>1.040036</v>
      </c>
      <c r="I3108">
        <v>77.361789999999999</v>
      </c>
      <c r="J3108">
        <v>-420.94619999999998</v>
      </c>
      <c r="K3108">
        <v>1.1044909999999999</v>
      </c>
      <c r="L3108">
        <v>78.012079999999997</v>
      </c>
      <c r="M3108">
        <v>-5.1195379999999999E-2</v>
      </c>
      <c r="N3108">
        <v>0</v>
      </c>
      <c r="O3108">
        <v>-0.99860269999999995</v>
      </c>
      <c r="P3108">
        <v>2.8301910000000001E-3</v>
      </c>
      <c r="Q3108">
        <v>4.4797440000000001E-2</v>
      </c>
      <c r="R3108">
        <v>-0.9989924</v>
      </c>
      <c r="S3108">
        <v>-0.36151119999999998</v>
      </c>
      <c r="T3108">
        <v>-0.19043789999999999</v>
      </c>
      <c r="U3108">
        <v>-3.0122070000000001</v>
      </c>
      <c r="V3108">
        <v>-5.3979499999999903E-2</v>
      </c>
      <c r="W3108">
        <v>5.787933E-2</v>
      </c>
      <c r="X3108">
        <v>0.99686319999999995</v>
      </c>
      <c r="Y3108">
        <v>6.793457E-2</v>
      </c>
      <c r="Z3108">
        <v>6.2675480000000006E-2</v>
      </c>
      <c r="AA3108">
        <v>0.99571920000000003</v>
      </c>
      <c r="AB3108">
        <v>36</v>
      </c>
      <c r="AC3108">
        <v>-0.10390000000001</v>
      </c>
      <c r="AD3108">
        <v>-6.4454999999999901E-2</v>
      </c>
      <c r="AE3108">
        <v>-0.65029000000001203</v>
      </c>
      <c r="AF3108">
        <v>6.9800360256751806E-2</v>
      </c>
      <c r="AG3108">
        <v>-6.4454999999999901E-2</v>
      </c>
      <c r="AH3108">
        <v>0.64854390580638799</v>
      </c>
      <c r="AI3108">
        <v>95.643278162974497</v>
      </c>
      <c r="AJ3108">
        <v>83.857114778774005</v>
      </c>
      <c r="AK3108">
        <v>0.65546604418198295</v>
      </c>
      <c r="AL3108">
        <v>86.681904366771704</v>
      </c>
      <c r="AM3108">
        <v>93.099502505082796</v>
      </c>
      <c r="AN3108">
        <v>1.0000000213878599</v>
      </c>
    </row>
    <row r="3109" spans="1:40" x14ac:dyDescent="0.3">
      <c r="A3109" t="str">
        <f>"20200111153939483"</f>
        <v>20200111153939483</v>
      </c>
      <c r="B3109" t="str">
        <f>"1578728379473526"</f>
        <v>1578728379473526</v>
      </c>
      <c r="C3109" t="s">
        <v>40</v>
      </c>
      <c r="D3109">
        <v>5.1651720000000001</v>
      </c>
      <c r="E3109">
        <v>0.476192</v>
      </c>
      <c r="F3109" t="s">
        <v>42</v>
      </c>
      <c r="G3109">
        <v>-420.97430000000003</v>
      </c>
      <c r="H3109" s="1">
        <v>-2.6368369999999999E-6</v>
      </c>
      <c r="I3109">
        <v>55.131349999999998</v>
      </c>
      <c r="J3109">
        <v>-420.98270000000002</v>
      </c>
      <c r="K3109">
        <v>1.104481</v>
      </c>
      <c r="L3109">
        <v>77.296719999999993</v>
      </c>
      <c r="M3109">
        <v>-5.1102189999999999E-2</v>
      </c>
      <c r="N3109">
        <v>0</v>
      </c>
      <c r="O3109">
        <v>-0.99860800000000005</v>
      </c>
      <c r="P3109">
        <v>4.271431E-3</v>
      </c>
      <c r="Q3109">
        <v>4.3309800000000002E-2</v>
      </c>
      <c r="R3109">
        <v>-0.99905270000000002</v>
      </c>
      <c r="S3109">
        <v>-3.692627E-3</v>
      </c>
      <c r="T3109">
        <v>-0.1452764</v>
      </c>
      <c r="U3109">
        <v>-3.0095519999999998</v>
      </c>
      <c r="V3109">
        <v>-5.5329030000000001E-2</v>
      </c>
      <c r="W3109">
        <v>5.6351650000000003E-2</v>
      </c>
      <c r="X3109">
        <v>0.99687669999999995</v>
      </c>
      <c r="Y3109">
        <v>-4.9882530000000001E-2</v>
      </c>
      <c r="Z3109">
        <v>4.8091120000000001E-2</v>
      </c>
      <c r="AA3109">
        <v>0.99759659999999994</v>
      </c>
      <c r="AB3109">
        <v>36</v>
      </c>
      <c r="AC3109">
        <v>8.3999999999946305E-3</v>
      </c>
      <c r="AD3109">
        <v>-1.1044836368369999</v>
      </c>
      <c r="AE3109">
        <v>-22.165369999999999</v>
      </c>
      <c r="AF3109">
        <v>-1.13835812983424</v>
      </c>
      <c r="AG3109">
        <v>-1.1044836368369999</v>
      </c>
      <c r="AH3109">
        <v>22.081148681920101</v>
      </c>
      <c r="AI3109">
        <v>92.859716999045503</v>
      </c>
      <c r="AJ3109">
        <v>92.951179172096204</v>
      </c>
      <c r="AK3109">
        <v>22.138041251403902</v>
      </c>
      <c r="AL3109">
        <v>86.7695769831532</v>
      </c>
      <c r="AM3109">
        <v>93.176792784015205</v>
      </c>
      <c r="AN3109">
        <v>0.99999998251067601</v>
      </c>
    </row>
    <row r="3110" spans="1:40" x14ac:dyDescent="0.3">
      <c r="A3110" t="str">
        <f>"20200111153939504"</f>
        <v>20200111153939504</v>
      </c>
      <c r="B3110" t="str">
        <f>"1578728379494023"</f>
        <v>1578728379494023</v>
      </c>
      <c r="C3110" t="s">
        <v>40</v>
      </c>
      <c r="D3110">
        <v>5.1964259999999998</v>
      </c>
      <c r="E3110">
        <v>0.47774680000000003</v>
      </c>
      <c r="F3110" t="s">
        <v>42</v>
      </c>
      <c r="G3110">
        <v>-419.96859999999998</v>
      </c>
      <c r="H3110" s="1">
        <v>-8.2784539999999998E-7</v>
      </c>
      <c r="I3110">
        <v>61.538319999999999</v>
      </c>
      <c r="J3110">
        <v>-421.0009</v>
      </c>
      <c r="K3110">
        <v>1.104487</v>
      </c>
      <c r="L3110">
        <v>76.940550000000002</v>
      </c>
      <c r="M3110">
        <v>-5.1053870000000001E-2</v>
      </c>
      <c r="N3110">
        <v>0</v>
      </c>
      <c r="O3110">
        <v>-0.99861060000000001</v>
      </c>
      <c r="P3110">
        <v>4.2550000000000001E-3</v>
      </c>
      <c r="Q3110">
        <v>4.3616269999999999E-2</v>
      </c>
      <c r="R3110">
        <v>-0.99903949999999997</v>
      </c>
      <c r="S3110">
        <v>0.1937866</v>
      </c>
      <c r="T3110">
        <v>-0.21104809999999999</v>
      </c>
      <c r="U3110">
        <v>-3.0111690000000002</v>
      </c>
      <c r="V3110">
        <v>-5.5263970000000003E-2</v>
      </c>
      <c r="W3110">
        <v>5.6637310000000003E-2</v>
      </c>
      <c r="X3110">
        <v>0.99686410000000003</v>
      </c>
      <c r="Y3110">
        <v>-0.11493630000000001</v>
      </c>
      <c r="Z3110">
        <v>6.947681E-2</v>
      </c>
      <c r="AA3110">
        <v>0.9909403</v>
      </c>
      <c r="AB3110">
        <v>36</v>
      </c>
      <c r="AC3110">
        <v>1.03230000000002</v>
      </c>
      <c r="AD3110">
        <v>-1.1044878278454</v>
      </c>
      <c r="AE3110">
        <v>-15.402229999999999</v>
      </c>
      <c r="AF3110">
        <v>-1.80810779646092</v>
      </c>
      <c r="AG3110">
        <v>-1.1044878278454</v>
      </c>
      <c r="AH3110">
        <v>15.251357302411</v>
      </c>
      <c r="AI3110">
        <v>94.113365346194598</v>
      </c>
      <c r="AJ3110">
        <v>96.761079906271604</v>
      </c>
      <c r="AK3110">
        <v>15.397826039129299</v>
      </c>
      <c r="AL3110">
        <v>86.7531836240681</v>
      </c>
      <c r="AM3110">
        <v>93.173104936209299</v>
      </c>
      <c r="AN3110">
        <v>0.99999996256650203</v>
      </c>
    </row>
    <row r="3111" spans="1:40" x14ac:dyDescent="0.3">
      <c r="A3111" t="str">
        <f>"20200111153939527"</f>
        <v>20200111153939527</v>
      </c>
      <c r="B3111" t="str">
        <f>"1578728379524278"</f>
        <v>1578728379524278</v>
      </c>
      <c r="C3111" t="s">
        <v>40</v>
      </c>
      <c r="D3111">
        <v>5.4097089999999897</v>
      </c>
      <c r="E3111">
        <v>0.47924749999999999</v>
      </c>
      <c r="F3111" t="s">
        <v>42</v>
      </c>
      <c r="G3111">
        <v>-420.05220000000003</v>
      </c>
      <c r="H3111" s="1">
        <v>-6.9204729999999995E-7</v>
      </c>
      <c r="I3111">
        <v>61.169939999999997</v>
      </c>
      <c r="J3111">
        <v>-421.01929999999999</v>
      </c>
      <c r="K3111">
        <v>1.1044889999999901</v>
      </c>
      <c r="L3111">
        <v>76.579470000000001</v>
      </c>
      <c r="M3111">
        <v>-5.1003840000000002E-2</v>
      </c>
      <c r="N3111">
        <v>0</v>
      </c>
      <c r="O3111">
        <v>-0.99861319999999998</v>
      </c>
      <c r="P3111">
        <v>4.2913439999999999E-3</v>
      </c>
      <c r="Q3111">
        <v>4.4045830000000001E-2</v>
      </c>
      <c r="R3111">
        <v>-0.99902040000000003</v>
      </c>
      <c r="S3111">
        <v>0.18115229999999999</v>
      </c>
      <c r="T3111">
        <v>-0.21089669999999999</v>
      </c>
      <c r="U3111">
        <v>-3.0113219999999998</v>
      </c>
      <c r="V3111">
        <v>-5.5248890000000002E-2</v>
      </c>
      <c r="W3111">
        <v>5.7048149999999999E-2</v>
      </c>
      <c r="X3111">
        <v>0.99684150000000005</v>
      </c>
      <c r="Y3111">
        <v>-0.1107409</v>
      </c>
      <c r="Z3111">
        <v>6.9449629999999998E-2</v>
      </c>
      <c r="AA3111">
        <v>0.99141979999999996</v>
      </c>
      <c r="AB3111">
        <v>36</v>
      </c>
      <c r="AC3111">
        <v>0.96709999999995899</v>
      </c>
      <c r="AD3111">
        <v>-1.10448969204729</v>
      </c>
      <c r="AE3111">
        <v>-15.409529999999901</v>
      </c>
      <c r="AF3111">
        <v>-1.7429341482768901</v>
      </c>
      <c r="AG3111">
        <v>-1.10448969204729</v>
      </c>
      <c r="AH3111">
        <v>15.262040605699999</v>
      </c>
      <c r="AI3111">
        <v>94.112550920330605</v>
      </c>
      <c r="AJ3111">
        <v>96.514987719510998</v>
      </c>
      <c r="AK3111">
        <v>15.4008960900041</v>
      </c>
      <c r="AL3111">
        <v>86.729606074477203</v>
      </c>
      <c r="AM3111">
        <v>93.172312625668894</v>
      </c>
      <c r="AN3111">
        <v>0.99999995369345096</v>
      </c>
    </row>
    <row r="3112" spans="1:40" x14ac:dyDescent="0.3">
      <c r="A3112" t="str">
        <f>"20200111153939551"</f>
        <v>20200111153939551</v>
      </c>
      <c r="B3112" t="str">
        <f>"1578728379543798"</f>
        <v>1578728379543798</v>
      </c>
      <c r="C3112" t="s">
        <v>40</v>
      </c>
      <c r="D3112">
        <v>5.2187910000000004</v>
      </c>
      <c r="E3112">
        <v>0.48049019999999998</v>
      </c>
      <c r="F3112" t="s">
        <v>42</v>
      </c>
      <c r="G3112">
        <v>-420.10430000000002</v>
      </c>
      <c r="H3112" s="1">
        <v>-3.4110779999999998E-7</v>
      </c>
      <c r="I3112">
        <v>60.319510000000001</v>
      </c>
      <c r="J3112">
        <v>-421.03879999999998</v>
      </c>
      <c r="K3112">
        <v>1.104492</v>
      </c>
      <c r="L3112">
        <v>76.194760000000002</v>
      </c>
      <c r="M3112">
        <v>-5.0965219999999999E-2</v>
      </c>
      <c r="N3112">
        <v>0</v>
      </c>
      <c r="O3112">
        <v>-0.99861560000000005</v>
      </c>
      <c r="P3112">
        <v>4.9226610000000001E-3</v>
      </c>
      <c r="Q3112">
        <v>4.482038E-2</v>
      </c>
      <c r="R3112">
        <v>-0.99898299999999995</v>
      </c>
      <c r="S3112">
        <v>0.16943359999999999</v>
      </c>
      <c r="T3112">
        <v>-0.20454369999999999</v>
      </c>
      <c r="U3112">
        <v>-3.0112299999999999</v>
      </c>
      <c r="V3112">
        <v>-5.5838720000000001E-2</v>
      </c>
      <c r="W3112">
        <v>5.7803649999999998E-2</v>
      </c>
      <c r="X3112">
        <v>0.99676509999999996</v>
      </c>
      <c r="Y3112">
        <v>-0.10686619999999999</v>
      </c>
      <c r="Z3112">
        <v>6.7391480000000004E-2</v>
      </c>
      <c r="AA3112">
        <v>0.9919869</v>
      </c>
      <c r="AB3112">
        <v>36</v>
      </c>
      <c r="AC3112">
        <v>0.93449999999995703</v>
      </c>
      <c r="AD3112">
        <v>-1.1044923411078</v>
      </c>
      <c r="AE3112">
        <v>-15.875249999999999</v>
      </c>
      <c r="AF3112">
        <v>-1.73407481435893</v>
      </c>
      <c r="AG3112">
        <v>-1.1044923411078</v>
      </c>
      <c r="AH3112">
        <v>15.7311020351538</v>
      </c>
      <c r="AI3112">
        <v>93.992086403164905</v>
      </c>
      <c r="AJ3112">
        <v>96.290446164528902</v>
      </c>
      <c r="AK3112">
        <v>15.8648822886834</v>
      </c>
      <c r="AL3112">
        <v>86.6862475283408</v>
      </c>
      <c r="AM3112">
        <v>93.206354773170801</v>
      </c>
      <c r="AN3112">
        <v>0.99999994459128305</v>
      </c>
    </row>
    <row r="3113" spans="1:40" x14ac:dyDescent="0.3">
      <c r="A3113" t="str">
        <f>"20200111153939573"</f>
        <v>20200111153939573</v>
      </c>
      <c r="B3113" t="str">
        <f>"1578728379563826"</f>
        <v>1578728379563826</v>
      </c>
      <c r="C3113" t="s">
        <v>40</v>
      </c>
      <c r="D3113">
        <v>5.1821260000000002</v>
      </c>
      <c r="E3113">
        <v>0.48152709999999999</v>
      </c>
      <c r="F3113" t="s">
        <v>42</v>
      </c>
      <c r="G3113">
        <v>-420.14429999999999</v>
      </c>
      <c r="H3113" s="1">
        <v>-4.2921599999999999E-6</v>
      </c>
      <c r="I3113">
        <v>59.524299999999997</v>
      </c>
      <c r="J3113">
        <v>-421.05790000000002</v>
      </c>
      <c r="K3113">
        <v>1.1044889999999901</v>
      </c>
      <c r="L3113">
        <v>75.821839999999995</v>
      </c>
      <c r="M3113">
        <v>-5.0935929999999997E-2</v>
      </c>
      <c r="N3113">
        <v>0</v>
      </c>
      <c r="O3113">
        <v>-0.99861750000000005</v>
      </c>
      <c r="P3113">
        <v>5.5881200000000002E-3</v>
      </c>
      <c r="Q3113">
        <v>4.5989960000000003E-2</v>
      </c>
      <c r="R3113">
        <v>-0.99892650000000005</v>
      </c>
      <c r="S3113">
        <v>0.1615906</v>
      </c>
      <c r="T3113">
        <v>-0.19950599999999999</v>
      </c>
      <c r="U3113">
        <v>-3.0112000000000001</v>
      </c>
      <c r="V3113">
        <v>-5.6469400000000003E-2</v>
      </c>
      <c r="W3113">
        <v>5.8957530000000001E-2</v>
      </c>
      <c r="X3113">
        <v>0.99666200000000005</v>
      </c>
      <c r="Y3113">
        <v>-0.1042671</v>
      </c>
      <c r="Z3113">
        <v>6.5753649999999997E-2</v>
      </c>
      <c r="AA3113">
        <v>0.99237330000000001</v>
      </c>
      <c r="AB3113">
        <v>36</v>
      </c>
      <c r="AC3113">
        <v>0.91360000000003005</v>
      </c>
      <c r="AD3113">
        <v>-1.1044932921599999</v>
      </c>
      <c r="AE3113">
        <v>-16.297540000000001</v>
      </c>
      <c r="AF3113">
        <v>-1.73467210313874</v>
      </c>
      <c r="AG3113">
        <v>-1.1044932921599999</v>
      </c>
      <c r="AH3113">
        <v>16.155872956945998</v>
      </c>
      <c r="AI3113">
        <v>93.888648332703795</v>
      </c>
      <c r="AJ3113">
        <v>96.128426059530995</v>
      </c>
      <c r="AK3113">
        <v>16.286228039015398</v>
      </c>
      <c r="AL3113">
        <v>86.620022174561797</v>
      </c>
      <c r="AM3113">
        <v>93.242827358827597</v>
      </c>
      <c r="AN3113">
        <v>0.99999996286202897</v>
      </c>
    </row>
    <row r="3114" spans="1:40" x14ac:dyDescent="0.3">
      <c r="A3114" t="str">
        <f>"20200111153939596"</f>
        <v>20200111153939596</v>
      </c>
      <c r="B3114" t="str">
        <f>"1578728379584322"</f>
        <v>1578728379584322</v>
      </c>
      <c r="C3114" t="s">
        <v>40</v>
      </c>
      <c r="D3114">
        <v>5.2363549999999996</v>
      </c>
      <c r="E3114">
        <v>0.48228559999999998</v>
      </c>
      <c r="F3114" t="s">
        <v>42</v>
      </c>
      <c r="G3114">
        <v>-420.17090000000002</v>
      </c>
      <c r="H3114" s="1">
        <v>-3.9259930000000002E-6</v>
      </c>
      <c r="I3114">
        <v>58.634680000000003</v>
      </c>
      <c r="J3114">
        <v>-421.07569999999998</v>
      </c>
      <c r="K3114">
        <v>1.1044830000000001</v>
      </c>
      <c r="L3114">
        <v>75.471339999999998</v>
      </c>
      <c r="M3114">
        <v>-5.0916389999999999E-2</v>
      </c>
      <c r="N3114">
        <v>0</v>
      </c>
      <c r="O3114">
        <v>-0.99861840000000002</v>
      </c>
      <c r="P3114">
        <v>6.0816339999999998E-3</v>
      </c>
      <c r="Q3114">
        <v>4.6318289999999998E-2</v>
      </c>
      <c r="R3114">
        <v>-0.99890820000000002</v>
      </c>
      <c r="S3114">
        <v>0.15539549999999999</v>
      </c>
      <c r="T3114">
        <v>-0.19351170000000001</v>
      </c>
      <c r="U3114">
        <v>-3.0112610000000002</v>
      </c>
      <c r="V3114">
        <v>-5.6939780000000002E-2</v>
      </c>
      <c r="W3114">
        <v>5.9273119999999999E-2</v>
      </c>
      <c r="X3114">
        <v>0.99661650000000002</v>
      </c>
      <c r="Y3114">
        <v>-0.102217</v>
      </c>
      <c r="Z3114">
        <v>6.3795329999999997E-2</v>
      </c>
      <c r="AA3114">
        <v>0.9927144</v>
      </c>
      <c r="AB3114">
        <v>36</v>
      </c>
      <c r="AC3114">
        <v>0.90479999999996596</v>
      </c>
      <c r="AD3114">
        <v>-1.1044869259929999</v>
      </c>
      <c r="AE3114">
        <v>-16.836659999999899</v>
      </c>
      <c r="AF3114">
        <v>-1.7534365500201801</v>
      </c>
      <c r="AG3114">
        <v>-1.1044869259929999</v>
      </c>
      <c r="AH3114">
        <v>16.6970977944368</v>
      </c>
      <c r="AI3114">
        <v>93.763875658201698</v>
      </c>
      <c r="AJ3114">
        <v>95.994911872557694</v>
      </c>
      <c r="AK3114">
        <v>16.825204482015099</v>
      </c>
      <c r="AL3114">
        <v>86.601908459038199</v>
      </c>
      <c r="AM3114">
        <v>93.269930117293299</v>
      </c>
      <c r="AN3114">
        <v>0.99999994468661402</v>
      </c>
    </row>
    <row r="3115" spans="1:40" x14ac:dyDescent="0.3">
      <c r="A3115" t="str">
        <f>"20200111153939616"</f>
        <v>20200111153939616</v>
      </c>
      <c r="B3115" t="str">
        <f>"1578728379603842"</f>
        <v>1578728379603842</v>
      </c>
      <c r="C3115" t="s">
        <v>40</v>
      </c>
      <c r="D3115">
        <v>5.2174610000000001</v>
      </c>
      <c r="E3115">
        <v>0.48281819999999998</v>
      </c>
      <c r="F3115" t="s">
        <v>42</v>
      </c>
      <c r="G3115">
        <v>-420.19060000000002</v>
      </c>
      <c r="H3115" s="1">
        <v>-3.5783300000000001E-6</v>
      </c>
      <c r="I3115">
        <v>57.812040000000003</v>
      </c>
      <c r="J3115">
        <v>-421.09359999999998</v>
      </c>
      <c r="K3115">
        <v>1.104479</v>
      </c>
      <c r="L3115">
        <v>75.120359999999906</v>
      </c>
      <c r="M3115">
        <v>-5.090861E-2</v>
      </c>
      <c r="N3115">
        <v>0</v>
      </c>
      <c r="O3115">
        <v>-0.99861889999999998</v>
      </c>
      <c r="P3115">
        <v>7.3515079999999997E-3</v>
      </c>
      <c r="Q3115">
        <v>4.6099229999999998E-2</v>
      </c>
      <c r="R3115">
        <v>-0.99890950000000001</v>
      </c>
      <c r="S3115">
        <v>0.1509094</v>
      </c>
      <c r="T3115">
        <v>-0.1883253</v>
      </c>
      <c r="U3115">
        <v>-3.0110779999999999</v>
      </c>
      <c r="V3115">
        <v>-5.8198920000000001E-2</v>
      </c>
      <c r="W3115">
        <v>5.9042259999999999E-2</v>
      </c>
      <c r="X3115">
        <v>0.99655749999999999</v>
      </c>
      <c r="Y3115">
        <v>-0.1007424</v>
      </c>
      <c r="Z3115">
        <v>6.2103100000000001E-2</v>
      </c>
      <c r="AA3115">
        <v>0.99297239999999998</v>
      </c>
      <c r="AB3115">
        <v>36</v>
      </c>
      <c r="AC3115">
        <v>0.90299999999996305</v>
      </c>
      <c r="AD3115">
        <v>-1.1044825783299901</v>
      </c>
      <c r="AE3115">
        <v>-17.308319999999899</v>
      </c>
      <c r="AF3115">
        <v>-1.7758341317525299</v>
      </c>
      <c r="AG3115">
        <v>-1.1044825783299901</v>
      </c>
      <c r="AH3115">
        <v>17.170171268602299</v>
      </c>
      <c r="AI3115">
        <v>93.661042773046702</v>
      </c>
      <c r="AJ3115">
        <v>95.904851892764697</v>
      </c>
      <c r="AK3115">
        <v>17.2970589992191</v>
      </c>
      <c r="AL3115">
        <v>86.615159078499005</v>
      </c>
      <c r="AM3115">
        <v>93.3422751167288</v>
      </c>
      <c r="AN3115">
        <v>0.99999997678066099</v>
      </c>
    </row>
    <row r="3116" spans="1:40" x14ac:dyDescent="0.3">
      <c r="A3116" t="str">
        <f>"20200111153939639"</f>
        <v>20200111153939639</v>
      </c>
      <c r="B3116" t="str">
        <f>"1578728379634098"</f>
        <v>1578728379634098</v>
      </c>
      <c r="C3116" t="s">
        <v>40</v>
      </c>
      <c r="D3116">
        <v>5.2590629999999896</v>
      </c>
      <c r="E3116">
        <v>0.48329339999999998</v>
      </c>
      <c r="F3116" t="s">
        <v>42</v>
      </c>
      <c r="G3116">
        <v>-420.1995</v>
      </c>
      <c r="H3116" s="1">
        <v>-3.3470709999999999E-6</v>
      </c>
      <c r="I3116">
        <v>57.267490000000002</v>
      </c>
      <c r="J3116">
        <v>-421.11219999999997</v>
      </c>
      <c r="K3116">
        <v>1.104479</v>
      </c>
      <c r="L3116">
        <v>74.755069999999904</v>
      </c>
      <c r="M3116">
        <v>-5.0912310000000002E-2</v>
      </c>
      <c r="N3116">
        <v>0</v>
      </c>
      <c r="O3116">
        <v>-0.99861909999999998</v>
      </c>
      <c r="P3116">
        <v>8.4644479999999994E-3</v>
      </c>
      <c r="Q3116">
        <v>4.6053919999999998E-2</v>
      </c>
      <c r="R3116">
        <v>-0.99890350000000006</v>
      </c>
      <c r="S3116">
        <v>0.15078739999999999</v>
      </c>
      <c r="T3116">
        <v>-0.18626200000000001</v>
      </c>
      <c r="U3116">
        <v>-3.010742</v>
      </c>
      <c r="V3116">
        <v>-5.9313409999999997E-2</v>
      </c>
      <c r="W3116">
        <v>5.8987520000000002E-2</v>
      </c>
      <c r="X3116">
        <v>0.99649509999999997</v>
      </c>
      <c r="Y3116">
        <v>-0.1007135</v>
      </c>
      <c r="Z3116">
        <v>6.1432229999999997E-2</v>
      </c>
      <c r="AA3116">
        <v>0.99301709999999999</v>
      </c>
      <c r="AB3116">
        <v>36</v>
      </c>
      <c r="AC3116">
        <v>0.91269999999997198</v>
      </c>
      <c r="AD3116">
        <v>-1.1044823470709999</v>
      </c>
      <c r="AE3116">
        <v>-17.487579999999902</v>
      </c>
      <c r="AF3116">
        <v>-1.79478411332557</v>
      </c>
      <c r="AG3116">
        <v>-1.1044823470709999</v>
      </c>
      <c r="AH3116">
        <v>17.349407616660301</v>
      </c>
      <c r="AI3116">
        <v>93.623312354715196</v>
      </c>
      <c r="AJ3116">
        <v>95.906199301833993</v>
      </c>
      <c r="AK3116">
        <v>17.476929819549799</v>
      </c>
      <c r="AL3116">
        <v>86.618301160565593</v>
      </c>
      <c r="AM3116">
        <v>93.406342084878602</v>
      </c>
      <c r="AN3116">
        <v>1.00000004622279</v>
      </c>
    </row>
    <row r="3117" spans="1:40" x14ac:dyDescent="0.3">
      <c r="A3117" t="str">
        <f>"20200111153939661"</f>
        <v>20200111153939661</v>
      </c>
      <c r="B3117" t="str">
        <f>"1578728379654128"</f>
        <v>1578728379654128</v>
      </c>
      <c r="C3117" t="s">
        <v>40</v>
      </c>
      <c r="D3117">
        <v>5.2876139999999996</v>
      </c>
      <c r="E3117">
        <v>0.48352509999999999</v>
      </c>
      <c r="F3117" t="s">
        <v>42</v>
      </c>
      <c r="G3117">
        <v>-420.21210000000002</v>
      </c>
      <c r="H3117" s="1">
        <v>-3.1133720000000002E-6</v>
      </c>
      <c r="I3117">
        <v>56.714910000000003</v>
      </c>
      <c r="J3117">
        <v>-421.13099999999997</v>
      </c>
      <c r="K3117">
        <v>1.1044799999999999</v>
      </c>
      <c r="L3117">
        <v>74.384769999999904</v>
      </c>
      <c r="M3117">
        <v>-5.0914319999999999E-2</v>
      </c>
      <c r="N3117">
        <v>0</v>
      </c>
      <c r="O3117">
        <v>-0.99861889999999998</v>
      </c>
      <c r="P3117">
        <v>8.8940359999999993E-3</v>
      </c>
      <c r="Q3117">
        <v>4.5905170000000002E-2</v>
      </c>
      <c r="R3117">
        <v>-0.99890659999999998</v>
      </c>
      <c r="S3117">
        <v>0.15020749999999999</v>
      </c>
      <c r="T3117">
        <v>-0.18431520000000001</v>
      </c>
      <c r="U3117">
        <v>-3.010529</v>
      </c>
      <c r="V3117">
        <v>-5.9743940000000002E-2</v>
      </c>
      <c r="W3117">
        <v>5.8841379999999999E-2</v>
      </c>
      <c r="X3117">
        <v>0.99647799999999997</v>
      </c>
      <c r="Y3117">
        <v>-0.1005302</v>
      </c>
      <c r="Z3117">
        <v>6.0797700000000003E-2</v>
      </c>
      <c r="AA3117">
        <v>0.99307469999999998</v>
      </c>
      <c r="AB3117">
        <v>36</v>
      </c>
      <c r="AC3117">
        <v>0.91889999999995098</v>
      </c>
      <c r="AD3117">
        <v>-1.1044831133719999</v>
      </c>
      <c r="AE3117">
        <v>-17.6698599999999</v>
      </c>
      <c r="AF3117">
        <v>-1.81037829709669</v>
      </c>
      <c r="AG3117">
        <v>-1.1044831133719999</v>
      </c>
      <c r="AH3117">
        <v>17.531836195705701</v>
      </c>
      <c r="AI3117">
        <v>93.585779502832395</v>
      </c>
      <c r="AJ3117">
        <v>95.895599943233506</v>
      </c>
      <c r="AK3117">
        <v>17.659632864795899</v>
      </c>
      <c r="AL3117">
        <v>86.626688864433802</v>
      </c>
      <c r="AM3117">
        <v>93.431067109829698</v>
      </c>
      <c r="AN3117">
        <v>1.0000000254255099</v>
      </c>
    </row>
    <row r="3118" spans="1:40" x14ac:dyDescent="0.3">
      <c r="A3118" t="str">
        <f>"20200111153939685"</f>
        <v>20200111153939685</v>
      </c>
      <c r="B3118" t="str">
        <f>"1578728379673647"</f>
        <v>1578728379673647</v>
      </c>
      <c r="C3118" t="s">
        <v>40</v>
      </c>
      <c r="D3118">
        <v>5.2596249999999998</v>
      </c>
      <c r="E3118">
        <v>0.48371799999999998</v>
      </c>
      <c r="F3118" t="s">
        <v>42</v>
      </c>
      <c r="G3118">
        <v>-420.22590000000002</v>
      </c>
      <c r="H3118" s="1">
        <v>-2.8852910000000001E-6</v>
      </c>
      <c r="I3118">
        <v>56.1746699999999</v>
      </c>
      <c r="J3118">
        <v>-421.15030000000002</v>
      </c>
      <c r="K3118">
        <v>1.1044780000000001</v>
      </c>
      <c r="L3118">
        <v>74.007930000000002</v>
      </c>
      <c r="M3118">
        <v>-5.091524E-2</v>
      </c>
      <c r="N3118">
        <v>0</v>
      </c>
      <c r="O3118">
        <v>-0.99861869999999997</v>
      </c>
      <c r="P3118">
        <v>8.9127830000000005E-3</v>
      </c>
      <c r="Q3118">
        <v>4.5798909999999998E-2</v>
      </c>
      <c r="R3118">
        <v>-0.9989112</v>
      </c>
      <c r="S3118">
        <v>0.1496277</v>
      </c>
      <c r="T3118">
        <v>-0.1825842</v>
      </c>
      <c r="U3118">
        <v>-3.010345</v>
      </c>
      <c r="V3118">
        <v>-5.976331E-2</v>
      </c>
      <c r="W3118">
        <v>5.8739989999999999E-2</v>
      </c>
      <c r="X3118">
        <v>0.9964828</v>
      </c>
      <c r="Y3118">
        <v>-0.10034510000000001</v>
      </c>
      <c r="Z3118">
        <v>6.0233290000000002E-2</v>
      </c>
      <c r="AA3118">
        <v>0.99312780000000001</v>
      </c>
      <c r="AB3118">
        <v>36</v>
      </c>
      <c r="AC3118">
        <v>0.92439999999999101</v>
      </c>
      <c r="AD3118">
        <v>-1.104480885291</v>
      </c>
      <c r="AE3118">
        <v>-17.833259999999999</v>
      </c>
      <c r="AF3118">
        <v>-1.8242831570623901</v>
      </c>
      <c r="AG3118">
        <v>-1.104480885291</v>
      </c>
      <c r="AH3118">
        <v>17.695362143878199</v>
      </c>
      <c r="AI3118">
        <v>93.552781752354605</v>
      </c>
      <c r="AJ3118">
        <v>95.886048765448393</v>
      </c>
      <c r="AK3118">
        <v>17.8234039528399</v>
      </c>
      <c r="AL3118">
        <v>86.632508080520495</v>
      </c>
      <c r="AM3118">
        <v>93.432160368179595</v>
      </c>
      <c r="AN3118">
        <v>1.00000000517159</v>
      </c>
    </row>
    <row r="3119" spans="1:40" x14ac:dyDescent="0.3">
      <c r="A3119" t="str">
        <f>"20200111153939705"</f>
        <v>20200111153939705</v>
      </c>
      <c r="B3119" t="str">
        <f>"1578728379694143"</f>
        <v>1578728379694143</v>
      </c>
      <c r="C3119" t="s">
        <v>40</v>
      </c>
      <c r="D3119">
        <v>5.2873239999999999</v>
      </c>
      <c r="E3119">
        <v>0.48389729999999997</v>
      </c>
      <c r="F3119" t="s">
        <v>42</v>
      </c>
      <c r="G3119">
        <v>-420.25040000000001</v>
      </c>
      <c r="H3119" s="1">
        <v>-2.7056180000000001E-6</v>
      </c>
      <c r="I3119">
        <v>55.740639999999999</v>
      </c>
      <c r="J3119">
        <v>-421.1671</v>
      </c>
      <c r="K3119">
        <v>1.104474</v>
      </c>
      <c r="L3119">
        <v>73.677250000000001</v>
      </c>
      <c r="M3119">
        <v>-5.0916040000000003E-2</v>
      </c>
      <c r="N3119">
        <v>0</v>
      </c>
      <c r="O3119">
        <v>-0.99861840000000002</v>
      </c>
      <c r="P3119">
        <v>9.1661209999999993E-3</v>
      </c>
      <c r="Q3119">
        <v>4.4918949999999999E-2</v>
      </c>
      <c r="R3119">
        <v>-0.99894850000000002</v>
      </c>
      <c r="S3119">
        <v>0.1482849</v>
      </c>
      <c r="T3119">
        <v>-0.18200839999999999</v>
      </c>
      <c r="U3119">
        <v>-3.010284</v>
      </c>
      <c r="V3119">
        <v>-6.001869E-2</v>
      </c>
      <c r="W3119">
        <v>5.7864110000000003E-2</v>
      </c>
      <c r="X3119">
        <v>0.99651869999999998</v>
      </c>
      <c r="Y3119">
        <v>-9.9905499999999994E-2</v>
      </c>
      <c r="Z3119">
        <v>6.0047259999999998E-2</v>
      </c>
      <c r="AA3119">
        <v>0.99318340000000005</v>
      </c>
      <c r="AB3119">
        <v>36</v>
      </c>
      <c r="AC3119">
        <v>0.91669999999999097</v>
      </c>
      <c r="AD3119">
        <v>-1.104476705618</v>
      </c>
      <c r="AE3119">
        <v>-17.936610000000002</v>
      </c>
      <c r="AF3119">
        <v>-1.8219587464238101</v>
      </c>
      <c r="AG3119">
        <v>-1.104476705618</v>
      </c>
      <c r="AH3119">
        <v>17.7993487631677</v>
      </c>
      <c r="AI3119">
        <v>93.532327689319999</v>
      </c>
      <c r="AJ3119">
        <v>95.844496317721607</v>
      </c>
      <c r="AK3119">
        <v>17.926411209715202</v>
      </c>
      <c r="AL3119">
        <v>86.6827778310589</v>
      </c>
      <c r="AM3119">
        <v>93.446667486051297</v>
      </c>
      <c r="AN3119">
        <v>1.00000000891254</v>
      </c>
    </row>
    <row r="3120" spans="1:40" x14ac:dyDescent="0.3">
      <c r="A3120" t="str">
        <f>"20200111153939731"</f>
        <v>20200111153939731</v>
      </c>
      <c r="B3120" t="str">
        <f>"1578728379724399"</f>
        <v>1578728379724399</v>
      </c>
      <c r="C3120" t="s">
        <v>40</v>
      </c>
      <c r="D3120">
        <v>5.4643300000000004</v>
      </c>
      <c r="E3120">
        <v>0.484093</v>
      </c>
      <c r="F3120" t="s">
        <v>42</v>
      </c>
      <c r="G3120">
        <v>-420.27789999999999</v>
      </c>
      <c r="H3120" s="1">
        <v>-2.624505E-6</v>
      </c>
      <c r="I3120">
        <v>55.534529999999997</v>
      </c>
      <c r="J3120">
        <v>-421.18779999999998</v>
      </c>
      <c r="K3120">
        <v>1.1044719999999999</v>
      </c>
      <c r="L3120">
        <v>73.270449999999997</v>
      </c>
      <c r="M3120">
        <v>-5.0917900000000002E-2</v>
      </c>
      <c r="N3120">
        <v>0</v>
      </c>
      <c r="O3120">
        <v>-0.99861840000000002</v>
      </c>
      <c r="P3120">
        <v>9.5138480000000001E-3</v>
      </c>
      <c r="Q3120">
        <v>4.3667570000000003E-2</v>
      </c>
      <c r="R3120">
        <v>-0.99900069999999996</v>
      </c>
      <c r="S3120">
        <v>0.14752199999999999</v>
      </c>
      <c r="T3120">
        <v>-0.18324270000000001</v>
      </c>
      <c r="U3120">
        <v>-3.01004</v>
      </c>
      <c r="V3120">
        <v>-6.0370359999999998E-2</v>
      </c>
      <c r="W3120">
        <v>5.6618269999999998E-2</v>
      </c>
      <c r="X3120">
        <v>0.99656900000000004</v>
      </c>
      <c r="Y3120">
        <v>-9.9658949999999996E-2</v>
      </c>
      <c r="Z3120">
        <v>6.0458949999999997E-2</v>
      </c>
      <c r="AA3120">
        <v>0.99318320000000004</v>
      </c>
      <c r="AB3120">
        <v>36</v>
      </c>
      <c r="AC3120">
        <v>0.90989999999999305</v>
      </c>
      <c r="AD3120">
        <v>-1.1044746245049999</v>
      </c>
      <c r="AE3120">
        <v>-17.735919999999901</v>
      </c>
      <c r="AF3120">
        <v>-1.8048905520960901</v>
      </c>
      <c r="AG3120">
        <v>-1.1044746245049999</v>
      </c>
      <c r="AH3120">
        <v>17.598508454912899</v>
      </c>
      <c r="AI3120">
        <v>93.572457662250599</v>
      </c>
      <c r="AJ3120">
        <v>95.855740780221097</v>
      </c>
      <c r="AK3120">
        <v>17.725264284034299</v>
      </c>
      <c r="AL3120">
        <v>86.754276379238604</v>
      </c>
      <c r="AM3120">
        <v>93.466639020900402</v>
      </c>
      <c r="AN3120">
        <v>0.99999999031266096</v>
      </c>
    </row>
    <row r="3121" spans="1:40" x14ac:dyDescent="0.3">
      <c r="A3121" t="str">
        <f>"20200111153939753"</f>
        <v>20200111153939753</v>
      </c>
      <c r="B3121" t="str">
        <f>"1578728379743919"</f>
        <v>1578728379743919</v>
      </c>
      <c r="C3121" t="s">
        <v>40</v>
      </c>
      <c r="D3121">
        <v>5.3321170000000002</v>
      </c>
      <c r="E3121">
        <v>0.48438700000000001</v>
      </c>
      <c r="F3121" t="s">
        <v>42</v>
      </c>
      <c r="G3121">
        <v>-420.3116</v>
      </c>
      <c r="H3121" s="1">
        <v>-2.540737E-6</v>
      </c>
      <c r="I3121">
        <v>55.318390000000001</v>
      </c>
      <c r="J3121">
        <v>-421.20670000000001</v>
      </c>
      <c r="K3121">
        <v>1.1044700000000001</v>
      </c>
      <c r="L3121">
        <v>72.900970000000001</v>
      </c>
      <c r="M3121">
        <v>-5.0919859999999997E-2</v>
      </c>
      <c r="N3121">
        <v>0</v>
      </c>
      <c r="O3121">
        <v>-0.99861840000000002</v>
      </c>
      <c r="P3121">
        <v>1.03693E-2</v>
      </c>
      <c r="Q3121">
        <v>4.3069400000000001E-2</v>
      </c>
      <c r="R3121">
        <v>-0.99901870000000004</v>
      </c>
      <c r="S3121">
        <v>0.1469116</v>
      </c>
      <c r="T3121">
        <v>-0.18516779999999999</v>
      </c>
      <c r="U3121">
        <v>-3.0097049999999999</v>
      </c>
      <c r="V3121">
        <v>-6.1227749999999997E-2</v>
      </c>
      <c r="W3121">
        <v>5.6025070000000003E-2</v>
      </c>
      <c r="X3121">
        <v>0.99655020000000005</v>
      </c>
      <c r="Y3121">
        <v>-9.9463480000000007E-2</v>
      </c>
      <c r="Z3121">
        <v>6.1099420000000002E-2</v>
      </c>
      <c r="AA3121">
        <v>0.99316360000000004</v>
      </c>
      <c r="AB3121">
        <v>36</v>
      </c>
      <c r="AC3121">
        <v>0.895100000000013</v>
      </c>
      <c r="AD3121">
        <v>-1.104472540737</v>
      </c>
      <c r="AE3121">
        <v>-17.58258</v>
      </c>
      <c r="AF3121">
        <v>-1.7823019787390799</v>
      </c>
      <c r="AG3121">
        <v>-1.104472540737</v>
      </c>
      <c r="AH3121">
        <v>17.445524689231</v>
      </c>
      <c r="AI3121">
        <v>93.603840355053805</v>
      </c>
      <c r="AJ3121">
        <v>95.833318646178896</v>
      </c>
      <c r="AK3121">
        <v>17.571078271387599</v>
      </c>
      <c r="AL3121">
        <v>86.788318217910103</v>
      </c>
      <c r="AM3121">
        <v>93.515816339613906</v>
      </c>
      <c r="AN3121">
        <v>0.99999997347930303</v>
      </c>
    </row>
    <row r="3122" spans="1:40" x14ac:dyDescent="0.3">
      <c r="A3122" t="str">
        <f>"20200111153939777"</f>
        <v>20200111153939777</v>
      </c>
      <c r="B3122" t="str">
        <f>"1578728379773707"</f>
        <v>1578728379773707</v>
      </c>
      <c r="C3122" t="s">
        <v>40</v>
      </c>
      <c r="D3122">
        <v>5.2830199999999996</v>
      </c>
      <c r="E3122">
        <v>0.48473749999999999</v>
      </c>
      <c r="F3122" t="s">
        <v>42</v>
      </c>
      <c r="G3122">
        <v>-420.327</v>
      </c>
      <c r="H3122" s="1">
        <v>-2.365013E-6</v>
      </c>
      <c r="I3122">
        <v>54.8992199999999</v>
      </c>
      <c r="J3122">
        <v>-421.22590000000002</v>
      </c>
      <c r="K3122">
        <v>1.104473</v>
      </c>
      <c r="L3122">
        <v>72.522739999999999</v>
      </c>
      <c r="M3122">
        <v>-5.0921010000000003E-2</v>
      </c>
      <c r="N3122">
        <v>0</v>
      </c>
      <c r="O3122">
        <v>-0.99861789999999995</v>
      </c>
      <c r="P3122">
        <v>1.0895449999999999E-2</v>
      </c>
      <c r="Q3122">
        <v>4.3729959999999998E-2</v>
      </c>
      <c r="R3122">
        <v>-0.99898399999999998</v>
      </c>
      <c r="S3122">
        <v>0.14706420000000001</v>
      </c>
      <c r="T3122">
        <v>-0.18463760000000001</v>
      </c>
      <c r="U3122">
        <v>-3.0093990000000002</v>
      </c>
      <c r="V3122">
        <v>-6.1752399999999999E-2</v>
      </c>
      <c r="W3122">
        <v>5.6694910000000001E-2</v>
      </c>
      <c r="X3122">
        <v>0.99648000000000003</v>
      </c>
      <c r="Y3122">
        <v>-9.9520300000000006E-2</v>
      </c>
      <c r="Z3122">
        <v>6.0931029999999997E-2</v>
      </c>
      <c r="AA3122">
        <v>0.99316819999999895</v>
      </c>
      <c r="AB3122">
        <v>36</v>
      </c>
      <c r="AC3122">
        <v>0.89890000000002501</v>
      </c>
      <c r="AD3122">
        <v>-1.1044753650129999</v>
      </c>
      <c r="AE3122">
        <v>-17.623519999999999</v>
      </c>
      <c r="AF3122">
        <v>-1.7882119277314801</v>
      </c>
      <c r="AG3122">
        <v>-1.1044753650129999</v>
      </c>
      <c r="AH3122">
        <v>17.486374880021501</v>
      </c>
      <c r="AI3122">
        <v>93.595416624155803</v>
      </c>
      <c r="AJ3122">
        <v>95.838949741667903</v>
      </c>
      <c r="AK3122">
        <v>17.612236489868302</v>
      </c>
      <c r="AL3122">
        <v>86.749878298499596</v>
      </c>
      <c r="AM3122">
        <v>93.546115384631904</v>
      </c>
      <c r="AN3122">
        <v>1.0000000310628301</v>
      </c>
    </row>
    <row r="3123" spans="1:40" x14ac:dyDescent="0.3">
      <c r="A3123" t="str">
        <f>"20200111153939800"</f>
        <v>20200111153939800</v>
      </c>
      <c r="B3123" t="str">
        <f>"1578728379794203"</f>
        <v>1578728379794203</v>
      </c>
      <c r="C3123" t="s">
        <v>40</v>
      </c>
      <c r="D3123">
        <v>5.330711</v>
      </c>
      <c r="E3123">
        <v>0.48473119999999997</v>
      </c>
      <c r="F3123" t="s">
        <v>42</v>
      </c>
      <c r="G3123">
        <v>-420.339</v>
      </c>
      <c r="H3123" s="1">
        <v>-2.0528949999999999E-6</v>
      </c>
      <c r="I3123">
        <v>54.164189999999998</v>
      </c>
      <c r="J3123">
        <v>-421.2448</v>
      </c>
      <c r="K3123">
        <v>1.1044780000000001</v>
      </c>
      <c r="L3123">
        <v>72.15213</v>
      </c>
      <c r="M3123">
        <v>-5.0922050000000003E-2</v>
      </c>
      <c r="N3123">
        <v>0</v>
      </c>
      <c r="O3123">
        <v>-0.99861820000000001</v>
      </c>
      <c r="P3123">
        <v>1.1921380000000001E-2</v>
      </c>
      <c r="Q3123">
        <v>4.416142E-2</v>
      </c>
      <c r="R3123">
        <v>-0.9989536</v>
      </c>
      <c r="S3123">
        <v>0.14538570000000001</v>
      </c>
      <c r="T3123">
        <v>-0.1810496</v>
      </c>
      <c r="U3123">
        <v>-3.0093990000000002</v>
      </c>
      <c r="V3123">
        <v>-6.2776650000000003E-2</v>
      </c>
      <c r="W3123">
        <v>5.7136699999999999E-2</v>
      </c>
      <c r="X3123">
        <v>0.99639080000000002</v>
      </c>
      <c r="Y3123">
        <v>-9.8972110000000002E-2</v>
      </c>
      <c r="Z3123">
        <v>5.975374E-2</v>
      </c>
      <c r="AA3123">
        <v>0.99329449999999997</v>
      </c>
      <c r="AB3123">
        <v>36</v>
      </c>
      <c r="AC3123">
        <v>0.90579999999999905</v>
      </c>
      <c r="AD3123">
        <v>-1.1044800528950001</v>
      </c>
      <c r="AE3123">
        <v>-17.987939999999899</v>
      </c>
      <c r="AF3123">
        <v>-1.81386351743383</v>
      </c>
      <c r="AG3123">
        <v>-1.1044800528950001</v>
      </c>
      <c r="AH3123">
        <v>17.8513388695647</v>
      </c>
      <c r="AI3123">
        <v>93.522343277062802</v>
      </c>
      <c r="AJ3123">
        <v>95.801876355115795</v>
      </c>
      <c r="AK3123">
        <v>17.9772154819136</v>
      </c>
      <c r="AL3123">
        <v>86.724524619771401</v>
      </c>
      <c r="AM3123">
        <v>93.6051007030199</v>
      </c>
      <c r="AN3123">
        <v>1.0000000682983701</v>
      </c>
    </row>
    <row r="3124" spans="1:40" x14ac:dyDescent="0.3">
      <c r="A3124" t="str">
        <f>"20200111153939840"</f>
        <v>20200111153939840</v>
      </c>
      <c r="B3124" t="str">
        <f>"1578728379834218"</f>
        <v>1578728379834218</v>
      </c>
      <c r="C3124" t="s">
        <v>40</v>
      </c>
      <c r="D3124">
        <v>5.3679379999999997</v>
      </c>
      <c r="E3124">
        <v>0.4051882</v>
      </c>
      <c r="F3124" t="s">
        <v>42</v>
      </c>
      <c r="G3124">
        <v>-420.3399</v>
      </c>
      <c r="H3124" s="1">
        <v>-1.8667109999999999E-6</v>
      </c>
      <c r="I3124">
        <v>53.729660000000003</v>
      </c>
      <c r="J3124">
        <v>-421.27780000000001</v>
      </c>
      <c r="K3124">
        <v>1.1044700000000001</v>
      </c>
      <c r="L3124">
        <v>71.504359999999906</v>
      </c>
      <c r="M3124">
        <v>-5.0926350000000002E-2</v>
      </c>
      <c r="N3124">
        <v>0</v>
      </c>
      <c r="O3124">
        <v>-0.99861770000000005</v>
      </c>
      <c r="P3124">
        <v>1.5823429999999999E-2</v>
      </c>
      <c r="Q3124">
        <v>4.4569289999999998E-2</v>
      </c>
      <c r="R3124">
        <v>-0.99888129999999997</v>
      </c>
      <c r="S3124">
        <v>0.14782709999999999</v>
      </c>
      <c r="T3124">
        <v>-0.18042040000000001</v>
      </c>
      <c r="U3124">
        <v>-3.009369</v>
      </c>
      <c r="V3124">
        <v>-6.6674280000000002E-2</v>
      </c>
      <c r="W3124">
        <v>5.7558480000000002E-2</v>
      </c>
      <c r="X3124">
        <v>0.99611320000000003</v>
      </c>
      <c r="Y3124">
        <v>-9.9781410000000001E-2</v>
      </c>
      <c r="Z3124">
        <v>5.9543800000000001E-2</v>
      </c>
      <c r="AA3124">
        <v>0.99322619999999895</v>
      </c>
      <c r="AB3124">
        <v>36</v>
      </c>
      <c r="AC3124">
        <v>0.93790000000001295</v>
      </c>
      <c r="AD3124">
        <v>-1.1044718667110001</v>
      </c>
      <c r="AE3124">
        <v>-17.7746999999999</v>
      </c>
      <c r="AF3124">
        <v>-1.8348950270467801</v>
      </c>
      <c r="AG3124">
        <v>-1.1044718667110001</v>
      </c>
      <c r="AH3124">
        <v>17.6359598288842</v>
      </c>
      <c r="AI3124">
        <v>93.564342852322596</v>
      </c>
      <c r="AJ3124">
        <v>95.939843348177206</v>
      </c>
      <c r="AK3124">
        <v>17.765522141233401</v>
      </c>
      <c r="AL3124">
        <v>86.700318255093805</v>
      </c>
      <c r="AM3124">
        <v>93.829349002876</v>
      </c>
      <c r="AN3124">
        <v>0.99999997272383401</v>
      </c>
    </row>
    <row r="3125" spans="1:40" x14ac:dyDescent="0.3">
      <c r="A3125" t="str">
        <f>"20200111153939862"</f>
        <v>20200111153939862</v>
      </c>
      <c r="B3125" t="str">
        <f>"1578728379854246"</f>
        <v>1578728379854246</v>
      </c>
      <c r="C3125" t="s">
        <v>40</v>
      </c>
      <c r="D3125">
        <v>5.2964739999999999</v>
      </c>
      <c r="E3125">
        <v>0.3986343</v>
      </c>
      <c r="F3125" t="s">
        <v>42</v>
      </c>
      <c r="G3125">
        <v>-415.99239999999998</v>
      </c>
      <c r="H3125" s="1">
        <v>-1.7141839999999901E-6</v>
      </c>
      <c r="I3125">
        <v>51.551810000000003</v>
      </c>
      <c r="J3125">
        <v>-421.29629999999997</v>
      </c>
      <c r="K3125">
        <v>1.104465</v>
      </c>
      <c r="L3125">
        <v>71.142700000000005</v>
      </c>
      <c r="M3125">
        <v>-5.093487E-2</v>
      </c>
      <c r="N3125">
        <v>0</v>
      </c>
      <c r="O3125">
        <v>-0.99861699999999998</v>
      </c>
      <c r="P3125">
        <v>1.8064549999999999E-2</v>
      </c>
      <c r="Q3125">
        <v>4.430572E-2</v>
      </c>
      <c r="R3125">
        <v>-0.99885500000000005</v>
      </c>
      <c r="S3125">
        <v>0.79422000000000004</v>
      </c>
      <c r="T3125">
        <v>-0.16596340000000001</v>
      </c>
      <c r="U3125">
        <v>-2.9981689999999999</v>
      </c>
      <c r="V3125">
        <v>-6.8918950000000007E-2</v>
      </c>
      <c r="W3125">
        <v>5.7302359999999997E-2</v>
      </c>
      <c r="X3125">
        <v>0.99597519999999995</v>
      </c>
      <c r="Y3125">
        <v>-0.30461660000000002</v>
      </c>
      <c r="Z3125">
        <v>5.293863E-2</v>
      </c>
      <c r="AA3125">
        <v>0.95100280000000004</v>
      </c>
      <c r="AB3125">
        <v>36</v>
      </c>
      <c r="AC3125">
        <v>5.3038999999999898</v>
      </c>
      <c r="AD3125">
        <v>-1.1044667141840001</v>
      </c>
      <c r="AE3125">
        <v>-19.590890000000002</v>
      </c>
      <c r="AF3125">
        <v>-6.27637237225031</v>
      </c>
      <c r="AG3125">
        <v>-1.1044667141840001</v>
      </c>
      <c r="AH3125">
        <v>19.238310134725999</v>
      </c>
      <c r="AI3125">
        <v>93.124026861159507</v>
      </c>
      <c r="AJ3125">
        <v>108.068575388206</v>
      </c>
      <c r="AK3125">
        <v>20.2663581759967</v>
      </c>
      <c r="AL3125">
        <v>86.715017169577294</v>
      </c>
      <c r="AM3125">
        <v>93.958412218651304</v>
      </c>
      <c r="AN3125">
        <v>0.99999999057285605</v>
      </c>
    </row>
    <row r="3126" spans="1:40" x14ac:dyDescent="0.3">
      <c r="A3126" t="str">
        <f>"20200111153939884"</f>
        <v>20200111153939884</v>
      </c>
      <c r="B3126" t="str">
        <f>"1578728379873765"</f>
        <v>1578728379873765</v>
      </c>
      <c r="C3126" t="s">
        <v>40</v>
      </c>
      <c r="D3126">
        <v>5.1231809999999998</v>
      </c>
      <c r="E3126">
        <v>0.39590500000000001</v>
      </c>
      <c r="F3126" t="s">
        <v>42</v>
      </c>
      <c r="G3126">
        <v>-415.92399999999998</v>
      </c>
      <c r="H3126" s="1">
        <v>-1.9757349999999999E-6</v>
      </c>
      <c r="I3126">
        <v>52.266979999999997</v>
      </c>
      <c r="J3126">
        <v>-421.31450000000001</v>
      </c>
      <c r="K3126">
        <v>1.1044579999999999</v>
      </c>
      <c r="L3126">
        <v>70.784549999999996</v>
      </c>
      <c r="M3126">
        <v>-5.0949910000000001E-2</v>
      </c>
      <c r="N3126">
        <v>0</v>
      </c>
      <c r="O3126">
        <v>-0.99861630000000001</v>
      </c>
      <c r="P3126">
        <v>2.0073580000000001E-2</v>
      </c>
      <c r="Q3126">
        <v>4.3881089999999998E-2</v>
      </c>
      <c r="R3126">
        <v>-0.99883549999999999</v>
      </c>
      <c r="S3126">
        <v>0.85263060000000002</v>
      </c>
      <c r="T3126">
        <v>-0.17529129999999901</v>
      </c>
      <c r="U3126">
        <v>-2.9957889999999998</v>
      </c>
      <c r="V3126">
        <v>-7.0938920000000003E-2</v>
      </c>
      <c r="W3126">
        <v>5.6884869999999997E-2</v>
      </c>
      <c r="X3126">
        <v>0.99585729999999995</v>
      </c>
      <c r="Y3126">
        <v>-0.32196449999999999</v>
      </c>
      <c r="Z3126">
        <v>5.5641959999999997E-2</v>
      </c>
      <c r="AA3126">
        <v>0.94511529999999999</v>
      </c>
      <c r="AB3126">
        <v>36</v>
      </c>
      <c r="AC3126">
        <v>5.3904999999999701</v>
      </c>
      <c r="AD3126">
        <v>-1.104459975735</v>
      </c>
      <c r="AE3126">
        <v>-18.517569999999999</v>
      </c>
      <c r="AF3126">
        <v>-6.30636456738885</v>
      </c>
      <c r="AG3126">
        <v>-1.104459975735</v>
      </c>
      <c r="AH3126">
        <v>18.159293494917801</v>
      </c>
      <c r="AI3126">
        <v>93.288292710240498</v>
      </c>
      <c r="AJ3126">
        <v>109.151106076812</v>
      </c>
      <c r="AK3126">
        <v>19.254869673134099</v>
      </c>
      <c r="AL3126">
        <v>86.738976666385994</v>
      </c>
      <c r="AM3126">
        <v>94.074526301895006</v>
      </c>
      <c r="AN3126">
        <v>0.99999999038448595</v>
      </c>
    </row>
    <row r="3127" spans="1:40" x14ac:dyDescent="0.3">
      <c r="A3127" t="str">
        <f>"20200111153939905"</f>
        <v>20200111153939905</v>
      </c>
      <c r="B3127" t="str">
        <f>"1578728379904021"</f>
        <v>1578728379904021</v>
      </c>
      <c r="C3127" t="s">
        <v>40</v>
      </c>
      <c r="D3127">
        <v>5.1365559999999997</v>
      </c>
      <c r="E3127">
        <v>0.39397569999999998</v>
      </c>
      <c r="F3127" t="s">
        <v>42</v>
      </c>
      <c r="G3127">
        <v>-415.97190000000001</v>
      </c>
      <c r="H3127" s="1">
        <v>-2.076953E-6</v>
      </c>
      <c r="I3127">
        <v>52.60181</v>
      </c>
      <c r="J3127">
        <v>-421.33260000000001</v>
      </c>
      <c r="K3127">
        <v>1.1044620000000001</v>
      </c>
      <c r="L3127">
        <v>70.429719999999904</v>
      </c>
      <c r="M3127">
        <v>-5.0974650000000003E-2</v>
      </c>
      <c r="N3127">
        <v>0</v>
      </c>
      <c r="O3127">
        <v>-0.99861480000000002</v>
      </c>
      <c r="P3127">
        <v>2.2820940000000001E-2</v>
      </c>
      <c r="Q3127">
        <v>4.3145580000000003E-2</v>
      </c>
      <c r="R3127">
        <v>-0.99880849999999999</v>
      </c>
      <c r="S3127">
        <v>0.87966919999999904</v>
      </c>
      <c r="T3127">
        <v>-0.1818504</v>
      </c>
      <c r="U3127">
        <v>-2.993805</v>
      </c>
      <c r="V3127">
        <v>-7.3704889999999995E-2</v>
      </c>
      <c r="W3127">
        <v>5.6158850000000003E-2</v>
      </c>
      <c r="X3127">
        <v>0.99569759999999996</v>
      </c>
      <c r="Y3127">
        <v>-0.3299859</v>
      </c>
      <c r="Z3127">
        <v>5.7600400000000003E-2</v>
      </c>
      <c r="AA3127">
        <v>0.94222689999999998</v>
      </c>
      <c r="AB3127">
        <v>36</v>
      </c>
      <c r="AC3127">
        <v>5.3606999999999996</v>
      </c>
      <c r="AD3127">
        <v>-1.1044640769530001</v>
      </c>
      <c r="AE3127">
        <v>-17.8279099999999</v>
      </c>
      <c r="AF3127">
        <v>-6.2406130556241397</v>
      </c>
      <c r="AG3127">
        <v>-1.1044640769530001</v>
      </c>
      <c r="AH3127">
        <v>17.469956117063202</v>
      </c>
      <c r="AI3127">
        <v>93.407151108854904</v>
      </c>
      <c r="AJ3127">
        <v>109.657730348404</v>
      </c>
      <c r="AK3127">
        <v>18.5839839361591</v>
      </c>
      <c r="AL3127">
        <v>86.780641086901596</v>
      </c>
      <c r="AM3127">
        <v>94.233505406145099</v>
      </c>
      <c r="AN3127">
        <v>0.99999996894449605</v>
      </c>
    </row>
    <row r="3128" spans="1:40" x14ac:dyDescent="0.3">
      <c r="A3128" t="str">
        <f>"20200111153939929"</f>
        <v>20200111153939929</v>
      </c>
      <c r="B3128" t="str">
        <f>"1578728379924518"</f>
        <v>1578728379924518</v>
      </c>
      <c r="C3128" t="s">
        <v>40</v>
      </c>
      <c r="D3128">
        <v>5.1310039999999999</v>
      </c>
      <c r="E3128">
        <v>0.39345259999999999</v>
      </c>
      <c r="F3128" t="s">
        <v>42</v>
      </c>
      <c r="G3128">
        <v>-416.25659999999999</v>
      </c>
      <c r="H3128" s="1">
        <v>-2.36892E-6</v>
      </c>
      <c r="I3128">
        <v>53.606949999999998</v>
      </c>
      <c r="J3128">
        <v>-421.35169999999999</v>
      </c>
      <c r="K3128">
        <v>1.104457</v>
      </c>
      <c r="L3128">
        <v>70.056550000000001</v>
      </c>
      <c r="M3128">
        <v>-5.101203E-2</v>
      </c>
      <c r="N3128">
        <v>0</v>
      </c>
      <c r="O3128">
        <v>-0.99861239999999996</v>
      </c>
      <c r="P3128">
        <v>2.602875E-2</v>
      </c>
      <c r="Q3128">
        <v>4.2991170000000002E-2</v>
      </c>
      <c r="R3128">
        <v>-0.99873639999999997</v>
      </c>
      <c r="S3128">
        <v>0.90261840000000004</v>
      </c>
      <c r="T3128">
        <v>-0.19639590000000001</v>
      </c>
      <c r="U3128">
        <v>-2.991425</v>
      </c>
      <c r="V3128">
        <v>-7.6941250000000003E-2</v>
      </c>
      <c r="W3128">
        <v>5.6016499999999997E-2</v>
      </c>
      <c r="X3128">
        <v>0.99546080000000003</v>
      </c>
      <c r="Y3128">
        <v>-0.33677600000000002</v>
      </c>
      <c r="Z3128">
        <v>6.2093049999999997E-2</v>
      </c>
      <c r="AA3128">
        <v>0.93953520000000001</v>
      </c>
      <c r="AB3128">
        <v>36</v>
      </c>
      <c r="AC3128">
        <v>5.0951000000000004</v>
      </c>
      <c r="AD3128">
        <v>-1.10445936892</v>
      </c>
      <c r="AE3128">
        <v>-16.4496</v>
      </c>
      <c r="AF3128">
        <v>-5.9033814512152203</v>
      </c>
      <c r="AG3128">
        <v>-1.10445936892</v>
      </c>
      <c r="AH3128">
        <v>16.102011721662599</v>
      </c>
      <c r="AI3128">
        <v>93.684744008576502</v>
      </c>
      <c r="AJ3128">
        <v>110.13414066998899</v>
      </c>
      <c r="AK3128">
        <v>17.1855906078525</v>
      </c>
      <c r="AL3128">
        <v>86.788810114081798</v>
      </c>
      <c r="AM3128">
        <v>94.419723526342395</v>
      </c>
      <c r="AN3128">
        <v>1.00000000428022</v>
      </c>
    </row>
    <row r="3129" spans="1:40" x14ac:dyDescent="0.3">
      <c r="A3129" t="str">
        <f>"20200111153939951"</f>
        <v>20200111153939951</v>
      </c>
      <c r="B3129" t="str">
        <f>"1578728379944038"</f>
        <v>1578728379944038</v>
      </c>
      <c r="C3129" t="s">
        <v>40</v>
      </c>
      <c r="D3129">
        <v>5.1196549999999998</v>
      </c>
      <c r="E3129">
        <v>0.39318779999999998</v>
      </c>
      <c r="F3129" t="s">
        <v>42</v>
      </c>
      <c r="G3129">
        <v>-416.37040000000002</v>
      </c>
      <c r="H3129" s="1">
        <v>-2.431916E-6</v>
      </c>
      <c r="I3129">
        <v>53.800829999999998</v>
      </c>
      <c r="J3129">
        <v>-421.37</v>
      </c>
      <c r="K3129">
        <v>1.1044579999999999</v>
      </c>
      <c r="L3129">
        <v>69.698639999999997</v>
      </c>
      <c r="M3129">
        <v>-5.1056209999999998E-2</v>
      </c>
      <c r="N3129">
        <v>0</v>
      </c>
      <c r="O3129">
        <v>-0.99861029999999995</v>
      </c>
      <c r="P3129">
        <v>2.9566309999999998E-2</v>
      </c>
      <c r="Q3129">
        <v>4.2310029999999998E-2</v>
      </c>
      <c r="R3129">
        <v>-0.99866710000000003</v>
      </c>
      <c r="S3129">
        <v>0.91583250000000005</v>
      </c>
      <c r="T3129">
        <v>-0.2030592</v>
      </c>
      <c r="U3129">
        <v>-2.9886780000000002</v>
      </c>
      <c r="V3129">
        <v>-8.0513310000000005E-2</v>
      </c>
      <c r="W3129">
        <v>5.5345199999999997E-2</v>
      </c>
      <c r="X3129">
        <v>0.99521579999999998</v>
      </c>
      <c r="Y3129">
        <v>-0.34081669999999997</v>
      </c>
      <c r="Z3129">
        <v>6.4158129999999994E-2</v>
      </c>
      <c r="AA3129">
        <v>0.93793800000000005</v>
      </c>
      <c r="AB3129">
        <v>36</v>
      </c>
      <c r="AC3129">
        <v>4.9995999999999796</v>
      </c>
      <c r="AD3129">
        <v>-1.1044604319160001</v>
      </c>
      <c r="AE3129">
        <v>-15.8978099999999</v>
      </c>
      <c r="AF3129">
        <v>-5.7794459053258196</v>
      </c>
      <c r="AG3129">
        <v>-1.1044604319160001</v>
      </c>
      <c r="AH3129">
        <v>15.553478112469</v>
      </c>
      <c r="AI3129">
        <v>93.808197870646197</v>
      </c>
      <c r="AJ3129">
        <v>110.38433274563199</v>
      </c>
      <c r="AK3129">
        <v>16.629266646888201</v>
      </c>
      <c r="AL3129">
        <v>86.8273324776669</v>
      </c>
      <c r="AM3129">
        <v>94.625175978117198</v>
      </c>
      <c r="AN3129">
        <v>0.99999998640991705</v>
      </c>
    </row>
    <row r="3130" spans="1:40" x14ac:dyDescent="0.3">
      <c r="A3130" t="str">
        <f>"20200111153939974"</f>
        <v>20200111153939974</v>
      </c>
      <c r="B3130" t="str">
        <f>"1578728379964534"</f>
        <v>1578728379964534</v>
      </c>
      <c r="C3130" t="s">
        <v>40</v>
      </c>
      <c r="D3130">
        <v>5.1189669999999996</v>
      </c>
      <c r="E3130">
        <v>0.3928547</v>
      </c>
      <c r="F3130" t="s">
        <v>42</v>
      </c>
      <c r="G3130">
        <v>-416.51749999999998</v>
      </c>
      <c r="H3130" s="1">
        <v>-2.5290919999999998E-6</v>
      </c>
      <c r="I3130">
        <v>54.088180000000001</v>
      </c>
      <c r="J3130">
        <v>-421.38889999999998</v>
      </c>
      <c r="K3130">
        <v>1.1044480000000001</v>
      </c>
      <c r="L3130">
        <v>69.329830000000001</v>
      </c>
      <c r="M3130">
        <v>-5.1109010000000003E-2</v>
      </c>
      <c r="N3130">
        <v>0</v>
      </c>
      <c r="O3130">
        <v>-0.99860740000000003</v>
      </c>
      <c r="P3130">
        <v>3.3674620000000002E-2</v>
      </c>
      <c r="Q3130">
        <v>4.2301720000000001E-2</v>
      </c>
      <c r="R3130">
        <v>-0.99853769999999997</v>
      </c>
      <c r="S3130">
        <v>0.92803959999999996</v>
      </c>
      <c r="T3130">
        <v>-0.2112261</v>
      </c>
      <c r="U3130">
        <v>-2.985474</v>
      </c>
      <c r="V3130">
        <v>-8.4661159999999999E-2</v>
      </c>
      <c r="W3130">
        <v>5.5345680000000001E-2</v>
      </c>
      <c r="X3130">
        <v>0.99487150000000002</v>
      </c>
      <c r="Y3130">
        <v>-0.34459669999999998</v>
      </c>
      <c r="Z3130">
        <v>6.6707600000000006E-2</v>
      </c>
      <c r="AA3130">
        <v>0.93637769999999998</v>
      </c>
      <c r="AB3130">
        <v>36</v>
      </c>
      <c r="AC3130">
        <v>4.8713999999999897</v>
      </c>
      <c r="AD3130">
        <v>-1.1044505290919999</v>
      </c>
      <c r="AE3130">
        <v>-15.24165</v>
      </c>
      <c r="AF3130">
        <v>-5.6173227982593499</v>
      </c>
      <c r="AG3130">
        <v>-1.1044505290919999</v>
      </c>
      <c r="AH3130">
        <v>14.901738804438899</v>
      </c>
      <c r="AI3130">
        <v>93.967214069614599</v>
      </c>
      <c r="AJ3130">
        <v>110.654312855272</v>
      </c>
      <c r="AK3130">
        <v>15.9635818595569</v>
      </c>
      <c r="AL3130">
        <v>86.827304909654302</v>
      </c>
      <c r="AM3130">
        <v>94.864013858860901</v>
      </c>
      <c r="AN3130">
        <v>0.99999997890972803</v>
      </c>
    </row>
    <row r="3131" spans="1:40" x14ac:dyDescent="0.3">
      <c r="A3131" t="str">
        <f>"20200111153939995"</f>
        <v>20200111153939995</v>
      </c>
      <c r="B3131" t="str">
        <f>"1578728379984054"</f>
        <v>1578728379984054</v>
      </c>
      <c r="C3131" t="s">
        <v>40</v>
      </c>
      <c r="D3131">
        <v>5.1349479999999996</v>
      </c>
      <c r="E3131">
        <v>0.39265339999999999</v>
      </c>
      <c r="F3131" t="s">
        <v>42</v>
      </c>
      <c r="G3131">
        <v>-416.53870000000001</v>
      </c>
      <c r="H3131" s="1">
        <v>-2.4837119999999999E-6</v>
      </c>
      <c r="I3131">
        <v>53.99118</v>
      </c>
      <c r="J3131">
        <v>-421.40660000000003</v>
      </c>
      <c r="K3131">
        <v>1.1044350000000001</v>
      </c>
      <c r="L3131">
        <v>68.985569999999996</v>
      </c>
      <c r="M3131">
        <v>-5.1162220000000001E-2</v>
      </c>
      <c r="N3131">
        <v>0</v>
      </c>
      <c r="O3131">
        <v>-0.99860450000000001</v>
      </c>
      <c r="P3131">
        <v>3.7710220000000003E-2</v>
      </c>
      <c r="Q3131">
        <v>4.1152090000000002E-2</v>
      </c>
      <c r="R3131">
        <v>-0.99844120000000003</v>
      </c>
      <c r="S3131">
        <v>0.94284060000000003</v>
      </c>
      <c r="T3131">
        <v>-0.2146969</v>
      </c>
      <c r="U3131">
        <v>-2.9817200000000001</v>
      </c>
      <c r="V3131">
        <v>-8.8739600000000002E-2</v>
      </c>
      <c r="W3131">
        <v>5.420299E-2</v>
      </c>
      <c r="X3131">
        <v>0.99457899999999999</v>
      </c>
      <c r="Y3131">
        <v>-0.34918630000000001</v>
      </c>
      <c r="Z3131">
        <v>6.7770620000000004E-2</v>
      </c>
      <c r="AA3131">
        <v>0.93459939999999997</v>
      </c>
      <c r="AB3131">
        <v>36</v>
      </c>
      <c r="AC3131">
        <v>4.8679000000000201</v>
      </c>
      <c r="AD3131">
        <v>-1.1044374837119999</v>
      </c>
      <c r="AE3131">
        <v>-14.9943899999999</v>
      </c>
      <c r="AF3131">
        <v>-5.6012447128538199</v>
      </c>
      <c r="AG3131">
        <v>-1.1044374837119999</v>
      </c>
      <c r="AH3131">
        <v>14.6537544193082</v>
      </c>
      <c r="AI3131">
        <v>94.027043290721807</v>
      </c>
      <c r="AJ3131">
        <v>110.918834090762</v>
      </c>
      <c r="AK3131">
        <v>15.726609395228699</v>
      </c>
      <c r="AL3131">
        <v>86.892874836224607</v>
      </c>
      <c r="AM3131">
        <v>95.098616269272199</v>
      </c>
      <c r="AN3131">
        <v>1.0000000339870401</v>
      </c>
    </row>
    <row r="3132" spans="1:40" x14ac:dyDescent="0.3">
      <c r="A3132" t="str">
        <f>"20200111153940018"</f>
        <v>20200111153940018</v>
      </c>
      <c r="B3132" t="str">
        <f>"1578728380014310"</f>
        <v>1578728380014310</v>
      </c>
      <c r="C3132" t="s">
        <v>40</v>
      </c>
      <c r="D3132">
        <v>5.1358980000000001</v>
      </c>
      <c r="E3132">
        <v>0.39251429999999998</v>
      </c>
      <c r="F3132" t="s">
        <v>42</v>
      </c>
      <c r="G3132">
        <v>-416.63240000000002</v>
      </c>
      <c r="H3132" s="1">
        <v>-2.5233710000000001E-6</v>
      </c>
      <c r="I3132">
        <v>54.12236</v>
      </c>
      <c r="J3132">
        <v>-421.4248</v>
      </c>
      <c r="K3132">
        <v>1.104419</v>
      </c>
      <c r="L3132">
        <v>68.630650000000003</v>
      </c>
      <c r="M3132">
        <v>-5.1219000000000001E-2</v>
      </c>
      <c r="N3132">
        <v>0</v>
      </c>
      <c r="O3132">
        <v>-0.99860170000000004</v>
      </c>
      <c r="P3132">
        <v>4.1594810000000003E-2</v>
      </c>
      <c r="Q3132">
        <v>3.9597689999999998E-2</v>
      </c>
      <c r="R3132">
        <v>-0.99834979999999995</v>
      </c>
      <c r="S3132">
        <v>0.95645139999999995</v>
      </c>
      <c r="T3132">
        <v>-0.22126280000000001</v>
      </c>
      <c r="U3132">
        <v>-2.9776919999999998</v>
      </c>
      <c r="V3132">
        <v>-9.2670550000000004E-2</v>
      </c>
      <c r="W3132">
        <v>5.2654529999999998E-2</v>
      </c>
      <c r="X3132">
        <v>0.99430359999999995</v>
      </c>
      <c r="Y3132">
        <v>-0.35343340000000001</v>
      </c>
      <c r="Z3132">
        <v>6.9817019999999994E-2</v>
      </c>
      <c r="AA3132">
        <v>0.93285070000000003</v>
      </c>
      <c r="AB3132">
        <v>36</v>
      </c>
      <c r="AC3132">
        <v>4.7923999999999802</v>
      </c>
      <c r="AD3132">
        <v>-1.104421523371</v>
      </c>
      <c r="AE3132">
        <v>-14.508290000000001</v>
      </c>
      <c r="AF3132">
        <v>-5.5005337166683699</v>
      </c>
      <c r="AG3132">
        <v>-1.104421523371</v>
      </c>
      <c r="AH3132">
        <v>14.169728213537701</v>
      </c>
      <c r="AI3132">
        <v>94.155795097596894</v>
      </c>
      <c r="AJ3132">
        <v>111.21566834683399</v>
      </c>
      <c r="AK3132">
        <v>15.239974268843699</v>
      </c>
      <c r="AL3132">
        <v>86.981721834607001</v>
      </c>
      <c r="AM3132">
        <v>95.324668415522694</v>
      </c>
      <c r="AN3132">
        <v>0.99999998966989101</v>
      </c>
    </row>
    <row r="3133" spans="1:40" x14ac:dyDescent="0.3">
      <c r="A3133" t="str">
        <f>"20200111153940041"</f>
        <v>20200111153940041</v>
      </c>
      <c r="B3133" t="str">
        <f>"1578728380033830"</f>
        <v>1578728380033830</v>
      </c>
      <c r="C3133" t="s">
        <v>40</v>
      </c>
      <c r="D3133">
        <v>5.1047359999999999</v>
      </c>
      <c r="E3133">
        <v>0.39250180000000001</v>
      </c>
      <c r="F3133" t="s">
        <v>42</v>
      </c>
      <c r="G3133">
        <v>-416.76369999999997</v>
      </c>
      <c r="H3133" s="1">
        <v>-2.583318E-6</v>
      </c>
      <c r="I3133">
        <v>54.316380000000002</v>
      </c>
      <c r="J3133">
        <v>-421.44409999999999</v>
      </c>
      <c r="K3133">
        <v>1.1044</v>
      </c>
      <c r="L3133">
        <v>68.254760000000005</v>
      </c>
      <c r="M3133">
        <v>-5.1279619999999998E-2</v>
      </c>
      <c r="N3133">
        <v>0</v>
      </c>
      <c r="O3133">
        <v>-0.99859810000000004</v>
      </c>
      <c r="P3133">
        <v>4.5969469999999998E-2</v>
      </c>
      <c r="Q3133">
        <v>3.7566700000000001E-2</v>
      </c>
      <c r="R3133">
        <v>-0.99823640000000002</v>
      </c>
      <c r="S3133">
        <v>0.96832280000000004</v>
      </c>
      <c r="T3133">
        <v>-0.22943859999999999</v>
      </c>
      <c r="U3133">
        <v>-2.9737239999999998</v>
      </c>
      <c r="V3133">
        <v>-9.7094369999999999E-2</v>
      </c>
      <c r="W3133">
        <v>5.0629250000000001E-2</v>
      </c>
      <c r="X3133">
        <v>0.99398660000000005</v>
      </c>
      <c r="Y3133">
        <v>-0.35716360000000003</v>
      </c>
      <c r="Z3133">
        <v>7.2377220000000006E-2</v>
      </c>
      <c r="AA3133">
        <v>0.93123350000000005</v>
      </c>
      <c r="AB3133">
        <v>36</v>
      </c>
      <c r="AC3133">
        <v>4.6804000000000201</v>
      </c>
      <c r="AD3133">
        <v>-1.104402583318</v>
      </c>
      <c r="AE3133">
        <v>-13.93838</v>
      </c>
      <c r="AF3133">
        <v>-5.3588232160434703</v>
      </c>
      <c r="AG3133">
        <v>-1.104402583318</v>
      </c>
      <c r="AH3133">
        <v>13.603259725701299</v>
      </c>
      <c r="AI3133">
        <v>94.319735048917295</v>
      </c>
      <c r="AJ3133">
        <v>111.501300600449</v>
      </c>
      <c r="AK3133">
        <v>14.662379291633901</v>
      </c>
      <c r="AL3133">
        <v>87.097916923046995</v>
      </c>
      <c r="AM3133">
        <v>95.579053453222201</v>
      </c>
      <c r="AN3133">
        <v>0.99999999931040895</v>
      </c>
    </row>
    <row r="3134" spans="1:40" x14ac:dyDescent="0.3">
      <c r="A3134" t="str">
        <f>"20200111153940064"</f>
        <v>20200111153940064</v>
      </c>
      <c r="B3134" t="str">
        <f>"1578728380054325"</f>
        <v>1578728380054325</v>
      </c>
      <c r="C3134" t="s">
        <v>40</v>
      </c>
      <c r="D3134">
        <v>5.1257149999999996</v>
      </c>
      <c r="E3134">
        <v>0.39247559999999998</v>
      </c>
      <c r="F3134" t="s">
        <v>42</v>
      </c>
      <c r="G3134">
        <v>-416.87439999999998</v>
      </c>
      <c r="H3134" s="1">
        <v>-2.6108200000000002E-6</v>
      </c>
      <c r="I3134">
        <v>54.426279999999998</v>
      </c>
      <c r="J3134">
        <v>-421.46300000000002</v>
      </c>
      <c r="K3134">
        <v>1.1043909999999999</v>
      </c>
      <c r="L3134">
        <v>67.888120000000001</v>
      </c>
      <c r="M3134">
        <v>-5.1338500000000002E-2</v>
      </c>
      <c r="N3134">
        <v>0</v>
      </c>
      <c r="O3134">
        <v>-0.99859500000000001</v>
      </c>
      <c r="P3134">
        <v>5.0265829999999997E-2</v>
      </c>
      <c r="Q3134">
        <v>3.5618480000000001E-2</v>
      </c>
      <c r="R3134">
        <v>-0.99810080000000001</v>
      </c>
      <c r="S3134">
        <v>0.98114009999999996</v>
      </c>
      <c r="T3134">
        <v>-0.23712159999999999</v>
      </c>
      <c r="U3134">
        <v>-2.969055</v>
      </c>
      <c r="V3134">
        <v>-0.10143629999999999</v>
      </c>
      <c r="W3134">
        <v>4.8684249999999998E-2</v>
      </c>
      <c r="X3134">
        <v>0.99365009999999998</v>
      </c>
      <c r="Y3134">
        <v>-0.36121890000000001</v>
      </c>
      <c r="Z3134">
        <v>7.4787839999999994E-2</v>
      </c>
      <c r="AA3134">
        <v>0.92947709999999995</v>
      </c>
      <c r="AB3134">
        <v>36</v>
      </c>
      <c r="AC3134">
        <v>4.5886000000000404</v>
      </c>
      <c r="AD3134">
        <v>-1.1043936108200001</v>
      </c>
      <c r="AE3134">
        <v>-13.461839999999899</v>
      </c>
      <c r="AF3134">
        <v>-5.2421094149094403</v>
      </c>
      <c r="AG3134">
        <v>-1.1043936108200001</v>
      </c>
      <c r="AH3134">
        <v>13.1293256427894</v>
      </c>
      <c r="AI3134">
        <v>94.466873308900901</v>
      </c>
      <c r="AJ3134">
        <v>111.765206448961</v>
      </c>
      <c r="AK3134">
        <v>14.180218200010501</v>
      </c>
      <c r="AL3134">
        <v>87.209494883451001</v>
      </c>
      <c r="AM3134">
        <v>95.828820621060402</v>
      </c>
      <c r="AN3134">
        <v>1.0000000001928799</v>
      </c>
    </row>
    <row r="3135" spans="1:40" x14ac:dyDescent="0.3">
      <c r="A3135" t="str">
        <f>"20200111153940084"</f>
        <v>20200111153940084</v>
      </c>
      <c r="B3135" t="str">
        <f>"1578728380073846"</f>
        <v>1578728380073846</v>
      </c>
      <c r="C3135" t="s">
        <v>40</v>
      </c>
      <c r="D3135">
        <v>5.238321</v>
      </c>
      <c r="E3135">
        <v>0.3920555</v>
      </c>
      <c r="F3135" t="s">
        <v>42</v>
      </c>
      <c r="G3135">
        <v>-416.92610000000002</v>
      </c>
      <c r="H3135" s="1">
        <v>-2.5749629999999999E-6</v>
      </c>
      <c r="I3135">
        <v>54.364060000000002</v>
      </c>
      <c r="J3135">
        <v>-421.48050000000001</v>
      </c>
      <c r="K3135">
        <v>1.104385</v>
      </c>
      <c r="L3135">
        <v>67.549260000000004</v>
      </c>
      <c r="M3135">
        <v>-5.1392019999999997E-2</v>
      </c>
      <c r="N3135">
        <v>0</v>
      </c>
      <c r="O3135">
        <v>-0.99859240000000005</v>
      </c>
      <c r="P3135">
        <v>5.5569750000000001E-2</v>
      </c>
      <c r="Q3135">
        <v>3.4970260000000003E-2</v>
      </c>
      <c r="R3135">
        <v>-0.99784249999999997</v>
      </c>
      <c r="S3135">
        <v>0.9944153</v>
      </c>
      <c r="T3135">
        <v>-0.2420658</v>
      </c>
      <c r="U3135">
        <v>-2.964264</v>
      </c>
      <c r="V3135">
        <v>-0.1067737</v>
      </c>
      <c r="W3135">
        <v>4.8035550000000003E-2</v>
      </c>
      <c r="X3135">
        <v>0.99312230000000001</v>
      </c>
      <c r="Y3135">
        <v>-0.36542140000000001</v>
      </c>
      <c r="Z3135">
        <v>7.6336299999999996E-2</v>
      </c>
      <c r="AA3135">
        <v>0.92770680000000005</v>
      </c>
      <c r="AB3135">
        <v>36</v>
      </c>
      <c r="AC3135">
        <v>4.5543999999999798</v>
      </c>
      <c r="AD3135">
        <v>-1.1043875749630001</v>
      </c>
      <c r="AE3135">
        <v>-13.1852</v>
      </c>
      <c r="AF3135">
        <v>-5.1935009212698198</v>
      </c>
      <c r="AG3135">
        <v>-1.1043875749630001</v>
      </c>
      <c r="AH3135">
        <v>12.8531321747768</v>
      </c>
      <c r="AI3135">
        <v>94.554900826353403</v>
      </c>
      <c r="AJ3135">
        <v>112.00191007816601</v>
      </c>
      <c r="AK3135">
        <v>13.9066577737876</v>
      </c>
      <c r="AL3135">
        <v>87.2467061109909</v>
      </c>
      <c r="AM3135">
        <v>96.136477782884398</v>
      </c>
      <c r="AN3135">
        <v>0.99999996991638995</v>
      </c>
    </row>
    <row r="3136" spans="1:40" x14ac:dyDescent="0.3">
      <c r="A3136" t="str">
        <f>"20200111153940108"</f>
        <v>20200111153940108</v>
      </c>
      <c r="B3136" t="str">
        <f>"1578728380104102"</f>
        <v>1578728380104102</v>
      </c>
      <c r="C3136" t="s">
        <v>40</v>
      </c>
      <c r="D3136">
        <v>5.1932700000000001</v>
      </c>
      <c r="E3136">
        <v>0.39180880000000001</v>
      </c>
      <c r="F3136" t="s">
        <v>42</v>
      </c>
      <c r="G3136">
        <v>-416.71429999999998</v>
      </c>
      <c r="H3136" s="1">
        <v>-2.3023559999999998E-6</v>
      </c>
      <c r="I3136">
        <v>53.641010000000001</v>
      </c>
      <c r="J3136">
        <v>-421.49939999999998</v>
      </c>
      <c r="K3136">
        <v>1.1043889999999901</v>
      </c>
      <c r="L3136">
        <v>67.181700000000006</v>
      </c>
      <c r="M3136">
        <v>-5.1449120000000001E-2</v>
      </c>
      <c r="N3136">
        <v>0</v>
      </c>
      <c r="O3136">
        <v>-0.99858950000000002</v>
      </c>
      <c r="P3136">
        <v>6.0564170000000001E-2</v>
      </c>
      <c r="Q3136">
        <v>3.4317260000000002E-2</v>
      </c>
      <c r="R3136">
        <v>-0.99757450000000003</v>
      </c>
      <c r="S3136">
        <v>1.013763</v>
      </c>
      <c r="T3136">
        <v>-0.23490069999999999</v>
      </c>
      <c r="U3136">
        <v>-2.9582519999999999</v>
      </c>
      <c r="V3136">
        <v>-0.1118041</v>
      </c>
      <c r="W3136">
        <v>4.7381600000000003E-2</v>
      </c>
      <c r="X3136">
        <v>0.99260000000000004</v>
      </c>
      <c r="Y3136">
        <v>-0.37153170000000002</v>
      </c>
      <c r="Z3136">
        <v>7.4063260000000006E-2</v>
      </c>
      <c r="AA3136">
        <v>0.92546139999999999</v>
      </c>
      <c r="AB3136">
        <v>36</v>
      </c>
      <c r="AC3136">
        <v>4.7850999999999999</v>
      </c>
      <c r="AD3136">
        <v>-1.1043913023559999</v>
      </c>
      <c r="AE3136">
        <v>-13.54069</v>
      </c>
      <c r="AF3136">
        <v>-5.44328827979602</v>
      </c>
      <c r="AG3136">
        <v>-1.1043913023559999</v>
      </c>
      <c r="AH3136">
        <v>13.1984919251245</v>
      </c>
      <c r="AI3136">
        <v>94.423316342910098</v>
      </c>
      <c r="AJ3136">
        <v>112.412104980827</v>
      </c>
      <c r="AK3136">
        <v>14.319541073067301</v>
      </c>
      <c r="AL3136">
        <v>87.284217392440297</v>
      </c>
      <c r="AM3136">
        <v>96.426573016583106</v>
      </c>
      <c r="AN3136">
        <v>0.99999996639768396</v>
      </c>
    </row>
    <row r="3137" spans="1:40" x14ac:dyDescent="0.3">
      <c r="A3137" t="str">
        <f>"20200111153940132"</f>
        <v>20200111153940132</v>
      </c>
      <c r="B3137" t="str">
        <f>"1578728380123622"</f>
        <v>1578728380123622</v>
      </c>
      <c r="C3137" t="s">
        <v>40</v>
      </c>
      <c r="D3137">
        <v>5.1790900000000004</v>
      </c>
      <c r="E3137">
        <v>0.39198169999999999</v>
      </c>
      <c r="F3137" t="s">
        <v>42</v>
      </c>
      <c r="G3137">
        <v>-416.51209999999998</v>
      </c>
      <c r="H3137" s="1">
        <v>-2.0298590000000002E-6</v>
      </c>
      <c r="I3137">
        <v>52.885759999999998</v>
      </c>
      <c r="J3137">
        <v>-421.51990000000001</v>
      </c>
      <c r="K3137">
        <v>1.104401</v>
      </c>
      <c r="L3137">
        <v>66.78537</v>
      </c>
      <c r="M3137">
        <v>-5.1506540000000003E-2</v>
      </c>
      <c r="N3137">
        <v>0</v>
      </c>
      <c r="O3137">
        <v>-0.99858639999999999</v>
      </c>
      <c r="P3137">
        <v>6.4689990000000003E-2</v>
      </c>
      <c r="Q3137">
        <v>3.48539E-2</v>
      </c>
      <c r="R3137">
        <v>-0.99729690000000004</v>
      </c>
      <c r="S3137">
        <v>1.03006</v>
      </c>
      <c r="T3137">
        <v>-0.22809489999999999</v>
      </c>
      <c r="U3137">
        <v>-2.9526059999999998</v>
      </c>
      <c r="V3137">
        <v>-0.115968</v>
      </c>
      <c r="W3137">
        <v>4.7916960000000001E-2</v>
      </c>
      <c r="X3137">
        <v>0.99209650000000005</v>
      </c>
      <c r="Y3137">
        <v>-0.3767353</v>
      </c>
      <c r="Z3137">
        <v>7.1917300000000003E-2</v>
      </c>
      <c r="AA3137">
        <v>0.92352500000000004</v>
      </c>
      <c r="AB3137">
        <v>36</v>
      </c>
      <c r="AC3137">
        <v>5.0078000000000298</v>
      </c>
      <c r="AD3137">
        <v>-1.104403029859</v>
      </c>
      <c r="AE3137">
        <v>-13.899609999999999</v>
      </c>
      <c r="AF3137">
        <v>-5.6853651659609099</v>
      </c>
      <c r="AG3137">
        <v>-1.104403029859</v>
      </c>
      <c r="AH3137">
        <v>13.5474988553133</v>
      </c>
      <c r="AI3137">
        <v>94.298827782048306</v>
      </c>
      <c r="AJ3137">
        <v>112.765922625291</v>
      </c>
      <c r="AK3137">
        <v>14.733560613694101</v>
      </c>
      <c r="AL3137">
        <v>87.253508840024296</v>
      </c>
      <c r="AM3137">
        <v>96.667153787233005</v>
      </c>
      <c r="AN3137">
        <v>1.00000003869594</v>
      </c>
    </row>
    <row r="3138" spans="1:40" x14ac:dyDescent="0.3">
      <c r="A3138" t="str">
        <f>"20200111153940153"</f>
        <v>20200111153940153</v>
      </c>
      <c r="B3138" t="str">
        <f>"1578728380144118"</f>
        <v>1578728380144118</v>
      </c>
      <c r="C3138" t="s">
        <v>40</v>
      </c>
      <c r="D3138">
        <v>5.200812</v>
      </c>
      <c r="E3138">
        <v>0.3921617</v>
      </c>
      <c r="F3138" t="s">
        <v>42</v>
      </c>
      <c r="G3138">
        <v>-416.38479999999998</v>
      </c>
      <c r="H3138" s="1">
        <v>-1.8443010000000001E-6</v>
      </c>
      <c r="I3138">
        <v>52.240989999999996</v>
      </c>
      <c r="J3138">
        <v>-421.53809999999999</v>
      </c>
      <c r="K3138">
        <v>1.1044130000000001</v>
      </c>
      <c r="L3138">
        <v>66.432310000000001</v>
      </c>
      <c r="M3138">
        <v>-5.1549360000000002E-2</v>
      </c>
      <c r="N3138">
        <v>0</v>
      </c>
      <c r="O3138">
        <v>-0.99858400000000003</v>
      </c>
      <c r="P3138">
        <v>6.9377300000000003E-2</v>
      </c>
      <c r="Q3138">
        <v>3.6687249999999998E-2</v>
      </c>
      <c r="R3138">
        <v>-0.99691589999999997</v>
      </c>
      <c r="S3138">
        <v>1.040985</v>
      </c>
      <c r="T3138">
        <v>-0.22388359999999999</v>
      </c>
      <c r="U3138">
        <v>-2.9484249999999999</v>
      </c>
      <c r="V3138">
        <v>-0.120672</v>
      </c>
      <c r="W3138">
        <v>4.9744389999999999E-2</v>
      </c>
      <c r="X3138">
        <v>0.99144529999999997</v>
      </c>
      <c r="Y3138">
        <v>-0.38025730000000002</v>
      </c>
      <c r="Z3138">
        <v>7.0595660000000005E-2</v>
      </c>
      <c r="AA3138">
        <v>0.92218250000000002</v>
      </c>
      <c r="AB3138">
        <v>36</v>
      </c>
      <c r="AC3138">
        <v>5.1532999999999998</v>
      </c>
      <c r="AD3138">
        <v>-1.10441484430099</v>
      </c>
      <c r="AE3138">
        <v>-14.1913199999999</v>
      </c>
      <c r="AF3138">
        <v>-5.8467784843595902</v>
      </c>
      <c r="AG3138">
        <v>-1.10441484430099</v>
      </c>
      <c r="AH3138">
        <v>13.832759031608701</v>
      </c>
      <c r="AI3138">
        <v>94.206022258589101</v>
      </c>
      <c r="AJ3138">
        <v>112.912625250215</v>
      </c>
      <c r="AK3138">
        <v>15.058212816268499</v>
      </c>
      <c r="AL3138">
        <v>87.148679665781103</v>
      </c>
      <c r="AM3138">
        <v>96.939520550833393</v>
      </c>
      <c r="AN3138">
        <v>1.00000000940628</v>
      </c>
    </row>
    <row r="3139" spans="1:40" x14ac:dyDescent="0.3">
      <c r="A3139" t="str">
        <f>"20200111153940176"</f>
        <v>20200111153940176</v>
      </c>
      <c r="B3139" t="str">
        <f>"1578728380163638"</f>
        <v>1578728380163638</v>
      </c>
      <c r="C3139" t="s">
        <v>40</v>
      </c>
      <c r="D3139">
        <v>5.2089780000000001</v>
      </c>
      <c r="E3139">
        <v>0.39237300000000003</v>
      </c>
      <c r="F3139" t="s">
        <v>42</v>
      </c>
      <c r="G3139">
        <v>-416.20839999999998</v>
      </c>
      <c r="H3139" s="1">
        <v>-1.649652E-6</v>
      </c>
      <c r="I3139">
        <v>51.531129999999997</v>
      </c>
      <c r="J3139">
        <v>-421.55590000000001</v>
      </c>
      <c r="K3139">
        <v>1.104433</v>
      </c>
      <c r="L3139">
        <v>66.087800000000001</v>
      </c>
      <c r="M3139">
        <v>-5.1578909999999999E-2</v>
      </c>
      <c r="N3139">
        <v>0</v>
      </c>
      <c r="O3139">
        <v>-0.99858259999999999</v>
      </c>
      <c r="P3139">
        <v>7.367609E-2</v>
      </c>
      <c r="Q3139">
        <v>3.933482E-2</v>
      </c>
      <c r="R3139">
        <v>-0.99650660000000002</v>
      </c>
      <c r="S3139">
        <v>1.0529790000000001</v>
      </c>
      <c r="T3139">
        <v>-0.21819959999999999</v>
      </c>
      <c r="U3139">
        <v>-2.9440309999999998</v>
      </c>
      <c r="V3139">
        <v>-0.1249739</v>
      </c>
      <c r="W3139">
        <v>5.2384529999999999E-2</v>
      </c>
      <c r="X3139">
        <v>0.99077610000000005</v>
      </c>
      <c r="Y3139">
        <v>-0.38409090000000001</v>
      </c>
      <c r="Z3139">
        <v>6.8806629999999994E-2</v>
      </c>
      <c r="AA3139">
        <v>0.92072790000000004</v>
      </c>
      <c r="AB3139">
        <v>36</v>
      </c>
      <c r="AC3139">
        <v>5.3475000000000197</v>
      </c>
      <c r="AD3139">
        <v>-1.1044346496519999</v>
      </c>
      <c r="AE3139">
        <v>-14.55667</v>
      </c>
      <c r="AF3139">
        <v>-6.0605237984471696</v>
      </c>
      <c r="AG3139">
        <v>-1.1044346496519999</v>
      </c>
      <c r="AH3139">
        <v>14.1894796450957</v>
      </c>
      <c r="AI3139">
        <v>94.094200239801097</v>
      </c>
      <c r="AJ3139">
        <v>113.128000892122</v>
      </c>
      <c r="AK3139">
        <v>15.4690354322912</v>
      </c>
      <c r="AL3139">
        <v>86.997212948038396</v>
      </c>
      <c r="AM3139">
        <v>97.189171763735104</v>
      </c>
      <c r="AN3139">
        <v>0.99999994749786902</v>
      </c>
    </row>
    <row r="3140" spans="1:40" x14ac:dyDescent="0.3">
      <c r="A3140" t="str">
        <f>"20200111153940199"</f>
        <v>20200111153940199</v>
      </c>
      <c r="B3140" t="str">
        <f>"1578728380193894"</f>
        <v>1578728380193894</v>
      </c>
      <c r="C3140" t="s">
        <v>40</v>
      </c>
      <c r="D3140">
        <v>5.1123810000000001</v>
      </c>
      <c r="E3140">
        <v>0.3928449</v>
      </c>
      <c r="F3140" t="s">
        <v>41</v>
      </c>
      <c r="G3140">
        <v>-421.17630000000003</v>
      </c>
      <c r="H3140">
        <v>1.0296259999999999</v>
      </c>
      <c r="I3140">
        <v>65.037959999999998</v>
      </c>
      <c r="J3140">
        <v>-421.57530000000003</v>
      </c>
      <c r="K3140">
        <v>1.104455</v>
      </c>
      <c r="L3140">
        <v>65.712769999999907</v>
      </c>
      <c r="M3140">
        <v>-5.159917E-2</v>
      </c>
      <c r="N3140">
        <v>0</v>
      </c>
      <c r="O3140">
        <v>-0.99858139999999995</v>
      </c>
      <c r="P3140">
        <v>7.7583079999999999E-2</v>
      </c>
      <c r="Q3140">
        <v>4.1763979999999999E-2</v>
      </c>
      <c r="R3140">
        <v>-0.99611090000000002</v>
      </c>
      <c r="S3140">
        <v>1.0635380000000001</v>
      </c>
      <c r="T3140">
        <v>-0.20950489999999999</v>
      </c>
      <c r="U3140">
        <v>-2.9401549999999999</v>
      </c>
      <c r="V3140">
        <v>-0.12887699999999999</v>
      </c>
      <c r="W3140">
        <v>5.4804819999999997E-2</v>
      </c>
      <c r="X3140">
        <v>0.99014500000000005</v>
      </c>
      <c r="Y3140">
        <v>-0.38748260000000001</v>
      </c>
      <c r="Z3140">
        <v>6.6072039999999999E-2</v>
      </c>
      <c r="AA3140">
        <v>0.9195063</v>
      </c>
      <c r="AB3140">
        <v>36</v>
      </c>
      <c r="AC3140">
        <v>0.39900000000000002</v>
      </c>
      <c r="AD3140">
        <v>-7.4829000000000007E-2</v>
      </c>
      <c r="AE3140">
        <v>-0.67480999999999303</v>
      </c>
      <c r="AF3140">
        <v>-0.42937893688629902</v>
      </c>
      <c r="AG3140">
        <v>-7.4829000000000007E-2</v>
      </c>
      <c r="AH3140">
        <v>0.64742236344989501</v>
      </c>
      <c r="AI3140">
        <v>95.501844223650806</v>
      </c>
      <c r="AJ3140">
        <v>123.552855412513</v>
      </c>
      <c r="AK3140">
        <v>0.78046227799789103</v>
      </c>
      <c r="AL3140">
        <v>86.858341032251502</v>
      </c>
      <c r="AM3140">
        <v>97.4159113700929</v>
      </c>
      <c r="AN3140">
        <v>0.99999998522461597</v>
      </c>
    </row>
    <row r="3141" spans="1:40" x14ac:dyDescent="0.3">
      <c r="A3141" t="str">
        <f>"20200111153940220"</f>
        <v>20200111153940220</v>
      </c>
      <c r="B3141" t="str">
        <f>"1578728380214390"</f>
        <v>1578728380214390</v>
      </c>
      <c r="C3141" t="s">
        <v>40</v>
      </c>
      <c r="D3141">
        <v>5.1414090000000003</v>
      </c>
      <c r="E3141">
        <v>0.39314359999999998</v>
      </c>
      <c r="F3141" t="s">
        <v>41</v>
      </c>
      <c r="G3141">
        <v>-421.20060000000001</v>
      </c>
      <c r="H3141">
        <v>1.033498</v>
      </c>
      <c r="I3141">
        <v>64.684489999999997</v>
      </c>
      <c r="J3141">
        <v>-421.59249999999997</v>
      </c>
      <c r="K3141">
        <v>1.104471</v>
      </c>
      <c r="L3141">
        <v>65.378810000000001</v>
      </c>
      <c r="M3141">
        <v>-5.160911E-2</v>
      </c>
      <c r="N3141">
        <v>0</v>
      </c>
      <c r="O3141">
        <v>-0.99858100000000005</v>
      </c>
      <c r="P3141">
        <v>8.1357620000000005E-2</v>
      </c>
      <c r="Q3141">
        <v>4.1930500000000002E-2</v>
      </c>
      <c r="R3141">
        <v>-0.99580279999999999</v>
      </c>
      <c r="S3141">
        <v>1.07077</v>
      </c>
      <c r="T3141">
        <v>-0.20265279999999999</v>
      </c>
      <c r="U3141">
        <v>-2.936798</v>
      </c>
      <c r="V3141">
        <v>-0.13264110000000001</v>
      </c>
      <c r="W3141">
        <v>5.4964319999999997E-2</v>
      </c>
      <c r="X3141">
        <v>0.98963900000000005</v>
      </c>
      <c r="Y3141">
        <v>-0.38987509999999997</v>
      </c>
      <c r="Z3141">
        <v>6.3929570000000005E-2</v>
      </c>
      <c r="AA3141">
        <v>0.91864599999999996</v>
      </c>
      <c r="AB3141">
        <v>36</v>
      </c>
      <c r="AC3141">
        <v>0.391899999999964</v>
      </c>
      <c r="AD3141">
        <v>-7.0972999999999897E-2</v>
      </c>
      <c r="AE3141">
        <v>-0.69432000000000405</v>
      </c>
      <c r="AF3141">
        <v>-0.42385524776354899</v>
      </c>
      <c r="AG3141">
        <v>-7.0972999999999897E-2</v>
      </c>
      <c r="AH3141">
        <v>0.66787481027171403</v>
      </c>
      <c r="AI3141">
        <v>95.127053841478897</v>
      </c>
      <c r="AJ3141">
        <v>122.40055070920199</v>
      </c>
      <c r="AK3141">
        <v>0.79419594558344198</v>
      </c>
      <c r="AL3141">
        <v>86.849188745505003</v>
      </c>
      <c r="AM3141">
        <v>97.633846381842105</v>
      </c>
      <c r="AN3141">
        <v>1.0000000441016299</v>
      </c>
    </row>
    <row r="3142" spans="1:40" x14ac:dyDescent="0.3">
      <c r="A3142" t="str">
        <f>"20200111153940242"</f>
        <v>20200111153940242</v>
      </c>
      <c r="B3142" t="str">
        <f>"1578728380233910"</f>
        <v>1578728380233910</v>
      </c>
      <c r="C3142" t="s">
        <v>40</v>
      </c>
      <c r="D3142">
        <v>5.201238</v>
      </c>
      <c r="E3142">
        <v>0.39276830000000001</v>
      </c>
      <c r="F3142" t="s">
        <v>41</v>
      </c>
      <c r="G3142">
        <v>-421.21589999999998</v>
      </c>
      <c r="H3142">
        <v>1.0330969999999999</v>
      </c>
      <c r="I3142">
        <v>64.354900000000001</v>
      </c>
      <c r="J3142">
        <v>-421.61130000000003</v>
      </c>
      <c r="K3142">
        <v>1.1044849999999999</v>
      </c>
      <c r="L3142">
        <v>65.015140000000002</v>
      </c>
      <c r="M3142">
        <v>-5.1608059999999997E-2</v>
      </c>
      <c r="N3142">
        <v>0</v>
      </c>
      <c r="O3142">
        <v>-0.99858080000000005</v>
      </c>
      <c r="P3142">
        <v>8.5482810000000006E-2</v>
      </c>
      <c r="Q3142">
        <v>4.2277059999999998E-2</v>
      </c>
      <c r="R3142">
        <v>-0.99544239999999995</v>
      </c>
      <c r="S3142">
        <v>1.0793759999999999</v>
      </c>
      <c r="T3142">
        <v>-0.20445379999999999</v>
      </c>
      <c r="U3142">
        <v>-2.9330750000000001</v>
      </c>
      <c r="V3142">
        <v>-0.136742899999999</v>
      </c>
      <c r="W3142">
        <v>5.530235E-2</v>
      </c>
      <c r="X3142">
        <v>0.98906170000000004</v>
      </c>
      <c r="Y3142">
        <v>-0.39261089999999998</v>
      </c>
      <c r="Z3142">
        <v>6.4501139999999998E-2</v>
      </c>
      <c r="AA3142">
        <v>0.91744009999999998</v>
      </c>
      <c r="AB3142">
        <v>36</v>
      </c>
      <c r="AC3142">
        <v>0.39540000000005099</v>
      </c>
      <c r="AD3142">
        <v>-7.1387999999999993E-2</v>
      </c>
      <c r="AE3142">
        <v>-0.66024000000000105</v>
      </c>
      <c r="AF3142">
        <v>-0.42529013273453697</v>
      </c>
      <c r="AG3142">
        <v>-7.1387999999999993E-2</v>
      </c>
      <c r="AH3142">
        <v>0.63350129469831196</v>
      </c>
      <c r="AI3142">
        <v>95.345040194505202</v>
      </c>
      <c r="AJ3142">
        <v>123.87475335558</v>
      </c>
      <c r="AK3142">
        <v>0.76634968123553004</v>
      </c>
      <c r="AL3142">
        <v>86.829791437861502</v>
      </c>
      <c r="AM3142">
        <v>97.871537742291693</v>
      </c>
      <c r="AN3142">
        <v>1.00000000851141</v>
      </c>
    </row>
    <row r="3143" spans="1:40" x14ac:dyDescent="0.3">
      <c r="A3143" t="str">
        <f>"20200111153940266"</f>
        <v>20200111153940266</v>
      </c>
      <c r="B3143" t="str">
        <f>"1578728380254406"</f>
        <v>1578728380254406</v>
      </c>
      <c r="C3143" t="s">
        <v>40</v>
      </c>
      <c r="D3143">
        <v>5.1142529999999997</v>
      </c>
      <c r="E3143">
        <v>0.36773129999999998</v>
      </c>
      <c r="F3143" t="s">
        <v>41</v>
      </c>
      <c r="G3143">
        <v>-421.22280000000001</v>
      </c>
      <c r="H3143">
        <v>1.031774</v>
      </c>
      <c r="I3143">
        <v>63.973869999999998</v>
      </c>
      <c r="J3143">
        <v>-421.6309</v>
      </c>
      <c r="K3143">
        <v>1.104506</v>
      </c>
      <c r="L3143">
        <v>64.635530000000003</v>
      </c>
      <c r="M3143">
        <v>-5.1577650000000003E-2</v>
      </c>
      <c r="N3143">
        <v>0</v>
      </c>
      <c r="O3143">
        <v>-0.99858270000000005</v>
      </c>
      <c r="P3143">
        <v>8.9705939999999998E-2</v>
      </c>
      <c r="Q3143">
        <v>4.1826439999999999E-2</v>
      </c>
      <c r="R3143">
        <v>-0.99509000000000003</v>
      </c>
      <c r="S3143">
        <v>1.093872</v>
      </c>
      <c r="T3143">
        <v>-0.20448920000000001</v>
      </c>
      <c r="U3143">
        <v>-2.9284669999999999</v>
      </c>
      <c r="V3143">
        <v>-0.1409144</v>
      </c>
      <c r="W3143">
        <v>5.4836719999999999E-2</v>
      </c>
      <c r="X3143">
        <v>0.98850190000000004</v>
      </c>
      <c r="Y3143">
        <v>-0.397038</v>
      </c>
      <c r="Z3143">
        <v>6.4489550000000007E-2</v>
      </c>
      <c r="AA3143">
        <v>0.91553370000000001</v>
      </c>
      <c r="AB3143">
        <v>36</v>
      </c>
      <c r="AC3143">
        <v>0.40809999999999003</v>
      </c>
      <c r="AD3143">
        <v>-7.2732000000000005E-2</v>
      </c>
      <c r="AE3143">
        <v>-0.66166000000000402</v>
      </c>
      <c r="AF3143">
        <v>-0.43785387830251399</v>
      </c>
      <c r="AG3143">
        <v>-7.2732000000000005E-2</v>
      </c>
      <c r="AH3143">
        <v>0.63417739500393699</v>
      </c>
      <c r="AI3143">
        <v>95.391481333196296</v>
      </c>
      <c r="AJ3143">
        <v>124.62228825187501</v>
      </c>
      <c r="AK3143">
        <v>0.77407165747269902</v>
      </c>
      <c r="AL3143">
        <v>86.856510496741706</v>
      </c>
      <c r="AM3143">
        <v>98.113051806526798</v>
      </c>
      <c r="AN3143">
        <v>0.999999970145663</v>
      </c>
    </row>
    <row r="3144" spans="1:40" x14ac:dyDescent="0.3">
      <c r="A3144" t="str">
        <f>"20200111153940289"</f>
        <v>20200111153940289</v>
      </c>
      <c r="B3144" t="str">
        <f>"1578728380283686"</f>
        <v>1578728380283686</v>
      </c>
      <c r="C3144" t="s">
        <v>40</v>
      </c>
      <c r="D3144">
        <v>5.1202170000000002</v>
      </c>
      <c r="E3144">
        <v>0.3707203</v>
      </c>
      <c r="F3144" t="s">
        <v>41</v>
      </c>
      <c r="G3144">
        <v>-421.23630000000003</v>
      </c>
      <c r="H3144">
        <v>1.0333000000000001</v>
      </c>
      <c r="I3144">
        <v>63.755499999999998</v>
      </c>
      <c r="J3144">
        <v>-421.64980000000003</v>
      </c>
      <c r="K3144">
        <v>1.1045469999999999</v>
      </c>
      <c r="L3144">
        <v>64.268100000000004</v>
      </c>
      <c r="M3144">
        <v>-5.150213E-2</v>
      </c>
      <c r="N3144">
        <v>0</v>
      </c>
      <c r="O3144">
        <v>-0.99858650000000004</v>
      </c>
      <c r="P3144">
        <v>9.2863780000000007E-2</v>
      </c>
      <c r="Q3144">
        <v>4.2123189999999998E-2</v>
      </c>
      <c r="R3144">
        <v>-0.99478750000000005</v>
      </c>
      <c r="S3144">
        <v>1.303741</v>
      </c>
      <c r="T3144">
        <v>-0.23522689999999999</v>
      </c>
      <c r="U3144">
        <v>-2.9071660000000001</v>
      </c>
      <c r="V3144">
        <v>-0.14398150000000001</v>
      </c>
      <c r="W3144">
        <v>5.5107150000000001E-2</v>
      </c>
      <c r="X3144">
        <v>0.98804479999999995</v>
      </c>
      <c r="Y3144">
        <v>-0.45455909999999999</v>
      </c>
      <c r="Z3144">
        <v>7.2617660000000001E-2</v>
      </c>
      <c r="AA3144">
        <v>0.88775149999999903</v>
      </c>
      <c r="AB3144">
        <v>36</v>
      </c>
      <c r="AC3144">
        <v>0.41349999999999898</v>
      </c>
      <c r="AD3144">
        <v>-7.1246999999999797E-2</v>
      </c>
      <c r="AE3144">
        <v>-0.51260000000000605</v>
      </c>
      <c r="AF3144">
        <v>-0.43427107419292099</v>
      </c>
      <c r="AG3144">
        <v>-7.1246999999999797E-2</v>
      </c>
      <c r="AH3144">
        <v>0.48494623774840301</v>
      </c>
      <c r="AI3144">
        <v>96.245999095980196</v>
      </c>
      <c r="AJ3144">
        <v>131.84455793347399</v>
      </c>
      <c r="AK3144">
        <v>0.65485903398823497</v>
      </c>
      <c r="AL3144">
        <v>86.840992623732603</v>
      </c>
      <c r="AM3144">
        <v>98.2909916561117</v>
      </c>
      <c r="AN3144">
        <v>0.99999999856520605</v>
      </c>
    </row>
    <row r="3145" spans="1:40" x14ac:dyDescent="0.3">
      <c r="A3145" t="str">
        <f>"20200111153940309"</f>
        <v>20200111153940309</v>
      </c>
      <c r="B3145" t="str">
        <f>"1578728380304181"</f>
        <v>1578728380304181</v>
      </c>
      <c r="C3145" t="s">
        <v>40</v>
      </c>
      <c r="D3145">
        <v>5.115691</v>
      </c>
      <c r="E3145">
        <v>0.37230429999999998</v>
      </c>
      <c r="F3145" t="s">
        <v>41</v>
      </c>
      <c r="G3145">
        <v>-421.2672</v>
      </c>
      <c r="H3145">
        <v>1.0302979999999999</v>
      </c>
      <c r="I3145">
        <v>63.404229999999998</v>
      </c>
      <c r="J3145">
        <v>-421.6662</v>
      </c>
      <c r="K3145">
        <v>1.1046129999999901</v>
      </c>
      <c r="L3145">
        <v>63.948520000000002</v>
      </c>
      <c r="M3145">
        <v>-5.138231E-2</v>
      </c>
      <c r="N3145">
        <v>0</v>
      </c>
      <c r="O3145">
        <v>-0.99859299999999995</v>
      </c>
      <c r="P3145">
        <v>9.6333619999999995E-2</v>
      </c>
      <c r="Q3145">
        <v>4.2926020000000002E-2</v>
      </c>
      <c r="R3145">
        <v>-0.99442339999999996</v>
      </c>
      <c r="S3145">
        <v>1.288025</v>
      </c>
      <c r="T3145">
        <v>-0.24976950000000001</v>
      </c>
      <c r="U3145">
        <v>-2.9060359999999998</v>
      </c>
      <c r="V3145">
        <v>-0.14731569999999999</v>
      </c>
      <c r="W3145">
        <v>5.5877000000000003E-2</v>
      </c>
      <c r="X3145">
        <v>0.98750990000000005</v>
      </c>
      <c r="Y3145">
        <v>-0.45042900000000002</v>
      </c>
      <c r="Z3145">
        <v>7.7272110000000005E-2</v>
      </c>
      <c r="AA3145">
        <v>0.88946209999999903</v>
      </c>
      <c r="AB3145">
        <v>36</v>
      </c>
      <c r="AC3145">
        <v>0.39900000000000002</v>
      </c>
      <c r="AD3145">
        <v>-7.4314999999999895E-2</v>
      </c>
      <c r="AE3145">
        <v>-0.54428999999998895</v>
      </c>
      <c r="AF3145">
        <v>-0.42133314019093798</v>
      </c>
      <c r="AG3145">
        <v>-7.4314999999999895E-2</v>
      </c>
      <c r="AH3145">
        <v>0.51680097997818597</v>
      </c>
      <c r="AI3145">
        <v>96.359506246661894</v>
      </c>
      <c r="AJ3145">
        <v>129.189382020767</v>
      </c>
      <c r="AK3145">
        <v>0.67091548436041504</v>
      </c>
      <c r="AL3145">
        <v>86.796815331209501</v>
      </c>
      <c r="AM3145">
        <v>98.484753115113193</v>
      </c>
      <c r="AN3145">
        <v>0.99999997859674905</v>
      </c>
    </row>
    <row r="3146" spans="1:40" x14ac:dyDescent="0.3">
      <c r="A3146" t="str">
        <f>"20200111153940353"</f>
        <v>20200111153940353</v>
      </c>
      <c r="B3146" t="str">
        <f>"1578728380344200"</f>
        <v>1578728380344200</v>
      </c>
      <c r="C3146" t="s">
        <v>40</v>
      </c>
      <c r="D3146">
        <v>5.1638529999999996</v>
      </c>
      <c r="E3146">
        <v>0.37459029999999999</v>
      </c>
      <c r="F3146" t="s">
        <v>41</v>
      </c>
      <c r="G3146">
        <v>-421.28339999999997</v>
      </c>
      <c r="H3146">
        <v>1.028791</v>
      </c>
      <c r="I3146">
        <v>63.083309999999997</v>
      </c>
      <c r="J3146">
        <v>-421.70229999999998</v>
      </c>
      <c r="K3146">
        <v>1.1048039999999999</v>
      </c>
      <c r="L3146">
        <v>63.236330000000002</v>
      </c>
      <c r="M3146">
        <v>-5.0878529999999998E-2</v>
      </c>
      <c r="N3146">
        <v>0</v>
      </c>
      <c r="O3146">
        <v>-0.99861869999999997</v>
      </c>
      <c r="P3146">
        <v>0.1013044</v>
      </c>
      <c r="Q3146">
        <v>4.684207E-2</v>
      </c>
      <c r="R3146">
        <v>-0.99375230000000003</v>
      </c>
      <c r="S3146">
        <v>1.2847599999999999</v>
      </c>
      <c r="T3146">
        <v>-0.254436</v>
      </c>
      <c r="U3146">
        <v>-2.9033509999999998</v>
      </c>
      <c r="V3146">
        <v>-0.1517674</v>
      </c>
      <c r="W3146">
        <v>5.9719609999999999E-2</v>
      </c>
      <c r="X3146">
        <v>0.98661049999999995</v>
      </c>
      <c r="Y3146">
        <v>-0.44939810000000002</v>
      </c>
      <c r="Z3146">
        <v>7.8813789999999995E-2</v>
      </c>
      <c r="AA3146">
        <v>0.88984819999999998</v>
      </c>
      <c r="AB3146">
        <v>36</v>
      </c>
      <c r="AC3146">
        <v>0.41890000000000699</v>
      </c>
      <c r="AD3146">
        <v>-7.6013000000000094E-2</v>
      </c>
      <c r="AE3146">
        <v>-0.15302000000000501</v>
      </c>
      <c r="AF3146">
        <v>-0.41411316237441798</v>
      </c>
      <c r="AG3146">
        <v>-7.6013000000000094E-2</v>
      </c>
      <c r="AH3146">
        <v>0.12779440535173001</v>
      </c>
      <c r="AI3146">
        <v>99.948168563838394</v>
      </c>
      <c r="AJ3146">
        <v>162.84988990510999</v>
      </c>
      <c r="AK3146">
        <v>0.43999897438510399</v>
      </c>
      <c r="AL3146">
        <v>86.576281349001604</v>
      </c>
      <c r="AM3146">
        <v>98.745093978349104</v>
      </c>
      <c r="AN3146">
        <v>1.0000000271157801</v>
      </c>
    </row>
    <row r="3147" spans="1:40" x14ac:dyDescent="0.3">
      <c r="A3147" t="str">
        <f>"20200111153940375"</f>
        <v>20200111153940375</v>
      </c>
      <c r="B3147" t="str">
        <f>"1578728380363717"</f>
        <v>1578728380363717</v>
      </c>
      <c r="C3147" t="s">
        <v>40</v>
      </c>
      <c r="D3147">
        <v>5.1917759999999999</v>
      </c>
      <c r="E3147">
        <v>0.37509510000000001</v>
      </c>
      <c r="F3147" t="s">
        <v>42</v>
      </c>
      <c r="G3147">
        <v>-416.03440000000001</v>
      </c>
      <c r="H3147" s="1">
        <v>-1.3122750000000001E-6</v>
      </c>
      <c r="I3147">
        <v>50.40363</v>
      </c>
      <c r="J3147">
        <v>-421.71949999999998</v>
      </c>
      <c r="K3147">
        <v>1.1049040000000001</v>
      </c>
      <c r="L3147">
        <v>62.890900000000002</v>
      </c>
      <c r="M3147">
        <v>-5.0509289999999998E-2</v>
      </c>
      <c r="N3147">
        <v>0</v>
      </c>
      <c r="O3147">
        <v>-0.99863740000000001</v>
      </c>
      <c r="P3147">
        <v>0.1029702</v>
      </c>
      <c r="Q3147">
        <v>4.8567640000000002E-2</v>
      </c>
      <c r="R3147">
        <v>-0.99349810000000005</v>
      </c>
      <c r="S3147">
        <v>1.2808839999999999</v>
      </c>
      <c r="T3147">
        <v>-0.24967449999999999</v>
      </c>
      <c r="U3147">
        <v>-2.900055</v>
      </c>
      <c r="V3147">
        <v>-0.15306449999999999</v>
      </c>
      <c r="W3147">
        <v>6.1417359999999997E-2</v>
      </c>
      <c r="X3147">
        <v>0.98630580000000001</v>
      </c>
      <c r="Y3147">
        <v>-0.44849040000000001</v>
      </c>
      <c r="Z3147">
        <v>7.7469679999999999E-2</v>
      </c>
      <c r="AA3147">
        <v>0.89042399999999999</v>
      </c>
      <c r="AB3147">
        <v>36</v>
      </c>
      <c r="AC3147">
        <v>5.6850999999999701</v>
      </c>
      <c r="AD3147">
        <v>-1.1049053122750001</v>
      </c>
      <c r="AE3147">
        <v>-12.487270000000001</v>
      </c>
      <c r="AF3147">
        <v>-6.2679718884557198</v>
      </c>
      <c r="AG3147">
        <v>-1.1049053122750001</v>
      </c>
      <c r="AH3147">
        <v>12.105648194998301</v>
      </c>
      <c r="AI3147">
        <v>94.633792323350093</v>
      </c>
      <c r="AJ3147">
        <v>117.37387909368999</v>
      </c>
      <c r="AK3147">
        <v>13.6768053859309</v>
      </c>
      <c r="AL3147">
        <v>86.478828352612595</v>
      </c>
      <c r="AM3147">
        <v>98.821346620288494</v>
      </c>
      <c r="AN3147">
        <v>0.999999982191629</v>
      </c>
    </row>
    <row r="3148" spans="1:40" x14ac:dyDescent="0.3">
      <c r="A3148" t="str">
        <f>"20200111153940398"</f>
        <v>20200111153940398</v>
      </c>
      <c r="B3148" t="str">
        <f>"1578728380393974"</f>
        <v>1578728380393974</v>
      </c>
      <c r="C3148" t="s">
        <v>40</v>
      </c>
      <c r="D3148">
        <v>5.219411</v>
      </c>
      <c r="E3148">
        <v>0.37553389999999998</v>
      </c>
      <c r="F3148" t="s">
        <v>41</v>
      </c>
      <c r="G3148">
        <v>-421.25819999999999</v>
      </c>
      <c r="H3148">
        <v>1.0156229999999999</v>
      </c>
      <c r="I3148">
        <v>61.847349999999999</v>
      </c>
      <c r="J3148">
        <v>-421.73750000000001</v>
      </c>
      <c r="K3148">
        <v>1.105008</v>
      </c>
      <c r="L3148">
        <v>62.526820000000001</v>
      </c>
      <c r="M3148">
        <v>-5.0012340000000002E-2</v>
      </c>
      <c r="N3148">
        <v>0</v>
      </c>
      <c r="O3148">
        <v>-0.99866220000000006</v>
      </c>
      <c r="P3148">
        <v>0.104785</v>
      </c>
      <c r="Q3148">
        <v>5.0198890000000003E-2</v>
      </c>
      <c r="R3148">
        <v>-0.99322750000000004</v>
      </c>
      <c r="S3148">
        <v>1.2812809999999999</v>
      </c>
      <c r="T3148">
        <v>-0.24802060000000001</v>
      </c>
      <c r="U3148">
        <v>-2.8989560000000001</v>
      </c>
      <c r="V3148">
        <v>-0.15438579999999999</v>
      </c>
      <c r="W3148">
        <v>6.303404E-2</v>
      </c>
      <c r="X3148">
        <v>0.98599789999999998</v>
      </c>
      <c r="Y3148">
        <v>-0.44828770000000001</v>
      </c>
      <c r="Z3148">
        <v>7.699164E-2</v>
      </c>
      <c r="AA3148">
        <v>0.89056749999999996</v>
      </c>
      <c r="AB3148">
        <v>36</v>
      </c>
      <c r="AC3148">
        <v>0.47930000000002299</v>
      </c>
      <c r="AD3148">
        <v>-8.9385000000000006E-2</v>
      </c>
      <c r="AE3148">
        <v>-0.67946999999999402</v>
      </c>
      <c r="AF3148">
        <v>-0.50682818143072605</v>
      </c>
      <c r="AG3148">
        <v>-8.9385000000000006E-2</v>
      </c>
      <c r="AH3148">
        <v>0.64716812368549104</v>
      </c>
      <c r="AI3148">
        <v>96.205929544667597</v>
      </c>
      <c r="AJ3148">
        <v>128.06618731645199</v>
      </c>
      <c r="AK3148">
        <v>0.82685613260831303</v>
      </c>
      <c r="AL3148">
        <v>86.386019835270503</v>
      </c>
      <c r="AM3148">
        <v>98.899015892842201</v>
      </c>
      <c r="AN3148">
        <v>1.0000000621223799</v>
      </c>
    </row>
    <row r="3149" spans="1:40" x14ac:dyDescent="0.3">
      <c r="A3149" t="str">
        <f>"20200111153940423"</f>
        <v>20200111153940423</v>
      </c>
      <c r="B3149" t="str">
        <f>"1578728380414470"</f>
        <v>1578728380414470</v>
      </c>
      <c r="C3149" t="s">
        <v>40</v>
      </c>
      <c r="D3149">
        <v>5.2403529999999998</v>
      </c>
      <c r="E3149">
        <v>0.37575999999999998</v>
      </c>
      <c r="F3149" t="s">
        <v>41</v>
      </c>
      <c r="G3149">
        <v>-421.29419999999999</v>
      </c>
      <c r="H3149">
        <v>1.0187980000000001</v>
      </c>
      <c r="I3149">
        <v>61.524669999999901</v>
      </c>
      <c r="J3149">
        <v>-421.75670000000002</v>
      </c>
      <c r="K3149">
        <v>1.1051</v>
      </c>
      <c r="L3149">
        <v>62.129119999999901</v>
      </c>
      <c r="M3149">
        <v>-4.9363940000000002E-2</v>
      </c>
      <c r="N3149">
        <v>0</v>
      </c>
      <c r="O3149">
        <v>-0.99869419999999998</v>
      </c>
      <c r="P3149">
        <v>0.1064428</v>
      </c>
      <c r="Q3149">
        <v>5.1190729999999997E-2</v>
      </c>
      <c r="R3149">
        <v>-0.99300049999999995</v>
      </c>
      <c r="S3149">
        <v>1.2821959999999999</v>
      </c>
      <c r="T3149">
        <v>-0.24928049999999999</v>
      </c>
      <c r="U3149">
        <v>-2.8977970000000002</v>
      </c>
      <c r="V3149">
        <v>-0.15540379999999901</v>
      </c>
      <c r="W3149">
        <v>6.4015749999999996E-2</v>
      </c>
      <c r="X3149">
        <v>0.98577459999999995</v>
      </c>
      <c r="Y3149">
        <v>-0.44806170000000001</v>
      </c>
      <c r="Z3149">
        <v>7.7412170000000002E-2</v>
      </c>
      <c r="AA3149">
        <v>0.89064469999999996</v>
      </c>
      <c r="AB3149">
        <v>36</v>
      </c>
      <c r="AC3149">
        <v>0.462500000000034</v>
      </c>
      <c r="AD3149">
        <v>-8.6302000000000101E-2</v>
      </c>
      <c r="AE3149">
        <v>-0.60444999999999904</v>
      </c>
      <c r="AF3149">
        <v>-0.485533812047095</v>
      </c>
      <c r="AG3149">
        <v>-8.6302000000000101E-2</v>
      </c>
      <c r="AH3149">
        <v>0.57350618670620801</v>
      </c>
      <c r="AI3149">
        <v>96.551703007830596</v>
      </c>
      <c r="AJ3149">
        <v>130.2514541244</v>
      </c>
      <c r="AK3149">
        <v>0.75637323064428996</v>
      </c>
      <c r="AL3149">
        <v>86.329657783910307</v>
      </c>
      <c r="AM3149">
        <v>98.958742574924003</v>
      </c>
      <c r="AN3149">
        <v>0.99999995965383004</v>
      </c>
    </row>
    <row r="3150" spans="1:40" x14ac:dyDescent="0.3">
      <c r="A3150" t="str">
        <f>"20200111153940444"</f>
        <v>20200111153940444</v>
      </c>
      <c r="B3150" t="str">
        <f>"1578728380433990"</f>
        <v>1578728380433990</v>
      </c>
      <c r="C3150" t="s">
        <v>40</v>
      </c>
      <c r="D3150">
        <v>5.2019729999999997</v>
      </c>
      <c r="E3150">
        <v>0.37586770000000003</v>
      </c>
      <c r="F3150" t="s">
        <v>41</v>
      </c>
      <c r="G3150">
        <v>-421.34460000000001</v>
      </c>
      <c r="H3150">
        <v>1.0243979999999999</v>
      </c>
      <c r="I3150">
        <v>61.199770000000001</v>
      </c>
      <c r="J3150">
        <v>-421.77339999999998</v>
      </c>
      <c r="K3150">
        <v>1.10517</v>
      </c>
      <c r="L3150">
        <v>61.778750000000002</v>
      </c>
      <c r="M3150">
        <v>-4.8709879999999997E-2</v>
      </c>
      <c r="N3150">
        <v>0</v>
      </c>
      <c r="O3150">
        <v>-0.998726</v>
      </c>
      <c r="P3150">
        <v>0.10778069999999999</v>
      </c>
      <c r="Q3150">
        <v>5.1365729999999998E-2</v>
      </c>
      <c r="R3150">
        <v>-0.99284740000000005</v>
      </c>
      <c r="S3150">
        <v>1.284454</v>
      </c>
      <c r="T3150">
        <v>-0.25151859999999998</v>
      </c>
      <c r="U3150">
        <v>-2.896423</v>
      </c>
      <c r="V3150">
        <v>-0.15609819999999999</v>
      </c>
      <c r="W3150">
        <v>6.4186590000000002E-2</v>
      </c>
      <c r="X3150">
        <v>0.98565380000000002</v>
      </c>
      <c r="Y3150">
        <v>-0.4481907</v>
      </c>
      <c r="Z3150">
        <v>7.8125699999999895E-2</v>
      </c>
      <c r="AA3150">
        <v>0.89051749999999996</v>
      </c>
      <c r="AB3150">
        <v>36</v>
      </c>
      <c r="AC3150">
        <v>0.42879999999996699</v>
      </c>
      <c r="AD3150">
        <v>-8.0771999999999997E-2</v>
      </c>
      <c r="AE3150">
        <v>-0.57898000000000804</v>
      </c>
      <c r="AF3150">
        <v>-0.45082919061021598</v>
      </c>
      <c r="AG3150">
        <v>-8.0771999999999997E-2</v>
      </c>
      <c r="AH3150">
        <v>0.55048526284823696</v>
      </c>
      <c r="AI3150">
        <v>96.476382731008599</v>
      </c>
      <c r="AJ3150">
        <v>129.31633992666801</v>
      </c>
      <c r="AK3150">
        <v>0.71610411233517901</v>
      </c>
      <c r="AL3150">
        <v>86.319849311773098</v>
      </c>
      <c r="AM3150">
        <v>98.999204653519101</v>
      </c>
      <c r="AN3150">
        <v>0.99999998991675398</v>
      </c>
    </row>
    <row r="3151" spans="1:40" x14ac:dyDescent="0.3">
      <c r="A3151" t="str">
        <f>"20200111153940465"</f>
        <v>20200111153940465</v>
      </c>
      <c r="B3151" t="str">
        <f>"1578728380454486"</f>
        <v>1578728380454486</v>
      </c>
      <c r="C3151" t="s">
        <v>40</v>
      </c>
      <c r="D3151">
        <v>5.4078839999999904</v>
      </c>
      <c r="E3151">
        <v>0.37592690000000001</v>
      </c>
      <c r="F3151" t="s">
        <v>41</v>
      </c>
      <c r="G3151">
        <v>-421.37349999999998</v>
      </c>
      <c r="H3151">
        <v>1.025647</v>
      </c>
      <c r="I3151">
        <v>60.87856</v>
      </c>
      <c r="J3151">
        <v>-421.78879999999998</v>
      </c>
      <c r="K3151">
        <v>1.105229</v>
      </c>
      <c r="L3151">
        <v>61.451259999999998</v>
      </c>
      <c r="M3151">
        <v>-4.8028660000000001E-2</v>
      </c>
      <c r="N3151">
        <v>0</v>
      </c>
      <c r="O3151">
        <v>-0.99875840000000005</v>
      </c>
      <c r="P3151">
        <v>0.1086438</v>
      </c>
      <c r="Q3151">
        <v>4.9565430000000001E-2</v>
      </c>
      <c r="R3151">
        <v>-0.99284430000000001</v>
      </c>
      <c r="S3151">
        <v>1.2869870000000001</v>
      </c>
      <c r="T3151">
        <v>-0.25575879999999901</v>
      </c>
      <c r="U3151">
        <v>-2.8951419999999999</v>
      </c>
      <c r="V3151">
        <v>-0.15629560000000001</v>
      </c>
      <c r="W3151">
        <v>6.2386339999999998E-2</v>
      </c>
      <c r="X3151">
        <v>0.98573809999999995</v>
      </c>
      <c r="Y3151">
        <v>-0.4483355</v>
      </c>
      <c r="Z3151">
        <v>7.9453159999999995E-2</v>
      </c>
      <c r="AA3151">
        <v>0.89032719999999899</v>
      </c>
      <c r="AB3151">
        <v>36</v>
      </c>
      <c r="AC3151">
        <v>0.415300000000002</v>
      </c>
      <c r="AD3151">
        <v>-7.9582E-2</v>
      </c>
      <c r="AE3151">
        <v>-0.57269999999999699</v>
      </c>
      <c r="AF3151">
        <v>-0.43680135702623601</v>
      </c>
      <c r="AG3151">
        <v>-7.9582E-2</v>
      </c>
      <c r="AH3151">
        <v>0.54519153884874705</v>
      </c>
      <c r="AI3151">
        <v>96.498997758105403</v>
      </c>
      <c r="AJ3151">
        <v>128.70131677262299</v>
      </c>
      <c r="AK3151">
        <v>0.70310919084892298</v>
      </c>
      <c r="AL3151">
        <v>86.423203222658202</v>
      </c>
      <c r="AM3151">
        <v>99.009640428501001</v>
      </c>
      <c r="AN3151">
        <v>0.99999998589478201</v>
      </c>
    </row>
    <row r="3152" spans="1:40" x14ac:dyDescent="0.3">
      <c r="A3152" t="str">
        <f>"20200111153940489"</f>
        <v>20200111153940489</v>
      </c>
      <c r="B3152" t="str">
        <f>"1578728380483766"</f>
        <v>1578728380483766</v>
      </c>
      <c r="C3152" t="s">
        <v>40</v>
      </c>
      <c r="D3152">
        <v>5.4040330000000001</v>
      </c>
      <c r="E3152">
        <v>0.47221160000000001</v>
      </c>
      <c r="F3152" t="s">
        <v>41</v>
      </c>
      <c r="G3152">
        <v>-421.39190000000002</v>
      </c>
      <c r="H3152">
        <v>1.023757</v>
      </c>
      <c r="I3152">
        <v>60.559249999999999</v>
      </c>
      <c r="J3152">
        <v>-421.80610000000001</v>
      </c>
      <c r="K3152">
        <v>1.105302</v>
      </c>
      <c r="L3152">
        <v>61.073210000000003</v>
      </c>
      <c r="M3152">
        <v>-4.7170169999999997E-2</v>
      </c>
      <c r="N3152">
        <v>0</v>
      </c>
      <c r="O3152">
        <v>-0.9987992</v>
      </c>
      <c r="P3152">
        <v>0.108956</v>
      </c>
      <c r="Q3152">
        <v>4.681768E-2</v>
      </c>
      <c r="R3152">
        <v>-0.99294380000000004</v>
      </c>
      <c r="S3152">
        <v>1.28772</v>
      </c>
      <c r="T3152">
        <v>-0.26432129999999998</v>
      </c>
      <c r="U3152">
        <v>-2.8939210000000002</v>
      </c>
      <c r="V3152">
        <v>-0.1557703</v>
      </c>
      <c r="W3152">
        <v>5.9644870000000003E-2</v>
      </c>
      <c r="X3152">
        <v>0.9859909</v>
      </c>
      <c r="Y3152">
        <v>-0.44780639999999999</v>
      </c>
      <c r="Z3152">
        <v>8.2137580000000002E-2</v>
      </c>
      <c r="AA3152">
        <v>0.89034990000000003</v>
      </c>
      <c r="AB3152">
        <v>36</v>
      </c>
      <c r="AC3152">
        <v>0.41419999999999302</v>
      </c>
      <c r="AD3152">
        <v>-8.1544999999999895E-2</v>
      </c>
      <c r="AE3152">
        <v>-0.51395999999999697</v>
      </c>
      <c r="AF3152">
        <v>-0.43140083945971802</v>
      </c>
      <c r="AG3152">
        <v>-8.1544999999999895E-2</v>
      </c>
      <c r="AH3152">
        <v>0.48642474011868297</v>
      </c>
      <c r="AI3152">
        <v>97.1488124988023</v>
      </c>
      <c r="AJ3152">
        <v>131.56920816273899</v>
      </c>
      <c r="AK3152">
        <v>0.65525971882229805</v>
      </c>
      <c r="AL3152">
        <v>86.580571107167899</v>
      </c>
      <c r="AM3152">
        <v>98.977588970830297</v>
      </c>
      <c r="AN3152">
        <v>0.99999997588110801</v>
      </c>
    </row>
    <row r="3153" spans="1:40" x14ac:dyDescent="0.3">
      <c r="A3153" t="str">
        <f>"20200111153940512"</f>
        <v>20200111153940512</v>
      </c>
      <c r="B3153" t="str">
        <f>"1578728380504261"</f>
        <v>1578728380504261</v>
      </c>
      <c r="C3153" t="s">
        <v>40</v>
      </c>
      <c r="D3153">
        <v>5.7564169999999999</v>
      </c>
      <c r="E3153">
        <v>0.5614209</v>
      </c>
      <c r="F3153" t="s">
        <v>42</v>
      </c>
      <c r="G3153">
        <v>-419.58390000000003</v>
      </c>
      <c r="H3153" s="1">
        <v>-3.8593329999999999E-6</v>
      </c>
      <c r="I3153">
        <v>48.456919999999997</v>
      </c>
      <c r="J3153">
        <v>-421.82279999999997</v>
      </c>
      <c r="K3153">
        <v>1.105372</v>
      </c>
      <c r="L3153">
        <v>60.700229999999998</v>
      </c>
      <c r="M3153">
        <v>-4.6264520000000003E-2</v>
      </c>
      <c r="N3153">
        <v>0</v>
      </c>
      <c r="O3153">
        <v>-0.99884090000000003</v>
      </c>
      <c r="P3153">
        <v>0.10917789999999999</v>
      </c>
      <c r="Q3153">
        <v>4.4829849999999997E-2</v>
      </c>
      <c r="R3153">
        <v>-0.99301059999999997</v>
      </c>
      <c r="S3153">
        <v>0.52420040000000001</v>
      </c>
      <c r="T3153">
        <v>-0.26073479999999999</v>
      </c>
      <c r="U3153">
        <v>-2.976105</v>
      </c>
      <c r="V3153">
        <v>-0.1551061</v>
      </c>
      <c r="W3153">
        <v>5.7670829999999999E-2</v>
      </c>
      <c r="X3153">
        <v>0.98621300000000001</v>
      </c>
      <c r="Y3153">
        <v>-0.21821070000000001</v>
      </c>
      <c r="Z3153">
        <v>8.543009E-2</v>
      </c>
      <c r="AA3153">
        <v>0.9721552</v>
      </c>
      <c r="AB3153">
        <v>36</v>
      </c>
      <c r="AC3153">
        <v>2.2388999999999402</v>
      </c>
      <c r="AD3153">
        <v>-1.1053758593330001</v>
      </c>
      <c r="AE3153">
        <v>-12.243309999999999</v>
      </c>
      <c r="AF3153">
        <v>-2.7810476719859598</v>
      </c>
      <c r="AG3153">
        <v>-1.1053758593330001</v>
      </c>
      <c r="AH3153">
        <v>12.0317075320842</v>
      </c>
      <c r="AI3153">
        <v>95.115018138856399</v>
      </c>
      <c r="AJ3153">
        <v>103.014959920405</v>
      </c>
      <c r="AK3153">
        <v>12.398309081558899</v>
      </c>
      <c r="AL3153">
        <v>86.693870301924704</v>
      </c>
      <c r="AM3153">
        <v>98.937947563431607</v>
      </c>
      <c r="AN3153">
        <v>0.99999995412954801</v>
      </c>
    </row>
    <row r="3154" spans="1:40" x14ac:dyDescent="0.3">
      <c r="A3154" t="str">
        <f>"20200111153940535"</f>
        <v>20200111153940535</v>
      </c>
      <c r="B3154" t="str">
        <f>"1578728380523781"</f>
        <v>1578728380523781</v>
      </c>
      <c r="C3154" t="s">
        <v>40</v>
      </c>
      <c r="D3154">
        <v>5.6326080000000003</v>
      </c>
      <c r="E3154">
        <v>0.58160100000000003</v>
      </c>
      <c r="F3154" t="s">
        <v>42</v>
      </c>
      <c r="G3154">
        <v>-422.72739999999999</v>
      </c>
      <c r="H3154" s="1">
        <v>-3.260557E-6</v>
      </c>
      <c r="I3154">
        <v>45.497920000000001</v>
      </c>
      <c r="J3154">
        <v>-421.83859999999999</v>
      </c>
      <c r="K3154">
        <v>1.105429</v>
      </c>
      <c r="L3154">
        <v>60.34149</v>
      </c>
      <c r="M3154">
        <v>-4.5352000000000003E-2</v>
      </c>
      <c r="N3154">
        <v>0</v>
      </c>
      <c r="O3154">
        <v>-0.99888259999999995</v>
      </c>
      <c r="P3154">
        <v>0.10922</v>
      </c>
      <c r="Q3154">
        <v>4.367062E-2</v>
      </c>
      <c r="R3154">
        <v>-0.99305810000000005</v>
      </c>
      <c r="S3154">
        <v>-0.18154909999999999</v>
      </c>
      <c r="T3154">
        <v>-0.22184770000000001</v>
      </c>
      <c r="U3154">
        <v>-3.0510860000000002</v>
      </c>
      <c r="V3154">
        <v>-0.15425320000000001</v>
      </c>
      <c r="W3154">
        <v>5.6527340000000002E-2</v>
      </c>
      <c r="X3154">
        <v>0.98641299999999998</v>
      </c>
      <c r="Y3154">
        <v>1.39052E-2</v>
      </c>
      <c r="Z3154">
        <v>7.2340760000000004E-2</v>
      </c>
      <c r="AA3154">
        <v>0.99728300000000003</v>
      </c>
      <c r="AB3154">
        <v>36</v>
      </c>
      <c r="AC3154">
        <v>-0.88880000000000303</v>
      </c>
      <c r="AD3154">
        <v>-1.1054322605569999</v>
      </c>
      <c r="AE3154">
        <v>-14.84357</v>
      </c>
      <c r="AF3154">
        <v>0.21346059370400899</v>
      </c>
      <c r="AG3154">
        <v>-1.1054322605569999</v>
      </c>
      <c r="AH3154">
        <v>14.786890145580299</v>
      </c>
      <c r="AI3154">
        <v>94.274897905359794</v>
      </c>
      <c r="AJ3154">
        <v>89.172947014269596</v>
      </c>
      <c r="AK3154">
        <v>14.8296886712165</v>
      </c>
      <c r="AL3154">
        <v>86.759494667354502</v>
      </c>
      <c r="AM3154">
        <v>98.887812865602896</v>
      </c>
      <c r="AN3154">
        <v>0.99999999822335695</v>
      </c>
    </row>
    <row r="3155" spans="1:40" x14ac:dyDescent="0.3">
      <c r="A3155" t="str">
        <f>"20200111153940558"</f>
        <v>20200111153940558</v>
      </c>
      <c r="B3155" t="str">
        <f>"1578728380554038"</f>
        <v>1578728380554038</v>
      </c>
      <c r="C3155" t="s">
        <v>40</v>
      </c>
      <c r="D3155">
        <v>5.5198929999999997</v>
      </c>
      <c r="E3155">
        <v>0.59004309999999904</v>
      </c>
      <c r="F3155" t="s">
        <v>41</v>
      </c>
      <c r="G3155">
        <v>-421.95319999999998</v>
      </c>
      <c r="H3155">
        <v>1.0264070000000001</v>
      </c>
      <c r="I3155">
        <v>59.315449999999998</v>
      </c>
      <c r="J3155">
        <v>-421.85449999999997</v>
      </c>
      <c r="K3155">
        <v>1.1054870000000001</v>
      </c>
      <c r="L3155">
        <v>59.96848</v>
      </c>
      <c r="M3155">
        <v>-4.4375520000000002E-2</v>
      </c>
      <c r="N3155">
        <v>0</v>
      </c>
      <c r="O3155">
        <v>-0.99892590000000003</v>
      </c>
      <c r="P3155">
        <v>0.1099815</v>
      </c>
      <c r="Q3155">
        <v>4.3531960000000001E-2</v>
      </c>
      <c r="R3155">
        <v>-0.99298010000000003</v>
      </c>
      <c r="S3155">
        <v>-0.34259030000000001</v>
      </c>
      <c r="T3155">
        <v>-0.23639099999999999</v>
      </c>
      <c r="U3155">
        <v>-3.069061</v>
      </c>
      <c r="V3155">
        <v>-0.15405060000000001</v>
      </c>
      <c r="W3155">
        <v>5.6404030000000001E-2</v>
      </c>
      <c r="X3155">
        <v>0.98645170000000004</v>
      </c>
      <c r="Y3155">
        <v>6.6399100000000003E-2</v>
      </c>
      <c r="Z3155">
        <v>7.6362920000000001E-2</v>
      </c>
      <c r="AA3155">
        <v>0.99486669999999999</v>
      </c>
      <c r="AB3155">
        <v>36</v>
      </c>
      <c r="AC3155">
        <v>-9.8700000000008004E-2</v>
      </c>
      <c r="AD3155">
        <v>-7.9079999999999998E-2</v>
      </c>
      <c r="AE3155">
        <v>-0.65303000000000799</v>
      </c>
      <c r="AF3155">
        <v>6.8637576505005196E-2</v>
      </c>
      <c r="AG3155">
        <v>-7.9079999999999998E-2</v>
      </c>
      <c r="AH3155">
        <v>0.64748388806560198</v>
      </c>
      <c r="AI3155">
        <v>96.924873792372694</v>
      </c>
      <c r="AJ3155">
        <v>83.948867061697698</v>
      </c>
      <c r="AK3155">
        <v>0.65589644656228197</v>
      </c>
      <c r="AL3155">
        <v>86.766571038518904</v>
      </c>
      <c r="AM3155">
        <v>98.875982708090206</v>
      </c>
      <c r="AN3155">
        <v>0.99999997919674499</v>
      </c>
    </row>
    <row r="3156" spans="1:40" x14ac:dyDescent="0.3">
      <c r="A3156" t="str">
        <f>"20200111153940581"</f>
        <v>20200111153940581</v>
      </c>
      <c r="B3156" t="str">
        <f>"1578728380574533"</f>
        <v>1578728380574533</v>
      </c>
      <c r="C3156" t="s">
        <v>40</v>
      </c>
      <c r="D3156">
        <v>5.5230739999999896</v>
      </c>
      <c r="E3156">
        <v>0.59122629999999998</v>
      </c>
      <c r="F3156" t="s">
        <v>41</v>
      </c>
      <c r="G3156">
        <v>-421.98360000000002</v>
      </c>
      <c r="H3156">
        <v>1.0348120000000001</v>
      </c>
      <c r="I3156">
        <v>58.993980000000001</v>
      </c>
      <c r="J3156">
        <v>-421.8698</v>
      </c>
      <c r="K3156">
        <v>1.1055459999999999</v>
      </c>
      <c r="L3156">
        <v>59.60266</v>
      </c>
      <c r="M3156">
        <v>-4.3405659999999999E-2</v>
      </c>
      <c r="N3156">
        <v>0</v>
      </c>
      <c r="O3156">
        <v>-0.99896819999999997</v>
      </c>
      <c r="P3156">
        <v>0.1113686</v>
      </c>
      <c r="Q3156">
        <v>4.4296040000000002E-2</v>
      </c>
      <c r="R3156">
        <v>-0.9927918</v>
      </c>
      <c r="S3156">
        <v>-0.4068909</v>
      </c>
      <c r="T3156">
        <v>-0.22312070000000001</v>
      </c>
      <c r="U3156">
        <v>-3.07605</v>
      </c>
      <c r="V3156">
        <v>-0.15447469999999999</v>
      </c>
      <c r="W3156">
        <v>5.7181450000000002E-2</v>
      </c>
      <c r="X3156">
        <v>0.98634060000000001</v>
      </c>
      <c r="Y3156">
        <v>8.7638030000000006E-2</v>
      </c>
      <c r="Z3156">
        <v>7.1792679999999998E-2</v>
      </c>
      <c r="AA3156">
        <v>0.99356199999999995</v>
      </c>
      <c r="AB3156">
        <v>36</v>
      </c>
      <c r="AC3156">
        <v>-0.11380000000002601</v>
      </c>
      <c r="AD3156">
        <v>-7.0733999999999797E-2</v>
      </c>
      <c r="AE3156">
        <v>-0.60867999999999201</v>
      </c>
      <c r="AF3156">
        <v>8.6146143879708398E-2</v>
      </c>
      <c r="AG3156">
        <v>-7.0733999999999797E-2</v>
      </c>
      <c r="AH3156">
        <v>0.60515000541893504</v>
      </c>
      <c r="AI3156">
        <v>96.600911606068195</v>
      </c>
      <c r="AJ3156">
        <v>81.898093500086006</v>
      </c>
      <c r="AK3156">
        <v>0.61532998132699501</v>
      </c>
      <c r="AL3156">
        <v>86.721956096671093</v>
      </c>
      <c r="AM3156">
        <v>98.9010139969443</v>
      </c>
      <c r="AN3156">
        <v>0.99999996518627499</v>
      </c>
    </row>
    <row r="3157" spans="1:40" x14ac:dyDescent="0.3">
      <c r="A3157" t="str">
        <f>"20200111153940600"</f>
        <v>20200111153940600</v>
      </c>
      <c r="B3157" t="str">
        <f>"1578728380594054"</f>
        <v>1578728380594054</v>
      </c>
      <c r="C3157" t="s">
        <v>40</v>
      </c>
      <c r="D3157">
        <v>5.4542669999999998</v>
      </c>
      <c r="E3157">
        <v>0.59184859999999995</v>
      </c>
      <c r="F3157" t="s">
        <v>41</v>
      </c>
      <c r="G3157">
        <v>-421.99430000000001</v>
      </c>
      <c r="H3157">
        <v>1.040486</v>
      </c>
      <c r="I3157">
        <v>58.673219999999901</v>
      </c>
      <c r="J3157">
        <v>-421.88189999999997</v>
      </c>
      <c r="K3157">
        <v>1.1055919999999999</v>
      </c>
      <c r="L3157">
        <v>59.30789</v>
      </c>
      <c r="M3157">
        <v>-4.2621020000000003E-2</v>
      </c>
      <c r="N3157">
        <v>0</v>
      </c>
      <c r="O3157">
        <v>-0.99900169999999999</v>
      </c>
      <c r="P3157">
        <v>0.1121321</v>
      </c>
      <c r="Q3157">
        <v>4.7036550000000003E-2</v>
      </c>
      <c r="R3157">
        <v>-0.99257960000000001</v>
      </c>
      <c r="S3157">
        <v>-0.41189579999999998</v>
      </c>
      <c r="T3157">
        <v>-0.21546280000000001</v>
      </c>
      <c r="U3157">
        <v>-3.0776059999999998</v>
      </c>
      <c r="V3157">
        <v>-0.15446099999999999</v>
      </c>
      <c r="W3157">
        <v>5.9932829999999999E-2</v>
      </c>
      <c r="X3157">
        <v>0.98617940000000004</v>
      </c>
      <c r="Y3157">
        <v>8.9965970000000006E-2</v>
      </c>
      <c r="Z3157">
        <v>6.9295090000000004E-2</v>
      </c>
      <c r="AA3157">
        <v>0.99353119999999995</v>
      </c>
      <c r="AB3157">
        <v>36</v>
      </c>
      <c r="AC3157">
        <v>-0.112400000000036</v>
      </c>
      <c r="AD3157">
        <v>-6.5105999999999803E-2</v>
      </c>
      <c r="AE3157">
        <v>-0.63467000000000695</v>
      </c>
      <c r="AF3157">
        <v>8.4384156726101903E-2</v>
      </c>
      <c r="AG3157">
        <v>-6.5105999999999803E-2</v>
      </c>
      <c r="AH3157">
        <v>0.63243142287049003</v>
      </c>
      <c r="AI3157">
        <v>95.826365622586493</v>
      </c>
      <c r="AJ3157">
        <v>82.400018819975401</v>
      </c>
      <c r="AK3157">
        <v>0.64134934456688097</v>
      </c>
      <c r="AL3157">
        <v>86.564042648583694</v>
      </c>
      <c r="AM3157">
        <v>98.901668753781706</v>
      </c>
      <c r="AN3157">
        <v>0.99999997680858399</v>
      </c>
    </row>
    <row r="3158" spans="1:40" x14ac:dyDescent="0.3">
      <c r="A3158" t="str">
        <f>"20200111153940644"</f>
        <v>20200111153940644</v>
      </c>
      <c r="B3158" t="str">
        <f>"1578728380634069"</f>
        <v>1578728380634069</v>
      </c>
      <c r="C3158" t="s">
        <v>40</v>
      </c>
      <c r="D3158">
        <v>5.4079870000000003</v>
      </c>
      <c r="E3158">
        <v>0.59193619999999902</v>
      </c>
      <c r="F3158" t="s">
        <v>41</v>
      </c>
      <c r="G3158">
        <v>-422.01029999999997</v>
      </c>
      <c r="H3158">
        <v>1.04362</v>
      </c>
      <c r="I3158">
        <v>58.354120000000002</v>
      </c>
      <c r="J3158">
        <v>-421.90949999999998</v>
      </c>
      <c r="K3158">
        <v>1.1056539999999999</v>
      </c>
      <c r="L3158">
        <v>58.610259999999997</v>
      </c>
      <c r="M3158">
        <v>-4.0766200000000002E-2</v>
      </c>
      <c r="N3158">
        <v>0</v>
      </c>
      <c r="O3158">
        <v>-0.99907860000000004</v>
      </c>
      <c r="P3158">
        <v>0.1119956</v>
      </c>
      <c r="Q3158">
        <v>5.1017260000000002E-2</v>
      </c>
      <c r="R3158">
        <v>-0.99239829999999996</v>
      </c>
      <c r="S3158">
        <v>-0.41345209999999999</v>
      </c>
      <c r="T3158">
        <v>-0.20014180000000001</v>
      </c>
      <c r="U3158">
        <v>-3.0786129999999998</v>
      </c>
      <c r="V3158">
        <v>-0.15249599999999999</v>
      </c>
      <c r="W3158">
        <v>6.3946760000000005E-2</v>
      </c>
      <c r="X3158">
        <v>0.98623309999999997</v>
      </c>
      <c r="Y3158">
        <v>9.2309409999999995E-2</v>
      </c>
      <c r="Z3158">
        <v>6.4366640000000003E-2</v>
      </c>
      <c r="AA3158">
        <v>0.99364779999999997</v>
      </c>
      <c r="AB3158">
        <v>36</v>
      </c>
      <c r="AC3158">
        <v>-0.10079999999999199</v>
      </c>
      <c r="AD3158">
        <v>-6.2034000000000103E-2</v>
      </c>
      <c r="AE3158">
        <v>-0.25614000000000198</v>
      </c>
      <c r="AF3158">
        <v>8.59100875225174E-2</v>
      </c>
      <c r="AG3158">
        <v>-6.2034000000000103E-2</v>
      </c>
      <c r="AH3158">
        <v>0.247467928231937</v>
      </c>
      <c r="AI3158">
        <v>103.322833359928</v>
      </c>
      <c r="AJ3158">
        <v>70.855225611099101</v>
      </c>
      <c r="AK3158">
        <v>0.269200920870516</v>
      </c>
      <c r="AL3158">
        <v>86.333618783877597</v>
      </c>
      <c r="AM3158">
        <v>98.789733337525703</v>
      </c>
      <c r="AN3158">
        <v>0.99999997283305297</v>
      </c>
    </row>
    <row r="3159" spans="1:40" x14ac:dyDescent="0.3">
      <c r="A3159" t="str">
        <f>"20200111153940666"</f>
        <v>20200111153940666</v>
      </c>
      <c r="B3159" t="str">
        <f>"1578728380654567"</f>
        <v>1578728380654567</v>
      </c>
      <c r="C3159" t="s">
        <v>40</v>
      </c>
      <c r="D3159">
        <v>5.4101319999999999</v>
      </c>
      <c r="E3159">
        <v>0.59197819999999901</v>
      </c>
      <c r="F3159" t="s">
        <v>41</v>
      </c>
      <c r="G3159">
        <v>-422.03039999999999</v>
      </c>
      <c r="H3159">
        <v>1.0528040000000001</v>
      </c>
      <c r="I3159">
        <v>57.711019999999998</v>
      </c>
      <c r="J3159">
        <v>-421.9228</v>
      </c>
      <c r="K3159">
        <v>1.1056619999999999</v>
      </c>
      <c r="L3159">
        <v>58.258969999999998</v>
      </c>
      <c r="M3159">
        <v>-3.9836330000000003E-2</v>
      </c>
      <c r="N3159">
        <v>0</v>
      </c>
      <c r="O3159">
        <v>-0.999116</v>
      </c>
      <c r="P3159">
        <v>0.1115583</v>
      </c>
      <c r="Q3159">
        <v>4.9497380000000001E-2</v>
      </c>
      <c r="R3159">
        <v>-0.99252439999999997</v>
      </c>
      <c r="S3159">
        <v>-0.4131165</v>
      </c>
      <c r="T3159">
        <v>-0.18100430000000001</v>
      </c>
      <c r="U3159">
        <v>-3.0789179999999998</v>
      </c>
      <c r="V3159">
        <v>-0.15114369999999999</v>
      </c>
      <c r="W3159">
        <v>6.2446769999999999E-2</v>
      </c>
      <c r="X3159">
        <v>0.98653740000000001</v>
      </c>
      <c r="Y3159">
        <v>9.3166789999999999E-2</v>
      </c>
      <c r="Z3159">
        <v>5.8229639999999999E-2</v>
      </c>
      <c r="AA3159">
        <v>0.99394629999999995</v>
      </c>
      <c r="AB3159">
        <v>36</v>
      </c>
      <c r="AC3159">
        <v>-0.10759999999999</v>
      </c>
      <c r="AD3159">
        <v>-5.2858000000000002E-2</v>
      </c>
      <c r="AE3159">
        <v>-0.54795000000000005</v>
      </c>
      <c r="AF3159">
        <v>8.4923375676562093E-2</v>
      </c>
      <c r="AG3159">
        <v>-5.2858000000000002E-2</v>
      </c>
      <c r="AH3159">
        <v>0.54690150940332505</v>
      </c>
      <c r="AI3159">
        <v>95.455508338342497</v>
      </c>
      <c r="AJ3159">
        <v>81.173549146246302</v>
      </c>
      <c r="AK3159">
        <v>0.55597410810930503</v>
      </c>
      <c r="AL3159">
        <v>86.419734230299895</v>
      </c>
      <c r="AM3159">
        <v>98.710343003598595</v>
      </c>
      <c r="AN3159">
        <v>1.0000000293659399</v>
      </c>
    </row>
    <row r="3160" spans="1:40" x14ac:dyDescent="0.3">
      <c r="A3160" t="str">
        <f>"20200111153940689"</f>
        <v>20200111153940689</v>
      </c>
      <c r="B3160" t="str">
        <f>"1578728380683846"</f>
        <v>1578728380683846</v>
      </c>
      <c r="C3160" t="s">
        <v>40</v>
      </c>
      <c r="D3160">
        <v>5.4134440000000001</v>
      </c>
      <c r="E3160">
        <v>0.59203779999999995</v>
      </c>
      <c r="F3160" t="s">
        <v>66</v>
      </c>
      <c r="G3160">
        <v>-424.46339999999998</v>
      </c>
      <c r="H3160" s="1">
        <v>-1.283559E-6</v>
      </c>
      <c r="I3160">
        <v>39.390360000000001</v>
      </c>
      <c r="J3160">
        <v>-421.93630000000002</v>
      </c>
      <c r="K3160">
        <v>1.1056649999999999</v>
      </c>
      <c r="L3160">
        <v>57.895940000000003</v>
      </c>
      <c r="M3160">
        <v>-3.8877380000000003E-2</v>
      </c>
      <c r="N3160">
        <v>0</v>
      </c>
      <c r="O3160">
        <v>-0.99915339999999997</v>
      </c>
      <c r="P3160">
        <v>0.1106309</v>
      </c>
      <c r="Q3160">
        <v>4.6163509999999998E-2</v>
      </c>
      <c r="R3160">
        <v>-0.99278869999999997</v>
      </c>
      <c r="S3160">
        <v>-0.41445920000000003</v>
      </c>
      <c r="T3160">
        <v>-0.1803756</v>
      </c>
      <c r="U3160">
        <v>-3.0781860000000001</v>
      </c>
      <c r="V3160">
        <v>-0.1492735</v>
      </c>
      <c r="W3160">
        <v>5.913508E-2</v>
      </c>
      <c r="X3160">
        <v>0.98702610000000002</v>
      </c>
      <c r="Y3160">
        <v>9.4580789999999998E-2</v>
      </c>
      <c r="Z3160">
        <v>5.8039449999999999E-2</v>
      </c>
      <c r="AA3160">
        <v>0.99382389999999998</v>
      </c>
      <c r="AB3160">
        <v>36</v>
      </c>
      <c r="AC3160">
        <v>-2.5270999999999599</v>
      </c>
      <c r="AD3160">
        <v>-1.1056662835590001</v>
      </c>
      <c r="AE3160">
        <v>-18.505579999999998</v>
      </c>
      <c r="AF3160">
        <v>1.7993697608820201</v>
      </c>
      <c r="AG3160">
        <v>-1.1056662835590001</v>
      </c>
      <c r="AH3160">
        <v>18.524923504926001</v>
      </c>
      <c r="AI3160">
        <v>93.399703631451302</v>
      </c>
      <c r="AJ3160">
        <v>84.452128845980994</v>
      </c>
      <c r="AK3160">
        <v>18.644919424077301</v>
      </c>
      <c r="AL3160">
        <v>86.609831752085398</v>
      </c>
      <c r="AM3160">
        <v>98.599990747431406</v>
      </c>
      <c r="AN3160">
        <v>1.0000000287850299</v>
      </c>
    </row>
    <row r="3161" spans="1:40" x14ac:dyDescent="0.3">
      <c r="A3161" t="str">
        <f>"20200111153940712"</f>
        <v>20200111153940712</v>
      </c>
      <c r="B3161" t="str">
        <f>"1578728380704342"</f>
        <v>1578728380704342</v>
      </c>
      <c r="C3161" t="s">
        <v>40</v>
      </c>
      <c r="D3161">
        <v>5.3589789999999997</v>
      </c>
      <c r="E3161">
        <v>0.59206029999999998</v>
      </c>
      <c r="F3161" t="s">
        <v>66</v>
      </c>
      <c r="G3161">
        <v>-424.44779999999997</v>
      </c>
      <c r="H3161" s="1">
        <v>-1.2682899999999999E-6</v>
      </c>
      <c r="I3161">
        <v>39.419469999999997</v>
      </c>
      <c r="J3161">
        <v>-421.94940000000003</v>
      </c>
      <c r="K3161">
        <v>1.1056619999999999</v>
      </c>
      <c r="L3161">
        <v>57.536219999999901</v>
      </c>
      <c r="M3161">
        <v>-3.7927519999999999E-2</v>
      </c>
      <c r="N3161">
        <v>0</v>
      </c>
      <c r="O3161">
        <v>-0.99918969999999896</v>
      </c>
      <c r="P3161">
        <v>0.10962040000000001</v>
      </c>
      <c r="Q3161">
        <v>4.3429200000000001E-2</v>
      </c>
      <c r="R3161">
        <v>-0.99302449999999998</v>
      </c>
      <c r="S3161">
        <v>-0.41824339999999999</v>
      </c>
      <c r="T3161">
        <v>-0.1841314</v>
      </c>
      <c r="U3161">
        <v>-3.076965</v>
      </c>
      <c r="V3161">
        <v>-0.14732770000000001</v>
      </c>
      <c r="W3161">
        <v>5.642117E-2</v>
      </c>
      <c r="X3161">
        <v>0.98747720000000005</v>
      </c>
      <c r="Y3161">
        <v>9.6769709999999995E-2</v>
      </c>
      <c r="Z3161">
        <v>5.925909E-2</v>
      </c>
      <c r="AA3161">
        <v>0.99354109999999995</v>
      </c>
      <c r="AB3161">
        <v>36</v>
      </c>
      <c r="AC3161">
        <v>-2.4983999999999398</v>
      </c>
      <c r="AD3161">
        <v>-1.1056632682900001</v>
      </c>
      <c r="AE3161">
        <v>-18.1167499999999</v>
      </c>
      <c r="AF3161">
        <v>1.8028267381541101</v>
      </c>
      <c r="AG3161">
        <v>-1.1056632682900001</v>
      </c>
      <c r="AH3161">
        <v>18.1322035733637</v>
      </c>
      <c r="AI3161">
        <v>93.472375298952599</v>
      </c>
      <c r="AJ3161">
        <v>84.321926228850998</v>
      </c>
      <c r="AK3161">
        <v>18.255122073997601</v>
      </c>
      <c r="AL3161">
        <v>86.765587522418599</v>
      </c>
      <c r="AM3161">
        <v>98.485711103828507</v>
      </c>
      <c r="AN3161">
        <v>1.0000000100656401</v>
      </c>
    </row>
    <row r="3162" spans="1:40" x14ac:dyDescent="0.3">
      <c r="A3162" t="str">
        <f>"20200111153940738"</f>
        <v>20200111153940738</v>
      </c>
      <c r="B3162" t="str">
        <f>"1578728380733623"</f>
        <v>1578728380733623</v>
      </c>
      <c r="C3162" t="s">
        <v>40</v>
      </c>
      <c r="D3162">
        <v>5.2890649999999999</v>
      </c>
      <c r="E3162">
        <v>0.59227969999999996</v>
      </c>
      <c r="F3162" t="s">
        <v>66</v>
      </c>
      <c r="G3162">
        <v>-424.41419999999999</v>
      </c>
      <c r="H3162" s="1">
        <v>-1.2066429999999999E-6</v>
      </c>
      <c r="I3162">
        <v>39.557479999999998</v>
      </c>
      <c r="J3162">
        <v>-421.96379999999999</v>
      </c>
      <c r="K3162">
        <v>1.105674</v>
      </c>
      <c r="L3162">
        <v>57.123869999999997</v>
      </c>
      <c r="M3162">
        <v>-3.6834319999999997E-2</v>
      </c>
      <c r="N3162">
        <v>0</v>
      </c>
      <c r="O3162">
        <v>-0.99923070000000003</v>
      </c>
      <c r="P3162">
        <v>0.10881490000000001</v>
      </c>
      <c r="Q3162">
        <v>4.1940360000000003E-2</v>
      </c>
      <c r="R3162">
        <v>-0.99317699999999998</v>
      </c>
      <c r="S3162">
        <v>-0.42169190000000001</v>
      </c>
      <c r="T3162">
        <v>-0.18916250000000001</v>
      </c>
      <c r="U3162">
        <v>-3.0758969999999999</v>
      </c>
      <c r="V3162">
        <v>-0.14544499999999999</v>
      </c>
      <c r="W3162">
        <v>5.4950499999999999E-2</v>
      </c>
      <c r="X3162">
        <v>0.98783920000000003</v>
      </c>
      <c r="Y3162">
        <v>9.8984660000000002E-2</v>
      </c>
      <c r="Z3162">
        <v>6.0885679999999998E-2</v>
      </c>
      <c r="AA3162">
        <v>0.99322460000000001</v>
      </c>
      <c r="AB3162">
        <v>36</v>
      </c>
      <c r="AC3162">
        <v>-2.4504000000000001</v>
      </c>
      <c r="AD3162">
        <v>-1.105675206643</v>
      </c>
      <c r="AE3162">
        <v>-17.566389999999998</v>
      </c>
      <c r="AF3162">
        <v>1.7946578234849599</v>
      </c>
      <c r="AG3162">
        <v>-1.105675206643</v>
      </c>
      <c r="AH3162">
        <v>17.5764292438325</v>
      </c>
      <c r="AI3162">
        <v>93.580975731395</v>
      </c>
      <c r="AJ3162">
        <v>84.169965154699199</v>
      </c>
      <c r="AK3162">
        <v>17.702377787445201</v>
      </c>
      <c r="AL3162">
        <v>86.849981775314902</v>
      </c>
      <c r="AM3162">
        <v>98.375794486568196</v>
      </c>
      <c r="AN3162">
        <v>1.0000000452659401</v>
      </c>
    </row>
    <row r="3163" spans="1:40" x14ac:dyDescent="0.3">
      <c r="A3163" t="str">
        <f>"20200111153940778"</f>
        <v>20200111153940778</v>
      </c>
      <c r="B3163" t="str">
        <f>"1578728380773638"</f>
        <v>1578728380773638</v>
      </c>
      <c r="C3163" t="s">
        <v>40</v>
      </c>
      <c r="D3163">
        <v>5.2747169999999999</v>
      </c>
      <c r="E3163">
        <v>0.59257459999999995</v>
      </c>
      <c r="F3163" t="s">
        <v>41</v>
      </c>
      <c r="G3163">
        <v>-422.10120000000001</v>
      </c>
      <c r="H3163">
        <v>1.044484</v>
      </c>
      <c r="I3163">
        <v>56.134300000000003</v>
      </c>
      <c r="J3163">
        <v>-421.9853</v>
      </c>
      <c r="K3163">
        <v>1.105699</v>
      </c>
      <c r="L3163">
        <v>56.488219999999998</v>
      </c>
      <c r="M3163">
        <v>-3.5135769999999997E-2</v>
      </c>
      <c r="N3163">
        <v>0</v>
      </c>
      <c r="O3163">
        <v>-0.99929179999999995</v>
      </c>
      <c r="P3163">
        <v>0.10705389999999999</v>
      </c>
      <c r="Q3163">
        <v>4.1947230000000002E-2</v>
      </c>
      <c r="R3163">
        <v>-0.99336800000000003</v>
      </c>
      <c r="S3163">
        <v>-0.42626950000000002</v>
      </c>
      <c r="T3163">
        <v>-0.19019810000000001</v>
      </c>
      <c r="U3163">
        <v>-3.075348</v>
      </c>
      <c r="V3163">
        <v>-0.14201240000000001</v>
      </c>
      <c r="W3163">
        <v>5.4982879999999998E-2</v>
      </c>
      <c r="X3163">
        <v>0.98833669999999996</v>
      </c>
      <c r="Y3163">
        <v>0.1021475</v>
      </c>
      <c r="Z3163">
        <v>6.1218179999999997E-2</v>
      </c>
      <c r="AA3163">
        <v>0.99288379999999998</v>
      </c>
      <c r="AB3163">
        <v>35</v>
      </c>
      <c r="AC3163">
        <v>-0.11590000000001</v>
      </c>
      <c r="AD3163">
        <v>-6.1214999999999999E-2</v>
      </c>
      <c r="AE3163">
        <v>-0.35391999999999502</v>
      </c>
      <c r="AF3163">
        <v>0.100672022004167</v>
      </c>
      <c r="AG3163">
        <v>-6.1214999999999999E-2</v>
      </c>
      <c r="AH3163">
        <v>0.34836177002310298</v>
      </c>
      <c r="AI3163">
        <v>99.582026057095803</v>
      </c>
      <c r="AJ3163">
        <v>73.881393678975002</v>
      </c>
      <c r="AK3163">
        <v>0.36774727062622298</v>
      </c>
      <c r="AL3163">
        <v>86.848123698883597</v>
      </c>
      <c r="AM3163">
        <v>98.176765124181003</v>
      </c>
      <c r="AN3163">
        <v>1.0000000357068699</v>
      </c>
    </row>
    <row r="3164" spans="1:40" x14ac:dyDescent="0.3">
      <c r="A3164" t="str">
        <f>"20200111153940801"</f>
        <v>20200111153940801</v>
      </c>
      <c r="B3164" t="str">
        <f>"1578728380794133"</f>
        <v>1578728380794133</v>
      </c>
      <c r="C3164" t="s">
        <v>40</v>
      </c>
      <c r="D3164">
        <v>5.2961519999999904</v>
      </c>
      <c r="E3164">
        <v>0.59266169999999996</v>
      </c>
      <c r="F3164" t="s">
        <v>41</v>
      </c>
      <c r="G3164">
        <v>-422.12470000000002</v>
      </c>
      <c r="H3164">
        <v>1.0457799999999999</v>
      </c>
      <c r="I3164">
        <v>55.500590000000003</v>
      </c>
      <c r="J3164">
        <v>-421.99759999999998</v>
      </c>
      <c r="K3164">
        <v>1.10572</v>
      </c>
      <c r="L3164">
        <v>56.109650000000002</v>
      </c>
      <c r="M3164">
        <v>-3.4116430000000003E-2</v>
      </c>
      <c r="N3164">
        <v>0</v>
      </c>
      <c r="O3164">
        <v>-0.99932690000000002</v>
      </c>
      <c r="P3164">
        <v>0.10671849999999999</v>
      </c>
      <c r="Q3164">
        <v>4.1732199999999997E-2</v>
      </c>
      <c r="R3164">
        <v>-0.9934134</v>
      </c>
      <c r="S3164">
        <v>-0.43371579999999899</v>
      </c>
      <c r="T3164">
        <v>-0.18654319999999999</v>
      </c>
      <c r="U3164">
        <v>-3.074646</v>
      </c>
      <c r="V3164">
        <v>-0.14066970000000001</v>
      </c>
      <c r="W3164">
        <v>5.4779099999999997E-2</v>
      </c>
      <c r="X3164">
        <v>0.98853999999999997</v>
      </c>
      <c r="Y3164">
        <v>0.1055608</v>
      </c>
      <c r="Z3164">
        <v>6.0042100000000001E-2</v>
      </c>
      <c r="AA3164">
        <v>0.99259850000000005</v>
      </c>
      <c r="AB3164">
        <v>35</v>
      </c>
      <c r="AC3164">
        <v>-0.12710000000004101</v>
      </c>
      <c r="AD3164">
        <v>-5.9940000000000097E-2</v>
      </c>
      <c r="AE3164">
        <v>-0.60905999999999905</v>
      </c>
      <c r="AF3164">
        <v>0.10526814792718001</v>
      </c>
      <c r="AG3164">
        <v>-5.9940000000000097E-2</v>
      </c>
      <c r="AH3164">
        <v>0.60740457318177099</v>
      </c>
      <c r="AI3164">
        <v>95.553568230074603</v>
      </c>
      <c r="AJ3164">
        <v>80.167838223144798</v>
      </c>
      <c r="AK3164">
        <v>0.61936621000031</v>
      </c>
      <c r="AL3164">
        <v>86.859817015353002</v>
      </c>
      <c r="AM3164">
        <v>98.098842440164503</v>
      </c>
      <c r="AN3164">
        <v>1.0000000229474399</v>
      </c>
    </row>
    <row r="3165" spans="1:40" x14ac:dyDescent="0.3">
      <c r="A3165" t="str">
        <f>"20200111153940823"</f>
        <v>20200111153940823</v>
      </c>
      <c r="B3165" t="str">
        <f>"1578728380813654"</f>
        <v>1578728380813654</v>
      </c>
      <c r="C3165" t="s">
        <v>40</v>
      </c>
      <c r="D3165">
        <v>5.2694999999999999</v>
      </c>
      <c r="E3165">
        <v>0.59277969999999902</v>
      </c>
      <c r="F3165" t="s">
        <v>41</v>
      </c>
      <c r="G3165">
        <v>-422.12950000000001</v>
      </c>
      <c r="H3165">
        <v>1.049966</v>
      </c>
      <c r="I3165">
        <v>55.181330000000003</v>
      </c>
      <c r="J3165">
        <v>-422.00799999999998</v>
      </c>
      <c r="K3165">
        <v>1.105731</v>
      </c>
      <c r="L3165">
        <v>55.775910000000003</v>
      </c>
      <c r="M3165">
        <v>-3.3213340000000001E-2</v>
      </c>
      <c r="N3165">
        <v>0</v>
      </c>
      <c r="O3165">
        <v>-0.99935700000000005</v>
      </c>
      <c r="P3165">
        <v>0.1064452</v>
      </c>
      <c r="Q3165">
        <v>4.1909780000000001E-2</v>
      </c>
      <c r="R3165">
        <v>-0.99343510000000002</v>
      </c>
      <c r="S3165">
        <v>-0.43539430000000001</v>
      </c>
      <c r="T3165">
        <v>-0.184751</v>
      </c>
      <c r="U3165">
        <v>-3.0744319999999998</v>
      </c>
      <c r="V3165">
        <v>-0.13950489999999999</v>
      </c>
      <c r="W3165">
        <v>5.4964319999999997E-2</v>
      </c>
      <c r="X3165">
        <v>0.98869470000000004</v>
      </c>
      <c r="Y3165">
        <v>0.107005</v>
      </c>
      <c r="Z3165">
        <v>5.9467230000000003E-2</v>
      </c>
      <c r="AA3165">
        <v>0.99247850000000004</v>
      </c>
      <c r="AB3165">
        <v>35</v>
      </c>
      <c r="AC3165">
        <v>-0.12149999999996899</v>
      </c>
      <c r="AD3165">
        <v>-5.5765000000000002E-2</v>
      </c>
      <c r="AE3165">
        <v>-0.594579999999993</v>
      </c>
      <c r="AF3165">
        <v>0.10083176479604999</v>
      </c>
      <c r="AG3165">
        <v>-5.5765000000000002E-2</v>
      </c>
      <c r="AH3165">
        <v>0.59327818703368895</v>
      </c>
      <c r="AI3165">
        <v>95.294244235160207</v>
      </c>
      <c r="AJ3165">
        <v>80.354350723241495</v>
      </c>
      <c r="AK3165">
        <v>0.60436395262032905</v>
      </c>
      <c r="AL3165">
        <v>86.849188454079098</v>
      </c>
      <c r="AM3165">
        <v>98.031419264552895</v>
      </c>
      <c r="AN3165">
        <v>0.99999995170258005</v>
      </c>
    </row>
    <row r="3166" spans="1:40" x14ac:dyDescent="0.3">
      <c r="A3166" t="str">
        <f>"20200111153940848"</f>
        <v>20200111153940848</v>
      </c>
      <c r="B3166" t="str">
        <f>"1578728380843909"</f>
        <v>1578728380843909</v>
      </c>
      <c r="C3166" t="s">
        <v>40</v>
      </c>
      <c r="D3166">
        <v>5.2736029999999996</v>
      </c>
      <c r="E3166">
        <v>0.59287400000000001</v>
      </c>
      <c r="F3166" t="s">
        <v>41</v>
      </c>
      <c r="G3166">
        <v>-422.13760000000002</v>
      </c>
      <c r="H3166">
        <v>1.0516019999999999</v>
      </c>
      <c r="I3166">
        <v>54.864269999999998</v>
      </c>
      <c r="J3166">
        <v>-422.02010000000001</v>
      </c>
      <c r="K3166">
        <v>1.1057399999999999</v>
      </c>
      <c r="L3166">
        <v>55.379910000000002</v>
      </c>
      <c r="M3166">
        <v>-3.2137649999999997E-2</v>
      </c>
      <c r="N3166">
        <v>0</v>
      </c>
      <c r="O3166">
        <v>-0.99939230000000001</v>
      </c>
      <c r="P3166">
        <v>0.10615479999999999</v>
      </c>
      <c r="Q3166">
        <v>4.1621499999999999E-2</v>
      </c>
      <c r="R3166">
        <v>-0.99347819999999998</v>
      </c>
      <c r="S3166">
        <v>-0.43634030000000001</v>
      </c>
      <c r="T3166">
        <v>-0.18258460000000001</v>
      </c>
      <c r="U3166">
        <v>-3.0742799999999999</v>
      </c>
      <c r="V3166">
        <v>-0.1381501</v>
      </c>
      <c r="W3166">
        <v>5.4685780000000003E-2</v>
      </c>
      <c r="X3166">
        <v>0.98890040000000001</v>
      </c>
      <c r="Y3166">
        <v>0.108386999999999</v>
      </c>
      <c r="Z3166">
        <v>5.8772669999999999E-2</v>
      </c>
      <c r="AA3166">
        <v>0.99236990000000003</v>
      </c>
      <c r="AB3166">
        <v>35</v>
      </c>
      <c r="AC3166">
        <v>-0.117500000000006</v>
      </c>
      <c r="AD3166">
        <v>-5.4137999999999797E-2</v>
      </c>
      <c r="AE3166">
        <v>-0.51563999999999699</v>
      </c>
      <c r="AF3166">
        <v>9.9820294806886894E-2</v>
      </c>
      <c r="AG3166">
        <v>-5.4137999999999797E-2</v>
      </c>
      <c r="AH3166">
        <v>0.51376628175277606</v>
      </c>
      <c r="AI3166">
        <v>95.905697842016096</v>
      </c>
      <c r="AJ3166">
        <v>79.004916830244298</v>
      </c>
      <c r="AK3166">
        <v>0.52616613969867698</v>
      </c>
      <c r="AL3166">
        <v>86.865171789708896</v>
      </c>
      <c r="AM3166">
        <v>97.952791972662496</v>
      </c>
      <c r="AN3166">
        <v>0.99999999289218899</v>
      </c>
    </row>
    <row r="3167" spans="1:40" x14ac:dyDescent="0.3">
      <c r="A3167" t="str">
        <f>"20200111153940867"</f>
        <v>20200111153940867</v>
      </c>
      <c r="B3167" t="str">
        <f>"1578728380853669"</f>
        <v>1578728380853669</v>
      </c>
      <c r="C3167" t="s">
        <v>40</v>
      </c>
      <c r="D3167">
        <v>5.2668530000000002</v>
      </c>
      <c r="E3167">
        <v>0.59288450000000004</v>
      </c>
      <c r="F3167" t="s">
        <v>66</v>
      </c>
      <c r="G3167">
        <v>-424.68259999999998</v>
      </c>
      <c r="H3167" s="1">
        <v>-2.5121839999999998E-6</v>
      </c>
      <c r="I3167">
        <v>36.696539999999999</v>
      </c>
      <c r="J3167">
        <v>-422.02890000000002</v>
      </c>
      <c r="K3167">
        <v>1.105742</v>
      </c>
      <c r="L3167">
        <v>55.07864</v>
      </c>
      <c r="M3167">
        <v>-3.1317190000000002E-2</v>
      </c>
      <c r="N3167">
        <v>0</v>
      </c>
      <c r="O3167">
        <v>-0.99941829999999998</v>
      </c>
      <c r="P3167">
        <v>0.1059972</v>
      </c>
      <c r="Q3167">
        <v>4.1847389999999998E-2</v>
      </c>
      <c r="R3167">
        <v>-0.99348550000000002</v>
      </c>
      <c r="S3167">
        <v>-0.43807980000000002</v>
      </c>
      <c r="T3167">
        <v>-0.18193690000000001</v>
      </c>
      <c r="U3167">
        <v>-3.0741269999999998</v>
      </c>
      <c r="V3167">
        <v>-0.1371811</v>
      </c>
      <c r="W3167">
        <v>5.4918130000000002E-2</v>
      </c>
      <c r="X3167">
        <v>0.98902239999999997</v>
      </c>
      <c r="Y3167">
        <v>0.109761999999999</v>
      </c>
      <c r="Z3167">
        <v>5.8563299999999999E-2</v>
      </c>
      <c r="AA3167">
        <v>0.99223110000000003</v>
      </c>
      <c r="AB3167">
        <v>35</v>
      </c>
      <c r="AC3167">
        <v>-2.65369999999995</v>
      </c>
      <c r="AD3167">
        <v>-1.1057445121839999</v>
      </c>
      <c r="AE3167">
        <v>-18.382100000000001</v>
      </c>
      <c r="AF3167">
        <v>2.0693350511054001</v>
      </c>
      <c r="AG3167">
        <v>-1.1057445121839999</v>
      </c>
      <c r="AH3167">
        <v>18.3910079925136</v>
      </c>
      <c r="AI3167">
        <v>93.419195914049297</v>
      </c>
      <c r="AJ3167">
        <v>83.580146801863805</v>
      </c>
      <c r="AK3167">
        <v>18.540064548448999</v>
      </c>
      <c r="AL3167">
        <v>86.851839043344299</v>
      </c>
      <c r="AM3167">
        <v>97.896754621305206</v>
      </c>
      <c r="AN3167">
        <v>0.99999998145083302</v>
      </c>
    </row>
    <row r="3168" spans="1:40" x14ac:dyDescent="0.3">
      <c r="A3168" t="str">
        <f>"20200111153940890"</f>
        <v>20200111153940890</v>
      </c>
      <c r="B3168" t="str">
        <f>"1578728380883926"</f>
        <v>1578728380883926</v>
      </c>
      <c r="C3168" t="s">
        <v>40</v>
      </c>
      <c r="D3168">
        <v>5.3294290000000002</v>
      </c>
      <c r="E3168">
        <v>0.59300169999999996</v>
      </c>
      <c r="F3168" t="s">
        <v>66</v>
      </c>
      <c r="G3168">
        <v>-424.7276</v>
      </c>
      <c r="H3168" s="1">
        <v>-2.8434709999999998E-6</v>
      </c>
      <c r="I3168">
        <v>36.185200000000002</v>
      </c>
      <c r="J3168">
        <v>-422.03949999999998</v>
      </c>
      <c r="K3168">
        <v>1.105747</v>
      </c>
      <c r="L3168">
        <v>54.708219999999997</v>
      </c>
      <c r="M3168">
        <v>-3.0307130000000002E-2</v>
      </c>
      <c r="N3168">
        <v>0</v>
      </c>
      <c r="O3168">
        <v>-0.99944949999999999</v>
      </c>
      <c r="P3168">
        <v>0.1059674</v>
      </c>
      <c r="Q3168">
        <v>4.2504409999999999E-2</v>
      </c>
      <c r="R3168">
        <v>-0.99346109999999999</v>
      </c>
      <c r="S3168">
        <v>-0.4390869</v>
      </c>
      <c r="T3168">
        <v>-0.1799125</v>
      </c>
      <c r="U3168">
        <v>-3.0740970000000001</v>
      </c>
      <c r="V3168">
        <v>-0.1361522</v>
      </c>
      <c r="W3168">
        <v>5.5581819999999997E-2</v>
      </c>
      <c r="X3168">
        <v>0.98912750000000005</v>
      </c>
      <c r="Y3168">
        <v>0.1110918</v>
      </c>
      <c r="Z3168">
        <v>5.7911539999999997E-2</v>
      </c>
      <c r="AA3168">
        <v>0.99212140000000004</v>
      </c>
      <c r="AB3168">
        <v>35</v>
      </c>
      <c r="AC3168">
        <v>-2.6881000000000199</v>
      </c>
      <c r="AD3168">
        <v>-1.105749843471</v>
      </c>
      <c r="AE3168">
        <v>-18.523019999999899</v>
      </c>
      <c r="AF3168">
        <v>2.1180420416865799</v>
      </c>
      <c r="AG3168">
        <v>-1.105749843471</v>
      </c>
      <c r="AH3168">
        <v>18.531309359386398</v>
      </c>
      <c r="AI3168">
        <v>93.392712751223996</v>
      </c>
      <c r="AJ3168">
        <v>83.479654646885095</v>
      </c>
      <c r="AK3168">
        <v>18.684705279451698</v>
      </c>
      <c r="AL3168">
        <v>86.813754247288102</v>
      </c>
      <c r="AM3168">
        <v>97.8374429945043</v>
      </c>
      <c r="AN3168">
        <v>0.99999998576780103</v>
      </c>
    </row>
    <row r="3169" spans="1:40" x14ac:dyDescent="0.3">
      <c r="A3169" t="str">
        <f>"20200111153940913"</f>
        <v>20200111153940913</v>
      </c>
      <c r="B3169" t="str">
        <f>"1578728380904421"</f>
        <v>1578728380904421</v>
      </c>
      <c r="C3169" t="s">
        <v>40</v>
      </c>
      <c r="D3169">
        <v>5.4121189999999997</v>
      </c>
      <c r="E3169">
        <v>0.60277630000000004</v>
      </c>
      <c r="F3169" t="s">
        <v>66</v>
      </c>
      <c r="G3169">
        <v>-424.83339999999998</v>
      </c>
      <c r="H3169" s="1">
        <v>-3.485042E-6</v>
      </c>
      <c r="I3169">
        <v>35.19903</v>
      </c>
      <c r="J3169">
        <v>-422.04899999999998</v>
      </c>
      <c r="K3169">
        <v>1.105753</v>
      </c>
      <c r="L3169">
        <v>54.362459999999999</v>
      </c>
      <c r="M3169">
        <v>-2.936366E-2</v>
      </c>
      <c r="N3169">
        <v>0</v>
      </c>
      <c r="O3169">
        <v>-0.99947739999999996</v>
      </c>
      <c r="P3169">
        <v>0.1049895</v>
      </c>
      <c r="Q3169">
        <v>4.3440060000000003E-2</v>
      </c>
      <c r="R3169">
        <v>-0.99352419999999997</v>
      </c>
      <c r="S3169">
        <v>-0.44024659999999899</v>
      </c>
      <c r="T3169">
        <v>-0.17423839999999999</v>
      </c>
      <c r="U3169">
        <v>-3.0741580000000002</v>
      </c>
      <c r="V3169">
        <v>-0.13424449999999999</v>
      </c>
      <c r="W3169">
        <v>5.6526390000000003E-2</v>
      </c>
      <c r="X3169">
        <v>0.98933470000000001</v>
      </c>
      <c r="Y3169">
        <v>0.11240849999999999</v>
      </c>
      <c r="Z3169">
        <v>5.60866E-2</v>
      </c>
      <c r="AA3169">
        <v>0.99207789999999996</v>
      </c>
      <c r="AB3169">
        <v>35</v>
      </c>
      <c r="AC3169">
        <v>-2.7843999999999398</v>
      </c>
      <c r="AD3169">
        <v>-1.1057564850419901</v>
      </c>
      <c r="AE3169">
        <v>-19.163430000000002</v>
      </c>
      <c r="AF3169">
        <v>2.2132228134498502</v>
      </c>
      <c r="AG3169">
        <v>-1.1057564850419901</v>
      </c>
      <c r="AH3169">
        <v>19.174412406675899</v>
      </c>
      <c r="AI3169">
        <v>93.278775303526203</v>
      </c>
      <c r="AJ3169">
        <v>83.415723936036699</v>
      </c>
      <c r="AK3169">
        <v>19.333368660620799</v>
      </c>
      <c r="AL3169">
        <v>86.759549138031105</v>
      </c>
      <c r="AM3169">
        <v>97.727365913745004</v>
      </c>
      <c r="AN3169">
        <v>0.999999983585385</v>
      </c>
    </row>
    <row r="3170" spans="1:40" x14ac:dyDescent="0.3">
      <c r="A3170" t="str">
        <f>"20200111153940933"</f>
        <v>20200111153940933</v>
      </c>
      <c r="B3170" t="str">
        <f>"1578728380923942"</f>
        <v>1578728380923942</v>
      </c>
      <c r="C3170" t="s">
        <v>40</v>
      </c>
      <c r="D3170">
        <v>5.4599960000000003</v>
      </c>
      <c r="E3170">
        <v>0.61223229999999995</v>
      </c>
      <c r="F3170" t="s">
        <v>41</v>
      </c>
      <c r="G3170">
        <v>-422.17649999999998</v>
      </c>
      <c r="H3170">
        <v>1.01572</v>
      </c>
      <c r="I3170">
        <v>53.624859999999998</v>
      </c>
      <c r="J3170">
        <v>-422.05779999999999</v>
      </c>
      <c r="K3170">
        <v>1.105739</v>
      </c>
      <c r="L3170">
        <v>54.032200000000003</v>
      </c>
      <c r="M3170">
        <v>-2.846309E-2</v>
      </c>
      <c r="N3170">
        <v>0</v>
      </c>
      <c r="O3170">
        <v>-0.99950360000000005</v>
      </c>
      <c r="P3170">
        <v>0.1036941</v>
      </c>
      <c r="Q3170">
        <v>4.2687849999999999E-2</v>
      </c>
      <c r="R3170">
        <v>-0.9936931</v>
      </c>
      <c r="S3170">
        <v>-0.53350830000000005</v>
      </c>
      <c r="T3170">
        <v>-0.37756279999999998</v>
      </c>
      <c r="U3170">
        <v>-3.092438</v>
      </c>
      <c r="V3170">
        <v>-0.13206080000000001</v>
      </c>
      <c r="W3170">
        <v>5.5785120000000001E-2</v>
      </c>
      <c r="X3170">
        <v>0.98967059999999996</v>
      </c>
      <c r="Y3170">
        <v>0.14066789999999901</v>
      </c>
      <c r="Z3170">
        <v>0.11964660000000001</v>
      </c>
      <c r="AA3170">
        <v>0.98280069999999997</v>
      </c>
      <c r="AB3170">
        <v>35</v>
      </c>
      <c r="AC3170">
        <v>-0.11869999999998899</v>
      </c>
      <c r="AD3170">
        <v>-9.0018999999999794E-2</v>
      </c>
      <c r="AE3170">
        <v>-0.40734000000000398</v>
      </c>
      <c r="AF3170">
        <v>0.10244510881048401</v>
      </c>
      <c r="AG3170">
        <v>-9.0018999999999794E-2</v>
      </c>
      <c r="AH3170">
        <v>0.39286877961860101</v>
      </c>
      <c r="AI3170">
        <v>102.501296004526</v>
      </c>
      <c r="AJ3170">
        <v>75.384915611102301</v>
      </c>
      <c r="AK3170">
        <v>0.41586572193341598</v>
      </c>
      <c r="AL3170">
        <v>86.802087849625096</v>
      </c>
      <c r="AM3170">
        <v>97.600600025839597</v>
      </c>
      <c r="AN3170">
        <v>0.99999996550720605</v>
      </c>
    </row>
    <row r="3171" spans="1:40" x14ac:dyDescent="0.3">
      <c r="A3171" t="str">
        <f>"20200111153940960"</f>
        <v>20200111153940960</v>
      </c>
      <c r="B3171" t="str">
        <f>"1578728380954198"</f>
        <v>1578728380954198</v>
      </c>
      <c r="C3171" t="s">
        <v>40</v>
      </c>
      <c r="D3171">
        <v>5.4470830000000001</v>
      </c>
      <c r="E3171">
        <v>0.61308209999999996</v>
      </c>
      <c r="F3171" t="s">
        <v>41</v>
      </c>
      <c r="G3171">
        <v>-422.2013</v>
      </c>
      <c r="H3171">
        <v>1.0199560000000001</v>
      </c>
      <c r="I3171">
        <v>53.308259999999997</v>
      </c>
      <c r="J3171">
        <v>-422.06779999999998</v>
      </c>
      <c r="K3171">
        <v>1.1057250000000001</v>
      </c>
      <c r="L3171">
        <v>53.641330000000004</v>
      </c>
      <c r="M3171">
        <v>-2.7396899999999998E-2</v>
      </c>
      <c r="N3171">
        <v>0</v>
      </c>
      <c r="O3171">
        <v>-0.99953340000000002</v>
      </c>
      <c r="P3171">
        <v>0.10342510000000001</v>
      </c>
      <c r="Q3171">
        <v>4.0817220000000001E-2</v>
      </c>
      <c r="R3171">
        <v>-0.9937994</v>
      </c>
      <c r="S3171">
        <v>-0.6127319</v>
      </c>
      <c r="T3171">
        <v>-0.36727949999999998</v>
      </c>
      <c r="U3171">
        <v>-3.0987550000000001</v>
      </c>
      <c r="V3171">
        <v>-0.13073379999999901</v>
      </c>
      <c r="W3171">
        <v>5.392255E-2</v>
      </c>
      <c r="X3171">
        <v>0.98995</v>
      </c>
      <c r="Y3171">
        <v>0.16572490000000001</v>
      </c>
      <c r="Z3171">
        <v>0.1157173</v>
      </c>
      <c r="AA3171">
        <v>0.97935939999999999</v>
      </c>
      <c r="AB3171">
        <v>35</v>
      </c>
      <c r="AC3171">
        <v>-0.13350000000002599</v>
      </c>
      <c r="AD3171">
        <v>-8.5769000000000206E-2</v>
      </c>
      <c r="AE3171">
        <v>-0.33307000000000597</v>
      </c>
      <c r="AF3171">
        <v>0.117604846218637</v>
      </c>
      <c r="AG3171">
        <v>-8.5769000000000206E-2</v>
      </c>
      <c r="AH3171">
        <v>0.31841100376419501</v>
      </c>
      <c r="AI3171">
        <v>104.18074123583401</v>
      </c>
      <c r="AJ3171">
        <v>69.728331797401907</v>
      </c>
      <c r="AK3171">
        <v>0.35010396817692802</v>
      </c>
      <c r="AL3171">
        <v>86.908966246407303</v>
      </c>
      <c r="AM3171">
        <v>97.523006228190496</v>
      </c>
      <c r="AN3171">
        <v>0.99999998518047095</v>
      </c>
    </row>
    <row r="3172" spans="1:40" x14ac:dyDescent="0.3">
      <c r="A3172" t="str">
        <f>"20200111153940980"</f>
        <v>20200111153940980</v>
      </c>
      <c r="B3172" t="str">
        <f>"1578728380973717"</f>
        <v>1578728380973717</v>
      </c>
      <c r="C3172" t="s">
        <v>40</v>
      </c>
      <c r="D3172">
        <v>5.4153159999999998</v>
      </c>
      <c r="E3172">
        <v>0.61363040000000002</v>
      </c>
      <c r="F3172" t="s">
        <v>41</v>
      </c>
      <c r="G3172">
        <v>-422.25880000000001</v>
      </c>
      <c r="H3172">
        <v>0.99788220000000005</v>
      </c>
      <c r="I3172">
        <v>52.690060000000003</v>
      </c>
      <c r="J3172">
        <v>-422.0761</v>
      </c>
      <c r="K3172">
        <v>1.105715</v>
      </c>
      <c r="L3172">
        <v>53.305970000000002</v>
      </c>
      <c r="M3172">
        <v>-2.6482249999999999E-2</v>
      </c>
      <c r="N3172">
        <v>0</v>
      </c>
      <c r="O3172">
        <v>-0.9995579</v>
      </c>
      <c r="P3172">
        <v>0.102243</v>
      </c>
      <c r="Q3172">
        <v>3.9666840000000002E-2</v>
      </c>
      <c r="R3172">
        <v>-0.99396850000000003</v>
      </c>
      <c r="S3172">
        <v>-0.62030030000000003</v>
      </c>
      <c r="T3172">
        <v>-0.35128769999999998</v>
      </c>
      <c r="U3172">
        <v>-3.0976870000000001</v>
      </c>
      <c r="V3172">
        <v>-0.12864780000000001</v>
      </c>
      <c r="W3172">
        <v>5.278215E-2</v>
      </c>
      <c r="X3172">
        <v>0.99028470000000002</v>
      </c>
      <c r="Y3172">
        <v>0.169103799999999</v>
      </c>
      <c r="Z3172">
        <v>0.1107262</v>
      </c>
      <c r="AA3172">
        <v>0.97935879999999997</v>
      </c>
      <c r="AB3172">
        <v>35</v>
      </c>
      <c r="AC3172">
        <v>-0.18270000000001099</v>
      </c>
      <c r="AD3172">
        <v>-0.10783279999999899</v>
      </c>
      <c r="AE3172">
        <v>-0.61590999999999896</v>
      </c>
      <c r="AF3172">
        <v>0.161766210965261</v>
      </c>
      <c r="AG3172">
        <v>-0.10783279999999899</v>
      </c>
      <c r="AH3172">
        <v>0.603529140480767</v>
      </c>
      <c r="AI3172">
        <v>99.791583264760405</v>
      </c>
      <c r="AJ3172">
        <v>74.995476990552802</v>
      </c>
      <c r="AK3172">
        <v>0.63406911545615496</v>
      </c>
      <c r="AL3172">
        <v>86.974399594507702</v>
      </c>
      <c r="AM3172">
        <v>97.401836290832094</v>
      </c>
      <c r="AN3172">
        <v>0.99999999942877604</v>
      </c>
    </row>
    <row r="3173" spans="1:40" x14ac:dyDescent="0.3">
      <c r="A3173" t="str">
        <f>"20200111153941002"</f>
        <v>20200111153941002</v>
      </c>
      <c r="B3173" t="str">
        <f>"1578728380994213"</f>
        <v>1578728380994213</v>
      </c>
      <c r="C3173" t="s">
        <v>40</v>
      </c>
      <c r="D3173">
        <v>5.4794960000000001</v>
      </c>
      <c r="E3173">
        <v>0.61356790000000005</v>
      </c>
      <c r="F3173" t="s">
        <v>41</v>
      </c>
      <c r="G3173">
        <v>-422.2654</v>
      </c>
      <c r="H3173">
        <v>1.000712</v>
      </c>
      <c r="I3173">
        <v>52.374450000000003</v>
      </c>
      <c r="J3173">
        <v>-422.08440000000002</v>
      </c>
      <c r="K3173">
        <v>1.1057079999999999</v>
      </c>
      <c r="L3173">
        <v>52.956240000000001</v>
      </c>
      <c r="M3173">
        <v>-2.5528370000000002E-2</v>
      </c>
      <c r="N3173">
        <v>0</v>
      </c>
      <c r="O3173">
        <v>-0.99958290000000005</v>
      </c>
      <c r="P3173">
        <v>0.1015981</v>
      </c>
      <c r="Q3173">
        <v>3.8459710000000001E-2</v>
      </c>
      <c r="R3173">
        <v>-0.99408229999999997</v>
      </c>
      <c r="S3173">
        <v>-0.62853999999999999</v>
      </c>
      <c r="T3173">
        <v>-0.34910829999999998</v>
      </c>
      <c r="U3173">
        <v>-3.0968019999999998</v>
      </c>
      <c r="V3173">
        <v>-0.12705719999999901</v>
      </c>
      <c r="W3173">
        <v>5.1582629999999997E-2</v>
      </c>
      <c r="X3173">
        <v>0.99055320000000002</v>
      </c>
      <c r="Y3173">
        <v>0.17261650000000001</v>
      </c>
      <c r="Z3173">
        <v>0.1100202</v>
      </c>
      <c r="AA3173">
        <v>0.97882539999999996</v>
      </c>
      <c r="AB3173">
        <v>35</v>
      </c>
      <c r="AC3173">
        <v>-0.18099999999998301</v>
      </c>
      <c r="AD3173">
        <v>-0.10499599999999901</v>
      </c>
      <c r="AE3173">
        <v>-0.58178999999999703</v>
      </c>
      <c r="AF3173">
        <v>0.161297687621268</v>
      </c>
      <c r="AG3173">
        <v>-0.10499599999999901</v>
      </c>
      <c r="AH3173">
        <v>0.56931533518309696</v>
      </c>
      <c r="AI3173">
        <v>100.061888486059</v>
      </c>
      <c r="AJ3173">
        <v>74.181581529233199</v>
      </c>
      <c r="AK3173">
        <v>0.60096676690363704</v>
      </c>
      <c r="AL3173">
        <v>87.0432207117573</v>
      </c>
      <c r="AM3173">
        <v>97.309356017325101</v>
      </c>
      <c r="AN3173">
        <v>0.99999997090989801</v>
      </c>
    </row>
    <row r="3174" spans="1:40" x14ac:dyDescent="0.3">
      <c r="A3174" t="str">
        <f>"20200111153941026"</f>
        <v>20200111153941026</v>
      </c>
      <c r="B3174" t="str">
        <f>"1578728381013734"</f>
        <v>1578728381013734</v>
      </c>
      <c r="C3174" t="s">
        <v>40</v>
      </c>
      <c r="D3174">
        <v>5.5099049999999998</v>
      </c>
      <c r="E3174">
        <v>0.61397559999999995</v>
      </c>
      <c r="F3174" t="s">
        <v>41</v>
      </c>
      <c r="G3174">
        <v>-422.26760000000002</v>
      </c>
      <c r="H3174">
        <v>1.004003</v>
      </c>
      <c r="I3174">
        <v>52.058819999999997</v>
      </c>
      <c r="J3174">
        <v>-422.09280000000001</v>
      </c>
      <c r="K3174">
        <v>1.1056999999999999</v>
      </c>
      <c r="L3174">
        <v>52.586880000000001</v>
      </c>
      <c r="M3174">
        <v>-2.4520650000000001E-2</v>
      </c>
      <c r="N3174">
        <v>0</v>
      </c>
      <c r="O3174">
        <v>-0.99960819999999995</v>
      </c>
      <c r="P3174">
        <v>0.1002994</v>
      </c>
      <c r="Q3174">
        <v>3.7572010000000003E-2</v>
      </c>
      <c r="R3174">
        <v>-0.99424789999999996</v>
      </c>
      <c r="S3174">
        <v>-0.63015750000000004</v>
      </c>
      <c r="T3174">
        <v>-0.35097699999999998</v>
      </c>
      <c r="U3174">
        <v>-3.0958559999999999</v>
      </c>
      <c r="V3174">
        <v>-0.12476180000000001</v>
      </c>
      <c r="W3174">
        <v>5.0705439999999997E-2</v>
      </c>
      <c r="X3174">
        <v>0.9908903</v>
      </c>
      <c r="Y3174">
        <v>0.1741453</v>
      </c>
      <c r="Z3174">
        <v>0.11061799999999999</v>
      </c>
      <c r="AA3174">
        <v>0.97848710000000005</v>
      </c>
      <c r="AB3174">
        <v>35</v>
      </c>
      <c r="AC3174">
        <v>-0.17480000000000401</v>
      </c>
      <c r="AD3174">
        <v>-0.101696999999999</v>
      </c>
      <c r="AE3174">
        <v>-0.52806000000000297</v>
      </c>
      <c r="AF3174">
        <v>0.156564455891682</v>
      </c>
      <c r="AG3174">
        <v>-0.101696999999999</v>
      </c>
      <c r="AH3174">
        <v>0.51497395203651197</v>
      </c>
      <c r="AI3174">
        <v>100.699387320029</v>
      </c>
      <c r="AJ3174">
        <v>73.089467891853701</v>
      </c>
      <c r="AK3174">
        <v>0.54777082793241405</v>
      </c>
      <c r="AL3174">
        <v>87.093546141838601</v>
      </c>
      <c r="AM3174">
        <v>97.176279432770997</v>
      </c>
      <c r="AN3174">
        <v>1.00000006750945</v>
      </c>
    </row>
    <row r="3175" spans="1:40" x14ac:dyDescent="0.3">
      <c r="A3175" t="str">
        <f>"20200111153941046"</f>
        <v>20200111153941046</v>
      </c>
      <c r="B3175" t="str">
        <f>"1578728381034230"</f>
        <v>1578728381034230</v>
      </c>
      <c r="C3175" t="s">
        <v>40</v>
      </c>
      <c r="D3175">
        <v>5.5166130000000004</v>
      </c>
      <c r="E3175">
        <v>0.61416510000000002</v>
      </c>
      <c r="F3175" t="s">
        <v>41</v>
      </c>
      <c r="G3175">
        <v>-422.26690000000002</v>
      </c>
      <c r="H3175">
        <v>1.009792</v>
      </c>
      <c r="I3175">
        <v>51.742199999999997</v>
      </c>
      <c r="J3175">
        <v>-422.09989999999999</v>
      </c>
      <c r="K3175">
        <v>1.1056969999999999</v>
      </c>
      <c r="L3175">
        <v>52.265990000000002</v>
      </c>
      <c r="M3175">
        <v>-2.364511E-2</v>
      </c>
      <c r="N3175">
        <v>0</v>
      </c>
      <c r="O3175">
        <v>-0.99962910000000005</v>
      </c>
      <c r="P3175">
        <v>9.9192390000000005E-2</v>
      </c>
      <c r="Q3175">
        <v>3.6617719999999999E-2</v>
      </c>
      <c r="R3175">
        <v>-0.99439440000000001</v>
      </c>
      <c r="S3175">
        <v>-0.6369629</v>
      </c>
      <c r="T3175">
        <v>-0.35146870000000002</v>
      </c>
      <c r="U3175">
        <v>-3.0948790000000002</v>
      </c>
      <c r="V3175">
        <v>-0.1227881</v>
      </c>
      <c r="W3175">
        <v>4.9759640000000001E-2</v>
      </c>
      <c r="X3175">
        <v>0.99118470000000003</v>
      </c>
      <c r="Y3175">
        <v>0.17712919999999999</v>
      </c>
      <c r="Z3175">
        <v>0.1107548</v>
      </c>
      <c r="AA3175">
        <v>0.97793589999999997</v>
      </c>
      <c r="AB3175">
        <v>35</v>
      </c>
      <c r="AC3175">
        <v>-0.16700000000003001</v>
      </c>
      <c r="AD3175">
        <v>-9.5904999999999893E-2</v>
      </c>
      <c r="AE3175">
        <v>-0.52379000000000497</v>
      </c>
      <c r="AF3175">
        <v>0.15000230217452601</v>
      </c>
      <c r="AG3175">
        <v>-9.5904999999999893E-2</v>
      </c>
      <c r="AH3175">
        <v>0.51201134776708501</v>
      </c>
      <c r="AI3175">
        <v>100.190373043881</v>
      </c>
      <c r="AJ3175">
        <v>73.671169807974707</v>
      </c>
      <c r="AK3175">
        <v>0.54208309319229397</v>
      </c>
      <c r="AL3175">
        <v>87.147804864530499</v>
      </c>
      <c r="AM3175">
        <v>97.061831575173997</v>
      </c>
      <c r="AN3175">
        <v>1.0000000243943099</v>
      </c>
    </row>
    <row r="3176" spans="1:40" x14ac:dyDescent="0.3">
      <c r="A3176" t="str">
        <f>"20200111153941069"</f>
        <v>20200111153941069</v>
      </c>
      <c r="B3176" t="str">
        <f>"1578728381064018"</f>
        <v>1578728381064018</v>
      </c>
      <c r="C3176" t="s">
        <v>40</v>
      </c>
      <c r="D3176">
        <v>5.5843299999999996</v>
      </c>
      <c r="E3176">
        <v>0.61470130000000001</v>
      </c>
      <c r="F3176" t="s">
        <v>41</v>
      </c>
      <c r="G3176">
        <v>-422.27390000000003</v>
      </c>
      <c r="H3176">
        <v>1.009835</v>
      </c>
      <c r="I3176">
        <v>51.4285</v>
      </c>
      <c r="J3176">
        <v>-422.10730000000001</v>
      </c>
      <c r="K3176">
        <v>1.1056859999999999</v>
      </c>
      <c r="L3176">
        <v>51.907069999999997</v>
      </c>
      <c r="M3176">
        <v>-2.2665620000000001E-2</v>
      </c>
      <c r="N3176">
        <v>0</v>
      </c>
      <c r="O3176">
        <v>-0.99965170000000003</v>
      </c>
      <c r="P3176">
        <v>9.8239530000000005E-2</v>
      </c>
      <c r="Q3176">
        <v>3.6494680000000002E-2</v>
      </c>
      <c r="R3176">
        <v>-0.99449339999999997</v>
      </c>
      <c r="S3176">
        <v>-0.64129639999999999</v>
      </c>
      <c r="T3176">
        <v>-0.35426770000000002</v>
      </c>
      <c r="U3176">
        <v>-3.0939329999999998</v>
      </c>
      <c r="V3176">
        <v>-0.1208654</v>
      </c>
      <c r="W3176">
        <v>4.9644389999999997E-2</v>
      </c>
      <c r="X3176">
        <v>0.99142680000000005</v>
      </c>
      <c r="Y3176">
        <v>0.17944579999999999</v>
      </c>
      <c r="Z3176">
        <v>0.1116234</v>
      </c>
      <c r="AA3176">
        <v>0.97741469999999997</v>
      </c>
      <c r="AB3176">
        <v>35</v>
      </c>
      <c r="AC3176">
        <v>-0.16660000000001601</v>
      </c>
      <c r="AD3176">
        <v>-9.5851000000000103E-2</v>
      </c>
      <c r="AE3176">
        <v>-0.47857000000000399</v>
      </c>
      <c r="AF3176">
        <v>0.150330493472178</v>
      </c>
      <c r="AG3176">
        <v>-9.5851000000000103E-2</v>
      </c>
      <c r="AH3176">
        <v>0.46556614211606401</v>
      </c>
      <c r="AI3176">
        <v>101.084985642516</v>
      </c>
      <c r="AJ3176">
        <v>72.104822533626006</v>
      </c>
      <c r="AK3176">
        <v>0.49853636191698603</v>
      </c>
      <c r="AL3176">
        <v>87.154416461538403</v>
      </c>
      <c r="AM3176">
        <v>96.950662182860995</v>
      </c>
      <c r="AN3176">
        <v>1.0000000550669299</v>
      </c>
    </row>
    <row r="3177" spans="1:40" x14ac:dyDescent="0.3">
      <c r="A3177" t="str">
        <f>"20200111153941091"</f>
        <v>20200111153941091</v>
      </c>
      <c r="B3177" t="str">
        <f>"1578728381084513"</f>
        <v>1578728381084513</v>
      </c>
      <c r="C3177" t="s">
        <v>40</v>
      </c>
      <c r="D3177">
        <v>5.6660729999999999</v>
      </c>
      <c r="E3177">
        <v>0.61539319999999997</v>
      </c>
      <c r="F3177" t="s">
        <v>41</v>
      </c>
      <c r="G3177">
        <v>-422.27379999999999</v>
      </c>
      <c r="H3177">
        <v>1.014726</v>
      </c>
      <c r="I3177">
        <v>51.112659999999998</v>
      </c>
      <c r="J3177">
        <v>-422.11410000000001</v>
      </c>
      <c r="K3177">
        <v>1.1056870000000001</v>
      </c>
      <c r="L3177">
        <v>51.56635</v>
      </c>
      <c r="M3177">
        <v>-2.1735790000000001E-2</v>
      </c>
      <c r="N3177">
        <v>0</v>
      </c>
      <c r="O3177">
        <v>-0.99967249999999996</v>
      </c>
      <c r="P3177">
        <v>9.7787979999999997E-2</v>
      </c>
      <c r="Q3177">
        <v>3.6553799999999997E-2</v>
      </c>
      <c r="R3177">
        <v>-0.99453610000000003</v>
      </c>
      <c r="S3177">
        <v>-0.64779659999999994</v>
      </c>
      <c r="T3177">
        <v>-0.35427209999999998</v>
      </c>
      <c r="U3177">
        <v>-3.0935969999999999</v>
      </c>
      <c r="V3177">
        <v>-0.1194925</v>
      </c>
      <c r="W3177">
        <v>4.9708679999999998E-2</v>
      </c>
      <c r="X3177">
        <v>0.99158990000000002</v>
      </c>
      <c r="Y3177">
        <v>0.18235000000000001</v>
      </c>
      <c r="Z3177">
        <v>0.11158650000000001</v>
      </c>
      <c r="AA3177">
        <v>0.97688120000000001</v>
      </c>
      <c r="AB3177">
        <v>35</v>
      </c>
      <c r="AC3177">
        <v>-0.15969999999998599</v>
      </c>
      <c r="AD3177">
        <v>-9.0961E-2</v>
      </c>
      <c r="AE3177">
        <v>-0.45369000000000098</v>
      </c>
      <c r="AF3177">
        <v>0.14462740774462299</v>
      </c>
      <c r="AG3177">
        <v>-9.0961E-2</v>
      </c>
      <c r="AH3177">
        <v>0.44127208002822199</v>
      </c>
      <c r="AI3177">
        <v>101.082832651636</v>
      </c>
      <c r="AJ3177">
        <v>71.853386403200304</v>
      </c>
      <c r="AK3177">
        <v>0.47319344797277502</v>
      </c>
      <c r="AL3177">
        <v>87.150728120311499</v>
      </c>
      <c r="AM3177">
        <v>96.871349960028894</v>
      </c>
      <c r="AN3177">
        <v>0.99999997010279995</v>
      </c>
    </row>
    <row r="3178" spans="1:40" x14ac:dyDescent="0.3">
      <c r="A3178" t="str">
        <f>"20200111153941112"</f>
        <v>20200111153941112</v>
      </c>
      <c r="B3178" t="str">
        <f>"1578728381104033"</f>
        <v>1578728381104033</v>
      </c>
      <c r="C3178" t="s">
        <v>40</v>
      </c>
      <c r="D3178">
        <v>5.6068639999999998</v>
      </c>
      <c r="E3178">
        <v>0.615846</v>
      </c>
      <c r="F3178" t="s">
        <v>41</v>
      </c>
      <c r="G3178">
        <v>-422.27699999999999</v>
      </c>
      <c r="H3178">
        <v>1.016994</v>
      </c>
      <c r="I3178">
        <v>50.798250000000003</v>
      </c>
      <c r="J3178">
        <v>-422.12060000000002</v>
      </c>
      <c r="K3178">
        <v>1.1056889999999999</v>
      </c>
      <c r="L3178">
        <v>51.226230000000001</v>
      </c>
      <c r="M3178">
        <v>-2.080736E-2</v>
      </c>
      <c r="N3178">
        <v>0</v>
      </c>
      <c r="O3178">
        <v>-0.99969229999999998</v>
      </c>
      <c r="P3178">
        <v>9.8448090000000002E-2</v>
      </c>
      <c r="Q3178">
        <v>3.77235E-2</v>
      </c>
      <c r="R3178">
        <v>-0.99442680000000006</v>
      </c>
      <c r="S3178">
        <v>-0.65438839999999998</v>
      </c>
      <c r="T3178">
        <v>-0.35741709999999999</v>
      </c>
      <c r="U3178">
        <v>-3.0939640000000002</v>
      </c>
      <c r="V3178">
        <v>-0.1192307</v>
      </c>
      <c r="W3178">
        <v>5.0878310000000003E-2</v>
      </c>
      <c r="X3178">
        <v>0.9915621</v>
      </c>
      <c r="Y3178">
        <v>0.18521070000000001</v>
      </c>
      <c r="Z3178">
        <v>0.1125004</v>
      </c>
      <c r="AA3178">
        <v>0.97623800000000005</v>
      </c>
      <c r="AB3178">
        <v>35</v>
      </c>
      <c r="AC3178">
        <v>-0.15639999999996201</v>
      </c>
      <c r="AD3178">
        <v>-8.8694999999999899E-2</v>
      </c>
      <c r="AE3178">
        <v>-0.42797999999999797</v>
      </c>
      <c r="AF3178">
        <v>0.142077036540357</v>
      </c>
      <c r="AG3178">
        <v>-8.8694999999999899E-2</v>
      </c>
      <c r="AH3178">
        <v>0.41540271764891801</v>
      </c>
      <c r="AI3178">
        <v>101.421504733931</v>
      </c>
      <c r="AJ3178">
        <v>71.118162754962498</v>
      </c>
      <c r="AK3178">
        <v>0.44789742706025498</v>
      </c>
      <c r="AL3178">
        <v>87.0836283653111</v>
      </c>
      <c r="AM3178">
        <v>96.856629165855594</v>
      </c>
      <c r="AN3178">
        <v>0.99999998020367697</v>
      </c>
    </row>
    <row r="3179" spans="1:40" x14ac:dyDescent="0.3">
      <c r="A3179" t="str">
        <f>"20200111153941158"</f>
        <v>20200111153941158</v>
      </c>
      <c r="B3179" t="str">
        <f>"1578728381153810"</f>
        <v>1578728381153810</v>
      </c>
      <c r="C3179" t="s">
        <v>40</v>
      </c>
      <c r="D3179">
        <v>5.6282300000000003</v>
      </c>
      <c r="E3179">
        <v>0.61623499999999998</v>
      </c>
      <c r="F3179" t="s">
        <v>41</v>
      </c>
      <c r="G3179">
        <v>-422.27809999999999</v>
      </c>
      <c r="H3179">
        <v>1.0208440000000001</v>
      </c>
      <c r="I3179">
        <v>50.483260000000001</v>
      </c>
      <c r="J3179">
        <v>-422.13279999999997</v>
      </c>
      <c r="K3179">
        <v>1.10571</v>
      </c>
      <c r="L3179">
        <v>50.530209999999997</v>
      </c>
      <c r="M3179">
        <v>-1.890766E-2</v>
      </c>
      <c r="N3179">
        <v>0</v>
      </c>
      <c r="O3179">
        <v>-0.99972989999999995</v>
      </c>
      <c r="P3179">
        <v>9.9802199999999994E-2</v>
      </c>
      <c r="Q3179">
        <v>3.9133960000000002E-2</v>
      </c>
      <c r="R3179">
        <v>-0.99423740000000005</v>
      </c>
      <c r="S3179">
        <v>-0.65518189999999998</v>
      </c>
      <c r="T3179">
        <v>-0.35352850000000002</v>
      </c>
      <c r="U3179">
        <v>-3.0950929999999999</v>
      </c>
      <c r="V3179">
        <v>-0.1186981</v>
      </c>
      <c r="W3179">
        <v>5.2289769999999999E-2</v>
      </c>
      <c r="X3179">
        <v>0.99155260000000001</v>
      </c>
      <c r="Y3179">
        <v>0.1872741</v>
      </c>
      <c r="Z3179">
        <v>0.1112341</v>
      </c>
      <c r="AA3179">
        <v>0.97598949999999995</v>
      </c>
      <c r="AB3179">
        <v>35</v>
      </c>
      <c r="AC3179">
        <v>-0.14530000000002</v>
      </c>
      <c r="AD3179">
        <v>-8.4865999999999803E-2</v>
      </c>
      <c r="AE3179">
        <v>-4.69500000000024E-2</v>
      </c>
      <c r="AF3179">
        <v>0.11031182725284901</v>
      </c>
      <c r="AG3179">
        <v>-8.4865999999999803E-2</v>
      </c>
      <c r="AH3179">
        <v>3.7962761035983499E-2</v>
      </c>
      <c r="AI3179">
        <v>126.034241286553</v>
      </c>
      <c r="AJ3179">
        <v>18.990412044290899</v>
      </c>
      <c r="AK3179">
        <v>0.144264023281404</v>
      </c>
      <c r="AL3179">
        <v>87.002649931525397</v>
      </c>
      <c r="AM3179">
        <v>96.826355247669497</v>
      </c>
      <c r="AN3179">
        <v>1.0000000087785099</v>
      </c>
    </row>
    <row r="3180" spans="1:40" x14ac:dyDescent="0.3">
      <c r="A3180" t="str">
        <f>"20200111153941180"</f>
        <v>20200111153941180</v>
      </c>
      <c r="B3180" t="str">
        <f>"1578728381173837"</f>
        <v>1578728381173837</v>
      </c>
      <c r="C3180" t="s">
        <v>40</v>
      </c>
      <c r="D3180">
        <v>5.5987939999999998</v>
      </c>
      <c r="E3180">
        <v>0.61646509999999999</v>
      </c>
      <c r="F3180" t="s">
        <v>41</v>
      </c>
      <c r="G3180">
        <v>-422.33859999999999</v>
      </c>
      <c r="H3180">
        <v>0.99568270000000003</v>
      </c>
      <c r="I3180">
        <v>49.556750000000001</v>
      </c>
      <c r="J3180">
        <v>-422.1386</v>
      </c>
      <c r="K3180">
        <v>1.1057170000000001</v>
      </c>
      <c r="L3180">
        <v>50.16742</v>
      </c>
      <c r="M3180">
        <v>-1.7917039999999999E-2</v>
      </c>
      <c r="N3180">
        <v>0</v>
      </c>
      <c r="O3180">
        <v>-0.99974799999999997</v>
      </c>
      <c r="P3180">
        <v>0.10076350000000001</v>
      </c>
      <c r="Q3180">
        <v>3.8866119999999997E-2</v>
      </c>
      <c r="R3180">
        <v>-0.99415129999999996</v>
      </c>
      <c r="S3180">
        <v>-0.65338130000000005</v>
      </c>
      <c r="T3180">
        <v>-0.35012379999999999</v>
      </c>
      <c r="U3180">
        <v>-3.0967410000000002</v>
      </c>
      <c r="V3180">
        <v>-0.11867369999999999</v>
      </c>
      <c r="W3180">
        <v>5.2021680000000001E-2</v>
      </c>
      <c r="X3180">
        <v>0.99156960000000005</v>
      </c>
      <c r="Y3180">
        <v>0.18762419999999999</v>
      </c>
      <c r="Z3180">
        <v>0.11012520000000001</v>
      </c>
      <c r="AA3180">
        <v>0.97604789999999997</v>
      </c>
      <c r="AB3180">
        <v>35</v>
      </c>
      <c r="AC3180">
        <v>-0.19999999999998799</v>
      </c>
      <c r="AD3180">
        <v>-0.1100343</v>
      </c>
      <c r="AE3180">
        <v>-0.61066999999999805</v>
      </c>
      <c r="AF3180">
        <v>0.18364078803401801</v>
      </c>
      <c r="AG3180">
        <v>-0.1100343</v>
      </c>
      <c r="AH3180">
        <v>0.59666045665686496</v>
      </c>
      <c r="AI3180">
        <v>99.996136235495698</v>
      </c>
      <c r="AJ3180">
        <v>72.892625789787601</v>
      </c>
      <c r="AK3180">
        <v>0.63390471424672601</v>
      </c>
      <c r="AL3180">
        <v>87.018031226409505</v>
      </c>
      <c r="AM3180">
        <v>96.824849328490799</v>
      </c>
      <c r="AN3180">
        <v>0.99999998695293602</v>
      </c>
    </row>
    <row r="3181" spans="1:40" x14ac:dyDescent="0.3">
      <c r="A3181" t="str">
        <f>"20200111153941202"</f>
        <v>20200111153941202</v>
      </c>
      <c r="B3181" t="str">
        <f>"1578728381194333"</f>
        <v>1578728381194333</v>
      </c>
      <c r="C3181" t="s">
        <v>40</v>
      </c>
      <c r="D3181">
        <v>5.5263770000000001</v>
      </c>
      <c r="E3181">
        <v>0.61674479999999998</v>
      </c>
      <c r="F3181" t="s">
        <v>41</v>
      </c>
      <c r="G3181">
        <v>-422.33330000000001</v>
      </c>
      <c r="H3181">
        <v>1.000858</v>
      </c>
      <c r="I3181">
        <v>49.241990000000001</v>
      </c>
      <c r="J3181">
        <v>-422.14370000000002</v>
      </c>
      <c r="K3181">
        <v>1.105721</v>
      </c>
      <c r="L3181">
        <v>49.830930000000002</v>
      </c>
      <c r="M3181">
        <v>-1.6998139999999998E-2</v>
      </c>
      <c r="N3181">
        <v>0</v>
      </c>
      <c r="O3181">
        <v>-0.99976410000000004</v>
      </c>
      <c r="P3181">
        <v>0.10183150000000001</v>
      </c>
      <c r="Q3181">
        <v>3.8111300000000001E-2</v>
      </c>
      <c r="R3181">
        <v>-0.9940717</v>
      </c>
      <c r="S3181">
        <v>-0.6511536</v>
      </c>
      <c r="T3181">
        <v>-0.35102319999999998</v>
      </c>
      <c r="U3181">
        <v>-3.0973820000000001</v>
      </c>
      <c r="V3181">
        <v>-0.1188269</v>
      </c>
      <c r="W3181">
        <v>5.126642E-2</v>
      </c>
      <c r="X3181">
        <v>0.99159059999999999</v>
      </c>
      <c r="Y3181">
        <v>0.18780769999999999</v>
      </c>
      <c r="Z3181">
        <v>0.11039119999999999</v>
      </c>
      <c r="AA3181">
        <v>0.97598260000000003</v>
      </c>
      <c r="AB3181">
        <v>35</v>
      </c>
      <c r="AC3181">
        <v>-0.189599999999984</v>
      </c>
      <c r="AD3181">
        <v>-0.104862999999999</v>
      </c>
      <c r="AE3181">
        <v>-0.58894000000000002</v>
      </c>
      <c r="AF3181">
        <v>0.174546780592018</v>
      </c>
      <c r="AG3181">
        <v>-0.104862999999999</v>
      </c>
      <c r="AH3181">
        <v>0.57554496321544002</v>
      </c>
      <c r="AI3181">
        <v>99.890438893087094</v>
      </c>
      <c r="AJ3181">
        <v>73.128908669170698</v>
      </c>
      <c r="AK3181">
        <v>0.61050375270484702</v>
      </c>
      <c r="AL3181">
        <v>87.061362293783105</v>
      </c>
      <c r="AM3181">
        <v>96.833433148096802</v>
      </c>
      <c r="AN3181">
        <v>0.99999999799579298</v>
      </c>
    </row>
    <row r="3182" spans="1:40" x14ac:dyDescent="0.3">
      <c r="A3182" t="str">
        <f>"20200111153941223"</f>
        <v>20200111153941223</v>
      </c>
      <c r="B3182" t="str">
        <f>"1578728381213854"</f>
        <v>1578728381213854</v>
      </c>
      <c r="C3182" t="s">
        <v>40</v>
      </c>
      <c r="D3182">
        <v>5.5331460000000003</v>
      </c>
      <c r="E3182">
        <v>0.61680409999999997</v>
      </c>
      <c r="F3182" t="s">
        <v>41</v>
      </c>
      <c r="G3182">
        <v>-422.33359999999999</v>
      </c>
      <c r="H3182">
        <v>1.003396</v>
      </c>
      <c r="I3182">
        <v>48.928609999999999</v>
      </c>
      <c r="J3182">
        <v>-422.14850000000001</v>
      </c>
      <c r="K3182">
        <v>1.1057159999999999</v>
      </c>
      <c r="L3182">
        <v>49.490659999999998</v>
      </c>
      <c r="M3182">
        <v>-1.606865E-2</v>
      </c>
      <c r="N3182">
        <v>0</v>
      </c>
      <c r="O3182">
        <v>-0.99977939999999998</v>
      </c>
      <c r="P3182">
        <v>0.1019326</v>
      </c>
      <c r="Q3182">
        <v>3.7246599999999998E-2</v>
      </c>
      <c r="R3182">
        <v>-0.99409349999999996</v>
      </c>
      <c r="S3182">
        <v>-0.65057369999999903</v>
      </c>
      <c r="T3182">
        <v>-0.3514159</v>
      </c>
      <c r="U3182">
        <v>-3.0980219999999998</v>
      </c>
      <c r="V3182">
        <v>-0.1180041</v>
      </c>
      <c r="W3182">
        <v>5.0404940000000002E-2</v>
      </c>
      <c r="X3182">
        <v>0.99173299999999998</v>
      </c>
      <c r="Y3182">
        <v>0.1885027</v>
      </c>
      <c r="Z3182">
        <v>0.1104883</v>
      </c>
      <c r="AA3182">
        <v>0.97583759999999997</v>
      </c>
      <c r="AB3182">
        <v>35</v>
      </c>
      <c r="AC3182">
        <v>-0.18509999999997701</v>
      </c>
      <c r="AD3182">
        <v>-0.102319999999999</v>
      </c>
      <c r="AE3182">
        <v>-0.56204999999999905</v>
      </c>
      <c r="AF3182">
        <v>0.170933211844879</v>
      </c>
      <c r="AG3182">
        <v>-0.102319999999999</v>
      </c>
      <c r="AH3182">
        <v>0.548551056363351</v>
      </c>
      <c r="AI3182">
        <v>100.097501999416</v>
      </c>
      <c r="AJ3182">
        <v>72.692518135115705</v>
      </c>
      <c r="AK3182">
        <v>0.58360586593089903</v>
      </c>
      <c r="AL3182">
        <v>87.110785326867301</v>
      </c>
      <c r="AM3182">
        <v>96.785593479979397</v>
      </c>
      <c r="AN3182">
        <v>0.99999998444110605</v>
      </c>
    </row>
    <row r="3183" spans="1:40" x14ac:dyDescent="0.3">
      <c r="A3183" t="str">
        <f>"20200111153941246"</f>
        <v>20200111153941246</v>
      </c>
      <c r="B3183" t="str">
        <f>"1578728381234351"</f>
        <v>1578728381234351</v>
      </c>
      <c r="C3183" t="s">
        <v>40</v>
      </c>
      <c r="D3183">
        <v>5.4978530000000001</v>
      </c>
      <c r="E3183">
        <v>0.61696470000000003</v>
      </c>
      <c r="F3183" t="s">
        <v>41</v>
      </c>
      <c r="G3183">
        <v>-422.33280000000002</v>
      </c>
      <c r="H3183">
        <v>1.0056020000000001</v>
      </c>
      <c r="I3183">
        <v>48.615600000000001</v>
      </c>
      <c r="J3183">
        <v>-422.15309999999999</v>
      </c>
      <c r="K3183">
        <v>1.1057049999999999</v>
      </c>
      <c r="L3183">
        <v>49.141750000000002</v>
      </c>
      <c r="M3183">
        <v>-1.511524E-2</v>
      </c>
      <c r="N3183">
        <v>0</v>
      </c>
      <c r="O3183">
        <v>-0.99979470000000004</v>
      </c>
      <c r="P3183">
        <v>0.1019258</v>
      </c>
      <c r="Q3183">
        <v>3.660621E-2</v>
      </c>
      <c r="R3183">
        <v>-0.99411870000000002</v>
      </c>
      <c r="S3183">
        <v>-0.65097050000000001</v>
      </c>
      <c r="T3183">
        <v>-0.35449520000000001</v>
      </c>
      <c r="U3183">
        <v>-3.097839</v>
      </c>
      <c r="V3183">
        <v>-0.11704970000000001</v>
      </c>
      <c r="W3183">
        <v>4.9768220000000002E-2</v>
      </c>
      <c r="X3183">
        <v>0.99187829999999999</v>
      </c>
      <c r="Y3183">
        <v>0.1895483</v>
      </c>
      <c r="Z3183">
        <v>0.11144030000000001</v>
      </c>
      <c r="AA3183">
        <v>0.97552680000000003</v>
      </c>
      <c r="AB3183">
        <v>35</v>
      </c>
      <c r="AC3183">
        <v>-0.17970000000002501</v>
      </c>
      <c r="AD3183">
        <v>-0.100102999999999</v>
      </c>
      <c r="AE3183">
        <v>-0.52615000000000101</v>
      </c>
      <c r="AF3183">
        <v>0.16633398493082799</v>
      </c>
      <c r="AG3183">
        <v>-0.100102999999999</v>
      </c>
      <c r="AH3183">
        <v>0.51220279568330995</v>
      </c>
      <c r="AI3183">
        <v>100.529996106125</v>
      </c>
      <c r="AJ3183">
        <v>72.009186769850004</v>
      </c>
      <c r="AK3183">
        <v>0.54775844042585697</v>
      </c>
      <c r="AL3183">
        <v>87.147312687197001</v>
      </c>
      <c r="AM3183">
        <v>96.730241186402694</v>
      </c>
      <c r="AN3183">
        <v>1.0000000350014699</v>
      </c>
    </row>
    <row r="3184" spans="1:40" x14ac:dyDescent="0.3">
      <c r="A3184" t="str">
        <f>"20200111153941269"</f>
        <v>20200111153941269</v>
      </c>
      <c r="B3184" t="str">
        <f>"1578728381263936"</f>
        <v>1578728381263936</v>
      </c>
      <c r="C3184" t="s">
        <v>40</v>
      </c>
      <c r="D3184">
        <v>5.3800089999999896</v>
      </c>
      <c r="E3184">
        <v>0.59188769999999902</v>
      </c>
      <c r="F3184" t="s">
        <v>41</v>
      </c>
      <c r="G3184">
        <v>-422.33</v>
      </c>
      <c r="H3184">
        <v>1.00895</v>
      </c>
      <c r="I3184">
        <v>48.302250000000001</v>
      </c>
      <c r="J3184">
        <v>-422.15750000000003</v>
      </c>
      <c r="K3184">
        <v>1.1056820000000001</v>
      </c>
      <c r="L3184">
        <v>48.785739999999997</v>
      </c>
      <c r="M3184">
        <v>-1.4142409999999999E-2</v>
      </c>
      <c r="N3184">
        <v>0</v>
      </c>
      <c r="O3184">
        <v>-0.99980869999999999</v>
      </c>
      <c r="P3184">
        <v>0.1016851</v>
      </c>
      <c r="Q3184">
        <v>3.5724599999999898E-2</v>
      </c>
      <c r="R3184">
        <v>-0.99417509999999998</v>
      </c>
      <c r="S3184">
        <v>-0.65136719999999904</v>
      </c>
      <c r="T3184">
        <v>-0.35710930000000002</v>
      </c>
      <c r="U3184">
        <v>-3.0976870000000001</v>
      </c>
      <c r="V3184">
        <v>-0.115841899999999</v>
      </c>
      <c r="W3184">
        <v>4.8890950000000002E-2</v>
      </c>
      <c r="X3184">
        <v>0.99206360000000005</v>
      </c>
      <c r="Y3184">
        <v>0.19061400000000001</v>
      </c>
      <c r="Z3184">
        <v>0.1122462</v>
      </c>
      <c r="AA3184">
        <v>0.9752267</v>
      </c>
      <c r="AB3184">
        <v>35</v>
      </c>
      <c r="AC3184">
        <v>-0.17249999999995599</v>
      </c>
      <c r="AD3184">
        <v>-9.6731999999999999E-2</v>
      </c>
      <c r="AE3184">
        <v>-0.48349000000000297</v>
      </c>
      <c r="AF3184">
        <v>0.159964360480886</v>
      </c>
      <c r="AG3184">
        <v>-9.6731999999999999E-2</v>
      </c>
      <c r="AH3184">
        <v>0.46922025863088002</v>
      </c>
      <c r="AI3184">
        <v>101.04123163949301</v>
      </c>
      <c r="AJ3184">
        <v>71.174971788610193</v>
      </c>
      <c r="AK3184">
        <v>0.50508744545641704</v>
      </c>
      <c r="AL3184">
        <v>87.197637525275397</v>
      </c>
      <c r="AM3184">
        <v>96.660188173559007</v>
      </c>
      <c r="AN3184">
        <v>0.99999992861623299</v>
      </c>
    </row>
    <row r="3185" spans="1:40" x14ac:dyDescent="0.3">
      <c r="A3185" t="str">
        <f>"20200111153941294"</f>
        <v>20200111153941294</v>
      </c>
      <c r="B3185" t="str">
        <f>"1578728381284432"</f>
        <v>1578728381284432</v>
      </c>
      <c r="C3185" t="s">
        <v>40</v>
      </c>
      <c r="D3185">
        <v>5.4921139999999999</v>
      </c>
      <c r="E3185">
        <v>0.58534519999999901</v>
      </c>
      <c r="F3185" t="s">
        <v>41</v>
      </c>
      <c r="G3185">
        <v>-422.27539999999999</v>
      </c>
      <c r="H3185">
        <v>1.0377179999999999</v>
      </c>
      <c r="I3185">
        <v>47.976959999999998</v>
      </c>
      <c r="J3185">
        <v>-422.16199999999998</v>
      </c>
      <c r="K3185">
        <v>1.1056490000000001</v>
      </c>
      <c r="L3185">
        <v>48.395780000000002</v>
      </c>
      <c r="M3185">
        <v>-1.3076630000000001E-2</v>
      </c>
      <c r="N3185">
        <v>0</v>
      </c>
      <c r="O3185">
        <v>-0.99982349999999998</v>
      </c>
      <c r="P3185">
        <v>0.10137409999999999</v>
      </c>
      <c r="Q3185">
        <v>3.4646950000000003E-2</v>
      </c>
      <c r="R3185">
        <v>-0.99424520000000005</v>
      </c>
      <c r="S3185">
        <v>-0.44671630000000001</v>
      </c>
      <c r="T3185">
        <v>-0.25829269999999999</v>
      </c>
      <c r="U3185">
        <v>-3.07254</v>
      </c>
      <c r="V3185">
        <v>-0.1144712</v>
      </c>
      <c r="W3185">
        <v>4.7818369999999999E-2</v>
      </c>
      <c r="X3185">
        <v>0.99227509999999997</v>
      </c>
      <c r="Y3185">
        <v>0.13042719999999999</v>
      </c>
      <c r="Z3185">
        <v>8.2967899999999997E-2</v>
      </c>
      <c r="AA3185">
        <v>0.98798030000000003</v>
      </c>
      <c r="AB3185">
        <v>35</v>
      </c>
      <c r="AC3185">
        <v>-0.11340000000001201</v>
      </c>
      <c r="AD3185">
        <v>-6.7930999999999894E-2</v>
      </c>
      <c r="AE3185">
        <v>-0.41882000000000302</v>
      </c>
      <c r="AF3185">
        <v>0.10533130709010501</v>
      </c>
      <c r="AG3185">
        <v>-6.7930999999999894E-2</v>
      </c>
      <c r="AH3185">
        <v>0.41021261542968201</v>
      </c>
      <c r="AI3185">
        <v>99.112412596032001</v>
      </c>
      <c r="AJ3185">
        <v>75.599133995990599</v>
      </c>
      <c r="AK3185">
        <v>0.42893320560662002</v>
      </c>
      <c r="AL3185">
        <v>87.259164180391593</v>
      </c>
      <c r="AM3185">
        <v>96.580686419595395</v>
      </c>
      <c r="AN3185">
        <v>1.0000000631094501</v>
      </c>
    </row>
    <row r="3186" spans="1:40" x14ac:dyDescent="0.3">
      <c r="A3186" t="str">
        <f>"20200111153941317"</f>
        <v>20200111153941317</v>
      </c>
      <c r="B3186" t="str">
        <f>"1578728381313713"</f>
        <v>1578728381313713</v>
      </c>
      <c r="C3186" t="s">
        <v>40</v>
      </c>
      <c r="D3186">
        <v>5.3951900000000004</v>
      </c>
      <c r="E3186">
        <v>0.5875977</v>
      </c>
      <c r="F3186" t="s">
        <v>41</v>
      </c>
      <c r="G3186">
        <v>-422.25740000000002</v>
      </c>
      <c r="H3186">
        <v>1.048475</v>
      </c>
      <c r="I3186">
        <v>47.658380000000001</v>
      </c>
      <c r="J3186">
        <v>-422.16559999999998</v>
      </c>
      <c r="K3186">
        <v>1.1056170000000001</v>
      </c>
      <c r="L3186">
        <v>48.037959999999998</v>
      </c>
      <c r="M3186">
        <v>-1.209849E-2</v>
      </c>
      <c r="N3186">
        <v>0</v>
      </c>
      <c r="O3186">
        <v>-0.99983560000000005</v>
      </c>
      <c r="P3186">
        <v>0.10144309999999999</v>
      </c>
      <c r="Q3186">
        <v>3.2363019999999999E-2</v>
      </c>
      <c r="R3186">
        <v>-0.99431519999999995</v>
      </c>
      <c r="S3186">
        <v>-0.39456180000000002</v>
      </c>
      <c r="T3186">
        <v>-0.2378759</v>
      </c>
      <c r="U3186">
        <v>-3.065887</v>
      </c>
      <c r="V3186">
        <v>-0.1135644</v>
      </c>
      <c r="W3186">
        <v>4.5538240000000001E-2</v>
      </c>
      <c r="X3186">
        <v>0.99248650000000005</v>
      </c>
      <c r="Y3186">
        <v>0.11525489999999999</v>
      </c>
      <c r="Z3186">
        <v>7.6774629999999996E-2</v>
      </c>
      <c r="AA3186">
        <v>0.99036460000000004</v>
      </c>
      <c r="AB3186">
        <v>35</v>
      </c>
      <c r="AC3186">
        <v>-9.1800000000034701E-2</v>
      </c>
      <c r="AD3186">
        <v>-5.7141999999999998E-2</v>
      </c>
      <c r="AE3186">
        <v>-0.37957999999999698</v>
      </c>
      <c r="AF3186">
        <v>8.5372683070812305E-2</v>
      </c>
      <c r="AG3186">
        <v>-5.7141999999999998E-2</v>
      </c>
      <c r="AH3186">
        <v>0.37268377895563298</v>
      </c>
      <c r="AI3186">
        <v>98.500195028365894</v>
      </c>
      <c r="AJ3186">
        <v>77.097560091184604</v>
      </c>
      <c r="AK3186">
        <v>0.38658362908348898</v>
      </c>
      <c r="AL3186">
        <v>87.389948494355806</v>
      </c>
      <c r="AM3186">
        <v>96.527629772298994</v>
      </c>
      <c r="AN3186">
        <v>1.00000002846595</v>
      </c>
    </row>
    <row r="3187" spans="1:40" x14ac:dyDescent="0.3">
      <c r="A3187" t="str">
        <f>"20200111153941339"</f>
        <v>20200111153941339</v>
      </c>
      <c r="B3187" t="str">
        <f>"1578728381334208"</f>
        <v>1578728381334208</v>
      </c>
      <c r="C3187" t="s">
        <v>40</v>
      </c>
      <c r="D3187">
        <v>5.4332719999999997</v>
      </c>
      <c r="E3187">
        <v>0.58877409999999997</v>
      </c>
      <c r="F3187" t="s">
        <v>41</v>
      </c>
      <c r="G3187">
        <v>-422.29919999999998</v>
      </c>
      <c r="H3187">
        <v>1.0360659999999999</v>
      </c>
      <c r="I3187">
        <v>47.044139999999999</v>
      </c>
      <c r="J3187">
        <v>-422.1687</v>
      </c>
      <c r="K3187">
        <v>1.105591</v>
      </c>
      <c r="L3187">
        <v>47.702150000000003</v>
      </c>
      <c r="M3187">
        <v>-1.118045E-2</v>
      </c>
      <c r="N3187">
        <v>0</v>
      </c>
      <c r="O3187">
        <v>-0.99984629999999997</v>
      </c>
      <c r="P3187">
        <v>0.1026093</v>
      </c>
      <c r="Q3187">
        <v>2.8868689999999999E-2</v>
      </c>
      <c r="R3187">
        <v>-0.99430300000000005</v>
      </c>
      <c r="S3187">
        <v>-0.41113280000000002</v>
      </c>
      <c r="T3187">
        <v>-0.2146748</v>
      </c>
      <c r="U3187">
        <v>-3.0661010000000002</v>
      </c>
      <c r="V3187">
        <v>-0.11381090000000001</v>
      </c>
      <c r="W3187">
        <v>4.2044459999999999E-2</v>
      </c>
      <c r="X3187">
        <v>0.99261239999999995</v>
      </c>
      <c r="Y3187">
        <v>0.1214906</v>
      </c>
      <c r="Z3187">
        <v>6.9270949999999998E-2</v>
      </c>
      <c r="AA3187">
        <v>0.99017250000000001</v>
      </c>
      <c r="AB3187">
        <v>35</v>
      </c>
      <c r="AC3187">
        <v>-0.13049999999998299</v>
      </c>
      <c r="AD3187">
        <v>-6.9525000000000003E-2</v>
      </c>
      <c r="AE3187">
        <v>-0.65800999999999699</v>
      </c>
      <c r="AF3187">
        <v>0.12182573966200901</v>
      </c>
      <c r="AG3187">
        <v>-6.9525000000000003E-2</v>
      </c>
      <c r="AH3187">
        <v>0.652420117872197</v>
      </c>
      <c r="AI3187">
        <v>95.980160002504107</v>
      </c>
      <c r="AJ3187">
        <v>79.423026840459798</v>
      </c>
      <c r="AK3187">
        <v>0.66732843988066803</v>
      </c>
      <c r="AL3187">
        <v>87.590319628711299</v>
      </c>
      <c r="AM3187">
        <v>96.540853263000301</v>
      </c>
      <c r="AN3187">
        <v>1.0000000171046299</v>
      </c>
    </row>
    <row r="3188" spans="1:40" x14ac:dyDescent="0.3">
      <c r="A3188" t="str">
        <f>"20200111153941361"</f>
        <v>20200111153941361</v>
      </c>
      <c r="B3188" t="str">
        <f>"1578728381353728"</f>
        <v>1578728381353728</v>
      </c>
      <c r="C3188" t="s">
        <v>40</v>
      </c>
      <c r="D3188">
        <v>5.8579699999999999</v>
      </c>
      <c r="E3188">
        <v>0.58774919999999997</v>
      </c>
      <c r="F3188" t="s">
        <v>41</v>
      </c>
      <c r="G3188">
        <v>-422.30070000000001</v>
      </c>
      <c r="H3188">
        <v>1.0355650000000001</v>
      </c>
      <c r="I3188">
        <v>46.733550000000001</v>
      </c>
      <c r="J3188">
        <v>-422.17149999999998</v>
      </c>
      <c r="K3188">
        <v>1.1055729999999999</v>
      </c>
      <c r="L3188">
        <v>47.36844</v>
      </c>
      <c r="M3188">
        <v>-1.026792E-2</v>
      </c>
      <c r="N3188">
        <v>0</v>
      </c>
      <c r="O3188">
        <v>-0.99985630000000003</v>
      </c>
      <c r="P3188">
        <v>0.1050136</v>
      </c>
      <c r="Q3188">
        <v>2.7321129999999999E-2</v>
      </c>
      <c r="R3188">
        <v>-0.99409579999999997</v>
      </c>
      <c r="S3188">
        <v>-0.41714479999999998</v>
      </c>
      <c r="T3188">
        <v>-0.2217643</v>
      </c>
      <c r="U3188">
        <v>-3.066681</v>
      </c>
      <c r="V3188">
        <v>-0.1153029</v>
      </c>
      <c r="W3188">
        <v>4.0490829999999998E-2</v>
      </c>
      <c r="X3188">
        <v>0.99250479999999996</v>
      </c>
      <c r="Y3188">
        <v>0.1242564</v>
      </c>
      <c r="Z3188">
        <v>7.1513069999999998E-2</v>
      </c>
      <c r="AA3188">
        <v>0.98966969999999999</v>
      </c>
      <c r="AB3188">
        <v>35</v>
      </c>
      <c r="AC3188">
        <v>-0.12920000000002499</v>
      </c>
      <c r="AD3188">
        <v>-7.0007999999999806E-2</v>
      </c>
      <c r="AE3188">
        <v>-0.63488999999999796</v>
      </c>
      <c r="AF3188">
        <v>0.121257848165506</v>
      </c>
      <c r="AG3188">
        <v>-7.0007999999999806E-2</v>
      </c>
      <c r="AH3188">
        <v>0.62884122116276397</v>
      </c>
      <c r="AI3188">
        <v>96.238507737990005</v>
      </c>
      <c r="AJ3188">
        <v>79.085757929727706</v>
      </c>
      <c r="AK3188">
        <v>0.644240535234477</v>
      </c>
      <c r="AL3188">
        <v>87.679411984873795</v>
      </c>
      <c r="AM3188">
        <v>96.626554713550306</v>
      </c>
      <c r="AN3188">
        <v>1.0000000220427601</v>
      </c>
    </row>
    <row r="3189" spans="1:40" x14ac:dyDescent="0.3">
      <c r="A3189" t="str">
        <f>"20200111153941384"</f>
        <v>20200111153941384</v>
      </c>
      <c r="B3189" t="str">
        <f>"1578728381373754"</f>
        <v>1578728381373754</v>
      </c>
      <c r="C3189" t="s">
        <v>40</v>
      </c>
      <c r="D3189">
        <v>5.3037000000000001</v>
      </c>
      <c r="E3189">
        <v>0.51969709999999902</v>
      </c>
      <c r="F3189" t="s">
        <v>41</v>
      </c>
      <c r="G3189">
        <v>-422.29579999999999</v>
      </c>
      <c r="H3189">
        <v>1.035229</v>
      </c>
      <c r="I3189">
        <v>46.423079999999999</v>
      </c>
      <c r="J3189">
        <v>-422.17419999999998</v>
      </c>
      <c r="K3189">
        <v>1.105566</v>
      </c>
      <c r="L3189">
        <v>46.996490000000001</v>
      </c>
      <c r="M3189">
        <v>-9.2508529999999999E-3</v>
      </c>
      <c r="N3189">
        <v>0</v>
      </c>
      <c r="O3189">
        <v>-0.99986609999999998</v>
      </c>
      <c r="P3189">
        <v>0.1095081</v>
      </c>
      <c r="Q3189">
        <v>2.7244620000000001E-2</v>
      </c>
      <c r="R3189">
        <v>-0.9936123</v>
      </c>
      <c r="S3189">
        <v>-0.40170289999999997</v>
      </c>
      <c r="T3189">
        <v>-0.22828960000000001</v>
      </c>
      <c r="U3189">
        <v>-3.0665279999999999</v>
      </c>
      <c r="V3189">
        <v>-0.1187826</v>
      </c>
      <c r="W3189">
        <v>4.0400310000000002E-2</v>
      </c>
      <c r="X3189">
        <v>0.99209800000000004</v>
      </c>
      <c r="Y3189">
        <v>0.1203547</v>
      </c>
      <c r="Z3189">
        <v>7.3652770000000006E-2</v>
      </c>
      <c r="AA3189">
        <v>0.98999490000000001</v>
      </c>
      <c r="AB3189">
        <v>35</v>
      </c>
      <c r="AC3189">
        <v>-0.1216</v>
      </c>
      <c r="AD3189">
        <v>-7.0336999999999802E-2</v>
      </c>
      <c r="AE3189">
        <v>-0.57341000000000197</v>
      </c>
      <c r="AF3189">
        <v>0.11463909100835</v>
      </c>
      <c r="AG3189">
        <v>-7.0336999999999802E-2</v>
      </c>
      <c r="AH3189">
        <v>0.56635550486339403</v>
      </c>
      <c r="AI3189">
        <v>96.940112948120401</v>
      </c>
      <c r="AJ3189">
        <v>78.557058646222302</v>
      </c>
      <c r="AK3189">
        <v>0.58210649596554997</v>
      </c>
      <c r="AL3189">
        <v>87.684602517012607</v>
      </c>
      <c r="AM3189">
        <v>96.827449020177198</v>
      </c>
      <c r="AN3189">
        <v>0.99999996635742705</v>
      </c>
    </row>
    <row r="3190" spans="1:40" x14ac:dyDescent="0.3">
      <c r="A3190" t="str">
        <f>"20200111153941404"</f>
        <v>20200111153941404</v>
      </c>
      <c r="B3190" t="str">
        <f>"1578728381394250"</f>
        <v>1578728381394250</v>
      </c>
      <c r="C3190" t="s">
        <v>40</v>
      </c>
      <c r="D3190">
        <v>5.2236419999999999</v>
      </c>
      <c r="E3190">
        <v>0.45854149999999999</v>
      </c>
      <c r="F3190" t="s">
        <v>41</v>
      </c>
      <c r="G3190">
        <v>-422.13440000000003</v>
      </c>
      <c r="H3190">
        <v>0.98608989999999996</v>
      </c>
      <c r="I3190">
        <v>46.133279999999999</v>
      </c>
      <c r="J3190">
        <v>-422.17630000000003</v>
      </c>
      <c r="K3190">
        <v>1.1055740000000001</v>
      </c>
      <c r="L3190">
        <v>46.672269999999997</v>
      </c>
      <c r="M3190">
        <v>-8.3642760000000003E-3</v>
      </c>
      <c r="N3190">
        <v>0</v>
      </c>
      <c r="O3190">
        <v>-0.99987360000000003</v>
      </c>
      <c r="P3190">
        <v>0.114354</v>
      </c>
      <c r="Q3190">
        <v>2.8492279999999998E-2</v>
      </c>
      <c r="R3190">
        <v>-0.99303129999999995</v>
      </c>
      <c r="S3190">
        <v>0.1407166</v>
      </c>
      <c r="T3190">
        <v>-0.4174197</v>
      </c>
      <c r="U3190">
        <v>-3.015228</v>
      </c>
      <c r="V3190">
        <v>-0.1227463</v>
      </c>
      <c r="W3190">
        <v>4.1631889999999998E-2</v>
      </c>
      <c r="X3190">
        <v>0.99156449999999996</v>
      </c>
      <c r="Y3190">
        <v>-5.4532900000000002E-2</v>
      </c>
      <c r="Z3190">
        <v>0.13694690000000001</v>
      </c>
      <c r="AA3190">
        <v>0.98907619999999896</v>
      </c>
      <c r="AB3190">
        <v>35</v>
      </c>
      <c r="AC3190">
        <v>4.1899999999998203E-2</v>
      </c>
      <c r="AD3190">
        <v>-0.1194841</v>
      </c>
      <c r="AE3190">
        <v>-0.53899000000000497</v>
      </c>
      <c r="AF3190">
        <v>-4.4245906158771699E-2</v>
      </c>
      <c r="AG3190">
        <v>-0.1194841</v>
      </c>
      <c r="AH3190">
        <v>0.51353571954241695</v>
      </c>
      <c r="AI3190">
        <v>103.05125727584699</v>
      </c>
      <c r="AJ3190">
        <v>94.924406077428998</v>
      </c>
      <c r="AK3190">
        <v>0.52910593042468201</v>
      </c>
      <c r="AL3190">
        <v>87.613978854557004</v>
      </c>
      <c r="AM3190">
        <v>97.056775097676706</v>
      </c>
      <c r="AN3190">
        <v>1.00000001304445</v>
      </c>
    </row>
    <row r="3191" spans="1:40" x14ac:dyDescent="0.3">
      <c r="A3191" t="str">
        <f>"20200111153941427"</f>
        <v>20200111153941427</v>
      </c>
      <c r="B3191" t="str">
        <f>"1578728381424506"</f>
        <v>1578728381424506</v>
      </c>
      <c r="C3191" t="s">
        <v>40</v>
      </c>
      <c r="D3191">
        <v>5.1826990000000004</v>
      </c>
      <c r="E3191">
        <v>0.39015420000000001</v>
      </c>
      <c r="F3191" t="s">
        <v>66</v>
      </c>
      <c r="G3191">
        <v>-419.38350000000003</v>
      </c>
      <c r="H3191" s="1">
        <v>-3.622344E-6</v>
      </c>
      <c r="I3191">
        <v>33.991309999999999</v>
      </c>
      <c r="J3191">
        <v>-422.1782</v>
      </c>
      <c r="K3191">
        <v>1.105583</v>
      </c>
      <c r="L3191">
        <v>46.326079999999997</v>
      </c>
      <c r="M3191">
        <v>-7.41495E-3</v>
      </c>
      <c r="N3191">
        <v>0</v>
      </c>
      <c r="O3191">
        <v>-0.99988149999999998</v>
      </c>
      <c r="P3191">
        <v>0.12002549999999999</v>
      </c>
      <c r="Q3191">
        <v>3.150029E-2</v>
      </c>
      <c r="R3191">
        <v>-0.99227109999999996</v>
      </c>
      <c r="S3191">
        <v>0.65045169999999997</v>
      </c>
      <c r="T3191">
        <v>-0.25750010000000001</v>
      </c>
      <c r="U3191">
        <v>-2.953522</v>
      </c>
      <c r="V3191">
        <v>-0.12747600000000001</v>
      </c>
      <c r="W3191">
        <v>4.4619359999999997E-2</v>
      </c>
      <c r="X3191">
        <v>0.99083750000000004</v>
      </c>
      <c r="Y3191">
        <v>-0.22153709999999999</v>
      </c>
      <c r="Z3191">
        <v>8.4763770000000002E-2</v>
      </c>
      <c r="AA3191">
        <v>0.97146100000000002</v>
      </c>
      <c r="AB3191">
        <v>35</v>
      </c>
      <c r="AC3191">
        <v>2.79469999999997</v>
      </c>
      <c r="AD3191">
        <v>-1.1055866223440001</v>
      </c>
      <c r="AE3191">
        <v>-12.334770000000001</v>
      </c>
      <c r="AF3191">
        <v>-2.86420615303788</v>
      </c>
      <c r="AG3191">
        <v>-1.1055866223440001</v>
      </c>
      <c r="AH3191">
        <v>12.220323938710299</v>
      </c>
      <c r="AI3191">
        <v>95.033853264722694</v>
      </c>
      <c r="AJ3191">
        <v>103.190911732318</v>
      </c>
      <c r="AK3191">
        <v>12.6000918978245</v>
      </c>
      <c r="AL3191">
        <v>87.442649902997601</v>
      </c>
      <c r="AM3191">
        <v>97.331105739281995</v>
      </c>
      <c r="AN3191">
        <v>0.99999998463452899</v>
      </c>
    </row>
    <row r="3192" spans="1:40" x14ac:dyDescent="0.3">
      <c r="A3192" t="str">
        <f>"20200111153941449"</f>
        <v>20200111153941449</v>
      </c>
      <c r="B3192" t="str">
        <f>"1578728381444026"</f>
        <v>1578728381444026</v>
      </c>
      <c r="C3192" t="s">
        <v>40</v>
      </c>
      <c r="D3192">
        <v>5.0775589999999999</v>
      </c>
      <c r="E3192">
        <v>0.39459749999999999</v>
      </c>
      <c r="F3192" t="s">
        <v>66</v>
      </c>
      <c r="G3192">
        <v>-417.42259999999999</v>
      </c>
      <c r="H3192" s="1">
        <v>-3.5513580000000001E-6</v>
      </c>
      <c r="I3192">
        <v>34.958829999999999</v>
      </c>
      <c r="J3192">
        <v>-422.17970000000003</v>
      </c>
      <c r="K3192">
        <v>1.105583</v>
      </c>
      <c r="L3192">
        <v>45.995699999999999</v>
      </c>
      <c r="M3192">
        <v>-6.5018059999999997E-3</v>
      </c>
      <c r="N3192">
        <v>0</v>
      </c>
      <c r="O3192">
        <v>-0.99988770000000005</v>
      </c>
      <c r="P3192">
        <v>0.12503300000000001</v>
      </c>
      <c r="Q3192">
        <v>3.3124849999999997E-2</v>
      </c>
      <c r="R3192">
        <v>-0.99159929999999996</v>
      </c>
      <c r="S3192">
        <v>1.207489</v>
      </c>
      <c r="T3192">
        <v>-0.28071669999999999</v>
      </c>
      <c r="U3192">
        <v>-2.8862299999999999</v>
      </c>
      <c r="V3192">
        <v>-0.13157769999999999</v>
      </c>
      <c r="W3192">
        <v>4.6224630000000003E-2</v>
      </c>
      <c r="X3192">
        <v>0.99022759999999999</v>
      </c>
      <c r="Y3192">
        <v>-0.39039689999999999</v>
      </c>
      <c r="Z3192">
        <v>8.9245720000000001E-2</v>
      </c>
      <c r="AA3192">
        <v>0.91631079999999998</v>
      </c>
      <c r="AB3192">
        <v>35</v>
      </c>
      <c r="AC3192">
        <v>4.7571000000000296</v>
      </c>
      <c r="AD3192">
        <v>-1.1055865513580001</v>
      </c>
      <c r="AE3192">
        <v>-11.03687</v>
      </c>
      <c r="AF3192">
        <v>-4.7882457943551797</v>
      </c>
      <c r="AG3192">
        <v>-1.1055865513580001</v>
      </c>
      <c r="AH3192">
        <v>10.9133516125342</v>
      </c>
      <c r="AI3192">
        <v>95.300127507793206</v>
      </c>
      <c r="AJ3192">
        <v>113.68951997277</v>
      </c>
      <c r="AK3192">
        <v>11.968745248709499</v>
      </c>
      <c r="AL3192">
        <v>87.350579851961101</v>
      </c>
      <c r="AM3192">
        <v>97.568908619012603</v>
      </c>
      <c r="AN3192">
        <v>1.00000005367884</v>
      </c>
    </row>
    <row r="3193" spans="1:40" x14ac:dyDescent="0.3">
      <c r="A3193" t="str">
        <f>"20200111153941470"</f>
        <v>20200111153941470</v>
      </c>
      <c r="B3193" t="str">
        <f>"1578728381464053"</f>
        <v>1578728381464053</v>
      </c>
      <c r="C3193" t="s">
        <v>40</v>
      </c>
      <c r="D3193">
        <v>5.0385689999999999</v>
      </c>
      <c r="E3193">
        <v>0.39887909999999999</v>
      </c>
      <c r="F3193" t="s">
        <v>66</v>
      </c>
      <c r="G3193">
        <v>-417.4796</v>
      </c>
      <c r="H3193" s="1">
        <v>-3.7468380000000001E-6</v>
      </c>
      <c r="I3193">
        <v>34.575519999999997</v>
      </c>
      <c r="J3193">
        <v>-422.18090000000001</v>
      </c>
      <c r="K3193">
        <v>1.1056090000000001</v>
      </c>
      <c r="L3193">
        <v>45.650089999999999</v>
      </c>
      <c r="M3193">
        <v>-5.5413819999999897E-3</v>
      </c>
      <c r="N3193">
        <v>0</v>
      </c>
      <c r="O3193">
        <v>-0.99989249999999996</v>
      </c>
      <c r="P3193">
        <v>0.13014909999999999</v>
      </c>
      <c r="Q3193">
        <v>3.2697259999999999E-2</v>
      </c>
      <c r="R3193">
        <v>-0.99095540000000004</v>
      </c>
      <c r="S3193">
        <v>1.187378</v>
      </c>
      <c r="T3193">
        <v>-0.27930070000000001</v>
      </c>
      <c r="U3193">
        <v>-2.88504</v>
      </c>
      <c r="V3193">
        <v>-0.1357381</v>
      </c>
      <c r="W3193">
        <v>4.5868810000000003E-2</v>
      </c>
      <c r="X3193">
        <v>0.98968239999999996</v>
      </c>
      <c r="Y3193">
        <v>-0.3841965</v>
      </c>
      <c r="Z3193">
        <v>8.9067530000000006E-2</v>
      </c>
      <c r="AA3193">
        <v>0.91894509999999996</v>
      </c>
      <c r="AB3193">
        <v>35</v>
      </c>
      <c r="AC3193">
        <v>4.7012999999999998</v>
      </c>
      <c r="AD3193">
        <v>-1.1056127468379999</v>
      </c>
      <c r="AE3193">
        <v>-11.07457</v>
      </c>
      <c r="AF3193">
        <v>-4.7227191734169098</v>
      </c>
      <c r="AG3193">
        <v>-1.1056127468379999</v>
      </c>
      <c r="AH3193">
        <v>10.955825405453901</v>
      </c>
      <c r="AI3193">
        <v>95.294590863942403</v>
      </c>
      <c r="AJ3193">
        <v>113.31938709228901</v>
      </c>
      <c r="AK3193">
        <v>11.981509347812599</v>
      </c>
      <c r="AL3193">
        <v>87.370988384322899</v>
      </c>
      <c r="AM3193">
        <v>97.809573658795202</v>
      </c>
      <c r="AN3193">
        <v>1.00000001619609</v>
      </c>
    </row>
    <row r="3194" spans="1:40" x14ac:dyDescent="0.3">
      <c r="A3194" t="str">
        <f>"20200111153941494"</f>
        <v>20200111153941494</v>
      </c>
      <c r="B3194" t="str">
        <f>"1578728381483574"</f>
        <v>1578728381483574</v>
      </c>
      <c r="C3194" t="s">
        <v>40</v>
      </c>
      <c r="D3194">
        <v>5.0304489999999999</v>
      </c>
      <c r="E3194">
        <v>0.40138600000000002</v>
      </c>
      <c r="F3194" t="s">
        <v>66</v>
      </c>
      <c r="G3194">
        <v>-417.57080000000002</v>
      </c>
      <c r="H3194" s="1">
        <v>-3.8806370000000001E-6</v>
      </c>
      <c r="I3194">
        <v>34.273209999999999</v>
      </c>
      <c r="J3194">
        <v>-422.18189999999998</v>
      </c>
      <c r="K3194">
        <v>1.105683</v>
      </c>
      <c r="L3194">
        <v>45.290500000000002</v>
      </c>
      <c r="M3194">
        <v>-4.5261470000000003E-3</v>
      </c>
      <c r="N3194">
        <v>0</v>
      </c>
      <c r="O3194">
        <v>-0.99989399999999995</v>
      </c>
      <c r="P3194">
        <v>0.1356936</v>
      </c>
      <c r="Q3194">
        <v>3.0579780000000001E-2</v>
      </c>
      <c r="R3194">
        <v>-0.99027929999999997</v>
      </c>
      <c r="S3194">
        <v>1.168304</v>
      </c>
      <c r="T3194">
        <v>-0.28018959999999998</v>
      </c>
      <c r="U3194">
        <v>-2.8831790000000002</v>
      </c>
      <c r="V3194">
        <v>-0.140270899999999</v>
      </c>
      <c r="W3194">
        <v>4.3998160000000001E-2</v>
      </c>
      <c r="X3194">
        <v>0.98913510000000004</v>
      </c>
      <c r="Y3194">
        <v>-0.37823220000000002</v>
      </c>
      <c r="Z3194">
        <v>8.9623320000000006E-2</v>
      </c>
      <c r="AA3194">
        <v>0.92136200000000001</v>
      </c>
      <c r="AB3194">
        <v>35</v>
      </c>
      <c r="AC3194">
        <v>4.6110999999999596</v>
      </c>
      <c r="AD3194">
        <v>-1.1056868806369999</v>
      </c>
      <c r="AE3194">
        <v>-11.017289999999999</v>
      </c>
      <c r="AF3194">
        <v>-4.6213156995747902</v>
      </c>
      <c r="AG3194">
        <v>-1.1056868806369999</v>
      </c>
      <c r="AH3194">
        <v>10.9028599458639</v>
      </c>
      <c r="AI3194">
        <v>95.334315003513495</v>
      </c>
      <c r="AJ3194">
        <v>112.970276405907</v>
      </c>
      <c r="AK3194">
        <v>11.89333667531</v>
      </c>
      <c r="AL3194">
        <v>87.478277083094</v>
      </c>
      <c r="AM3194">
        <v>98.0713906006728</v>
      </c>
      <c r="AN3194">
        <v>1.0000000047611</v>
      </c>
    </row>
    <row r="3195" spans="1:40" x14ac:dyDescent="0.3">
      <c r="A3195" t="str">
        <f>"20200111153941520"</f>
        <v>20200111153941520</v>
      </c>
      <c r="B3195" t="str">
        <f>"1578728381513829"</f>
        <v>1578728381513829</v>
      </c>
      <c r="C3195" t="s">
        <v>40</v>
      </c>
      <c r="D3195">
        <v>4.956664</v>
      </c>
      <c r="E3195">
        <v>0.40346890000000002</v>
      </c>
      <c r="F3195" t="s">
        <v>66</v>
      </c>
      <c r="G3195">
        <v>-417.71890000000002</v>
      </c>
      <c r="H3195" s="1">
        <v>-3.8588799999999999E-6</v>
      </c>
      <c r="I3195">
        <v>34.251489999999997</v>
      </c>
      <c r="J3195">
        <v>-422.18239999999997</v>
      </c>
      <c r="K3195">
        <v>1.1057809999999999</v>
      </c>
      <c r="L3195">
        <v>44.90408</v>
      </c>
      <c r="M3195">
        <v>-3.3875580000000001E-3</v>
      </c>
      <c r="N3195">
        <v>0</v>
      </c>
      <c r="O3195">
        <v>-0.99989280000000003</v>
      </c>
      <c r="P3195">
        <v>0.1410545</v>
      </c>
      <c r="Q3195">
        <v>3.0182339999999998E-2</v>
      </c>
      <c r="R3195">
        <v>-0.98954169999999997</v>
      </c>
      <c r="S3195">
        <v>1.16391</v>
      </c>
      <c r="T3195">
        <v>-0.28835349999999998</v>
      </c>
      <c r="U3195">
        <v>-2.878876</v>
      </c>
      <c r="V3195">
        <v>-0.14450399999999999</v>
      </c>
      <c r="W3195">
        <v>4.3946239999999998E-2</v>
      </c>
      <c r="X3195">
        <v>0.98852779999999996</v>
      </c>
      <c r="Y3195">
        <v>-0.37635420000000003</v>
      </c>
      <c r="Z3195">
        <v>9.2400189999999993E-2</v>
      </c>
      <c r="AA3195">
        <v>0.92185669999999997</v>
      </c>
      <c r="AB3195">
        <v>35</v>
      </c>
      <c r="AC3195">
        <v>4.4634999999999501</v>
      </c>
      <c r="AD3195">
        <v>-1.1057848588800001</v>
      </c>
      <c r="AE3195">
        <v>-10.652589999999901</v>
      </c>
      <c r="AF3195">
        <v>-4.4586955375411597</v>
      </c>
      <c r="AG3195">
        <v>-1.1057848588800001</v>
      </c>
      <c r="AH3195">
        <v>10.5407892135187</v>
      </c>
      <c r="AI3195">
        <v>95.518629663905998</v>
      </c>
      <c r="AJ3195">
        <v>112.928093290105</v>
      </c>
      <c r="AK3195">
        <v>11.4983026266684</v>
      </c>
      <c r="AL3195">
        <v>87.481254608718103</v>
      </c>
      <c r="AM3195">
        <v>98.316650015963006</v>
      </c>
      <c r="AN3195">
        <v>0.99999994469948705</v>
      </c>
    </row>
    <row r="3196" spans="1:40" x14ac:dyDescent="0.3">
      <c r="A3196" t="str">
        <f>"20200111153941559"</f>
        <v>20200111153941559</v>
      </c>
      <c r="B3196" t="str">
        <f>"1578728381553848"</f>
        <v>1578728381553848</v>
      </c>
      <c r="C3196" t="s">
        <v>40</v>
      </c>
      <c r="D3196">
        <v>4.9160180000000002</v>
      </c>
      <c r="E3196">
        <v>0.40553499999999998</v>
      </c>
      <c r="F3196" t="s">
        <v>66</v>
      </c>
      <c r="G3196">
        <v>-417.7921</v>
      </c>
      <c r="H3196" s="1">
        <v>-3.948548E-6</v>
      </c>
      <c r="I3196">
        <v>34.04365</v>
      </c>
      <c r="J3196">
        <v>-422.18220000000002</v>
      </c>
      <c r="K3196">
        <v>1.10595</v>
      </c>
      <c r="L3196">
        <v>44.291840000000001</v>
      </c>
      <c r="M3196">
        <v>-1.5008210000000001E-3</v>
      </c>
      <c r="N3196">
        <v>0</v>
      </c>
      <c r="O3196">
        <v>-0.99988790000000005</v>
      </c>
      <c r="P3196">
        <v>0.15609890000000001</v>
      </c>
      <c r="Q3196">
        <v>3.088436E-2</v>
      </c>
      <c r="R3196">
        <v>-0.98725870000000004</v>
      </c>
      <c r="S3196">
        <v>1.162201</v>
      </c>
      <c r="T3196">
        <v>-0.29272290000000001</v>
      </c>
      <c r="U3196">
        <v>-2.8749690000000001</v>
      </c>
      <c r="V3196">
        <v>-0.15768740000000001</v>
      </c>
      <c r="W3196">
        <v>4.5236709999999999E-2</v>
      </c>
      <c r="X3196">
        <v>0.98645240000000001</v>
      </c>
      <c r="Y3196">
        <v>-0.37451659999999998</v>
      </c>
      <c r="Z3196">
        <v>9.3951140000000002E-2</v>
      </c>
      <c r="AA3196">
        <v>0.92244809999999999</v>
      </c>
      <c r="AB3196">
        <v>34</v>
      </c>
      <c r="AC3196">
        <v>4.3901000000000101</v>
      </c>
      <c r="AD3196">
        <v>-1.1059539485480001</v>
      </c>
      <c r="AE3196">
        <v>-10.248189999999999</v>
      </c>
      <c r="AF3196">
        <v>-4.3625486440872798</v>
      </c>
      <c r="AG3196">
        <v>-1.1059539485480001</v>
      </c>
      <c r="AH3196">
        <v>10.141790640380099</v>
      </c>
      <c r="AI3196">
        <v>95.720489909139602</v>
      </c>
      <c r="AJ3196">
        <v>113.275231304792</v>
      </c>
      <c r="AK3196">
        <v>11.0955343360128</v>
      </c>
      <c r="AL3196">
        <v>87.4072426564301</v>
      </c>
      <c r="AM3196">
        <v>99.082065874182106</v>
      </c>
      <c r="AN3196">
        <v>1.0000000067580701</v>
      </c>
    </row>
    <row r="3197" spans="1:40" x14ac:dyDescent="0.3">
      <c r="A3197" t="str">
        <f>"20200111153941583"</f>
        <v>20200111153941583</v>
      </c>
      <c r="B3197" t="str">
        <f>"1578728381574341"</f>
        <v>1578728381574341</v>
      </c>
      <c r="C3197" t="s">
        <v>40</v>
      </c>
      <c r="D3197">
        <v>4.9197989999999896</v>
      </c>
      <c r="E3197">
        <v>0.40618130000000002</v>
      </c>
      <c r="F3197" t="s">
        <v>66</v>
      </c>
      <c r="G3197">
        <v>-417.76249999999999</v>
      </c>
      <c r="H3197" s="1">
        <v>-4.1632999999999996E-6</v>
      </c>
      <c r="I3197">
        <v>33.63505</v>
      </c>
      <c r="J3197">
        <v>-422.18150000000003</v>
      </c>
      <c r="K3197">
        <v>1.1060479999999999</v>
      </c>
      <c r="L3197">
        <v>43.936250000000001</v>
      </c>
      <c r="M3197">
        <v>-3.4510649999999998E-4</v>
      </c>
      <c r="N3197">
        <v>0</v>
      </c>
      <c r="O3197">
        <v>-0.99988259999999995</v>
      </c>
      <c r="P3197">
        <v>0.16353809999999999</v>
      </c>
      <c r="Q3197">
        <v>3.092203E-2</v>
      </c>
      <c r="R3197">
        <v>-0.9860525</v>
      </c>
      <c r="S3197">
        <v>1.18631</v>
      </c>
      <c r="T3197">
        <v>-0.29685460000000002</v>
      </c>
      <c r="U3197">
        <v>-2.8604430000000001</v>
      </c>
      <c r="V3197">
        <v>-0.16398979999999999</v>
      </c>
      <c r="W3197">
        <v>4.5646840000000001E-2</v>
      </c>
      <c r="X3197">
        <v>0.98540539999999999</v>
      </c>
      <c r="Y3197">
        <v>-0.38166090000000003</v>
      </c>
      <c r="Z3197">
        <v>9.5418009999999998E-2</v>
      </c>
      <c r="AA3197">
        <v>0.91936410000000002</v>
      </c>
      <c r="AB3197">
        <v>34</v>
      </c>
      <c r="AC3197">
        <v>4.4190000000000396</v>
      </c>
      <c r="AD3197">
        <v>-1.1060521633</v>
      </c>
      <c r="AE3197">
        <v>-10.3012</v>
      </c>
      <c r="AF3197">
        <v>-4.3799089508273701</v>
      </c>
      <c r="AG3197">
        <v>-1.1060521633</v>
      </c>
      <c r="AH3197">
        <v>10.2003555537288</v>
      </c>
      <c r="AI3197">
        <v>95.689937927543596</v>
      </c>
      <c r="AJ3197">
        <v>113.238098750985</v>
      </c>
      <c r="AK3197">
        <v>11.1559045903039</v>
      </c>
      <c r="AL3197">
        <v>87.383719740075804</v>
      </c>
      <c r="AM3197">
        <v>99.448493348569102</v>
      </c>
      <c r="AN3197">
        <v>1.0000000454275899</v>
      </c>
    </row>
    <row r="3198" spans="1:40" x14ac:dyDescent="0.3">
      <c r="A3198" t="str">
        <f>"20200111153941606"</f>
        <v>20200111153941606</v>
      </c>
      <c r="B3198" t="str">
        <f>"1578728381603621"</f>
        <v>1578728381603621</v>
      </c>
      <c r="C3198" t="s">
        <v>40</v>
      </c>
      <c r="D3198">
        <v>4.9068829999999997</v>
      </c>
      <c r="E3198">
        <v>0.40730549999999999</v>
      </c>
      <c r="F3198" t="s">
        <v>66</v>
      </c>
      <c r="G3198">
        <v>-417.7047</v>
      </c>
      <c r="H3198" s="1">
        <v>-4.3417180000000004E-6</v>
      </c>
      <c r="I3198">
        <v>33.310079999999999</v>
      </c>
      <c r="J3198">
        <v>-422.18029999999999</v>
      </c>
      <c r="K3198">
        <v>1.106141</v>
      </c>
      <c r="L3198">
        <v>43.575870000000002</v>
      </c>
      <c r="M3198">
        <v>8.8312759999999895E-4</v>
      </c>
      <c r="N3198">
        <v>0</v>
      </c>
      <c r="O3198">
        <v>-0.99987539999999997</v>
      </c>
      <c r="P3198">
        <v>0.17097960000000001</v>
      </c>
      <c r="Q3198">
        <v>3.085361E-2</v>
      </c>
      <c r="R3198">
        <v>-0.98479159999999999</v>
      </c>
      <c r="S3198">
        <v>1.2017519999999999</v>
      </c>
      <c r="T3198">
        <v>-0.29690440000000001</v>
      </c>
      <c r="U3198">
        <v>-2.8524479999999999</v>
      </c>
      <c r="V3198">
        <v>-0.1702264</v>
      </c>
      <c r="W3198">
        <v>4.5957409999999997E-2</v>
      </c>
      <c r="X3198">
        <v>0.98433269999999995</v>
      </c>
      <c r="Y3198">
        <v>-0.38566640000000002</v>
      </c>
      <c r="Z3198">
        <v>9.5500790000000002E-2</v>
      </c>
      <c r="AA3198">
        <v>0.91768240000000001</v>
      </c>
      <c r="AB3198">
        <v>34</v>
      </c>
      <c r="AC3198">
        <v>4.4755999999999796</v>
      </c>
      <c r="AD3198">
        <v>-1.1061453417180001</v>
      </c>
      <c r="AE3198">
        <v>-10.265790000000001</v>
      </c>
      <c r="AF3198">
        <v>-4.4233771876228998</v>
      </c>
      <c r="AG3198">
        <v>-1.1061453417180001</v>
      </c>
      <c r="AH3198">
        <v>10.170516670431001</v>
      </c>
      <c r="AI3198">
        <v>95.695586117782597</v>
      </c>
      <c r="AJ3198">
        <v>113.505261948938</v>
      </c>
      <c r="AK3198">
        <v>11.145816820875099</v>
      </c>
      <c r="AL3198">
        <v>87.365906543762094</v>
      </c>
      <c r="AM3198">
        <v>99.811451959654093</v>
      </c>
      <c r="AN3198">
        <v>0.99999998754007802</v>
      </c>
    </row>
    <row r="3199" spans="1:40" x14ac:dyDescent="0.3">
      <c r="A3199" t="str">
        <f>"20200111153941628"</f>
        <v>20200111153941628</v>
      </c>
      <c r="B3199" t="str">
        <f>"1578728381624118"</f>
        <v>1578728381624118</v>
      </c>
      <c r="C3199" t="s">
        <v>40</v>
      </c>
      <c r="D3199">
        <v>4.9738110000000004</v>
      </c>
      <c r="E3199">
        <v>0.41791869999999998</v>
      </c>
      <c r="F3199" t="s">
        <v>66</v>
      </c>
      <c r="G3199">
        <v>-417.6875</v>
      </c>
      <c r="H3199" s="1">
        <v>-4.4788369999999998E-6</v>
      </c>
      <c r="I3199">
        <v>33.048450000000003</v>
      </c>
      <c r="J3199">
        <v>-422.17869999999999</v>
      </c>
      <c r="K3199">
        <v>1.1062259999999999</v>
      </c>
      <c r="L3199">
        <v>43.25562</v>
      </c>
      <c r="M3199">
        <v>2.0458799999999999E-3</v>
      </c>
      <c r="N3199">
        <v>0</v>
      </c>
      <c r="O3199">
        <v>-0.99986770000000003</v>
      </c>
      <c r="P3199">
        <v>0.17842060000000001</v>
      </c>
      <c r="Q3199">
        <v>3.0915600000000001E-2</v>
      </c>
      <c r="R3199">
        <v>-0.98346889999999998</v>
      </c>
      <c r="S3199">
        <v>1.2141109999999999</v>
      </c>
      <c r="T3199">
        <v>-0.2989194</v>
      </c>
      <c r="U3199">
        <v>-2.8448790000000002</v>
      </c>
      <c r="V3199">
        <v>-0.17652989999999999</v>
      </c>
      <c r="W3199">
        <v>4.6336099999999998E-2</v>
      </c>
      <c r="X3199">
        <v>0.98320399999999997</v>
      </c>
      <c r="Y3199">
        <v>-0.38881559999999998</v>
      </c>
      <c r="Z3199">
        <v>9.6231650000000002E-2</v>
      </c>
      <c r="AA3199">
        <v>0.91627610000000004</v>
      </c>
      <c r="AB3199">
        <v>34</v>
      </c>
      <c r="AC3199">
        <v>4.4911999999999903</v>
      </c>
      <c r="AD3199">
        <v>-1.1062304788370001</v>
      </c>
      <c r="AE3199">
        <v>-10.2071699999999</v>
      </c>
      <c r="AF3199">
        <v>-4.4267435480549802</v>
      </c>
      <c r="AG3199">
        <v>-1.1062304788370001</v>
      </c>
      <c r="AH3199">
        <v>10.1167833567667</v>
      </c>
      <c r="AI3199">
        <v>95.720567842071503</v>
      </c>
      <c r="AJ3199">
        <v>113.632471423966</v>
      </c>
      <c r="AK3199">
        <v>11.098157946267801</v>
      </c>
      <c r="AL3199">
        <v>87.344186025685303</v>
      </c>
      <c r="AM3199">
        <v>100.178750649221</v>
      </c>
      <c r="AN3199">
        <v>0.99999997268660901</v>
      </c>
    </row>
    <row r="3200" spans="1:40" x14ac:dyDescent="0.3">
      <c r="A3200" t="str">
        <f>"20200111153941649"</f>
        <v>20200111153941649</v>
      </c>
      <c r="B3200" t="str">
        <f>"1578728381643637"</f>
        <v>1578728381643637</v>
      </c>
      <c r="C3200" t="s">
        <v>40</v>
      </c>
      <c r="D3200">
        <v>4.9434199999999997</v>
      </c>
      <c r="E3200">
        <v>0.4182323</v>
      </c>
      <c r="F3200" t="s">
        <v>66</v>
      </c>
      <c r="G3200">
        <v>-417.71780000000001</v>
      </c>
      <c r="H3200" s="1">
        <v>-4.8908830000000002E-6</v>
      </c>
      <c r="I3200">
        <v>32.226579999999998</v>
      </c>
      <c r="J3200">
        <v>-422.17680000000001</v>
      </c>
      <c r="K3200">
        <v>1.1063149999999999</v>
      </c>
      <c r="L3200">
        <v>42.940519999999999</v>
      </c>
      <c r="M3200">
        <v>3.272044E-3</v>
      </c>
      <c r="N3200">
        <v>0</v>
      </c>
      <c r="O3200">
        <v>-0.99985880000000005</v>
      </c>
      <c r="P3200">
        <v>0.1868736</v>
      </c>
      <c r="Q3200">
        <v>3.0386070000000001E-2</v>
      </c>
      <c r="R3200">
        <v>-0.98191419999999996</v>
      </c>
      <c r="S3200">
        <v>1.152863</v>
      </c>
      <c r="T3200">
        <v>-0.28588809999999998</v>
      </c>
      <c r="U3200">
        <v>-2.8502809999999998</v>
      </c>
      <c r="V3200">
        <v>-0.18378739999999999</v>
      </c>
      <c r="W3200">
        <v>4.6087450000000002E-2</v>
      </c>
      <c r="X3200">
        <v>0.98188500000000001</v>
      </c>
      <c r="Y3200">
        <v>-0.37031520000000001</v>
      </c>
      <c r="Z3200">
        <v>9.2642160000000001E-2</v>
      </c>
      <c r="AA3200">
        <v>0.92427490000000001</v>
      </c>
      <c r="AB3200">
        <v>34</v>
      </c>
      <c r="AC3200">
        <v>4.4589999999999996</v>
      </c>
      <c r="AD3200">
        <v>-1.1063198908830001</v>
      </c>
      <c r="AE3200">
        <v>-10.713939999999999</v>
      </c>
      <c r="AF3200">
        <v>-4.3840707527778697</v>
      </c>
      <c r="AG3200">
        <v>-1.1063198908830001</v>
      </c>
      <c r="AH3200">
        <v>10.6318483215464</v>
      </c>
      <c r="AI3200">
        <v>95.494913369528007</v>
      </c>
      <c r="AJ3200">
        <v>112.40893187315601</v>
      </c>
      <c r="AK3200">
        <v>11.553363960279899</v>
      </c>
      <c r="AL3200">
        <v>87.358447949691396</v>
      </c>
      <c r="AM3200">
        <v>100.60183887337401</v>
      </c>
      <c r="AN3200">
        <v>1.0000000073356301</v>
      </c>
    </row>
    <row r="3201" spans="1:40" x14ac:dyDescent="0.3">
      <c r="A3201" t="str">
        <f>"20200111153941672"</f>
        <v>20200111153941672</v>
      </c>
      <c r="B3201" t="str">
        <f>"1578728381664133"</f>
        <v>1578728381664133</v>
      </c>
      <c r="C3201" t="s">
        <v>40</v>
      </c>
      <c r="D3201">
        <v>4.880484</v>
      </c>
      <c r="E3201">
        <v>0.41864849999999998</v>
      </c>
      <c r="F3201" t="s">
        <v>66</v>
      </c>
      <c r="G3201">
        <v>-417.6397</v>
      </c>
      <c r="H3201" s="1">
        <v>-5.039685E-6</v>
      </c>
      <c r="I3201">
        <v>31.968540000000001</v>
      </c>
      <c r="J3201">
        <v>-422.1739</v>
      </c>
      <c r="K3201">
        <v>1.10643</v>
      </c>
      <c r="L3201">
        <v>42.573549999999997</v>
      </c>
      <c r="M3201">
        <v>4.8178709999999996E-3</v>
      </c>
      <c r="N3201">
        <v>0</v>
      </c>
      <c r="O3201">
        <v>-0.99984569999999995</v>
      </c>
      <c r="P3201">
        <v>0.1955971</v>
      </c>
      <c r="Q3201">
        <v>2.953161E-2</v>
      </c>
      <c r="R3201">
        <v>-0.98023990000000005</v>
      </c>
      <c r="S3201">
        <v>1.1746219999999901</v>
      </c>
      <c r="T3201">
        <v>-0.28641899999999998</v>
      </c>
      <c r="U3201">
        <v>-2.840576</v>
      </c>
      <c r="V3201">
        <v>-0.1910077</v>
      </c>
      <c r="W3201">
        <v>4.5537759999999997E-2</v>
      </c>
      <c r="X3201">
        <v>0.98053170000000001</v>
      </c>
      <c r="Y3201">
        <v>-0.37602479999999999</v>
      </c>
      <c r="Z3201">
        <v>9.2863490000000007E-2</v>
      </c>
      <c r="AA3201">
        <v>0.9219446</v>
      </c>
      <c r="AB3201">
        <v>34</v>
      </c>
      <c r="AC3201">
        <v>4.5341999999999896</v>
      </c>
      <c r="AD3201">
        <v>-1.106435039685</v>
      </c>
      <c r="AE3201">
        <v>-10.605009999999901</v>
      </c>
      <c r="AF3201">
        <v>-4.44216632711223</v>
      </c>
      <c r="AG3201">
        <v>-1.106435039685</v>
      </c>
      <c r="AH3201">
        <v>10.529831721037899</v>
      </c>
      <c r="AI3201">
        <v>95.529789771344795</v>
      </c>
      <c r="AJ3201">
        <v>112.873173569786</v>
      </c>
      <c r="AK3201">
        <v>11.481916053000401</v>
      </c>
      <c r="AL3201">
        <v>87.389976007674704</v>
      </c>
      <c r="AM3201">
        <v>101.023176233382</v>
      </c>
      <c r="AN3201">
        <v>1.00000002187499</v>
      </c>
    </row>
    <row r="3202" spans="1:40" x14ac:dyDescent="0.3">
      <c r="A3202" t="str">
        <f>"20200111153941694"</f>
        <v>20200111153941694</v>
      </c>
      <c r="B3202" t="str">
        <f>"1578728381683653"</f>
        <v>1578728381683653</v>
      </c>
      <c r="C3202" t="s">
        <v>40</v>
      </c>
      <c r="D3202">
        <v>4.841939</v>
      </c>
      <c r="E3202">
        <v>0.40359630000000002</v>
      </c>
      <c r="F3202" t="s">
        <v>66</v>
      </c>
      <c r="G3202">
        <v>-417.60579999999999</v>
      </c>
      <c r="H3202" s="1">
        <v>-5.1533240000000001E-6</v>
      </c>
      <c r="I3202">
        <v>31.760259999999999</v>
      </c>
      <c r="J3202">
        <v>-422.17090000000002</v>
      </c>
      <c r="K3202">
        <v>1.10654599999999</v>
      </c>
      <c r="L3202">
        <v>42.258760000000002</v>
      </c>
      <c r="M3202">
        <v>6.2750139999999998E-3</v>
      </c>
      <c r="N3202">
        <v>0</v>
      </c>
      <c r="O3202">
        <v>-0.99983230000000001</v>
      </c>
      <c r="P3202">
        <v>0.2043064</v>
      </c>
      <c r="Q3202">
        <v>2.9201649999999999E-2</v>
      </c>
      <c r="R3202">
        <v>-0.97847130000000004</v>
      </c>
      <c r="S3202">
        <v>1.1958009999999999</v>
      </c>
      <c r="T3202">
        <v>-0.28963179999999999</v>
      </c>
      <c r="U3202">
        <v>-2.830597</v>
      </c>
      <c r="V3202">
        <v>-0.1983075</v>
      </c>
      <c r="W3202">
        <v>4.5426290000000001E-2</v>
      </c>
      <c r="X3202">
        <v>0.97908660000000003</v>
      </c>
      <c r="Y3202">
        <v>-0.38164500000000001</v>
      </c>
      <c r="Z3202">
        <v>9.3955399999999994E-2</v>
      </c>
      <c r="AA3202">
        <v>0.91952129999999999</v>
      </c>
      <c r="AB3202">
        <v>34</v>
      </c>
      <c r="AC3202">
        <v>4.5651000000000197</v>
      </c>
      <c r="AD3202">
        <v>-1.10655115332399</v>
      </c>
      <c r="AE3202">
        <v>-10.4984999999999</v>
      </c>
      <c r="AF3202">
        <v>-4.4574767679359697</v>
      </c>
      <c r="AG3202">
        <v>-1.10655115332399</v>
      </c>
      <c r="AH3202">
        <v>10.4295027292362</v>
      </c>
      <c r="AI3202">
        <v>95.572213405020506</v>
      </c>
      <c r="AJ3202">
        <v>113.141432812034</v>
      </c>
      <c r="AK3202">
        <v>11.3959677856142</v>
      </c>
      <c r="AL3202">
        <v>87.396369304661704</v>
      </c>
      <c r="AM3202">
        <v>101.449983307068</v>
      </c>
      <c r="AN3202">
        <v>0.99999999133948703</v>
      </c>
    </row>
    <row r="3203" spans="1:40" x14ac:dyDescent="0.3">
      <c r="A3203" t="str">
        <f>"20200111153941716"</f>
        <v>20200111153941716</v>
      </c>
      <c r="B3203" t="str">
        <f>"1578728381713910"</f>
        <v>1578728381713910</v>
      </c>
      <c r="C3203" t="s">
        <v>40</v>
      </c>
      <c r="D3203">
        <v>4.8360529999999997</v>
      </c>
      <c r="E3203">
        <v>0.35534080000000001</v>
      </c>
      <c r="F3203" t="s">
        <v>66</v>
      </c>
      <c r="G3203">
        <v>-417.29809999999998</v>
      </c>
      <c r="H3203" s="1">
        <v>-5.0611950000000004E-6</v>
      </c>
      <c r="I3203">
        <v>32.074979999999996</v>
      </c>
      <c r="J3203">
        <v>-422.16699999999997</v>
      </c>
      <c r="K3203">
        <v>1.106687</v>
      </c>
      <c r="L3203">
        <v>41.933199999999999</v>
      </c>
      <c r="M3203">
        <v>7.9484359999999997E-3</v>
      </c>
      <c r="N3203">
        <v>0</v>
      </c>
      <c r="O3203">
        <v>-0.9998148</v>
      </c>
      <c r="P3203">
        <v>0.2130435</v>
      </c>
      <c r="Q3203">
        <v>2.849233E-2</v>
      </c>
      <c r="R3203">
        <v>-0.97662720000000003</v>
      </c>
      <c r="S3203">
        <v>1.3377380000000001</v>
      </c>
      <c r="T3203">
        <v>-0.30378080000000002</v>
      </c>
      <c r="U3203">
        <v>-2.7957459999999998</v>
      </c>
      <c r="V3203">
        <v>-0.2054299</v>
      </c>
      <c r="W3203">
        <v>4.49185E-2</v>
      </c>
      <c r="X3203">
        <v>0.97764050000000002</v>
      </c>
      <c r="Y3203">
        <v>-0.42237550000000001</v>
      </c>
      <c r="Z3203">
        <v>9.7717300000000007E-2</v>
      </c>
      <c r="AA3203">
        <v>0.90113840000000001</v>
      </c>
      <c r="AB3203">
        <v>34</v>
      </c>
      <c r="AC3203">
        <v>4.8688999999999902</v>
      </c>
      <c r="AD3203">
        <v>-1.106692061195</v>
      </c>
      <c r="AE3203">
        <v>-9.8582199999999993</v>
      </c>
      <c r="AF3203">
        <v>-4.7423311897972296</v>
      </c>
      <c r="AG3203">
        <v>-1.106692061195</v>
      </c>
      <c r="AH3203">
        <v>9.7973556406040903</v>
      </c>
      <c r="AI3203">
        <v>95.805517484183497</v>
      </c>
      <c r="AJ3203">
        <v>115.82892975299001</v>
      </c>
      <c r="AK3203">
        <v>10.9408706226018</v>
      </c>
      <c r="AL3203">
        <v>87.425493361727604</v>
      </c>
      <c r="AM3203">
        <v>101.866817462954</v>
      </c>
      <c r="AN3203">
        <v>1.00000003134825</v>
      </c>
    </row>
    <row r="3204" spans="1:40" x14ac:dyDescent="0.3">
      <c r="A3204" t="str">
        <f>"20200111153941741"</f>
        <v>20200111153941741</v>
      </c>
      <c r="B3204" t="str">
        <f>"1578728381734406"</f>
        <v>1578728381734406</v>
      </c>
      <c r="C3204" t="s">
        <v>40</v>
      </c>
      <c r="D3204">
        <v>4.8063750000000001</v>
      </c>
      <c r="E3204">
        <v>0.35635080000000002</v>
      </c>
      <c r="F3204" t="s">
        <v>41</v>
      </c>
      <c r="G3204">
        <v>-421.55340000000001</v>
      </c>
      <c r="H3204">
        <v>1.006068</v>
      </c>
      <c r="I3204">
        <v>40.981319999999997</v>
      </c>
      <c r="J3204">
        <v>-422.1617</v>
      </c>
      <c r="K3204">
        <v>1.1068610000000001</v>
      </c>
      <c r="L3204">
        <v>41.564729999999997</v>
      </c>
      <c r="M3204">
        <v>1.006459E-2</v>
      </c>
      <c r="N3204">
        <v>0</v>
      </c>
      <c r="O3204">
        <v>-0.99978979999999995</v>
      </c>
      <c r="P3204">
        <v>0.22228139999999999</v>
      </c>
      <c r="Q3204">
        <v>2.7096200000000001E-2</v>
      </c>
      <c r="R3204">
        <v>-0.97460599999999997</v>
      </c>
      <c r="S3204">
        <v>1.74115</v>
      </c>
      <c r="T3204">
        <v>-0.28544389999999997</v>
      </c>
      <c r="U3204">
        <v>-2.7002869999999999</v>
      </c>
      <c r="V3204">
        <v>-0.21262909999999999</v>
      </c>
      <c r="W3204">
        <v>4.3727099999999998E-2</v>
      </c>
      <c r="X3204">
        <v>0.97615410000000002</v>
      </c>
      <c r="Y3204">
        <v>-0.5312905</v>
      </c>
      <c r="Z3204">
        <v>8.8745089999999999E-2</v>
      </c>
      <c r="AA3204">
        <v>0.84252870000000002</v>
      </c>
      <c r="AB3204">
        <v>33</v>
      </c>
      <c r="AC3204">
        <v>0.60829999999998496</v>
      </c>
      <c r="AD3204">
        <v>-0.10079299999999999</v>
      </c>
      <c r="AE3204">
        <v>-0.58340999999999299</v>
      </c>
      <c r="AF3204">
        <v>-0.59390317361779199</v>
      </c>
      <c r="AG3204">
        <v>-0.10079299999999999</v>
      </c>
      <c r="AH3204">
        <v>0.58119219814801104</v>
      </c>
      <c r="AI3204">
        <v>96.915969191987898</v>
      </c>
      <c r="AJ3204">
        <v>135.61974275671599</v>
      </c>
      <c r="AK3204">
        <v>0.83705709462999101</v>
      </c>
      <c r="AL3204">
        <v>87.493822652169499</v>
      </c>
      <c r="AM3204">
        <v>102.288405775755</v>
      </c>
      <c r="AN3204">
        <v>1.0000000101940101</v>
      </c>
    </row>
    <row r="3205" spans="1:40" x14ac:dyDescent="0.3">
      <c r="A3205" t="str">
        <f>"20200111153941764"</f>
        <v>20200111153941764</v>
      </c>
      <c r="B3205" t="str">
        <f>"1578728381753925"</f>
        <v>1578728381753925</v>
      </c>
      <c r="C3205" t="s">
        <v>40</v>
      </c>
      <c r="D3205">
        <v>4.840236</v>
      </c>
      <c r="E3205">
        <v>0.35767110000000002</v>
      </c>
      <c r="F3205" t="s">
        <v>41</v>
      </c>
      <c r="G3205">
        <v>-421.58330000000001</v>
      </c>
      <c r="H3205">
        <v>1.008337</v>
      </c>
      <c r="I3205">
        <v>40.681130000000003</v>
      </c>
      <c r="J3205">
        <v>-422.15609999999998</v>
      </c>
      <c r="K3205">
        <v>1.107008</v>
      </c>
      <c r="L3205">
        <v>41.227260000000001</v>
      </c>
      <c r="M3205">
        <v>1.2182689999999999E-2</v>
      </c>
      <c r="N3205">
        <v>0</v>
      </c>
      <c r="O3205">
        <v>-0.99976100000000001</v>
      </c>
      <c r="P3205">
        <v>0.23166239999999999</v>
      </c>
      <c r="Q3205">
        <v>2.578167E-2</v>
      </c>
      <c r="R3205">
        <v>-0.97245440000000005</v>
      </c>
      <c r="S3205">
        <v>1.757782</v>
      </c>
      <c r="T3205">
        <v>-0.29944599999999999</v>
      </c>
      <c r="U3205">
        <v>-2.6855769999999999</v>
      </c>
      <c r="V3205">
        <v>-0.21997539999999999</v>
      </c>
      <c r="W3205">
        <v>4.2560899999999999E-2</v>
      </c>
      <c r="X3205">
        <v>0.97457649999999996</v>
      </c>
      <c r="Y3205">
        <v>-0.535031699999999</v>
      </c>
      <c r="Z3205">
        <v>9.3213270000000001E-2</v>
      </c>
      <c r="AA3205">
        <v>0.83967400000000003</v>
      </c>
      <c r="AB3205">
        <v>33</v>
      </c>
      <c r="AC3205">
        <v>0.572799999999972</v>
      </c>
      <c r="AD3205">
        <v>-9.8670999999999898E-2</v>
      </c>
      <c r="AE3205">
        <v>-0.546130000000005</v>
      </c>
      <c r="AF3205">
        <v>-0.55743835110071005</v>
      </c>
      <c r="AG3205">
        <v>-9.8670999999999898E-2</v>
      </c>
      <c r="AH3205">
        <v>0.54460365449132497</v>
      </c>
      <c r="AI3205">
        <v>97.215971944802902</v>
      </c>
      <c r="AJ3205">
        <v>135.667252879926</v>
      </c>
      <c r="AK3205">
        <v>0.78553588206025704</v>
      </c>
      <c r="AL3205">
        <v>87.560703196037593</v>
      </c>
      <c r="AM3205">
        <v>102.71930652825</v>
      </c>
      <c r="AN3205">
        <v>0.99999998058310902</v>
      </c>
    </row>
    <row r="3206" spans="1:40" x14ac:dyDescent="0.3">
      <c r="A3206" t="str">
        <f>"20200111153941789"</f>
        <v>20200111153941789</v>
      </c>
      <c r="B3206" t="str">
        <f>"1578728381784182"</f>
        <v>1578728381784182</v>
      </c>
      <c r="C3206" t="s">
        <v>40</v>
      </c>
      <c r="D3206">
        <v>4.8968119999999997</v>
      </c>
      <c r="E3206">
        <v>0.35954540000000001</v>
      </c>
      <c r="F3206" t="s">
        <v>41</v>
      </c>
      <c r="G3206">
        <v>-421.59710000000001</v>
      </c>
      <c r="H3206">
        <v>1.0080750000000001</v>
      </c>
      <c r="I3206">
        <v>40.384639999999997</v>
      </c>
      <c r="J3206">
        <v>-422.14909999999998</v>
      </c>
      <c r="K3206">
        <v>1.107167</v>
      </c>
      <c r="L3206">
        <v>40.875210000000003</v>
      </c>
      <c r="M3206">
        <v>1.460558E-2</v>
      </c>
      <c r="N3206">
        <v>0</v>
      </c>
      <c r="O3206">
        <v>-0.99972380000000005</v>
      </c>
      <c r="P3206">
        <v>0.24231330000000001</v>
      </c>
      <c r="Q3206">
        <v>2.4195589999999999E-2</v>
      </c>
      <c r="R3206">
        <v>-0.96989639999999999</v>
      </c>
      <c r="S3206">
        <v>1.7723690000000001</v>
      </c>
      <c r="T3206">
        <v>-0.3136137</v>
      </c>
      <c r="U3206">
        <v>-2.6710509999999998</v>
      </c>
      <c r="V3206">
        <v>-0.2283077</v>
      </c>
      <c r="W3206">
        <v>4.1086379999999999E-2</v>
      </c>
      <c r="X3206">
        <v>0.97272170000000002</v>
      </c>
      <c r="Y3206">
        <v>-0.53802419999999995</v>
      </c>
      <c r="Z3206">
        <v>9.7774719999999996E-2</v>
      </c>
      <c r="AA3206">
        <v>0.83723959999999997</v>
      </c>
      <c r="AB3206">
        <v>33</v>
      </c>
      <c r="AC3206">
        <v>0.55199999999996396</v>
      </c>
      <c r="AD3206">
        <v>-9.9091999999999902E-2</v>
      </c>
      <c r="AE3206">
        <v>-0.49056999999999101</v>
      </c>
      <c r="AF3206">
        <v>-0.53513967016417296</v>
      </c>
      <c r="AG3206">
        <v>-9.9091999999999902E-2</v>
      </c>
      <c r="AH3206">
        <v>0.48976314756490302</v>
      </c>
      <c r="AI3206">
        <v>97.778372077811994</v>
      </c>
      <c r="AJ3206">
        <v>137.535056430179</v>
      </c>
      <c r="AK3206">
        <v>0.73216229878361105</v>
      </c>
      <c r="AL3206">
        <v>87.645261013785202</v>
      </c>
      <c r="AM3206">
        <v>103.208814578619</v>
      </c>
      <c r="AN3206">
        <v>1.0000000010758401</v>
      </c>
    </row>
    <row r="3207" spans="1:40" x14ac:dyDescent="0.3">
      <c r="A3207" t="str">
        <f>"20200111153941810"</f>
        <v>20200111153941810</v>
      </c>
      <c r="B3207" t="str">
        <f>"1578728381803703"</f>
        <v>1578728381803703</v>
      </c>
      <c r="C3207" t="s">
        <v>40</v>
      </c>
      <c r="D3207">
        <v>4.8944020000000004</v>
      </c>
      <c r="E3207">
        <v>0.3606838</v>
      </c>
      <c r="F3207" t="s">
        <v>41</v>
      </c>
      <c r="G3207">
        <v>-421.61930000000001</v>
      </c>
      <c r="H3207">
        <v>1.011107</v>
      </c>
      <c r="I3207">
        <v>40.08728</v>
      </c>
      <c r="J3207">
        <v>-422.14210000000003</v>
      </c>
      <c r="K3207">
        <v>1.107321</v>
      </c>
      <c r="L3207">
        <v>40.562159999999999</v>
      </c>
      <c r="M3207">
        <v>1.697535E-2</v>
      </c>
      <c r="N3207">
        <v>0</v>
      </c>
      <c r="O3207">
        <v>-0.99968239999999997</v>
      </c>
      <c r="P3207">
        <v>0.25516709999999998</v>
      </c>
      <c r="Q3207">
        <v>2.3466589999999999E-2</v>
      </c>
      <c r="R3207">
        <v>-0.96661249999999999</v>
      </c>
      <c r="S3207">
        <v>1.785614</v>
      </c>
      <c r="T3207">
        <v>-0.3236887</v>
      </c>
      <c r="U3207">
        <v>-2.6550600000000002</v>
      </c>
      <c r="V3207">
        <v>-0.2389191</v>
      </c>
      <c r="W3207">
        <v>4.0386489999999997E-2</v>
      </c>
      <c r="X3207">
        <v>0.97019920000000004</v>
      </c>
      <c r="Y3207">
        <v>-0.54104069999999904</v>
      </c>
      <c r="Z3207">
        <v>0.10113949999999999</v>
      </c>
      <c r="AA3207">
        <v>0.83489269999999904</v>
      </c>
      <c r="AB3207">
        <v>33</v>
      </c>
      <c r="AC3207">
        <v>0.52280000000001703</v>
      </c>
      <c r="AD3207">
        <v>-9.6213999999999994E-2</v>
      </c>
      <c r="AE3207">
        <v>-0.47487999999999803</v>
      </c>
      <c r="AF3207">
        <v>-0.50528508066523803</v>
      </c>
      <c r="AG3207">
        <v>-9.6213999999999994E-2</v>
      </c>
      <c r="AH3207">
        <v>0.47487522944337801</v>
      </c>
      <c r="AI3207">
        <v>97.899611225811498</v>
      </c>
      <c r="AJ3207">
        <v>136.777053596348</v>
      </c>
      <c r="AK3207">
        <v>0.70005473363000503</v>
      </c>
      <c r="AL3207">
        <v>87.685394945037004</v>
      </c>
      <c r="AM3207">
        <v>103.834265535437</v>
      </c>
      <c r="AN3207">
        <v>0.99999994629998301</v>
      </c>
    </row>
    <row r="3208" spans="1:40" x14ac:dyDescent="0.3">
      <c r="A3208" t="str">
        <f>"20200111153941832"</f>
        <v>20200111153941832</v>
      </c>
      <c r="B3208" t="str">
        <f>"1578728381824199"</f>
        <v>1578728381824199</v>
      </c>
      <c r="C3208" t="s">
        <v>40</v>
      </c>
      <c r="D3208">
        <v>4.9227850000000002</v>
      </c>
      <c r="E3208">
        <v>0.36192639999999998</v>
      </c>
      <c r="F3208" t="s">
        <v>41</v>
      </c>
      <c r="G3208">
        <v>-421.61619999999999</v>
      </c>
      <c r="H3208">
        <v>1.010772</v>
      </c>
      <c r="I3208">
        <v>39.796880000000002</v>
      </c>
      <c r="J3208">
        <v>-422.13400000000001</v>
      </c>
      <c r="K3208">
        <v>1.1074980000000001</v>
      </c>
      <c r="L3208">
        <v>40.249850000000002</v>
      </c>
      <c r="M3208">
        <v>1.9560580000000001E-2</v>
      </c>
      <c r="N3208">
        <v>0</v>
      </c>
      <c r="O3208">
        <v>-0.9996313</v>
      </c>
      <c r="P3208">
        <v>0.27156770000000002</v>
      </c>
      <c r="Q3208">
        <v>2.3661620000000001E-2</v>
      </c>
      <c r="R3208">
        <v>-0.96212850000000005</v>
      </c>
      <c r="S3208">
        <v>1.8101499999999999</v>
      </c>
      <c r="T3208">
        <v>-0.33228220000000003</v>
      </c>
      <c r="U3208">
        <v>-2.6338499999999998</v>
      </c>
      <c r="V3208">
        <v>-0.25291069999999999</v>
      </c>
      <c r="W3208">
        <v>4.0531329999999997E-2</v>
      </c>
      <c r="X3208">
        <v>0.96664019999999995</v>
      </c>
      <c r="Y3208">
        <v>-0.5471009</v>
      </c>
      <c r="Z3208">
        <v>0.1039988</v>
      </c>
      <c r="AA3208">
        <v>0.83058109999999996</v>
      </c>
      <c r="AB3208">
        <v>33</v>
      </c>
      <c r="AC3208">
        <v>0.51780000000002202</v>
      </c>
      <c r="AD3208">
        <v>-9.6725999999999798E-2</v>
      </c>
      <c r="AE3208">
        <v>-0.45296999999999998</v>
      </c>
      <c r="AF3208">
        <v>-0.49897548351654702</v>
      </c>
      <c r="AG3208">
        <v>-9.6725999999999798E-2</v>
      </c>
      <c r="AH3208">
        <v>0.45403837701967797</v>
      </c>
      <c r="AI3208">
        <v>98.159239302150596</v>
      </c>
      <c r="AJ3208">
        <v>137.69964689770401</v>
      </c>
      <c r="AK3208">
        <v>0.681530116747041</v>
      </c>
      <c r="AL3208">
        <v>87.677089417000602</v>
      </c>
      <c r="AM3208">
        <v>104.662138435739</v>
      </c>
      <c r="AN3208">
        <v>0.99999994357104705</v>
      </c>
    </row>
    <row r="3209" spans="1:40" x14ac:dyDescent="0.3">
      <c r="A3209" t="str">
        <f>"20200111153941851"</f>
        <v>20200111153941851</v>
      </c>
      <c r="B3209" t="str">
        <f>"1578728381843717"</f>
        <v>1578728381843717</v>
      </c>
      <c r="C3209" t="s">
        <v>40</v>
      </c>
      <c r="D3209">
        <v>4.9329450000000001</v>
      </c>
      <c r="E3209">
        <v>0.36344850000000001</v>
      </c>
      <c r="F3209" t="s">
        <v>41</v>
      </c>
      <c r="G3209">
        <v>-421.60930000000002</v>
      </c>
      <c r="H3209">
        <v>1.0121199999999999</v>
      </c>
      <c r="I3209">
        <v>39.508450000000003</v>
      </c>
      <c r="J3209">
        <v>-422.12560000000002</v>
      </c>
      <c r="K3209">
        <v>1.1076779999999999</v>
      </c>
      <c r="L3209">
        <v>39.958860000000001</v>
      </c>
      <c r="M3209">
        <v>2.2186529999999999E-2</v>
      </c>
      <c r="N3209">
        <v>0</v>
      </c>
      <c r="O3209">
        <v>-0.9995733</v>
      </c>
      <c r="P3209">
        <v>0.28847040000000002</v>
      </c>
      <c r="Q3209">
        <v>2.401913E-2</v>
      </c>
      <c r="R3209">
        <v>-0.95718769999999997</v>
      </c>
      <c r="S3209">
        <v>1.8439030000000001</v>
      </c>
      <c r="T3209">
        <v>-0.33523700000000001</v>
      </c>
      <c r="U3209">
        <v>-2.605896</v>
      </c>
      <c r="V3209">
        <v>-0.26739639999999998</v>
      </c>
      <c r="W3209">
        <v>4.0782409999999998E-2</v>
      </c>
      <c r="X3209">
        <v>0.9627232</v>
      </c>
      <c r="Y3209">
        <v>-0.55616429999999994</v>
      </c>
      <c r="Z3209">
        <v>0.10512150000000001</v>
      </c>
      <c r="AA3209">
        <v>0.8243973</v>
      </c>
      <c r="AB3209">
        <v>33</v>
      </c>
      <c r="AC3209">
        <v>0.51630000000000098</v>
      </c>
      <c r="AD3209">
        <v>-9.5558000000000004E-2</v>
      </c>
      <c r="AE3209">
        <v>-0.45040999999998999</v>
      </c>
      <c r="AF3209">
        <v>-0.49651984520203102</v>
      </c>
      <c r="AG3209">
        <v>-9.5558000000000004E-2</v>
      </c>
      <c r="AH3209">
        <v>0.45294548035492699</v>
      </c>
      <c r="AI3209">
        <v>98.092216116945494</v>
      </c>
      <c r="AJ3209">
        <v>137.62766478058799</v>
      </c>
      <c r="AK3209">
        <v>0.67883937438646302</v>
      </c>
      <c r="AL3209">
        <v>87.662691818720305</v>
      </c>
      <c r="AM3209">
        <v>105.522635168436</v>
      </c>
      <c r="AN3209">
        <v>0.999999999758304</v>
      </c>
    </row>
    <row r="3210" spans="1:40" x14ac:dyDescent="0.3">
      <c r="A3210" t="str">
        <f>"20200111153941879"</f>
        <v>20200111153941879</v>
      </c>
      <c r="B3210" t="str">
        <f>"1578728381873973"</f>
        <v>1578728381873973</v>
      </c>
      <c r="C3210" t="s">
        <v>40</v>
      </c>
      <c r="D3210">
        <v>4.839709</v>
      </c>
      <c r="E3210">
        <v>0.36329050000000002</v>
      </c>
      <c r="F3210" t="s">
        <v>41</v>
      </c>
      <c r="G3210">
        <v>-421.59050000000002</v>
      </c>
      <c r="H3210">
        <v>1.012211</v>
      </c>
      <c r="I3210">
        <v>39.224060000000001</v>
      </c>
      <c r="J3210">
        <v>-422.11329999999998</v>
      </c>
      <c r="K3210">
        <v>1.10792</v>
      </c>
      <c r="L3210">
        <v>39.586460000000002</v>
      </c>
      <c r="M3210">
        <v>2.587126E-2</v>
      </c>
      <c r="N3210">
        <v>0</v>
      </c>
      <c r="O3210">
        <v>-0.99948139999999996</v>
      </c>
      <c r="P3210">
        <v>0.30532999999999999</v>
      </c>
      <c r="Q3210">
        <v>2.3143730000000001E-2</v>
      </c>
      <c r="R3210">
        <v>-0.95196530000000001</v>
      </c>
      <c r="S3210">
        <v>1.8776250000000001</v>
      </c>
      <c r="T3210">
        <v>-0.334783099999999</v>
      </c>
      <c r="U3210">
        <v>-2.576721</v>
      </c>
      <c r="V3210">
        <v>-0.28085060000000001</v>
      </c>
      <c r="W3210">
        <v>3.9773290000000003E-2</v>
      </c>
      <c r="X3210">
        <v>0.95892699999999997</v>
      </c>
      <c r="Y3210">
        <v>-0.56454959999999998</v>
      </c>
      <c r="Z3210">
        <v>0.1052351</v>
      </c>
      <c r="AA3210">
        <v>0.81866319999999904</v>
      </c>
      <c r="AB3210">
        <v>32</v>
      </c>
      <c r="AC3210">
        <v>0.52279999999996096</v>
      </c>
      <c r="AD3210">
        <v>-9.5709000000000002E-2</v>
      </c>
      <c r="AE3210">
        <v>-0.3624</v>
      </c>
      <c r="AF3210">
        <v>-0.50188619363700904</v>
      </c>
      <c r="AG3210">
        <v>-9.5709000000000002E-2</v>
      </c>
      <c r="AH3210">
        <v>0.36748775234296299</v>
      </c>
      <c r="AI3210">
        <v>98.747074476636499</v>
      </c>
      <c r="AJ3210">
        <v>143.78791520617199</v>
      </c>
      <c r="AK3210">
        <v>0.62936254429901395</v>
      </c>
      <c r="AL3210">
        <v>87.720557055996494</v>
      </c>
      <c r="AM3210">
        <v>106.324255706854</v>
      </c>
      <c r="AN3210">
        <v>0.99999998272339097</v>
      </c>
    </row>
    <row r="3211" spans="1:40" x14ac:dyDescent="0.3">
      <c r="A3211" t="str">
        <f>"20200111153941900"</f>
        <v>20200111153941900</v>
      </c>
      <c r="B3211" t="str">
        <f>"1578728381894471"</f>
        <v>1578728381894471</v>
      </c>
      <c r="C3211" t="s">
        <v>40</v>
      </c>
      <c r="D3211">
        <v>4.6621499999999996</v>
      </c>
      <c r="E3211">
        <v>0.30014000000000002</v>
      </c>
      <c r="F3211" t="s">
        <v>66</v>
      </c>
      <c r="G3211">
        <v>-415.87950000000001</v>
      </c>
      <c r="H3211" s="1">
        <v>-5.7056619999999997E-6</v>
      </c>
      <c r="I3211">
        <v>31.348520000000001</v>
      </c>
      <c r="J3211">
        <v>-422.10149999999999</v>
      </c>
      <c r="K3211">
        <v>1.1081190000000001</v>
      </c>
      <c r="L3211">
        <v>39.273679999999999</v>
      </c>
      <c r="M3211">
        <v>2.9255369999999999E-2</v>
      </c>
      <c r="N3211">
        <v>0</v>
      </c>
      <c r="O3211">
        <v>-0.99938550000000004</v>
      </c>
      <c r="P3211">
        <v>0.32251370000000001</v>
      </c>
      <c r="Q3211">
        <v>2.213791E-2</v>
      </c>
      <c r="R3211">
        <v>-0.94630619999999999</v>
      </c>
      <c r="S3211">
        <v>1.924042</v>
      </c>
      <c r="T3211">
        <v>-0.34195629999999999</v>
      </c>
      <c r="U3211">
        <v>-2.5426030000000002</v>
      </c>
      <c r="V3211">
        <v>-0.2949542</v>
      </c>
      <c r="W3211">
        <v>3.8584970000000003E-2</v>
      </c>
      <c r="X3211">
        <v>0.95473200000000003</v>
      </c>
      <c r="Y3211">
        <v>-0.57634339999999995</v>
      </c>
      <c r="Z3211">
        <v>0.1075822</v>
      </c>
      <c r="AA3211">
        <v>0.81009529999999996</v>
      </c>
      <c r="AB3211">
        <v>32</v>
      </c>
      <c r="AC3211">
        <v>6.22199999999998</v>
      </c>
      <c r="AD3211">
        <v>-1.1081247056620001</v>
      </c>
      <c r="AE3211">
        <v>-7.9251599999999902</v>
      </c>
      <c r="AF3211">
        <v>-5.9158842306132797</v>
      </c>
      <c r="AG3211">
        <v>-1.1081247056620001</v>
      </c>
      <c r="AH3211">
        <v>8.0069799180859196</v>
      </c>
      <c r="AI3211">
        <v>96.351404530366494</v>
      </c>
      <c r="AJ3211">
        <v>126.45850464788001</v>
      </c>
      <c r="AK3211">
        <v>10.0168534980775</v>
      </c>
      <c r="AL3211">
        <v>87.788695105154503</v>
      </c>
      <c r="AM3211">
        <v>107.167972274546</v>
      </c>
      <c r="AN3211">
        <v>0.99999998591577</v>
      </c>
    </row>
    <row r="3212" spans="1:40" x14ac:dyDescent="0.3">
      <c r="A3212" t="str">
        <f>"20200111153941919"</f>
        <v>20200111153941919</v>
      </c>
      <c r="B3212" t="str">
        <f>"1578728381913989"</f>
        <v>1578728381913989</v>
      </c>
      <c r="C3212" t="s">
        <v>40</v>
      </c>
      <c r="D3212">
        <v>4.9017359999999996</v>
      </c>
      <c r="E3212">
        <v>0.29784519999999998</v>
      </c>
      <c r="F3212" t="s">
        <v>67</v>
      </c>
      <c r="G3212">
        <v>-389.1866</v>
      </c>
      <c r="H3212">
        <v>7.9985630000000002E-2</v>
      </c>
      <c r="I3212">
        <v>8.2388839999999899</v>
      </c>
      <c r="J3212">
        <v>-422.08969999999999</v>
      </c>
      <c r="K3212">
        <v>1.108279</v>
      </c>
      <c r="L3212">
        <v>38.988590000000002</v>
      </c>
      <c r="M3212">
        <v>3.253495E-2</v>
      </c>
      <c r="N3212">
        <v>0</v>
      </c>
      <c r="O3212">
        <v>-0.999282</v>
      </c>
      <c r="P3212">
        <v>0.33925119999999997</v>
      </c>
      <c r="Q3212">
        <v>2.125838E-2</v>
      </c>
      <c r="R3212">
        <v>-0.94045570000000001</v>
      </c>
      <c r="S3212">
        <v>2.4710079999999999</v>
      </c>
      <c r="T3212">
        <v>-7.7184680000000006E-2</v>
      </c>
      <c r="U3212">
        <v>-2.3298649999999999</v>
      </c>
      <c r="V3212">
        <v>-0.30874600000000002</v>
      </c>
      <c r="W3212">
        <v>3.7508569999999998E-2</v>
      </c>
      <c r="X3212">
        <v>0.95040460000000004</v>
      </c>
      <c r="Y3212">
        <v>-0.70467999999999997</v>
      </c>
      <c r="Z3212">
        <v>2.3013740000000001E-2</v>
      </c>
      <c r="AA3212">
        <v>0.70915189999999995</v>
      </c>
      <c r="AB3212">
        <v>32</v>
      </c>
      <c r="AC3212">
        <v>32.903099999999903</v>
      </c>
      <c r="AD3212">
        <v>-1.0282933700000001</v>
      </c>
      <c r="AE3212">
        <v>-30.749706</v>
      </c>
      <c r="AF3212">
        <v>-31.868430996417899</v>
      </c>
      <c r="AG3212">
        <v>-1.0282933700000001</v>
      </c>
      <c r="AH3212">
        <v>31.787550907262599</v>
      </c>
      <c r="AI3212">
        <v>91.308698360951396</v>
      </c>
      <c r="AJ3212">
        <v>135.072798896866</v>
      </c>
      <c r="AK3212">
        <v>45.023356984014903</v>
      </c>
      <c r="AL3212">
        <v>87.850412883295604</v>
      </c>
      <c r="AM3212">
        <v>107.99677325150201</v>
      </c>
      <c r="AN3212">
        <v>0.99999994452030005</v>
      </c>
    </row>
    <row r="3213" spans="1:40" x14ac:dyDescent="0.3">
      <c r="A3213" t="str">
        <f>"20200111153941941"</f>
        <v>20200111153941941</v>
      </c>
      <c r="B3213" t="str">
        <f>"1578728381934485"</f>
        <v>1578728381934485</v>
      </c>
      <c r="C3213" t="s">
        <v>40</v>
      </c>
      <c r="D3213">
        <v>4.8054889999999997</v>
      </c>
      <c r="E3213">
        <v>0.30308810000000003</v>
      </c>
      <c r="F3213" t="s">
        <v>43</v>
      </c>
      <c r="G3213">
        <v>-367.38189999999997</v>
      </c>
      <c r="H3213">
        <v>-0.05</v>
      </c>
      <c r="I3213">
        <v>-10.241820000000001</v>
      </c>
      <c r="J3213">
        <v>-422.0761</v>
      </c>
      <c r="K3213">
        <v>1.108452</v>
      </c>
      <c r="L3213">
        <v>38.691650000000003</v>
      </c>
      <c r="M3213">
        <v>3.6168110000000003E-2</v>
      </c>
      <c r="N3213">
        <v>0</v>
      </c>
      <c r="O3213">
        <v>-0.99915509999999996</v>
      </c>
      <c r="P3213">
        <v>0.35477589999999998</v>
      </c>
      <c r="Q3213">
        <v>2.1392769999999998E-2</v>
      </c>
      <c r="R3213">
        <v>-0.93470660000000005</v>
      </c>
      <c r="S3213">
        <v>2.5314329999999998</v>
      </c>
      <c r="T3213">
        <v>-5.3595780000000003E-2</v>
      </c>
      <c r="U3213">
        <v>-2.2779850000000001</v>
      </c>
      <c r="V3213">
        <v>-0.32102429999999998</v>
      </c>
      <c r="W3213">
        <v>3.7438529999999998E-2</v>
      </c>
      <c r="X3213">
        <v>0.94633069999999997</v>
      </c>
      <c r="Y3213">
        <v>-0.71855999999999998</v>
      </c>
      <c r="Z3213">
        <v>1.596709E-2</v>
      </c>
      <c r="AA3213">
        <v>0.695281699999999</v>
      </c>
      <c r="AB3213">
        <v>32</v>
      </c>
      <c r="AC3213">
        <v>54.694200000000002</v>
      </c>
      <c r="AD3213">
        <v>-1.158452</v>
      </c>
      <c r="AE3213">
        <v>-48.93347</v>
      </c>
      <c r="AF3213">
        <v>-52.875057852819303</v>
      </c>
      <c r="AG3213">
        <v>-1.158452</v>
      </c>
      <c r="AH3213">
        <v>50.867329767740699</v>
      </c>
      <c r="AI3213">
        <v>90.904569697223906</v>
      </c>
      <c r="AJ3213">
        <v>136.10870773195501</v>
      </c>
      <c r="AK3213">
        <v>73.379826871391401</v>
      </c>
      <c r="AL3213">
        <v>87.854428860939805</v>
      </c>
      <c r="AM3213">
        <v>108.73850687546199</v>
      </c>
      <c r="AN3213">
        <v>1.0000000192407701</v>
      </c>
    </row>
    <row r="3214" spans="1:40" x14ac:dyDescent="0.3">
      <c r="A3214" t="str">
        <f>"20200111153941962"</f>
        <v>20200111153941962</v>
      </c>
      <c r="B3214" t="str">
        <f>"1578728381954005"</f>
        <v>1578728381954005</v>
      </c>
      <c r="C3214" t="s">
        <v>40</v>
      </c>
      <c r="D3214">
        <v>4.5128389999999996</v>
      </c>
      <c r="E3214">
        <v>0.30183649999999901</v>
      </c>
      <c r="F3214" t="s">
        <v>43</v>
      </c>
      <c r="G3214">
        <v>-364.32229999999998</v>
      </c>
      <c r="H3214">
        <v>-0.05</v>
      </c>
      <c r="I3214">
        <v>-12.68723</v>
      </c>
      <c r="J3214">
        <v>-422.06049999999999</v>
      </c>
      <c r="K3214">
        <v>1.1086290000000001</v>
      </c>
      <c r="L3214">
        <v>38.37961</v>
      </c>
      <c r="M3214">
        <v>4.0235600000000003E-2</v>
      </c>
      <c r="N3214">
        <v>0</v>
      </c>
      <c r="O3214">
        <v>-0.99899800000000005</v>
      </c>
      <c r="P3214">
        <v>0.3701082</v>
      </c>
      <c r="Q3214">
        <v>2.1724340000000002E-2</v>
      </c>
      <c r="R3214">
        <v>-0.92873479999999997</v>
      </c>
      <c r="S3214">
        <v>2.5297550000000002</v>
      </c>
      <c r="T3214">
        <v>-5.074298E-2</v>
      </c>
      <c r="U3214">
        <v>-2.2505190000000002</v>
      </c>
      <c r="V3214">
        <v>-0.33274490000000001</v>
      </c>
      <c r="W3214">
        <v>3.7532870000000003E-2</v>
      </c>
      <c r="X3214">
        <v>0.94226960000000004</v>
      </c>
      <c r="Y3214">
        <v>-0.71969830000000001</v>
      </c>
      <c r="Z3214">
        <v>1.5228810000000001E-2</v>
      </c>
      <c r="AA3214">
        <v>0.69411990000000001</v>
      </c>
      <c r="AB3214">
        <v>32</v>
      </c>
      <c r="AC3214">
        <v>57.738199999999999</v>
      </c>
      <c r="AD3214">
        <v>-1.1586289999999999</v>
      </c>
      <c r="AE3214">
        <v>-51.066839999999999</v>
      </c>
      <c r="AF3214">
        <v>-55.623759576651402</v>
      </c>
      <c r="AG3214">
        <v>-1.1586289999999999</v>
      </c>
      <c r="AH3214">
        <v>53.336997709908601</v>
      </c>
      <c r="AI3214">
        <v>90.861357758014293</v>
      </c>
      <c r="AJ3214">
        <v>136.20229131709701</v>
      </c>
      <c r="AK3214">
        <v>77.072565646328101</v>
      </c>
      <c r="AL3214">
        <v>87.849019609164401</v>
      </c>
      <c r="AM3214">
        <v>109.449721491761</v>
      </c>
      <c r="AN3214">
        <v>0.99999994194530095</v>
      </c>
    </row>
    <row r="3215" spans="1:40" x14ac:dyDescent="0.3">
      <c r="A3215" t="str">
        <f>"20200111153941987"</f>
        <v>20200111153941987</v>
      </c>
      <c r="B3215" t="str">
        <f>"1578728381984262"</f>
        <v>1578728381984262</v>
      </c>
      <c r="C3215" t="s">
        <v>40</v>
      </c>
      <c r="D3215">
        <v>4.9008459999999996</v>
      </c>
      <c r="E3215">
        <v>0.3119711</v>
      </c>
      <c r="F3215" t="s">
        <v>68</v>
      </c>
      <c r="G3215">
        <v>-334.60930000000002</v>
      </c>
      <c r="H3215">
        <v>0.54523369999999904</v>
      </c>
      <c r="I3215">
        <v>-36.340490000000003</v>
      </c>
      <c r="J3215">
        <v>-422.0421</v>
      </c>
      <c r="K3215">
        <v>1.108833</v>
      </c>
      <c r="L3215">
        <v>38.047029999999999</v>
      </c>
      <c r="M3215">
        <v>4.48461E-2</v>
      </c>
      <c r="N3215">
        <v>0</v>
      </c>
      <c r="O3215">
        <v>-0.99880040000000003</v>
      </c>
      <c r="P3215">
        <v>0.38569639999999999</v>
      </c>
      <c r="Q3215">
        <v>2.1508329999999999E-2</v>
      </c>
      <c r="R3215">
        <v>-0.9223751</v>
      </c>
      <c r="S3215">
        <v>2.57843</v>
      </c>
      <c r="T3215">
        <v>-1.6611219999999999E-2</v>
      </c>
      <c r="U3215">
        <v>-2.2030639999999999</v>
      </c>
      <c r="V3215">
        <v>-0.34426329999999999</v>
      </c>
      <c r="W3215">
        <v>3.7043029999999998E-2</v>
      </c>
      <c r="X3215">
        <v>0.93814209999999998</v>
      </c>
      <c r="Y3215">
        <v>-0.73036619999999997</v>
      </c>
      <c r="Z3215">
        <v>4.9883499999999999E-3</v>
      </c>
      <c r="AA3215">
        <v>0.68303760000000002</v>
      </c>
      <c r="AB3215">
        <v>32</v>
      </c>
      <c r="AC3215">
        <v>87.432799999999901</v>
      </c>
      <c r="AD3215">
        <v>-0.56359930000000003</v>
      </c>
      <c r="AE3215">
        <v>-74.387519999999995</v>
      </c>
      <c r="AF3215">
        <v>-84.0061404130293</v>
      </c>
      <c r="AG3215">
        <v>-0.56359930000000003</v>
      </c>
      <c r="AH3215">
        <v>78.232542813868307</v>
      </c>
      <c r="AI3215">
        <v>90.281303634390696</v>
      </c>
      <c r="AJ3215">
        <v>137.03812819067201</v>
      </c>
      <c r="AK3215">
        <v>114.794076617168</v>
      </c>
      <c r="AL3215">
        <v>87.877105036519893</v>
      </c>
      <c r="AM3215">
        <v>110.151260977177</v>
      </c>
      <c r="AN3215">
        <v>1.0000000027954401</v>
      </c>
    </row>
    <row r="3216" spans="1:40" x14ac:dyDescent="0.3">
      <c r="A3216" t="str">
        <f>"20200111153942009"</f>
        <v>20200111153942009</v>
      </c>
      <c r="B3216" t="str">
        <f>"1578728382003782"</f>
        <v>1578728382003782</v>
      </c>
      <c r="C3216" t="s">
        <v>40</v>
      </c>
      <c r="D3216">
        <v>4.9637890000000002</v>
      </c>
      <c r="E3216">
        <v>0.31439800000000001</v>
      </c>
      <c r="F3216" t="s">
        <v>67</v>
      </c>
      <c r="G3216">
        <v>-389.19510000000002</v>
      </c>
      <c r="H3216">
        <v>4.3537319999999997E-2</v>
      </c>
      <c r="I3216">
        <v>9.6163240000000005</v>
      </c>
      <c r="J3216">
        <v>-422.02319999999997</v>
      </c>
      <c r="K3216">
        <v>1.1090340000000001</v>
      </c>
      <c r="L3216">
        <v>37.735779999999998</v>
      </c>
      <c r="M3216">
        <v>4.9440249999999998E-2</v>
      </c>
      <c r="N3216">
        <v>0</v>
      </c>
      <c r="O3216">
        <v>-0.99858250000000004</v>
      </c>
      <c r="P3216">
        <v>0.39985890000000002</v>
      </c>
      <c r="Q3216">
        <v>2.2002319999999999E-2</v>
      </c>
      <c r="R3216">
        <v>-0.91631269999999998</v>
      </c>
      <c r="S3216">
        <v>2.5351560000000002</v>
      </c>
      <c r="T3216">
        <v>-8.2220440000000006E-2</v>
      </c>
      <c r="U3216">
        <v>-2.1943049999999999</v>
      </c>
      <c r="V3216">
        <v>-0.35440739999999998</v>
      </c>
      <c r="W3216">
        <v>3.7246979999999999E-2</v>
      </c>
      <c r="X3216">
        <v>0.93434899999999999</v>
      </c>
      <c r="Y3216">
        <v>-0.72258449999999996</v>
      </c>
      <c r="Z3216">
        <v>2.5002839999999998E-2</v>
      </c>
      <c r="AA3216">
        <v>0.69083019999999995</v>
      </c>
      <c r="AB3216">
        <v>32</v>
      </c>
      <c r="AC3216">
        <v>32.8280999999999</v>
      </c>
      <c r="AD3216">
        <v>-1.0654966800000001</v>
      </c>
      <c r="AE3216">
        <v>-28.119456</v>
      </c>
      <c r="AF3216">
        <v>-31.3783688229516</v>
      </c>
      <c r="AG3216">
        <v>-1.0654966800000001</v>
      </c>
      <c r="AH3216">
        <v>29.6903591560915</v>
      </c>
      <c r="AI3216">
        <v>91.412918026288494</v>
      </c>
      <c r="AJ3216">
        <v>136.58331789136599</v>
      </c>
      <c r="AK3216">
        <v>43.211743079653502</v>
      </c>
      <c r="AL3216">
        <v>87.865411482711494</v>
      </c>
      <c r="AM3216">
        <v>110.772209576869</v>
      </c>
      <c r="AN3216">
        <v>0.99999999824744001</v>
      </c>
    </row>
    <row r="3217" spans="1:40" x14ac:dyDescent="0.3">
      <c r="A3217" t="str">
        <f>"20200111153942052"</f>
        <v>20200111153942052</v>
      </c>
      <c r="B3217" t="str">
        <f>"1578728382043800"</f>
        <v>1578728382043800</v>
      </c>
      <c r="C3217" t="s">
        <v>40</v>
      </c>
      <c r="D3217">
        <v>4.9932780000000001</v>
      </c>
      <c r="E3217">
        <v>0.3397597</v>
      </c>
      <c r="F3217" t="s">
        <v>42</v>
      </c>
      <c r="G3217">
        <v>-392.02260000000001</v>
      </c>
      <c r="H3217" s="1">
        <v>-5.0530630000000004E-6</v>
      </c>
      <c r="I3217">
        <v>12.27826</v>
      </c>
      <c r="J3217">
        <v>-421.9821</v>
      </c>
      <c r="K3217">
        <v>1.109467</v>
      </c>
      <c r="L3217">
        <v>37.140749999999997</v>
      </c>
      <c r="M3217">
        <v>5.908762E-2</v>
      </c>
      <c r="N3217">
        <v>0</v>
      </c>
      <c r="O3217">
        <v>-0.99805719999999998</v>
      </c>
      <c r="P3217">
        <v>0.42241840000000003</v>
      </c>
      <c r="Q3217">
        <v>2.4025149999999999E-2</v>
      </c>
      <c r="R3217">
        <v>-0.90608290000000002</v>
      </c>
      <c r="S3217">
        <v>2.5497130000000001</v>
      </c>
      <c r="T3217">
        <v>-9.4255920000000007E-2</v>
      </c>
      <c r="U3217">
        <v>-2.163605</v>
      </c>
      <c r="V3217">
        <v>-0.36853799999999998</v>
      </c>
      <c r="W3217">
        <v>3.8701699999999999E-2</v>
      </c>
      <c r="X3217">
        <v>0.92880669999999999</v>
      </c>
      <c r="Y3217">
        <v>-0.72259249999999997</v>
      </c>
      <c r="Z3217">
        <v>2.8837999999999999E-2</v>
      </c>
      <c r="AA3217">
        <v>0.69067250000000002</v>
      </c>
      <c r="AB3217">
        <v>31</v>
      </c>
      <c r="AC3217">
        <v>29.959499999999899</v>
      </c>
      <c r="AD3217">
        <v>-1.109472053063</v>
      </c>
      <c r="AE3217">
        <v>-24.862489999999902</v>
      </c>
      <c r="AF3217">
        <v>-28.4147061544246</v>
      </c>
      <c r="AG3217">
        <v>-1.109472053063</v>
      </c>
      <c r="AH3217">
        <v>26.568038366433601</v>
      </c>
      <c r="AI3217">
        <v>91.633672714638905</v>
      </c>
      <c r="AJ3217">
        <v>136.92363101648201</v>
      </c>
      <c r="AK3217">
        <v>38.916411919897101</v>
      </c>
      <c r="AL3217">
        <v>87.782001961803303</v>
      </c>
      <c r="AM3217">
        <v>111.64251183821899</v>
      </c>
      <c r="AN3217">
        <v>0.99999998249588895</v>
      </c>
    </row>
    <row r="3218" spans="1:40" x14ac:dyDescent="0.3">
      <c r="A3218" t="str">
        <f>"20200111153942073"</f>
        <v>20200111153942073</v>
      </c>
      <c r="B3218" t="str">
        <f>"1578728382064293"</f>
        <v>1578728382064293</v>
      </c>
      <c r="C3218" t="s">
        <v>40</v>
      </c>
      <c r="D3218">
        <v>4.8420620000000003</v>
      </c>
      <c r="E3218">
        <v>0.33977010000000002</v>
      </c>
      <c r="F3218" t="s">
        <v>66</v>
      </c>
      <c r="G3218">
        <v>-405.8186</v>
      </c>
      <c r="H3218" s="1">
        <v>-3.9066239999999998E-6</v>
      </c>
      <c r="I3218">
        <v>22.46472</v>
      </c>
      <c r="J3218">
        <v>-421.96010000000001</v>
      </c>
      <c r="K3218">
        <v>1.1096779999999999</v>
      </c>
      <c r="L3218">
        <v>36.859160000000003</v>
      </c>
      <c r="M3218">
        <v>6.4066680000000001E-2</v>
      </c>
      <c r="N3218">
        <v>0</v>
      </c>
      <c r="O3218">
        <v>-0.99774969999999996</v>
      </c>
      <c r="P3218">
        <v>0.43172250000000001</v>
      </c>
      <c r="Q3218">
        <v>2.4308690000000001E-2</v>
      </c>
      <c r="R3218">
        <v>-0.90167900000000001</v>
      </c>
      <c r="S3218">
        <v>2.412598</v>
      </c>
      <c r="T3218">
        <v>-0.16560259999999999</v>
      </c>
      <c r="U3218">
        <v>-2.190582</v>
      </c>
      <c r="V3218">
        <v>-0.37348530000000002</v>
      </c>
      <c r="W3218">
        <v>3.8716E-2</v>
      </c>
      <c r="X3218">
        <v>0.92682779999999998</v>
      </c>
      <c r="Y3218">
        <v>-0.69476099999999996</v>
      </c>
      <c r="Z3218">
        <v>5.1964299999999998E-2</v>
      </c>
      <c r="AA3218">
        <v>0.71736099999999903</v>
      </c>
      <c r="AB3218">
        <v>31</v>
      </c>
      <c r="AC3218">
        <v>16.141500000000001</v>
      </c>
      <c r="AD3218">
        <v>-1.109681906624</v>
      </c>
      <c r="AE3218">
        <v>-14.3944399999999</v>
      </c>
      <c r="AF3218">
        <v>-15.1460683541516</v>
      </c>
      <c r="AG3218">
        <v>-1.109681906624</v>
      </c>
      <c r="AH3218">
        <v>15.358757827081</v>
      </c>
      <c r="AI3218">
        <v>92.944925724976002</v>
      </c>
      <c r="AJ3218">
        <v>134.600521845016</v>
      </c>
      <c r="AK3218">
        <v>21.599218099585102</v>
      </c>
      <c r="AL3218">
        <v>87.781182021874301</v>
      </c>
      <c r="AM3218">
        <v>111.94803588616701</v>
      </c>
      <c r="AN3218">
        <v>0.99999998441246396</v>
      </c>
    </row>
    <row r="3219" spans="1:40" x14ac:dyDescent="0.3">
      <c r="A3219" t="str">
        <f>"20200111153942096"</f>
        <v>20200111153942096</v>
      </c>
      <c r="B3219" t="str">
        <f>"1578728382083814"</f>
        <v>1578728382083814</v>
      </c>
      <c r="C3219" t="s">
        <v>40</v>
      </c>
      <c r="D3219">
        <v>4.5391890000000004</v>
      </c>
      <c r="E3219">
        <v>0.3380592</v>
      </c>
      <c r="F3219" t="s">
        <v>66</v>
      </c>
      <c r="G3219">
        <v>-404.77179999999998</v>
      </c>
      <c r="H3219" s="1">
        <v>-4.269102E-6</v>
      </c>
      <c r="I3219">
        <v>21.58079</v>
      </c>
      <c r="J3219">
        <v>-421.93430000000001</v>
      </c>
      <c r="K3219">
        <v>1.1099239999999999</v>
      </c>
      <c r="L3219">
        <v>36.552700000000002</v>
      </c>
      <c r="M3219">
        <v>6.9837490000000002E-2</v>
      </c>
      <c r="N3219">
        <v>0</v>
      </c>
      <c r="O3219">
        <v>-0.99736230000000003</v>
      </c>
      <c r="P3219">
        <v>0.44110749999999999</v>
      </c>
      <c r="Q3219">
        <v>2.5532220000000001E-2</v>
      </c>
      <c r="R3219">
        <v>-0.89709089999999903</v>
      </c>
      <c r="S3219">
        <v>2.4357600000000001</v>
      </c>
      <c r="T3219">
        <v>-0.15725320000000001</v>
      </c>
      <c r="U3219">
        <v>-2.1650999999999998</v>
      </c>
      <c r="V3219">
        <v>-0.37783129999999998</v>
      </c>
      <c r="W3219">
        <v>3.9636070000000002E-2</v>
      </c>
      <c r="X3219">
        <v>0.9250256</v>
      </c>
      <c r="Y3219">
        <v>-0.69827349999999999</v>
      </c>
      <c r="Z3219">
        <v>4.9450929999999997E-2</v>
      </c>
      <c r="AA3219">
        <v>0.71412100000000001</v>
      </c>
      <c r="AB3219">
        <v>31</v>
      </c>
      <c r="AC3219">
        <v>17.162500000000001</v>
      </c>
      <c r="AD3219">
        <v>-1.1099282691019901</v>
      </c>
      <c r="AE3219">
        <v>-14.971909999999999</v>
      </c>
      <c r="AF3219">
        <v>-16.036686823421601</v>
      </c>
      <c r="AG3219">
        <v>-1.1099282691019901</v>
      </c>
      <c r="AH3219">
        <v>16.095932386956601</v>
      </c>
      <c r="AI3219">
        <v>92.796665860305197</v>
      </c>
      <c r="AJ3219">
        <v>134.89435915956199</v>
      </c>
      <c r="AK3219">
        <v>22.748325310680301</v>
      </c>
      <c r="AL3219">
        <v>87.728425279001698</v>
      </c>
      <c r="AM3219">
        <v>112.217803538306</v>
      </c>
      <c r="AN3219">
        <v>0.99999993498004502</v>
      </c>
    </row>
    <row r="3220" spans="1:40" x14ac:dyDescent="0.3">
      <c r="A3220" t="str">
        <f>"20200111153942120"</f>
        <v>20200111153942120</v>
      </c>
      <c r="B3220" t="str">
        <f>"1578728382114070"</f>
        <v>1578728382114070</v>
      </c>
      <c r="C3220" t="s">
        <v>40</v>
      </c>
      <c r="D3220">
        <v>4.5625460000000002</v>
      </c>
      <c r="E3220">
        <v>0.33231549999999999</v>
      </c>
      <c r="F3220" t="s">
        <v>66</v>
      </c>
      <c r="G3220">
        <v>-402.77140000000003</v>
      </c>
      <c r="H3220" s="1">
        <v>-4.9218330000000003E-6</v>
      </c>
      <c r="I3220">
        <v>20.01294</v>
      </c>
      <c r="J3220">
        <v>-421.90309999999999</v>
      </c>
      <c r="K3220">
        <v>1.1102190000000001</v>
      </c>
      <c r="L3220">
        <v>36.215449999999997</v>
      </c>
      <c r="M3220">
        <v>7.6680349999999994E-2</v>
      </c>
      <c r="N3220">
        <v>0</v>
      </c>
      <c r="O3220">
        <v>-0.99685999999999997</v>
      </c>
      <c r="P3220">
        <v>0.45148690000000002</v>
      </c>
      <c r="Q3220">
        <v>2.751139E-2</v>
      </c>
      <c r="R3220">
        <v>-0.89185369999999997</v>
      </c>
      <c r="S3220">
        <v>2.4713129999999999</v>
      </c>
      <c r="T3220">
        <v>-0.1431404</v>
      </c>
      <c r="U3220">
        <v>-2.1330260000000001</v>
      </c>
      <c r="V3220">
        <v>-0.38227030000000001</v>
      </c>
      <c r="W3220">
        <v>4.1241220000000002E-2</v>
      </c>
      <c r="X3220">
        <v>0.9231298</v>
      </c>
      <c r="Y3220">
        <v>-0.70391419999999905</v>
      </c>
      <c r="Z3220">
        <v>4.5060080000000002E-2</v>
      </c>
      <c r="AA3220">
        <v>0.70885430000000005</v>
      </c>
      <c r="AB3220">
        <v>31</v>
      </c>
      <c r="AC3220">
        <v>19.131699999999899</v>
      </c>
      <c r="AD3220">
        <v>-1.1102239218329999</v>
      </c>
      <c r="AE3220">
        <v>-16.202509999999901</v>
      </c>
      <c r="AF3220">
        <v>-17.797790255273</v>
      </c>
      <c r="AG3220">
        <v>-1.1102239218329999</v>
      </c>
      <c r="AH3220">
        <v>17.5876085782281</v>
      </c>
      <c r="AI3220">
        <v>92.540573091983603</v>
      </c>
      <c r="AJ3220">
        <v>135.34032063510199</v>
      </c>
      <c r="AK3220">
        <v>25.046315310405699</v>
      </c>
      <c r="AL3220">
        <v>87.636381863752206</v>
      </c>
      <c r="AM3220">
        <v>112.494565207444</v>
      </c>
      <c r="AN3220">
        <v>1.0000000240686</v>
      </c>
    </row>
    <row r="3221" spans="1:40" x14ac:dyDescent="0.3">
      <c r="A3221" t="str">
        <f>"20200111153942142"</f>
        <v>20200111153942142</v>
      </c>
      <c r="B3221" t="str">
        <f>"1578728382134566"</f>
        <v>1578728382134566</v>
      </c>
      <c r="C3221" t="s">
        <v>40</v>
      </c>
      <c r="D3221">
        <v>5.1178150000000002</v>
      </c>
      <c r="E3221">
        <v>0.33474530000000002</v>
      </c>
      <c r="F3221" t="s">
        <v>42</v>
      </c>
      <c r="G3221">
        <v>-399.26780000000002</v>
      </c>
      <c r="H3221" s="1">
        <v>-7.9074860000000001E-7</v>
      </c>
      <c r="I3221">
        <v>17.64181</v>
      </c>
      <c r="J3221">
        <v>-421.87360000000001</v>
      </c>
      <c r="K3221">
        <v>1.110476</v>
      </c>
      <c r="L3221">
        <v>35.919829999999997</v>
      </c>
      <c r="M3221">
        <v>8.3016049999999994E-2</v>
      </c>
      <c r="N3221">
        <v>0</v>
      </c>
      <c r="O3221">
        <v>-0.99635309999999999</v>
      </c>
      <c r="P3221">
        <v>0.46125579999999999</v>
      </c>
      <c r="Q3221">
        <v>2.986202E-2</v>
      </c>
      <c r="R3221">
        <v>-0.88676480000000002</v>
      </c>
      <c r="S3221">
        <v>2.5381469999999999</v>
      </c>
      <c r="T3221">
        <v>-0.1244914</v>
      </c>
      <c r="U3221">
        <v>-2.082703</v>
      </c>
      <c r="V3221">
        <v>-0.3865999</v>
      </c>
      <c r="W3221">
        <v>4.32412E-2</v>
      </c>
      <c r="X3221">
        <v>0.92123319999999997</v>
      </c>
      <c r="Y3221">
        <v>-0.71712989999999999</v>
      </c>
      <c r="Z3221">
        <v>3.9089390000000002E-2</v>
      </c>
      <c r="AA3221">
        <v>0.69584239999999997</v>
      </c>
      <c r="AB3221">
        <v>31</v>
      </c>
      <c r="AC3221">
        <v>22.605799999999899</v>
      </c>
      <c r="AD3221">
        <v>-1.1104767907486</v>
      </c>
      <c r="AE3221">
        <v>-18.278020000000001</v>
      </c>
      <c r="AF3221">
        <v>-20.979462359421898</v>
      </c>
      <c r="AG3221">
        <v>-1.1104767907486</v>
      </c>
      <c r="AH3221">
        <v>20.0626378663186</v>
      </c>
      <c r="AI3221">
        <v>92.1907735434405</v>
      </c>
      <c r="AJ3221">
        <v>136.279696666608</v>
      </c>
      <c r="AK3221">
        <v>29.049620268572099</v>
      </c>
      <c r="AL3221">
        <v>87.521688871608404</v>
      </c>
      <c r="AM3221">
        <v>112.765589108447</v>
      </c>
      <c r="AN3221">
        <v>0.99999994641984302</v>
      </c>
    </row>
    <row r="3222" spans="1:40" x14ac:dyDescent="0.3">
      <c r="A3222" t="str">
        <f>"20200111153942163"</f>
        <v>20200111153942163</v>
      </c>
      <c r="B3222" t="str">
        <f>"1578728382154086"</f>
        <v>1578728382154086</v>
      </c>
      <c r="C3222" t="s">
        <v>40</v>
      </c>
      <c r="D3222">
        <v>5.1363629999999896</v>
      </c>
      <c r="E3222">
        <v>0.3367771</v>
      </c>
      <c r="F3222" t="s">
        <v>66</v>
      </c>
      <c r="G3222">
        <v>-400.3098</v>
      </c>
      <c r="H3222" s="1">
        <v>-7.4699159999999999E-6</v>
      </c>
      <c r="I3222">
        <v>18.40709</v>
      </c>
      <c r="J3222">
        <v>-421.84440000000001</v>
      </c>
      <c r="K3222">
        <v>1.1107049999999901</v>
      </c>
      <c r="L3222">
        <v>35.647579999999998</v>
      </c>
      <c r="M3222">
        <v>8.9158829999999994E-2</v>
      </c>
      <c r="N3222">
        <v>0</v>
      </c>
      <c r="O3222">
        <v>-0.99582280000000001</v>
      </c>
      <c r="P3222">
        <v>0.46975240000000001</v>
      </c>
      <c r="Q3222">
        <v>3.1452099999999997E-2</v>
      </c>
      <c r="R3222">
        <v>-0.88223770000000001</v>
      </c>
      <c r="S3222">
        <v>2.5426030000000002</v>
      </c>
      <c r="T3222">
        <v>-0.1309381</v>
      </c>
      <c r="U3222">
        <v>-2.0649410000000001</v>
      </c>
      <c r="V3222">
        <v>-0.38981660000000001</v>
      </c>
      <c r="W3222">
        <v>4.4518370000000002E-2</v>
      </c>
      <c r="X3222">
        <v>0.91981579999999996</v>
      </c>
      <c r="Y3222">
        <v>-0.7162849</v>
      </c>
      <c r="Z3222">
        <v>4.1288129999999999E-2</v>
      </c>
      <c r="AA3222">
        <v>0.69658540000000002</v>
      </c>
      <c r="AB3222">
        <v>31</v>
      </c>
      <c r="AC3222">
        <v>21.534600000000001</v>
      </c>
      <c r="AD3222">
        <v>-1.11071246991599</v>
      </c>
      <c r="AE3222">
        <v>-17.240489999999902</v>
      </c>
      <c r="AF3222">
        <v>-19.879135641339602</v>
      </c>
      <c r="AG3222">
        <v>-1.11071246991599</v>
      </c>
      <c r="AH3222">
        <v>19.061271770944199</v>
      </c>
      <c r="AI3222">
        <v>92.309445575609004</v>
      </c>
      <c r="AJ3222">
        <v>136.203204140427</v>
      </c>
      <c r="AK3222">
        <v>27.563486672832202</v>
      </c>
      <c r="AL3222">
        <v>87.448441963894396</v>
      </c>
      <c r="AM3222">
        <v>112.96716026100199</v>
      </c>
      <c r="AN3222">
        <v>0.99999998641632803</v>
      </c>
    </row>
    <row r="3223" spans="1:40" x14ac:dyDescent="0.3">
      <c r="A3223" t="str">
        <f>"20200111153942185"</f>
        <v>20200111153942185</v>
      </c>
      <c r="B3223" t="str">
        <f>"1578728382173940"</f>
        <v>1578728382173940</v>
      </c>
      <c r="C3223" t="s">
        <v>40</v>
      </c>
      <c r="D3223">
        <v>5.0939589999999999</v>
      </c>
      <c r="E3223">
        <v>0.33891080000000001</v>
      </c>
      <c r="F3223" t="s">
        <v>66</v>
      </c>
      <c r="G3223">
        <v>-401.23180000000002</v>
      </c>
      <c r="H3223" s="1">
        <v>-7.235746E-6</v>
      </c>
      <c r="I3223">
        <v>19.069030000000001</v>
      </c>
      <c r="J3223">
        <v>-421.8098</v>
      </c>
      <c r="K3223">
        <v>1.1109690000000001</v>
      </c>
      <c r="L3223">
        <v>35.346709999999902</v>
      </c>
      <c r="M3223">
        <v>9.6340040000000002E-2</v>
      </c>
      <c r="N3223">
        <v>0</v>
      </c>
      <c r="O3223">
        <v>-0.9951546</v>
      </c>
      <c r="P3223">
        <v>0.47841030000000001</v>
      </c>
      <c r="Q3223">
        <v>3.3113219999999999E-2</v>
      </c>
      <c r="R3223">
        <v>-0.87751179999999995</v>
      </c>
      <c r="S3223">
        <v>2.547485</v>
      </c>
      <c r="T3223">
        <v>-0.13727129999999901</v>
      </c>
      <c r="U3223">
        <v>-2.0489199999999999</v>
      </c>
      <c r="V3223">
        <v>-0.39228869999999999</v>
      </c>
      <c r="W3223">
        <v>4.5837860000000001E-2</v>
      </c>
      <c r="X3223">
        <v>0.9186993</v>
      </c>
      <c r="Y3223">
        <v>-0.71448900000000004</v>
      </c>
      <c r="Z3223">
        <v>4.3457849999999999E-2</v>
      </c>
      <c r="AA3223">
        <v>0.69829569999999996</v>
      </c>
      <c r="AB3223">
        <v>30</v>
      </c>
      <c r="AC3223">
        <v>20.5779999999999</v>
      </c>
      <c r="AD3223">
        <v>-1.110976235746</v>
      </c>
      <c r="AE3223">
        <v>-16.277679999999901</v>
      </c>
      <c r="AF3223">
        <v>-18.879899033896301</v>
      </c>
      <c r="AG3223">
        <v>-1.110976235746</v>
      </c>
      <c r="AH3223">
        <v>18.1522574136748</v>
      </c>
      <c r="AI3223">
        <v>92.428954046148803</v>
      </c>
      <c r="AJ3223">
        <v>136.12565493759701</v>
      </c>
      <c r="AK3223">
        <v>26.214295812377401</v>
      </c>
      <c r="AL3223">
        <v>87.372763430925701</v>
      </c>
      <c r="AM3223">
        <v>113.12269837964</v>
      </c>
      <c r="AN3223">
        <v>0.99999996868877905</v>
      </c>
    </row>
    <row r="3224" spans="1:40" x14ac:dyDescent="0.3">
      <c r="A3224" t="str">
        <f>"20200111153942208"</f>
        <v>20200111153942208</v>
      </c>
      <c r="B3224" t="str">
        <f>"1578728382204196"</f>
        <v>1578728382204196</v>
      </c>
      <c r="C3224" t="s">
        <v>40</v>
      </c>
      <c r="D3224">
        <v>5.088552</v>
      </c>
      <c r="E3224">
        <v>0.34164729999999999</v>
      </c>
      <c r="F3224" t="s">
        <v>66</v>
      </c>
      <c r="G3224">
        <v>-402.06049999999999</v>
      </c>
      <c r="H3224" s="1">
        <v>-5.1824069999999997E-6</v>
      </c>
      <c r="I3224">
        <v>19.616599999999998</v>
      </c>
      <c r="J3224">
        <v>-421.77330000000001</v>
      </c>
      <c r="K3224">
        <v>1.111243</v>
      </c>
      <c r="L3224">
        <v>35.052759999999999</v>
      </c>
      <c r="M3224">
        <v>0.1037757</v>
      </c>
      <c r="N3224">
        <v>0</v>
      </c>
      <c r="O3224">
        <v>-0.99440779999999995</v>
      </c>
      <c r="P3224">
        <v>0.4870102</v>
      </c>
      <c r="Q3224">
        <v>3.486682E-2</v>
      </c>
      <c r="R3224">
        <v>-0.87270029999999998</v>
      </c>
      <c r="S3224">
        <v>2.552155</v>
      </c>
      <c r="T3224">
        <v>-0.14356940000000001</v>
      </c>
      <c r="U3224">
        <v>-2.0327760000000001</v>
      </c>
      <c r="V3224">
        <v>-0.39451180000000002</v>
      </c>
      <c r="W3224">
        <v>4.7227289999999998E-2</v>
      </c>
      <c r="X3224">
        <v>0.91767639999999995</v>
      </c>
      <c r="Y3224">
        <v>-0.71250599999999997</v>
      </c>
      <c r="Z3224">
        <v>4.5634809999999998E-2</v>
      </c>
      <c r="AA3224">
        <v>0.70018040000000004</v>
      </c>
      <c r="AB3224">
        <v>30</v>
      </c>
      <c r="AC3224">
        <v>19.712800000000001</v>
      </c>
      <c r="AD3224">
        <v>-1.111248182407</v>
      </c>
      <c r="AE3224">
        <v>-15.436159999999999</v>
      </c>
      <c r="AF3224">
        <v>-17.968721824863099</v>
      </c>
      <c r="AG3224">
        <v>-1.111248182407</v>
      </c>
      <c r="AH3224">
        <v>17.3646793503152</v>
      </c>
      <c r="AI3224">
        <v>92.546324470729203</v>
      </c>
      <c r="AJ3224">
        <v>135.979405104026</v>
      </c>
      <c r="AK3224">
        <v>25.0128352147748</v>
      </c>
      <c r="AL3224">
        <v>87.293068639787606</v>
      </c>
      <c r="AM3224">
        <v>113.263012244582</v>
      </c>
      <c r="AN3224">
        <v>0.99999997618847103</v>
      </c>
    </row>
    <row r="3225" spans="1:40" x14ac:dyDescent="0.3">
      <c r="A3225" t="str">
        <f>"20200111153942230"</f>
        <v>20200111153942230</v>
      </c>
      <c r="B3225" t="str">
        <f>"1578728382224692"</f>
        <v>1578728382224692</v>
      </c>
      <c r="C3225" t="s">
        <v>40</v>
      </c>
      <c r="D3225">
        <v>5.1329419999999999</v>
      </c>
      <c r="E3225">
        <v>0.34301979999999999</v>
      </c>
      <c r="F3225" t="s">
        <v>66</v>
      </c>
      <c r="G3225">
        <v>-403.5274</v>
      </c>
      <c r="H3225" s="1">
        <v>-4.6765239999999998E-6</v>
      </c>
      <c r="I3225">
        <v>20.613119999999999</v>
      </c>
      <c r="J3225">
        <v>-421.73340000000002</v>
      </c>
      <c r="K3225">
        <v>1.1115429999999999</v>
      </c>
      <c r="L3225">
        <v>34.75226</v>
      </c>
      <c r="M3225">
        <v>0.11182499999999999</v>
      </c>
      <c r="N3225">
        <v>0</v>
      </c>
      <c r="O3225">
        <v>-0.99353630000000004</v>
      </c>
      <c r="P3225">
        <v>0.49740079999999998</v>
      </c>
      <c r="Q3225">
        <v>3.5756219999999998E-2</v>
      </c>
      <c r="R3225">
        <v>-0.86678429999999995</v>
      </c>
      <c r="S3225">
        <v>2.5520320000000001</v>
      </c>
      <c r="T3225">
        <v>-0.1554286</v>
      </c>
      <c r="U3225">
        <v>-2.0196529999999999</v>
      </c>
      <c r="V3225">
        <v>-0.39809460000000002</v>
      </c>
      <c r="W3225">
        <v>4.7675009999999997E-2</v>
      </c>
      <c r="X3225">
        <v>0.91610469999999999</v>
      </c>
      <c r="Y3225">
        <v>-0.708866199999999</v>
      </c>
      <c r="Z3225">
        <v>4.9624740000000001E-2</v>
      </c>
      <c r="AA3225">
        <v>0.70359519999999998</v>
      </c>
      <c r="AB3225">
        <v>30</v>
      </c>
      <c r="AC3225">
        <v>18.206</v>
      </c>
      <c r="AD3225">
        <v>-1.111547676524</v>
      </c>
      <c r="AE3225">
        <v>-14.1391399999999</v>
      </c>
      <c r="AF3225">
        <v>-16.4720558809457</v>
      </c>
      <c r="AG3225">
        <v>-1.111547676524</v>
      </c>
      <c r="AH3225">
        <v>16.049380250199501</v>
      </c>
      <c r="AI3225">
        <v>92.767078651521402</v>
      </c>
      <c r="AJ3225">
        <v>135.744621676485</v>
      </c>
      <c r="AK3225">
        <v>23.024916277756098</v>
      </c>
      <c r="AL3225">
        <v>87.267387361743502</v>
      </c>
      <c r="AM3225">
        <v>113.487424593656</v>
      </c>
      <c r="AN3225">
        <v>1.0000000192448699</v>
      </c>
    </row>
    <row r="3226" spans="1:40" x14ac:dyDescent="0.3">
      <c r="A3226" t="str">
        <f>"20200111153942252"</f>
        <v>20200111153942252</v>
      </c>
      <c r="B3226" t="str">
        <f>"1578728382244212"</f>
        <v>1578728382244212</v>
      </c>
      <c r="C3226" t="s">
        <v>40</v>
      </c>
      <c r="D3226">
        <v>5.1346069999999999</v>
      </c>
      <c r="E3226">
        <v>0.34422370000000002</v>
      </c>
      <c r="F3226" t="s">
        <v>66</v>
      </c>
      <c r="G3226">
        <v>-404.58730000000003</v>
      </c>
      <c r="H3226" s="1">
        <v>-4.3259280000000003E-6</v>
      </c>
      <c r="I3226">
        <v>21.41724</v>
      </c>
      <c r="J3226">
        <v>-421.69150000000002</v>
      </c>
      <c r="K3226">
        <v>1.11185</v>
      </c>
      <c r="L3226">
        <v>34.45825</v>
      </c>
      <c r="M3226">
        <v>0.1201776</v>
      </c>
      <c r="N3226">
        <v>0</v>
      </c>
      <c r="O3226">
        <v>-0.9925621</v>
      </c>
      <c r="P3226">
        <v>0.50774010000000003</v>
      </c>
      <c r="Q3226">
        <v>3.5596929999999999E-2</v>
      </c>
      <c r="R3226">
        <v>-0.86077479999999995</v>
      </c>
      <c r="S3226">
        <v>2.5658569999999998</v>
      </c>
      <c r="T3226">
        <v>-0.1663396</v>
      </c>
      <c r="U3226">
        <v>-1.995544</v>
      </c>
      <c r="V3226">
        <v>-0.40138810000000003</v>
      </c>
      <c r="W3226">
        <v>4.704962E-2</v>
      </c>
      <c r="X3226">
        <v>0.91469880000000003</v>
      </c>
      <c r="Y3226">
        <v>-0.70874359999999903</v>
      </c>
      <c r="Z3226">
        <v>5.3292560000000003E-2</v>
      </c>
      <c r="AA3226">
        <v>0.70345040000000003</v>
      </c>
      <c r="AB3226">
        <v>30</v>
      </c>
      <c r="AC3226">
        <v>17.104199999999899</v>
      </c>
      <c r="AD3226">
        <v>-1.111854325928</v>
      </c>
      <c r="AE3226">
        <v>-13.04101</v>
      </c>
      <c r="AF3226">
        <v>-15.371579262791901</v>
      </c>
      <c r="AG3226">
        <v>-1.111854325928</v>
      </c>
      <c r="AH3226">
        <v>14.962405737509</v>
      </c>
      <c r="AI3226">
        <v>92.967072008300704</v>
      </c>
      <c r="AJ3226">
        <v>135.77281288150499</v>
      </c>
      <c r="AK3226">
        <v>21.480113000825298</v>
      </c>
      <c r="AL3226">
        <v>87.303259731404793</v>
      </c>
      <c r="AM3226">
        <v>113.692825476119</v>
      </c>
      <c r="AN3226">
        <v>0.99999998414259705</v>
      </c>
    </row>
    <row r="3227" spans="1:40" x14ac:dyDescent="0.3">
      <c r="A3227" t="str">
        <f>"20200111153942274"</f>
        <v>20200111153942274</v>
      </c>
      <c r="B3227" t="str">
        <f>"1578728382264241"</f>
        <v>1578728382264241</v>
      </c>
      <c r="C3227" t="s">
        <v>40</v>
      </c>
      <c r="D3227">
        <v>5.3945509999999999</v>
      </c>
      <c r="E3227">
        <v>0.34542669999999998</v>
      </c>
      <c r="F3227" t="s">
        <v>66</v>
      </c>
      <c r="G3227">
        <v>-405.6454</v>
      </c>
      <c r="H3227" s="1">
        <v>-3.947157E-6</v>
      </c>
      <c r="I3227">
        <v>22.202829999999999</v>
      </c>
      <c r="J3227">
        <v>-421.64949999999999</v>
      </c>
      <c r="K3227">
        <v>1.1121479999999999</v>
      </c>
      <c r="L3227">
        <v>34.183839999999996</v>
      </c>
      <c r="M3227">
        <v>0.12842809999999999</v>
      </c>
      <c r="N3227">
        <v>0</v>
      </c>
      <c r="O3227">
        <v>-0.99152980000000002</v>
      </c>
      <c r="P3227">
        <v>0.51757339999999996</v>
      </c>
      <c r="Q3227">
        <v>3.4898989999999998E-2</v>
      </c>
      <c r="R3227">
        <v>-0.854927199999999</v>
      </c>
      <c r="S3227">
        <v>2.5802</v>
      </c>
      <c r="T3227">
        <v>-0.17878620000000001</v>
      </c>
      <c r="U3227">
        <v>-1.9706729999999999</v>
      </c>
      <c r="V3227">
        <v>-0.40428540000000002</v>
      </c>
      <c r="W3227">
        <v>4.590644E-2</v>
      </c>
      <c r="X3227">
        <v>0.91348010000000002</v>
      </c>
      <c r="Y3227">
        <v>-0.70886559999999998</v>
      </c>
      <c r="Z3227">
        <v>5.7469300000000001E-2</v>
      </c>
      <c r="AA3227">
        <v>0.70299849999999997</v>
      </c>
      <c r="AB3227">
        <v>30</v>
      </c>
      <c r="AC3227">
        <v>16.004099999999902</v>
      </c>
      <c r="AD3227">
        <v>-1.1121519471569901</v>
      </c>
      <c r="AE3227">
        <v>-11.981009999999999</v>
      </c>
      <c r="AF3227">
        <v>-14.288312229032099</v>
      </c>
      <c r="AG3227">
        <v>-1.1121519471569901</v>
      </c>
      <c r="AH3227">
        <v>13.894517744477801</v>
      </c>
      <c r="AI3227">
        <v>93.193924080392406</v>
      </c>
      <c r="AJ3227">
        <v>135.80053329508999</v>
      </c>
      <c r="AK3227">
        <v>19.9612216975686</v>
      </c>
      <c r="AL3227">
        <v>87.368830000310297</v>
      </c>
      <c r="AM3227">
        <v>113.873085509956</v>
      </c>
      <c r="AN3227">
        <v>0.99999998949132096</v>
      </c>
    </row>
    <row r="3228" spans="1:40" x14ac:dyDescent="0.3">
      <c r="A3228" t="str">
        <f>"20200111153942297"</f>
        <v>20200111153942297</v>
      </c>
      <c r="B3228" t="str">
        <f>"1578728382294496"</f>
        <v>1578728382294496</v>
      </c>
      <c r="C3228" t="s">
        <v>40</v>
      </c>
      <c r="D3228">
        <v>5.1854889999999996</v>
      </c>
      <c r="E3228">
        <v>0.34687370000000001</v>
      </c>
      <c r="F3228" t="s">
        <v>66</v>
      </c>
      <c r="G3228">
        <v>-406.3578</v>
      </c>
      <c r="H3228" s="1">
        <v>-3.6785509999999999E-6</v>
      </c>
      <c r="I3228">
        <v>22.707730000000002</v>
      </c>
      <c r="J3228">
        <v>-421.60219999999998</v>
      </c>
      <c r="K3228">
        <v>1.11246</v>
      </c>
      <c r="L3228">
        <v>33.895020000000002</v>
      </c>
      <c r="M3228">
        <v>0.13761870000000001</v>
      </c>
      <c r="N3228">
        <v>0</v>
      </c>
      <c r="O3228">
        <v>-0.99029719999999999</v>
      </c>
      <c r="P3228">
        <v>0.52679180000000003</v>
      </c>
      <c r="Q3228">
        <v>3.3892949999999998E-2</v>
      </c>
      <c r="R3228">
        <v>-0.84931840000000003</v>
      </c>
      <c r="S3228">
        <v>2.5937190000000001</v>
      </c>
      <c r="T3228">
        <v>-0.1886388</v>
      </c>
      <c r="U3228">
        <v>-1.9465330000000001</v>
      </c>
      <c r="V3228">
        <v>-0.40570899999999999</v>
      </c>
      <c r="W3228">
        <v>4.4474069999999997E-2</v>
      </c>
      <c r="X3228">
        <v>0.91291960000000005</v>
      </c>
      <c r="Y3228">
        <v>-0.7081153</v>
      </c>
      <c r="Z3228">
        <v>6.0843000000000001E-2</v>
      </c>
      <c r="AA3228">
        <v>0.70347059999999995</v>
      </c>
      <c r="AB3228">
        <v>30</v>
      </c>
      <c r="AC3228">
        <v>15.244399999999899</v>
      </c>
      <c r="AD3228">
        <v>-1.112463678551</v>
      </c>
      <c r="AE3228">
        <v>-11.187290000000001</v>
      </c>
      <c r="AF3228">
        <v>-13.5126610680362</v>
      </c>
      <c r="AG3228">
        <v>-1.112463678551</v>
      </c>
      <c r="AH3228">
        <v>13.1336522213956</v>
      </c>
      <c r="AI3228">
        <v>93.378614377020995</v>
      </c>
      <c r="AJ3228">
        <v>135.81490233941301</v>
      </c>
      <c r="AK3228">
        <v>18.876504052612201</v>
      </c>
      <c r="AL3228">
        <v>87.450982630884894</v>
      </c>
      <c r="AM3228">
        <v>113.96075713494299</v>
      </c>
      <c r="AN3228">
        <v>0.99999996582376105</v>
      </c>
    </row>
    <row r="3229" spans="1:40" x14ac:dyDescent="0.3">
      <c r="A3229" t="str">
        <f>"20200111153942320"</f>
        <v>20200111153942320</v>
      </c>
      <c r="B3229" t="str">
        <f>"1578728382314017"</f>
        <v>1578728382314017</v>
      </c>
      <c r="C3229" t="s">
        <v>40</v>
      </c>
      <c r="D3229">
        <v>5.1564629999999996</v>
      </c>
      <c r="E3229">
        <v>0.35888530000000002</v>
      </c>
      <c r="F3229" t="s">
        <v>66</v>
      </c>
      <c r="G3229">
        <v>-407.048</v>
      </c>
      <c r="H3229" s="1">
        <v>-3.3786250000000002E-6</v>
      </c>
      <c r="I3229">
        <v>23.138000000000002</v>
      </c>
      <c r="J3229">
        <v>-421.54860000000002</v>
      </c>
      <c r="K3229">
        <v>1.112789</v>
      </c>
      <c r="L3229">
        <v>33.589750000000002</v>
      </c>
      <c r="M3229">
        <v>0.14787629999999999</v>
      </c>
      <c r="N3229">
        <v>0</v>
      </c>
      <c r="O3229">
        <v>-0.9888188</v>
      </c>
      <c r="P3229">
        <v>0.53672299999999995</v>
      </c>
      <c r="Q3229">
        <v>3.2651979999999997E-2</v>
      </c>
      <c r="R3229">
        <v>-0.843126499999999</v>
      </c>
      <c r="S3229">
        <v>2.6043400000000001</v>
      </c>
      <c r="T3229">
        <v>-0.19906470000000001</v>
      </c>
      <c r="U3229">
        <v>-1.924866</v>
      </c>
      <c r="V3229">
        <v>-0.40696680000000002</v>
      </c>
      <c r="W3229">
        <v>4.2805759999999998E-2</v>
      </c>
      <c r="X3229">
        <v>0.91243940000000001</v>
      </c>
      <c r="Y3229">
        <v>-0.70577769999999995</v>
      </c>
      <c r="Z3229">
        <v>6.4435190000000003E-2</v>
      </c>
      <c r="AA3229">
        <v>0.70549689999999998</v>
      </c>
      <c r="AB3229">
        <v>30</v>
      </c>
      <c r="AC3229">
        <v>14.5006</v>
      </c>
      <c r="AD3229">
        <v>-1.112792378625</v>
      </c>
      <c r="AE3229">
        <v>-10.451750000000001</v>
      </c>
      <c r="AF3229">
        <v>-12.7458680065415</v>
      </c>
      <c r="AG3229">
        <v>-1.112792378625</v>
      </c>
      <c r="AH3229">
        <v>12.4333035533627</v>
      </c>
      <c r="AI3229">
        <v>93.576122694506196</v>
      </c>
      <c r="AJ3229">
        <v>135.711211015918</v>
      </c>
      <c r="AK3229">
        <v>17.840473518608398</v>
      </c>
      <c r="AL3229">
        <v>87.546660962246094</v>
      </c>
      <c r="AM3229">
        <v>114.03785753704</v>
      </c>
      <c r="AN3229">
        <v>0.99999998403188795</v>
      </c>
    </row>
    <row r="3230" spans="1:40" x14ac:dyDescent="0.3">
      <c r="A3230" t="str">
        <f>"20200111153942342"</f>
        <v>20200111153942342</v>
      </c>
      <c r="B3230" t="str">
        <f>"1578728382334512"</f>
        <v>1578728382334512</v>
      </c>
      <c r="C3230" t="s">
        <v>40</v>
      </c>
      <c r="D3230">
        <v>5.4970919999999897</v>
      </c>
      <c r="E3230">
        <v>0.35911989999999999</v>
      </c>
      <c r="F3230" t="s">
        <v>66</v>
      </c>
      <c r="G3230">
        <v>-413.54489999999998</v>
      </c>
      <c r="H3230" s="1">
        <v>-9.2902139999999995E-6</v>
      </c>
      <c r="I3230">
        <v>27.41413</v>
      </c>
      <c r="J3230">
        <v>-421.49560000000002</v>
      </c>
      <c r="K3230">
        <v>1.1130610000000001</v>
      </c>
      <c r="L3230">
        <v>33.307009999999998</v>
      </c>
      <c r="M3230">
        <v>0.1577855</v>
      </c>
      <c r="N3230">
        <v>0</v>
      </c>
      <c r="O3230">
        <v>-0.98728689999999997</v>
      </c>
      <c r="P3230">
        <v>0.54632009999999998</v>
      </c>
      <c r="Q3230">
        <v>3.1878429999999999E-2</v>
      </c>
      <c r="R3230">
        <v>-0.83696999999999999</v>
      </c>
      <c r="S3230">
        <v>2.5364990000000001</v>
      </c>
      <c r="T3230">
        <v>-0.35266340000000002</v>
      </c>
      <c r="U3230">
        <v>-1.9571529999999999</v>
      </c>
      <c r="V3230">
        <v>-0.40825</v>
      </c>
      <c r="W3230">
        <v>4.1669049999999999E-2</v>
      </c>
      <c r="X3230">
        <v>0.91191860000000002</v>
      </c>
      <c r="Y3230">
        <v>-0.68019269999999998</v>
      </c>
      <c r="Z3230">
        <v>0.11486929999999999</v>
      </c>
      <c r="AA3230">
        <v>0.72397709999999904</v>
      </c>
      <c r="AB3230">
        <v>30</v>
      </c>
      <c r="AC3230">
        <v>7.9507000000000403</v>
      </c>
      <c r="AD3230">
        <v>-1.1130702902139999</v>
      </c>
      <c r="AE3230">
        <v>-5.8928799999999901</v>
      </c>
      <c r="AF3230">
        <v>-6.8346283585252596</v>
      </c>
      <c r="AG3230">
        <v>-1.1130702902139999</v>
      </c>
      <c r="AH3230">
        <v>6.98540661513593</v>
      </c>
      <c r="AI3230">
        <v>96.497672593914103</v>
      </c>
      <c r="AJ3230">
        <v>134.374920901438</v>
      </c>
      <c r="AK3230">
        <v>9.83600405901195</v>
      </c>
      <c r="AL3230">
        <v>87.611847749891695</v>
      </c>
      <c r="AM3230">
        <v>114.117227250901</v>
      </c>
      <c r="AN3230">
        <v>0.99999995262692998</v>
      </c>
    </row>
    <row r="3231" spans="1:40" x14ac:dyDescent="0.3">
      <c r="A3231" t="str">
        <f>"20200111153942365"</f>
        <v>20200111153942365</v>
      </c>
      <c r="B3231" t="str">
        <f>"1578728382354032"</f>
        <v>1578728382354032</v>
      </c>
      <c r="C3231" t="s">
        <v>40</v>
      </c>
      <c r="D3231">
        <v>5.2032610000000004</v>
      </c>
      <c r="E3231">
        <v>0.359301599999999</v>
      </c>
      <c r="F3231" t="s">
        <v>66</v>
      </c>
      <c r="G3231">
        <v>-413.596</v>
      </c>
      <c r="H3231" s="1">
        <v>-9.2643909999999993E-6</v>
      </c>
      <c r="I3231">
        <v>27.344159999999999</v>
      </c>
      <c r="J3231">
        <v>-421.43979999999999</v>
      </c>
      <c r="K3231">
        <v>1.1133090000000001</v>
      </c>
      <c r="L3231">
        <v>33.027189999999997</v>
      </c>
      <c r="M3231">
        <v>0.16797400000000001</v>
      </c>
      <c r="N3231">
        <v>0</v>
      </c>
      <c r="O3231">
        <v>-0.98560559999999997</v>
      </c>
      <c r="P3231">
        <v>0.55610869999999901</v>
      </c>
      <c r="Q3231">
        <v>3.189815E-2</v>
      </c>
      <c r="R3231">
        <v>-0.83049789999999901</v>
      </c>
      <c r="S3231">
        <v>2.556244</v>
      </c>
      <c r="T3231">
        <v>-0.36018139999999998</v>
      </c>
      <c r="U3231">
        <v>-1.929535</v>
      </c>
      <c r="V3231">
        <v>-0.40956369999999997</v>
      </c>
      <c r="W3231">
        <v>4.1357940000000003E-2</v>
      </c>
      <c r="X3231">
        <v>0.91134360000000003</v>
      </c>
      <c r="Y3231">
        <v>-0.68008819999999903</v>
      </c>
      <c r="Z3231">
        <v>0.117589899999999</v>
      </c>
      <c r="AA3231">
        <v>0.72363840000000001</v>
      </c>
      <c r="AB3231">
        <v>29</v>
      </c>
      <c r="AC3231">
        <v>7.8437999999999803</v>
      </c>
      <c r="AD3231">
        <v>-1.113318264391</v>
      </c>
      <c r="AE3231">
        <v>-5.6830299999999996</v>
      </c>
      <c r="AF3231">
        <v>-6.6891633055303004</v>
      </c>
      <c r="AG3231">
        <v>-1.113318264391</v>
      </c>
      <c r="AH3231">
        <v>6.8298199353761797</v>
      </c>
      <c r="AI3231">
        <v>96.642591229654997</v>
      </c>
      <c r="AJ3231">
        <v>134.403894484792</v>
      </c>
      <c r="AK3231">
        <v>9.6244908247419296</v>
      </c>
      <c r="AL3231">
        <v>87.629688604918996</v>
      </c>
      <c r="AM3231">
        <v>114.19945844906201</v>
      </c>
      <c r="AN3231">
        <v>1.00000003040984</v>
      </c>
    </row>
    <row r="3232" spans="1:40" x14ac:dyDescent="0.3">
      <c r="A3232" t="str">
        <f>"20200111153942386"</f>
        <v>20200111153942386</v>
      </c>
      <c r="B3232" t="str">
        <f>"1578728382383819"</f>
        <v>1578728382383819</v>
      </c>
      <c r="C3232" t="s">
        <v>40</v>
      </c>
      <c r="D3232">
        <v>5.2180289999999996</v>
      </c>
      <c r="E3232">
        <v>0.3591028</v>
      </c>
      <c r="F3232" t="s">
        <v>66</v>
      </c>
      <c r="G3232">
        <v>-413.50240000000002</v>
      </c>
      <c r="H3232" s="1">
        <v>-9.2781050000000005E-6</v>
      </c>
      <c r="I3232">
        <v>27.174119999999998</v>
      </c>
      <c r="J3232">
        <v>-421.38069999999999</v>
      </c>
      <c r="K3232">
        <v>1.1135440000000001</v>
      </c>
      <c r="L3232">
        <v>32.7468</v>
      </c>
      <c r="M3232">
        <v>0.17855079999999901</v>
      </c>
      <c r="N3232">
        <v>0</v>
      </c>
      <c r="O3232">
        <v>-0.98374519999999999</v>
      </c>
      <c r="P3232">
        <v>0.56546969999999996</v>
      </c>
      <c r="Q3232">
        <v>3.18091E-2</v>
      </c>
      <c r="R3232">
        <v>-0.82415609999999995</v>
      </c>
      <c r="S3232">
        <v>2.5771790000000001</v>
      </c>
      <c r="T3232">
        <v>-0.3614811</v>
      </c>
      <c r="U3232">
        <v>-1.9004209999999999</v>
      </c>
      <c r="V3232">
        <v>-0.41010750000000001</v>
      </c>
      <c r="W3232">
        <v>4.0985849999999997E-2</v>
      </c>
      <c r="X3232">
        <v>0.91111580000000003</v>
      </c>
      <c r="Y3232">
        <v>-0.68030179999999996</v>
      </c>
      <c r="Z3232">
        <v>0.1182971</v>
      </c>
      <c r="AA3232">
        <v>0.72332240000000003</v>
      </c>
      <c r="AB3232">
        <v>29</v>
      </c>
      <c r="AC3232">
        <v>7.8782999999999603</v>
      </c>
      <c r="AD3232">
        <v>-1.1135532781049999</v>
      </c>
      <c r="AE3232">
        <v>-5.5726799999999903</v>
      </c>
      <c r="AF3232">
        <v>-6.66768083401361</v>
      </c>
      <c r="AG3232">
        <v>-1.1135532781049999</v>
      </c>
      <c r="AH3232">
        <v>6.79949068669025</v>
      </c>
      <c r="AI3232">
        <v>96.669353354362499</v>
      </c>
      <c r="AJ3232">
        <v>134.43923584056799</v>
      </c>
      <c r="AK3232">
        <v>9.5880676992727896</v>
      </c>
      <c r="AL3232">
        <v>87.651025814765205</v>
      </c>
      <c r="AM3232">
        <v>114.233256497676</v>
      </c>
      <c r="AN3232">
        <v>1.0000000012330501</v>
      </c>
    </row>
    <row r="3233" spans="1:40" x14ac:dyDescent="0.3">
      <c r="A3233" t="str">
        <f>"20200111153942409"</f>
        <v>20200111153942409</v>
      </c>
      <c r="B3233" t="str">
        <f>"1578728382404315"</f>
        <v>1578728382404315</v>
      </c>
      <c r="C3233" t="s">
        <v>40</v>
      </c>
      <c r="D3233">
        <v>5.0765169999999999</v>
      </c>
      <c r="E3233">
        <v>0.3587555</v>
      </c>
      <c r="F3233" t="s">
        <v>66</v>
      </c>
      <c r="G3233">
        <v>-413.10840000000002</v>
      </c>
      <c r="H3233" s="1">
        <v>-9.3741659999999995E-6</v>
      </c>
      <c r="I3233">
        <v>26.798449999999999</v>
      </c>
      <c r="J3233">
        <v>-421.3186</v>
      </c>
      <c r="K3233">
        <v>1.113766</v>
      </c>
      <c r="L3233">
        <v>32.469149999999999</v>
      </c>
      <c r="M3233">
        <v>0.18936620000000001</v>
      </c>
      <c r="N3233">
        <v>0</v>
      </c>
      <c r="O3233">
        <v>-0.98172090000000001</v>
      </c>
      <c r="P3233">
        <v>0.57413349999999996</v>
      </c>
      <c r="Q3233">
        <v>3.21981E-2</v>
      </c>
      <c r="R3233">
        <v>-0.81812850000000004</v>
      </c>
      <c r="S3233">
        <v>2.6000670000000001</v>
      </c>
      <c r="T3233">
        <v>-0.35000189999999998</v>
      </c>
      <c r="U3233">
        <v>-1.869629</v>
      </c>
      <c r="V3233">
        <v>-0.40972560000000002</v>
      </c>
      <c r="W3233">
        <v>4.1142600000000001E-2</v>
      </c>
      <c r="X3233">
        <v>0.9112806</v>
      </c>
      <c r="Y3233">
        <v>-0.68128509999999998</v>
      </c>
      <c r="Z3233">
        <v>0.1148306</v>
      </c>
      <c r="AA3233">
        <v>0.72295549999999997</v>
      </c>
      <c r="AB3233">
        <v>29</v>
      </c>
      <c r="AC3233">
        <v>8.2101999999999808</v>
      </c>
      <c r="AD3233">
        <v>-1.1137753741659999</v>
      </c>
      <c r="AE3233">
        <v>-5.6707000000000001</v>
      </c>
      <c r="AF3233">
        <v>-6.9015712753676697</v>
      </c>
      <c r="AG3233">
        <v>-1.1137753741659999</v>
      </c>
      <c r="AH3233">
        <v>7.03542136510886</v>
      </c>
      <c r="AI3233">
        <v>96.447738422581295</v>
      </c>
      <c r="AJ3233">
        <v>134.44975148844301</v>
      </c>
      <c r="AK3233">
        <v>9.9181316505533896</v>
      </c>
      <c r="AL3233">
        <v>87.642037249560104</v>
      </c>
      <c r="AM3233">
        <v>114.20940754608201</v>
      </c>
      <c r="AN3233">
        <v>1.0000000563832301</v>
      </c>
    </row>
    <row r="3234" spans="1:40" x14ac:dyDescent="0.3">
      <c r="A3234" t="str">
        <f>"20200111153942431"</f>
        <v>20200111153942431</v>
      </c>
      <c r="B3234" t="str">
        <f>"1578728382423836"</f>
        <v>1578728382423836</v>
      </c>
      <c r="C3234" t="s">
        <v>40</v>
      </c>
      <c r="D3234">
        <v>5.0494479999999999</v>
      </c>
      <c r="E3234">
        <v>0.35808780000000001</v>
      </c>
      <c r="F3234" t="s">
        <v>66</v>
      </c>
      <c r="G3234">
        <v>-412.86610000000002</v>
      </c>
      <c r="H3234" s="1">
        <v>-9.4319819999999996E-6</v>
      </c>
      <c r="I3234">
        <v>26.53744</v>
      </c>
      <c r="J3234">
        <v>-421.2525</v>
      </c>
      <c r="K3234">
        <v>1.1139749999999999</v>
      </c>
      <c r="L3234">
        <v>32.189390000000003</v>
      </c>
      <c r="M3234">
        <v>0.2005856</v>
      </c>
      <c r="N3234">
        <v>0</v>
      </c>
      <c r="O3234">
        <v>-0.97949059999999999</v>
      </c>
      <c r="P3234">
        <v>0.58281870000000002</v>
      </c>
      <c r="Q3234">
        <v>3.3101980000000003E-2</v>
      </c>
      <c r="R3234">
        <v>-0.81192810000000004</v>
      </c>
      <c r="S3234">
        <v>2.6223139999999998</v>
      </c>
      <c r="T3234">
        <v>-0.34554119999999999</v>
      </c>
      <c r="U3234">
        <v>-1.840271</v>
      </c>
      <c r="V3234">
        <v>-0.409057</v>
      </c>
      <c r="W3234">
        <v>4.1840080000000002E-2</v>
      </c>
      <c r="X3234">
        <v>0.9115491</v>
      </c>
      <c r="Y3234">
        <v>-0.68139090000000002</v>
      </c>
      <c r="Z3234">
        <v>0.1135833</v>
      </c>
      <c r="AA3234">
        <v>0.72305269999999899</v>
      </c>
      <c r="AB3234">
        <v>29</v>
      </c>
      <c r="AC3234">
        <v>8.3863999999999805</v>
      </c>
      <c r="AD3234">
        <v>-1.113984431982</v>
      </c>
      <c r="AE3234">
        <v>-5.6519499999999896</v>
      </c>
      <c r="AF3234">
        <v>-6.9970890751809502</v>
      </c>
      <c r="AG3234">
        <v>-1.113984431982</v>
      </c>
      <c r="AH3234">
        <v>7.1329879499208797</v>
      </c>
      <c r="AI3234">
        <v>96.361541714420298</v>
      </c>
      <c r="AJ3234">
        <v>134.44896323774401</v>
      </c>
      <c r="AK3234">
        <v>10.0538417500193</v>
      </c>
      <c r="AL3234">
        <v>87.602039992372198</v>
      </c>
      <c r="AM3234">
        <v>114.16812398485899</v>
      </c>
      <c r="AN3234">
        <v>0.99999999162710795</v>
      </c>
    </row>
    <row r="3235" spans="1:40" x14ac:dyDescent="0.3">
      <c r="A3235" t="str">
        <f>"20200111153942454"</f>
        <v>20200111153942454</v>
      </c>
      <c r="B3235" t="str">
        <f>"1578728382444331"</f>
        <v>1578728382444331</v>
      </c>
      <c r="C3235" t="s">
        <v>40</v>
      </c>
      <c r="D3235">
        <v>5.0719149999999997</v>
      </c>
      <c r="E3235">
        <v>0.354429299999999</v>
      </c>
      <c r="F3235" t="s">
        <v>66</v>
      </c>
      <c r="G3235">
        <v>-412.73930000000001</v>
      </c>
      <c r="H3235" s="1">
        <v>-9.4611029999999998E-6</v>
      </c>
      <c r="I3235">
        <v>26.367439999999998</v>
      </c>
      <c r="J3235">
        <v>-421.18389999999999</v>
      </c>
      <c r="K3235">
        <v>1.114169</v>
      </c>
      <c r="L3235">
        <v>31.914760000000001</v>
      </c>
      <c r="M3235">
        <v>0.21190719999999999</v>
      </c>
      <c r="N3235">
        <v>0</v>
      </c>
      <c r="O3235">
        <v>-0.97710419999999998</v>
      </c>
      <c r="P3235">
        <v>0.59251790000000004</v>
      </c>
      <c r="Q3235">
        <v>3.4321259999999999E-2</v>
      </c>
      <c r="R3235">
        <v>-0.80482609999999999</v>
      </c>
      <c r="S3235">
        <v>2.6460880000000002</v>
      </c>
      <c r="T3235">
        <v>-0.34625260000000002</v>
      </c>
      <c r="U3235">
        <v>-1.809601</v>
      </c>
      <c r="V3235">
        <v>-0.40950180000000003</v>
      </c>
      <c r="W3235">
        <v>4.2829119999999998E-2</v>
      </c>
      <c r="X3235">
        <v>0.91130350000000004</v>
      </c>
      <c r="Y3235">
        <v>-0.68167999999999995</v>
      </c>
      <c r="Z3235">
        <v>0.1139738</v>
      </c>
      <c r="AA3235">
        <v>0.72271869999999905</v>
      </c>
      <c r="AB3235">
        <v>29</v>
      </c>
      <c r="AC3235">
        <v>8.4445999999999799</v>
      </c>
      <c r="AD3235">
        <v>-1.1141784611029999</v>
      </c>
      <c r="AE3235">
        <v>-5.5473199999999903</v>
      </c>
      <c r="AF3235">
        <v>-6.9919944819648201</v>
      </c>
      <c r="AG3235">
        <v>-1.1141784611029999</v>
      </c>
      <c r="AH3235">
        <v>7.1244521792473101</v>
      </c>
      <c r="AI3235">
        <v>96.368747819939401</v>
      </c>
      <c r="AJ3235">
        <v>134.46239698414001</v>
      </c>
      <c r="AK3235">
        <v>10.044262010391501</v>
      </c>
      <c r="AL3235">
        <v>87.545321499218105</v>
      </c>
      <c r="AM3235">
        <v>114.19716319945501</v>
      </c>
      <c r="AN3235">
        <v>1.00000006341773</v>
      </c>
    </row>
    <row r="3236" spans="1:40" x14ac:dyDescent="0.3">
      <c r="A3236" t="str">
        <f>"20200111153942475"</f>
        <v>20200111153942475</v>
      </c>
      <c r="B3236" t="str">
        <f>"1578728382464170"</f>
        <v>1578728382464170</v>
      </c>
      <c r="C3236" t="s">
        <v>40</v>
      </c>
      <c r="D3236">
        <v>5.1209550000000004</v>
      </c>
      <c r="E3236">
        <v>0.35522110000000001</v>
      </c>
      <c r="F3236" t="s">
        <v>66</v>
      </c>
      <c r="G3236">
        <v>-413.93639999999999</v>
      </c>
      <c r="H3236" s="1">
        <v>-9.1231290000000001E-6</v>
      </c>
      <c r="I3236">
        <v>27.150500000000001</v>
      </c>
      <c r="J3236">
        <v>-421.11380000000003</v>
      </c>
      <c r="K3236">
        <v>1.1143369999999999</v>
      </c>
      <c r="L3236">
        <v>31.64828</v>
      </c>
      <c r="M3236">
        <v>0.22318109999999999</v>
      </c>
      <c r="N3236">
        <v>0</v>
      </c>
      <c r="O3236">
        <v>-0.97459119999999999</v>
      </c>
      <c r="P3236">
        <v>0.60238429999999998</v>
      </c>
      <c r="Q3236">
        <v>3.4811519999999999E-2</v>
      </c>
      <c r="R3236">
        <v>-0.79744700000000002</v>
      </c>
      <c r="S3236">
        <v>2.6874389999999999</v>
      </c>
      <c r="T3236">
        <v>-0.41314709999999899</v>
      </c>
      <c r="U3236">
        <v>-1.766632</v>
      </c>
      <c r="V3236">
        <v>-0.4102304</v>
      </c>
      <c r="W3236">
        <v>4.3100670000000001E-2</v>
      </c>
      <c r="X3236">
        <v>0.91096290000000002</v>
      </c>
      <c r="Y3236">
        <v>-0.68421980000000004</v>
      </c>
      <c r="Z3236">
        <v>0.1355741</v>
      </c>
      <c r="AA3236">
        <v>0.71656330000000001</v>
      </c>
      <c r="AB3236">
        <v>29</v>
      </c>
      <c r="AC3236">
        <v>7.1774000000000298</v>
      </c>
      <c r="AD3236">
        <v>-1.1143461231289999</v>
      </c>
      <c r="AE3236">
        <v>-4.4977799999999899</v>
      </c>
      <c r="AF3236">
        <v>-5.8903462891210703</v>
      </c>
      <c r="AG3236">
        <v>-1.1143461231289999</v>
      </c>
      <c r="AH3236">
        <v>5.8845902973177298</v>
      </c>
      <c r="AI3236">
        <v>97.623000296831506</v>
      </c>
      <c r="AJ3236">
        <v>135.02800813478299</v>
      </c>
      <c r="AK3236">
        <v>8.4003779471629194</v>
      </c>
      <c r="AL3236">
        <v>87.529748360808895</v>
      </c>
      <c r="AM3236">
        <v>114.243282748091</v>
      </c>
      <c r="AN3236">
        <v>1.0000000270075</v>
      </c>
    </row>
    <row r="3237" spans="1:40" x14ac:dyDescent="0.3">
      <c r="A3237" t="str">
        <f>"20200111153942498"</f>
        <v>20200111153942498</v>
      </c>
      <c r="B3237" t="str">
        <f>"1578728382494427"</f>
        <v>1578728382494427</v>
      </c>
      <c r="C3237" t="s">
        <v>40</v>
      </c>
      <c r="D3237">
        <v>5.1241709999999996</v>
      </c>
      <c r="E3237">
        <v>0.35436709999999999</v>
      </c>
      <c r="F3237" t="s">
        <v>66</v>
      </c>
      <c r="G3237">
        <v>-413.63330000000002</v>
      </c>
      <c r="H3237" s="1">
        <v>-9.1950820000000002E-6</v>
      </c>
      <c r="I3237">
        <v>26.84423</v>
      </c>
      <c r="J3237">
        <v>-421.03660000000002</v>
      </c>
      <c r="K3237">
        <v>1.1144889999999901</v>
      </c>
      <c r="L3237">
        <v>31.370819999999998</v>
      </c>
      <c r="M3237">
        <v>0.235212</v>
      </c>
      <c r="N3237">
        <v>0</v>
      </c>
      <c r="O3237">
        <v>-0.97175809999999996</v>
      </c>
      <c r="P3237">
        <v>0.61174340000000005</v>
      </c>
      <c r="Q3237">
        <v>3.4598030000000002E-2</v>
      </c>
      <c r="R3237">
        <v>-0.79029969999999905</v>
      </c>
      <c r="S3237">
        <v>2.7043460000000001</v>
      </c>
      <c r="T3237">
        <v>-0.40285729999999997</v>
      </c>
      <c r="U3237">
        <v>-1.7367549999999901</v>
      </c>
      <c r="V3237">
        <v>-0.40971839999999998</v>
      </c>
      <c r="W3237">
        <v>4.2720969999999997E-2</v>
      </c>
      <c r="X3237">
        <v>0.9112112</v>
      </c>
      <c r="Y3237">
        <v>-0.68326399999999998</v>
      </c>
      <c r="Z3237">
        <v>0.13255539999999999</v>
      </c>
      <c r="AA3237">
        <v>0.71803859999999997</v>
      </c>
      <c r="AB3237">
        <v>29</v>
      </c>
      <c r="AC3237">
        <v>7.4032999999999998</v>
      </c>
      <c r="AD3237">
        <v>-1.1144981950820001</v>
      </c>
      <c r="AE3237">
        <v>-4.5265899999999997</v>
      </c>
      <c r="AF3237">
        <v>-6.0311291033396497</v>
      </c>
      <c r="AG3237">
        <v>-1.1144981950820001</v>
      </c>
      <c r="AH3237">
        <v>6.0415462228520402</v>
      </c>
      <c r="AI3237">
        <v>97.438132753897506</v>
      </c>
      <c r="AJ3237">
        <v>134.950561344649</v>
      </c>
      <c r="AK3237">
        <v>8.6091175651659793</v>
      </c>
      <c r="AL3237">
        <v>87.551523680704406</v>
      </c>
      <c r="AM3237">
        <v>114.21066302698701</v>
      </c>
      <c r="AN3237">
        <v>1.0000000497908601</v>
      </c>
    </row>
    <row r="3238" spans="1:40" x14ac:dyDescent="0.3">
      <c r="A3238" t="str">
        <f>"20200111153942521"</f>
        <v>20200111153942521</v>
      </c>
      <c r="B3238" t="str">
        <f>"1578728382513950"</f>
        <v>1578728382513950</v>
      </c>
      <c r="C3238" t="s">
        <v>40</v>
      </c>
      <c r="D3238">
        <v>5.130204</v>
      </c>
      <c r="E3238">
        <v>0.3541067</v>
      </c>
      <c r="F3238" t="s">
        <v>66</v>
      </c>
      <c r="G3238">
        <v>-413.42720000000003</v>
      </c>
      <c r="H3238" s="1">
        <v>-9.2439229999999993E-6</v>
      </c>
      <c r="I3238">
        <v>26.635590000000001</v>
      </c>
      <c r="J3238">
        <v>-420.95620000000002</v>
      </c>
      <c r="K3238">
        <v>1.1146240000000001</v>
      </c>
      <c r="L3238">
        <v>31.095490000000002</v>
      </c>
      <c r="M3238">
        <v>0.24739939999999999</v>
      </c>
      <c r="N3238">
        <v>0</v>
      </c>
      <c r="O3238">
        <v>-0.96872740000000002</v>
      </c>
      <c r="P3238">
        <v>0.62094780000000005</v>
      </c>
      <c r="Q3238">
        <v>3.5284059999999999E-2</v>
      </c>
      <c r="R3238">
        <v>-0.78305829999999998</v>
      </c>
      <c r="S3238">
        <v>2.7310789999999998</v>
      </c>
      <c r="T3238">
        <v>-0.400005</v>
      </c>
      <c r="U3238">
        <v>-1.699524</v>
      </c>
      <c r="V3238">
        <v>-0.40897109999999998</v>
      </c>
      <c r="W3238">
        <v>4.3278360000000002E-2</v>
      </c>
      <c r="X3238">
        <v>0.91152049999999996</v>
      </c>
      <c r="Y3238">
        <v>-0.684477</v>
      </c>
      <c r="Z3238">
        <v>0.131778799999999</v>
      </c>
      <c r="AA3238">
        <v>0.71702549999999998</v>
      </c>
      <c r="AB3238">
        <v>29</v>
      </c>
      <c r="AC3238">
        <v>7.5289999999999901</v>
      </c>
      <c r="AD3238">
        <v>-1.114633243923</v>
      </c>
      <c r="AE3238">
        <v>-4.4598999999999904</v>
      </c>
      <c r="AF3238">
        <v>-6.09244277455476</v>
      </c>
      <c r="AG3238">
        <v>-1.114633243923</v>
      </c>
      <c r="AH3238">
        <v>6.0854798702360204</v>
      </c>
      <c r="AI3238">
        <v>97.375444863206894</v>
      </c>
      <c r="AJ3238">
        <v>135.032759691351</v>
      </c>
      <c r="AK3238">
        <v>8.6829333454041198</v>
      </c>
      <c r="AL3238">
        <v>87.519557897052493</v>
      </c>
      <c r="AM3238">
        <v>114.16430098533699</v>
      </c>
      <c r="AN3238">
        <v>0.99999999949987395</v>
      </c>
    </row>
    <row r="3239" spans="1:40" x14ac:dyDescent="0.3">
      <c r="A3239" t="str">
        <f>"20200111153942543"</f>
        <v>20200111153942543</v>
      </c>
      <c r="B3239" t="str">
        <f>"1578728382534443"</f>
        <v>1578728382534443</v>
      </c>
      <c r="C3239" t="s">
        <v>40</v>
      </c>
      <c r="D3239">
        <v>5.1685359999999996</v>
      </c>
      <c r="E3239">
        <v>0.35410550000000002</v>
      </c>
      <c r="F3239" t="s">
        <v>66</v>
      </c>
      <c r="G3239">
        <v>-413.23680000000002</v>
      </c>
      <c r="H3239" s="1">
        <v>-9.2871900000000008E-6</v>
      </c>
      <c r="I3239">
        <v>26.425830000000001</v>
      </c>
      <c r="J3239">
        <v>-420.8768</v>
      </c>
      <c r="K3239">
        <v>1.1147389999999999</v>
      </c>
      <c r="L3239">
        <v>30.836210000000001</v>
      </c>
      <c r="M3239">
        <v>0.25909739999999998</v>
      </c>
      <c r="N3239">
        <v>0</v>
      </c>
      <c r="O3239">
        <v>-0.96566459999999998</v>
      </c>
      <c r="P3239">
        <v>0.62917239999999997</v>
      </c>
      <c r="Q3239">
        <v>3.6036480000000003E-2</v>
      </c>
      <c r="R3239">
        <v>-0.77643030000000002</v>
      </c>
      <c r="S3239">
        <v>2.7534480000000001</v>
      </c>
      <c r="T3239">
        <v>-0.39757779999999998</v>
      </c>
      <c r="U3239">
        <v>-1.665619</v>
      </c>
      <c r="V3239">
        <v>-0.40759859999999998</v>
      </c>
      <c r="W3239">
        <v>4.3948149999999998E-2</v>
      </c>
      <c r="X3239">
        <v>0.912103</v>
      </c>
      <c r="Y3239">
        <v>-0.68485419999999997</v>
      </c>
      <c r="Z3239">
        <v>0.13114619999999999</v>
      </c>
      <c r="AA3239">
        <v>0.71678129999999995</v>
      </c>
      <c r="AB3239">
        <v>29</v>
      </c>
      <c r="AC3239">
        <v>7.6399999999999801</v>
      </c>
      <c r="AD3239">
        <v>-1.1147482871900001</v>
      </c>
      <c r="AE3239">
        <v>-4.41038</v>
      </c>
      <c r="AF3239">
        <v>-6.1380694033996601</v>
      </c>
      <c r="AG3239">
        <v>-1.1147482871900001</v>
      </c>
      <c r="AH3239">
        <v>6.1415075533570302</v>
      </c>
      <c r="AI3239">
        <v>97.315800297845698</v>
      </c>
      <c r="AJ3239">
        <v>134.98395779614901</v>
      </c>
      <c r="AK3239">
        <v>8.7542375323431596</v>
      </c>
      <c r="AL3239">
        <v>87.481145133247097</v>
      </c>
      <c r="AM3239">
        <v>114.07880843353</v>
      </c>
      <c r="AN3239">
        <v>0.99999997060969004</v>
      </c>
    </row>
    <row r="3240" spans="1:40" x14ac:dyDescent="0.3">
      <c r="A3240" t="str">
        <f>"20200111153942565"</f>
        <v>20200111153942565</v>
      </c>
      <c r="B3240" t="str">
        <f>"1578728382553963"</f>
        <v>1578728382553963</v>
      </c>
      <c r="C3240" t="s">
        <v>40</v>
      </c>
      <c r="D3240">
        <v>5.1707799999999997</v>
      </c>
      <c r="E3240">
        <v>0.35393540000000001</v>
      </c>
      <c r="F3240" t="s">
        <v>66</v>
      </c>
      <c r="G3240">
        <v>-413.08069999999998</v>
      </c>
      <c r="H3240" s="1">
        <v>-9.3236509999999995E-6</v>
      </c>
      <c r="I3240">
        <v>26.23376</v>
      </c>
      <c r="J3240">
        <v>-420.79239999999999</v>
      </c>
      <c r="K3240">
        <v>1.114851</v>
      </c>
      <c r="L3240">
        <v>30.573029999999999</v>
      </c>
      <c r="M3240">
        <v>0.27120339999999998</v>
      </c>
      <c r="N3240">
        <v>0</v>
      </c>
      <c r="O3240">
        <v>-0.96233460000000004</v>
      </c>
      <c r="P3240">
        <v>0.63707219999999998</v>
      </c>
      <c r="Q3240">
        <v>3.585228E-2</v>
      </c>
      <c r="R3240">
        <v>-0.76996980000000004</v>
      </c>
      <c r="S3240">
        <v>2.7716370000000001</v>
      </c>
      <c r="T3240">
        <v>-0.39630749999999998</v>
      </c>
      <c r="U3240">
        <v>-1.6362300000000001</v>
      </c>
      <c r="V3240">
        <v>-0.4054662</v>
      </c>
      <c r="W3240">
        <v>4.3715200000000003E-2</v>
      </c>
      <c r="X3240">
        <v>0.91306410000000005</v>
      </c>
      <c r="Y3240">
        <v>-0.68350630000000001</v>
      </c>
      <c r="Z3240">
        <v>0.1308629</v>
      </c>
      <c r="AA3240">
        <v>0.71811840000000005</v>
      </c>
      <c r="AB3240">
        <v>28</v>
      </c>
      <c r="AC3240">
        <v>7.7117000000000004</v>
      </c>
      <c r="AD3240">
        <v>-1.114860323651</v>
      </c>
      <c r="AE3240">
        <v>-4.33927</v>
      </c>
      <c r="AF3240">
        <v>-6.1479464563481301</v>
      </c>
      <c r="AG3240">
        <v>-1.114860323651</v>
      </c>
      <c r="AH3240">
        <v>6.1704513056911203</v>
      </c>
      <c r="AI3240">
        <v>97.293706854929695</v>
      </c>
      <c r="AJ3240">
        <v>134.895324743016</v>
      </c>
      <c r="AK3240">
        <v>8.78149352258942</v>
      </c>
      <c r="AL3240">
        <v>87.494504984608994</v>
      </c>
      <c r="AM3240">
        <v>113.94466688035</v>
      </c>
      <c r="AN3240">
        <v>0.99999995438114397</v>
      </c>
    </row>
    <row r="3241" spans="1:40" x14ac:dyDescent="0.3">
      <c r="A3241" t="str">
        <f>"20200111153942588"</f>
        <v>20200111153942588</v>
      </c>
      <c r="B3241" t="str">
        <f>"1578728382583750"</f>
        <v>1578728382583750</v>
      </c>
      <c r="C3241" t="s">
        <v>40</v>
      </c>
      <c r="D3241">
        <v>5.1789569999999996</v>
      </c>
      <c r="E3241">
        <v>0.35382089999999999</v>
      </c>
      <c r="F3241" t="s">
        <v>66</v>
      </c>
      <c r="G3241">
        <v>-412.92590000000001</v>
      </c>
      <c r="H3241" s="1">
        <v>-9.3611109999999993E-6</v>
      </c>
      <c r="I3241">
        <v>26.04562</v>
      </c>
      <c r="J3241">
        <v>-420.70209999999997</v>
      </c>
      <c r="K3241">
        <v>1.114978</v>
      </c>
      <c r="L3241">
        <v>30.303799999999999</v>
      </c>
      <c r="M3241">
        <v>0.28384029999999999</v>
      </c>
      <c r="N3241">
        <v>0</v>
      </c>
      <c r="O3241">
        <v>-0.95868350000000002</v>
      </c>
      <c r="P3241">
        <v>0.64506330000000001</v>
      </c>
      <c r="Q3241">
        <v>3.682407E-2</v>
      </c>
      <c r="R3241">
        <v>-0.76324150000000002</v>
      </c>
      <c r="S3241">
        <v>2.7903440000000002</v>
      </c>
      <c r="T3241">
        <v>-0.39545459999999999</v>
      </c>
      <c r="U3241">
        <v>-1.6059270000000001</v>
      </c>
      <c r="V3241">
        <v>-0.40301740000000003</v>
      </c>
      <c r="W3241">
        <v>4.4647939999999997E-2</v>
      </c>
      <c r="X3241">
        <v>0.91410259999999999</v>
      </c>
      <c r="Y3241">
        <v>-0.68194189999999999</v>
      </c>
      <c r="Z3241">
        <v>0.13067799999999999</v>
      </c>
      <c r="AA3241">
        <v>0.71963779999999999</v>
      </c>
      <c r="AB3241">
        <v>28</v>
      </c>
      <c r="AC3241">
        <v>7.7761999999999496</v>
      </c>
      <c r="AD3241">
        <v>-1.1149873611109999</v>
      </c>
      <c r="AE3241">
        <v>-4.2581799999999896</v>
      </c>
      <c r="AF3241">
        <v>-6.1501248520864902</v>
      </c>
      <c r="AG3241">
        <v>-1.1149873611109999</v>
      </c>
      <c r="AH3241">
        <v>6.1926345878576896</v>
      </c>
      <c r="AI3241">
        <v>97.2802552729393</v>
      </c>
      <c r="AJ3241">
        <v>134.802668209692</v>
      </c>
      <c r="AK3241">
        <v>8.7986337377129509</v>
      </c>
      <c r="AL3241">
        <v>87.441010829428606</v>
      </c>
      <c r="AM3241">
        <v>113.79213471823699</v>
      </c>
      <c r="AN3241">
        <v>1.0000000132878799</v>
      </c>
    </row>
    <row r="3242" spans="1:40" x14ac:dyDescent="0.3">
      <c r="A3242" t="str">
        <f>"20200111153942610"</f>
        <v>20200111153942610</v>
      </c>
      <c r="B3242" t="str">
        <f>"1578728382604245"</f>
        <v>1578728382604245</v>
      </c>
      <c r="C3242" t="s">
        <v>40</v>
      </c>
      <c r="D3242">
        <v>5.2067119999999996</v>
      </c>
      <c r="E3242">
        <v>0.35349779999999997</v>
      </c>
      <c r="F3242" t="s">
        <v>66</v>
      </c>
      <c r="G3242">
        <v>-412.71030000000002</v>
      </c>
      <c r="H3242" s="1">
        <v>-9.4168999999999996E-6</v>
      </c>
      <c r="I3242">
        <v>25.819269999999999</v>
      </c>
      <c r="J3242">
        <v>-420.613</v>
      </c>
      <c r="K3242">
        <v>1.115111</v>
      </c>
      <c r="L3242">
        <v>30.049769999999999</v>
      </c>
      <c r="M3242">
        <v>0.29601470000000002</v>
      </c>
      <c r="N3242">
        <v>0</v>
      </c>
      <c r="O3242">
        <v>-0.95499449999999997</v>
      </c>
      <c r="P3242">
        <v>0.65314039999999995</v>
      </c>
      <c r="Q3242">
        <v>3.8223790000000001E-2</v>
      </c>
      <c r="R3242">
        <v>-0.75627200000000006</v>
      </c>
      <c r="S3242">
        <v>2.8084410000000002</v>
      </c>
      <c r="T3242">
        <v>-0.39182230000000001</v>
      </c>
      <c r="U3242">
        <v>-1.575928</v>
      </c>
      <c r="V3242">
        <v>-0.401171</v>
      </c>
      <c r="W3242">
        <v>4.5992659999999998E-2</v>
      </c>
      <c r="X3242">
        <v>0.91484779999999999</v>
      </c>
      <c r="Y3242">
        <v>-0.68066479999999996</v>
      </c>
      <c r="Z3242">
        <v>0.12956210000000001</v>
      </c>
      <c r="AA3242">
        <v>0.72104729999999995</v>
      </c>
      <c r="AB3242">
        <v>28</v>
      </c>
      <c r="AC3242">
        <v>7.9027000000000296</v>
      </c>
      <c r="AD3242">
        <v>-1.1151204169</v>
      </c>
      <c r="AE3242">
        <v>-4.2305000000000001</v>
      </c>
      <c r="AF3242">
        <v>-6.1999306015933797</v>
      </c>
      <c r="AG3242">
        <v>-1.1151204169</v>
      </c>
      <c r="AH3242">
        <v>6.2833299479293396</v>
      </c>
      <c r="AI3242">
        <v>97.1999127071538</v>
      </c>
      <c r="AJ3242">
        <v>134.61721863866401</v>
      </c>
      <c r="AK3242">
        <v>8.8973517545001499</v>
      </c>
      <c r="AL3242">
        <v>87.363884753493593</v>
      </c>
      <c r="AM3242">
        <v>113.677988823547</v>
      </c>
      <c r="AN3242">
        <v>0.99999999658985705</v>
      </c>
    </row>
    <row r="3243" spans="1:40" x14ac:dyDescent="0.3">
      <c r="A3243" t="str">
        <f>"20200111153942632"</f>
        <v>20200111153942632</v>
      </c>
      <c r="B3243" t="str">
        <f>"1578728382623768"</f>
        <v>1578728382623768</v>
      </c>
      <c r="C3243" t="s">
        <v>40</v>
      </c>
      <c r="D3243">
        <v>5.1178100000000004</v>
      </c>
      <c r="E3243">
        <v>0.34727839999999999</v>
      </c>
      <c r="F3243" t="s">
        <v>66</v>
      </c>
      <c r="G3243">
        <v>-412.50080000000003</v>
      </c>
      <c r="H3243" s="1">
        <v>-9.4732029999999992E-6</v>
      </c>
      <c r="I3243">
        <v>25.620329999999999</v>
      </c>
      <c r="J3243">
        <v>-420.51659999999998</v>
      </c>
      <c r="K3243">
        <v>1.1152580000000001</v>
      </c>
      <c r="L3243">
        <v>29.786799999999999</v>
      </c>
      <c r="M3243">
        <v>0.3088978</v>
      </c>
      <c r="N3243">
        <v>0</v>
      </c>
      <c r="O3243">
        <v>-0.95090529999999995</v>
      </c>
      <c r="P3243">
        <v>0.66154650000000004</v>
      </c>
      <c r="Q3243">
        <v>3.9248720000000001E-2</v>
      </c>
      <c r="R3243">
        <v>-0.74887689999999996</v>
      </c>
      <c r="S3243">
        <v>2.8280029999999998</v>
      </c>
      <c r="T3243">
        <v>-0.3887447</v>
      </c>
      <c r="U3243">
        <v>-1.5441590000000001</v>
      </c>
      <c r="V3243">
        <v>-0.3990765</v>
      </c>
      <c r="W3243">
        <v>4.6958649999999998E-2</v>
      </c>
      <c r="X3243">
        <v>0.91571440000000004</v>
      </c>
      <c r="Y3243">
        <v>-0.6792916</v>
      </c>
      <c r="Z3243">
        <v>0.12857360000000001</v>
      </c>
      <c r="AA3243">
        <v>0.72251759999999998</v>
      </c>
      <c r="AB3243">
        <v>28</v>
      </c>
      <c r="AC3243">
        <v>8.0157999999999507</v>
      </c>
      <c r="AD3243">
        <v>-1.1152674732029999</v>
      </c>
      <c r="AE3243">
        <v>-4.1664699999999897</v>
      </c>
      <c r="AF3243">
        <v>-6.2412772950456796</v>
      </c>
      <c r="AG3243">
        <v>-1.1152674732029999</v>
      </c>
      <c r="AH3243">
        <v>6.3424815486485899</v>
      </c>
      <c r="AI3243">
        <v>97.143869380808496</v>
      </c>
      <c r="AJ3243">
        <v>134.539211482209</v>
      </c>
      <c r="AK3243">
        <v>8.9679672170110596</v>
      </c>
      <c r="AL3243">
        <v>87.308477779149399</v>
      </c>
      <c r="AM3243">
        <v>113.54800152599999</v>
      </c>
      <c r="AN3243">
        <v>1.0000000150147099</v>
      </c>
    </row>
    <row r="3244" spans="1:40" x14ac:dyDescent="0.3">
      <c r="A3244" t="str">
        <f>"20200111153942655"</f>
        <v>20200111153942655</v>
      </c>
      <c r="B3244" t="str">
        <f>"1578728382644266"</f>
        <v>1578728382644266</v>
      </c>
      <c r="C3244" t="s">
        <v>40</v>
      </c>
      <c r="D3244">
        <v>5.157203</v>
      </c>
      <c r="E3244">
        <v>0.34650140000000001</v>
      </c>
      <c r="F3244" t="s">
        <v>66</v>
      </c>
      <c r="G3244">
        <v>-412.80630000000002</v>
      </c>
      <c r="H3244" s="1">
        <v>-9.3822669999999997E-6</v>
      </c>
      <c r="I3244">
        <v>25.822009999999999</v>
      </c>
      <c r="J3244">
        <v>-420.41969999999998</v>
      </c>
      <c r="K3244">
        <v>1.1154170000000001</v>
      </c>
      <c r="L3244">
        <v>29.533940000000001</v>
      </c>
      <c r="M3244">
        <v>0.32158769999999998</v>
      </c>
      <c r="N3244">
        <v>0</v>
      </c>
      <c r="O3244">
        <v>-0.94668830000000004</v>
      </c>
      <c r="P3244">
        <v>0.66923060000000001</v>
      </c>
      <c r="Q3244">
        <v>3.9716309999999998E-2</v>
      </c>
      <c r="R3244">
        <v>-0.74199309999999996</v>
      </c>
      <c r="S3244">
        <v>2.881958</v>
      </c>
      <c r="T3244">
        <v>-0.41686640000000003</v>
      </c>
      <c r="U3244">
        <v>-1.4819639999999901</v>
      </c>
      <c r="V3244">
        <v>-0.3963026</v>
      </c>
      <c r="W3244">
        <v>4.7389689999999998E-2</v>
      </c>
      <c r="X3244">
        <v>0.91689609999999999</v>
      </c>
      <c r="Y3244">
        <v>-0.68639019999999995</v>
      </c>
      <c r="Z3244">
        <v>0.1373161</v>
      </c>
      <c r="AA3244">
        <v>0.7141518</v>
      </c>
      <c r="AB3244">
        <v>28</v>
      </c>
      <c r="AC3244">
        <v>7.6133999999999498</v>
      </c>
      <c r="AD3244">
        <v>-1.1154263822669901</v>
      </c>
      <c r="AE3244">
        <v>-3.71192999999999</v>
      </c>
      <c r="AF3244">
        <v>-5.91236236743016</v>
      </c>
      <c r="AG3244">
        <v>-1.1154263822669901</v>
      </c>
      <c r="AH3244">
        <v>5.8618400454488802</v>
      </c>
      <c r="AI3244">
        <v>97.630704749931098</v>
      </c>
      <c r="AJ3244">
        <v>135.245850882588</v>
      </c>
      <c r="AK3244">
        <v>8.4000817553455907</v>
      </c>
      <c r="AL3244">
        <v>87.283753428326406</v>
      </c>
      <c r="AM3244">
        <v>113.375059330124</v>
      </c>
      <c r="AN3244">
        <v>0.99999999584013299</v>
      </c>
    </row>
    <row r="3245" spans="1:40" x14ac:dyDescent="0.3">
      <c r="A3245" t="str">
        <f>"20200111153942676"</f>
        <v>20200111153942676</v>
      </c>
      <c r="B3245" t="str">
        <f>"1578728382674050"</f>
        <v>1578728382674050</v>
      </c>
      <c r="C3245" t="s">
        <v>40</v>
      </c>
      <c r="D3245">
        <v>5.3589310000000001</v>
      </c>
      <c r="E3245">
        <v>0.3540857</v>
      </c>
      <c r="F3245" t="s">
        <v>66</v>
      </c>
      <c r="G3245">
        <v>-412.55380000000002</v>
      </c>
      <c r="H3245" s="1">
        <v>-9.4531019999999998E-6</v>
      </c>
      <c r="I3245">
        <v>25.61195</v>
      </c>
      <c r="J3245">
        <v>-420.322</v>
      </c>
      <c r="K3245">
        <v>1.115578</v>
      </c>
      <c r="L3245">
        <v>29.290410000000001</v>
      </c>
      <c r="M3245">
        <v>0.33412849999999999</v>
      </c>
      <c r="N3245">
        <v>0</v>
      </c>
      <c r="O3245">
        <v>-0.94233480000000003</v>
      </c>
      <c r="P3245">
        <v>0.67717190000000005</v>
      </c>
      <c r="Q3245">
        <v>4.0630300000000001E-2</v>
      </c>
      <c r="R3245">
        <v>-0.73470219999999997</v>
      </c>
      <c r="S3245">
        <v>2.9025569999999998</v>
      </c>
      <c r="T3245">
        <v>-0.41159869999999998</v>
      </c>
      <c r="U3245">
        <v>-1.447235</v>
      </c>
      <c r="V3245">
        <v>-0.39404650000000002</v>
      </c>
      <c r="W3245">
        <v>4.8254169999999999E-2</v>
      </c>
      <c r="X3245">
        <v>0.9178229</v>
      </c>
      <c r="Y3245">
        <v>-0.68591449999999998</v>
      </c>
      <c r="Z3245">
        <v>0.13556670000000001</v>
      </c>
      <c r="AA3245">
        <v>0.71494259999999998</v>
      </c>
      <c r="AB3245">
        <v>28</v>
      </c>
      <c r="AC3245">
        <v>7.7681999999999203</v>
      </c>
      <c r="AD3245">
        <v>-1.115587453102</v>
      </c>
      <c r="AE3245">
        <v>-3.6784599999999901</v>
      </c>
      <c r="AF3245">
        <v>-5.9913417543401097</v>
      </c>
      <c r="AG3245">
        <v>-1.115587453102</v>
      </c>
      <c r="AH3245">
        <v>5.9625721123942297</v>
      </c>
      <c r="AI3245">
        <v>97.518428884887896</v>
      </c>
      <c r="AJ3245">
        <v>135.137894240946</v>
      </c>
      <c r="AK3245">
        <v>8.5260176857850301</v>
      </c>
      <c r="AL3245">
        <v>87.2341656271023</v>
      </c>
      <c r="AM3245">
        <v>113.235172315886</v>
      </c>
      <c r="AN3245">
        <v>0.99999999242452398</v>
      </c>
    </row>
    <row r="3246" spans="1:40" x14ac:dyDescent="0.3">
      <c r="A3246" t="str">
        <f>"20200111153942700"</f>
        <v>20200111153942700</v>
      </c>
      <c r="B3246" t="str">
        <f>"1578728382694546"</f>
        <v>1578728382694546</v>
      </c>
      <c r="C3246" t="s">
        <v>40</v>
      </c>
      <c r="D3246">
        <v>5.4848270000000001</v>
      </c>
      <c r="E3246">
        <v>0.43227729999999998</v>
      </c>
      <c r="F3246" t="s">
        <v>66</v>
      </c>
      <c r="G3246">
        <v>-411.60120000000001</v>
      </c>
      <c r="H3246" s="1">
        <v>-9.7264159999999993E-6</v>
      </c>
      <c r="I3246">
        <v>24.880759999999999</v>
      </c>
      <c r="J3246">
        <v>-420.21269999999998</v>
      </c>
      <c r="K3246">
        <v>1.115742</v>
      </c>
      <c r="L3246">
        <v>29.029509999999998</v>
      </c>
      <c r="M3246">
        <v>0.3478733</v>
      </c>
      <c r="N3246">
        <v>0</v>
      </c>
      <c r="O3246">
        <v>-0.93734689999999998</v>
      </c>
      <c r="P3246">
        <v>0.6861003</v>
      </c>
      <c r="Q3246">
        <v>4.16669E-2</v>
      </c>
      <c r="R3246">
        <v>-0.72631290000000004</v>
      </c>
      <c r="S3246">
        <v>2.875</v>
      </c>
      <c r="T3246">
        <v>-0.36777749999999998</v>
      </c>
      <c r="U3246">
        <v>-1.453735</v>
      </c>
      <c r="V3246">
        <v>-0.39190469999999999</v>
      </c>
      <c r="W3246">
        <v>4.9246239999999997E-2</v>
      </c>
      <c r="X3246">
        <v>0.91868680000000003</v>
      </c>
      <c r="Y3246">
        <v>-0.67282710000000001</v>
      </c>
      <c r="Z3246">
        <v>0.121749</v>
      </c>
      <c r="AA3246">
        <v>0.72971299999999995</v>
      </c>
      <c r="AB3246">
        <v>28</v>
      </c>
      <c r="AC3246">
        <v>8.6114999999999693</v>
      </c>
      <c r="AD3246">
        <v>-1.115751726416</v>
      </c>
      <c r="AE3246">
        <v>-4.1487499999999899</v>
      </c>
      <c r="AF3246">
        <v>-6.5408158713545097</v>
      </c>
      <c r="AG3246">
        <v>-1.115751726416</v>
      </c>
      <c r="AH3246">
        <v>6.7932288759956201</v>
      </c>
      <c r="AI3246">
        <v>96.747628572401894</v>
      </c>
      <c r="AJ3246">
        <v>133.915522406995</v>
      </c>
      <c r="AK3246">
        <v>9.4960588003457502</v>
      </c>
      <c r="AL3246">
        <v>87.1772564475081</v>
      </c>
      <c r="AM3246">
        <v>113.10272128695399</v>
      </c>
      <c r="AN3246">
        <v>0.99999996126523305</v>
      </c>
    </row>
    <row r="3247" spans="1:40" x14ac:dyDescent="0.3">
      <c r="A3247" t="str">
        <f>"20200111153942722"</f>
        <v>20200111153942722</v>
      </c>
      <c r="B3247" t="str">
        <f>"1578728382714069"</f>
        <v>1578728382714069</v>
      </c>
      <c r="C3247" t="s">
        <v>40</v>
      </c>
      <c r="D3247">
        <v>5.3717839999999999</v>
      </c>
      <c r="E3247">
        <v>0.43456719999999999</v>
      </c>
      <c r="F3247" t="s">
        <v>41</v>
      </c>
      <c r="G3247">
        <v>-419.38510000000002</v>
      </c>
      <c r="H3247">
        <v>1.022918</v>
      </c>
      <c r="I3247">
        <v>28.405609999999999</v>
      </c>
      <c r="J3247">
        <v>-420.10019999999997</v>
      </c>
      <c r="K3247">
        <v>1.115891</v>
      </c>
      <c r="L3247">
        <v>28.772220000000001</v>
      </c>
      <c r="M3247">
        <v>0.3617494</v>
      </c>
      <c r="N3247">
        <v>0</v>
      </c>
      <c r="O3247">
        <v>-0.93207899999999999</v>
      </c>
      <c r="P3247">
        <v>0.69517759999999995</v>
      </c>
      <c r="Q3247">
        <v>4.267344E-2</v>
      </c>
      <c r="R3247">
        <v>-0.71757029999999999</v>
      </c>
      <c r="S3247">
        <v>2.4411010000000002</v>
      </c>
      <c r="T3247">
        <v>-0.2737888</v>
      </c>
      <c r="U3247">
        <v>-1.8402400000000001</v>
      </c>
      <c r="V3247">
        <v>-0.38988099999999998</v>
      </c>
      <c r="W3247">
        <v>5.0211110000000003E-2</v>
      </c>
      <c r="X3247">
        <v>0.91949530000000002</v>
      </c>
      <c r="Y3247">
        <v>-0.52306490000000005</v>
      </c>
      <c r="Z3247">
        <v>9.2326720000000001E-2</v>
      </c>
      <c r="AA3247">
        <v>0.84727739999999996</v>
      </c>
      <c r="AB3247">
        <v>28</v>
      </c>
      <c r="AC3247">
        <v>0.715099999999949</v>
      </c>
      <c r="AD3247">
        <v>-9.2972999999999903E-2</v>
      </c>
      <c r="AE3247">
        <v>-0.36661000000000099</v>
      </c>
      <c r="AF3247">
        <v>-0.52695296770292799</v>
      </c>
      <c r="AG3247">
        <v>-9.2972999999999903E-2</v>
      </c>
      <c r="AH3247">
        <v>0.59257449647528504</v>
      </c>
      <c r="AI3247">
        <v>96.687083016526003</v>
      </c>
      <c r="AJ3247">
        <v>131.64542438679999</v>
      </c>
      <c r="AK3247">
        <v>0.79841589586684802</v>
      </c>
      <c r="AL3247">
        <v>87.121905030447905</v>
      </c>
      <c r="AM3247">
        <v>112.977736372959</v>
      </c>
      <c r="AN3247">
        <v>0.99999997822525999</v>
      </c>
    </row>
    <row r="3248" spans="1:40" x14ac:dyDescent="0.3">
      <c r="A3248" t="str">
        <f>"20200111153942745"</f>
        <v>20200111153942745</v>
      </c>
      <c r="B3248" t="str">
        <f>"1578728382734562"</f>
        <v>1578728382734562</v>
      </c>
      <c r="C3248" t="s">
        <v>40</v>
      </c>
      <c r="D3248">
        <v>5.3956999999999997</v>
      </c>
      <c r="E3248">
        <v>0.43326320000000001</v>
      </c>
      <c r="F3248" t="s">
        <v>41</v>
      </c>
      <c r="G3248">
        <v>-419.30430000000001</v>
      </c>
      <c r="H3248">
        <v>1.0265070000000001</v>
      </c>
      <c r="I3248">
        <v>28.180219999999998</v>
      </c>
      <c r="J3248">
        <v>-419.99360000000001</v>
      </c>
      <c r="K3248">
        <v>1.116023</v>
      </c>
      <c r="L3248">
        <v>28.538419999999999</v>
      </c>
      <c r="M3248">
        <v>0.37465759999999998</v>
      </c>
      <c r="N3248">
        <v>0</v>
      </c>
      <c r="O3248">
        <v>-0.9269655</v>
      </c>
      <c r="P3248">
        <v>0.703858599999999</v>
      </c>
      <c r="Q3248">
        <v>4.396477E-2</v>
      </c>
      <c r="R3248">
        <v>-0.70897849999999996</v>
      </c>
      <c r="S3248">
        <v>2.4509280000000002</v>
      </c>
      <c r="T3248">
        <v>-0.27521590000000001</v>
      </c>
      <c r="U3248">
        <v>-1.822662</v>
      </c>
      <c r="V3248">
        <v>-0.38838030000000001</v>
      </c>
      <c r="W3248">
        <v>5.1439289999999999E-2</v>
      </c>
      <c r="X3248">
        <v>0.92006239999999995</v>
      </c>
      <c r="Y3248">
        <v>-0.51673950000000002</v>
      </c>
      <c r="Z3248">
        <v>9.2621209999999995E-2</v>
      </c>
      <c r="AA3248">
        <v>0.85111780000000004</v>
      </c>
      <c r="AB3248">
        <v>28</v>
      </c>
      <c r="AC3248">
        <v>0.68930000000000202</v>
      </c>
      <c r="AD3248">
        <v>-8.9515999999999901E-2</v>
      </c>
      <c r="AE3248">
        <v>-0.35820000000000002</v>
      </c>
      <c r="AF3248">
        <v>-0.49823149952079099</v>
      </c>
      <c r="AG3248">
        <v>-8.9515999999999901E-2</v>
      </c>
      <c r="AH3248">
        <v>0.58266159451450605</v>
      </c>
      <c r="AI3248">
        <v>96.659973751092807</v>
      </c>
      <c r="AJ3248">
        <v>130.53361426691799</v>
      </c>
      <c r="AK3248">
        <v>0.77184342653994498</v>
      </c>
      <c r="AL3248">
        <v>87.051444607340002</v>
      </c>
      <c r="AM3248">
        <v>112.885768867883</v>
      </c>
      <c r="AN3248">
        <v>1.00000003893877</v>
      </c>
    </row>
    <row r="3249" spans="1:40" x14ac:dyDescent="0.3">
      <c r="A3249" t="str">
        <f>"20200111153942767"</f>
        <v>20200111153942767</v>
      </c>
      <c r="B3249" t="str">
        <f>"1578728382754083"</f>
        <v>1578728382754083</v>
      </c>
      <c r="C3249" t="s">
        <v>40</v>
      </c>
      <c r="D3249">
        <v>5.3768859999999998</v>
      </c>
      <c r="E3249">
        <v>0.4322743</v>
      </c>
      <c r="F3249" t="s">
        <v>41</v>
      </c>
      <c r="G3249">
        <v>-419.20249999999999</v>
      </c>
      <c r="H3249">
        <v>1.028294</v>
      </c>
      <c r="I3249">
        <v>27.968959999999999</v>
      </c>
      <c r="J3249">
        <v>-419.88150000000002</v>
      </c>
      <c r="K3249">
        <v>1.11617099999999</v>
      </c>
      <c r="L3249">
        <v>28.301880000000001</v>
      </c>
      <c r="M3249">
        <v>0.38802639999999999</v>
      </c>
      <c r="N3249">
        <v>0</v>
      </c>
      <c r="O3249">
        <v>-0.92144919999999997</v>
      </c>
      <c r="P3249">
        <v>0.71336659999999996</v>
      </c>
      <c r="Q3249">
        <v>4.5361739999999998E-2</v>
      </c>
      <c r="R3249">
        <v>-0.69932119999999998</v>
      </c>
      <c r="S3249">
        <v>2.480988</v>
      </c>
      <c r="T3249">
        <v>-0.275084</v>
      </c>
      <c r="U3249">
        <v>-1.785461</v>
      </c>
      <c r="V3249">
        <v>-0.38758359999999997</v>
      </c>
      <c r="W3249">
        <v>5.2728339999999999E-2</v>
      </c>
      <c r="X3249">
        <v>0.92032530000000001</v>
      </c>
      <c r="Y3249">
        <v>-0.51769829999999994</v>
      </c>
      <c r="Z3249">
        <v>9.2371330000000001E-2</v>
      </c>
      <c r="AA3249">
        <v>0.85056219999999905</v>
      </c>
      <c r="AB3249">
        <v>27</v>
      </c>
      <c r="AC3249">
        <v>0.67900000000003002</v>
      </c>
      <c r="AD3249">
        <v>-8.7876999999999705E-2</v>
      </c>
      <c r="AE3249">
        <v>-0.33292000000000099</v>
      </c>
      <c r="AF3249">
        <v>-0.48995719616776701</v>
      </c>
      <c r="AG3249">
        <v>-8.7876999999999705E-2</v>
      </c>
      <c r="AH3249">
        <v>0.56274437999309501</v>
      </c>
      <c r="AI3249">
        <v>96.717008468938502</v>
      </c>
      <c r="AJ3249">
        <v>131.04468008626799</v>
      </c>
      <c r="AK3249">
        <v>0.75130663408450804</v>
      </c>
      <c r="AL3249">
        <v>86.977486955154902</v>
      </c>
      <c r="AM3249">
        <v>112.837789901948</v>
      </c>
      <c r="AN3249">
        <v>0.999999991324102</v>
      </c>
    </row>
    <row r="3250" spans="1:40" x14ac:dyDescent="0.3">
      <c r="A3250" t="str">
        <f>"20200111153942790"</f>
        <v>20200111153942790</v>
      </c>
      <c r="B3250" t="str">
        <f>"1578728382783775"</f>
        <v>1578728382783775</v>
      </c>
      <c r="C3250" t="s">
        <v>40</v>
      </c>
      <c r="D3250">
        <v>5.4257220000000004</v>
      </c>
      <c r="E3250">
        <v>0.43146400000000001</v>
      </c>
      <c r="F3250" t="s">
        <v>41</v>
      </c>
      <c r="G3250">
        <v>-419.1001</v>
      </c>
      <c r="H3250">
        <v>1.0312209999999999</v>
      </c>
      <c r="I3250">
        <v>27.758489999999998</v>
      </c>
      <c r="J3250">
        <v>-419.75889999999998</v>
      </c>
      <c r="K3250">
        <v>1.1163289999999999</v>
      </c>
      <c r="L3250">
        <v>28.05359</v>
      </c>
      <c r="M3250">
        <v>0.40240589999999998</v>
      </c>
      <c r="N3250">
        <v>0</v>
      </c>
      <c r="O3250">
        <v>-0.91526130000000006</v>
      </c>
      <c r="P3250">
        <v>0.7236013</v>
      </c>
      <c r="Q3250">
        <v>4.6533039999999998E-2</v>
      </c>
      <c r="R3250">
        <v>-0.68864759999999903</v>
      </c>
      <c r="S3250">
        <v>2.5110169999999998</v>
      </c>
      <c r="T3250">
        <v>-0.27299839999999997</v>
      </c>
      <c r="U3250">
        <v>-1.74609399999999</v>
      </c>
      <c r="V3250">
        <v>-0.38682850000000002</v>
      </c>
      <c r="W3250">
        <v>5.3759229999999998E-2</v>
      </c>
      <c r="X3250">
        <v>0.92058329999999999</v>
      </c>
      <c r="Y3250">
        <v>-0.51815809999999995</v>
      </c>
      <c r="Z3250">
        <v>9.1442759999999998E-2</v>
      </c>
      <c r="AA3250">
        <v>0.85038250000000004</v>
      </c>
      <c r="AB3250">
        <v>27</v>
      </c>
      <c r="AC3250">
        <v>0.65879999999998495</v>
      </c>
      <c r="AD3250">
        <v>-8.51080000000001E-2</v>
      </c>
      <c r="AE3250">
        <v>-0.29510000000000097</v>
      </c>
      <c r="AF3250">
        <v>-0.47767314677732597</v>
      </c>
      <c r="AG3250">
        <v>-8.51080000000001E-2</v>
      </c>
      <c r="AH3250">
        <v>0.52795797208808404</v>
      </c>
      <c r="AI3250">
        <v>96.8166527304775</v>
      </c>
      <c r="AJ3250">
        <v>132.137408966398</v>
      </c>
      <c r="AK3250">
        <v>0.71704576360753702</v>
      </c>
      <c r="AL3250">
        <v>86.918337362868598</v>
      </c>
      <c r="AM3250">
        <v>112.792114022113</v>
      </c>
      <c r="AN3250">
        <v>0.99999997773066596</v>
      </c>
    </row>
    <row r="3251" spans="1:40" x14ac:dyDescent="0.3">
      <c r="A3251" t="str">
        <f>"20200111153942812"</f>
        <v>20200111153942812</v>
      </c>
      <c r="B3251" t="str">
        <f>"1578728382804271"</f>
        <v>1578728382804271</v>
      </c>
      <c r="C3251" t="s">
        <v>40</v>
      </c>
      <c r="D3251">
        <v>5.3948559999999999</v>
      </c>
      <c r="E3251">
        <v>0.43121330000000002</v>
      </c>
      <c r="F3251" t="s">
        <v>41</v>
      </c>
      <c r="G3251">
        <v>-419.00130000000001</v>
      </c>
      <c r="H3251">
        <v>1.035312</v>
      </c>
      <c r="I3251">
        <v>27.5458</v>
      </c>
      <c r="J3251">
        <v>-419.6377</v>
      </c>
      <c r="K3251">
        <v>1.1164849999999999</v>
      </c>
      <c r="L3251">
        <v>27.818149999999999</v>
      </c>
      <c r="M3251">
        <v>0.4163829</v>
      </c>
      <c r="N3251">
        <v>0</v>
      </c>
      <c r="O3251">
        <v>-0.90898849999999998</v>
      </c>
      <c r="P3251">
        <v>0.73354259999999905</v>
      </c>
      <c r="Q3251">
        <v>4.7242239999999998E-2</v>
      </c>
      <c r="R3251">
        <v>-0.67799929999999997</v>
      </c>
      <c r="S3251">
        <v>2.5417480000000001</v>
      </c>
      <c r="T3251">
        <v>-0.27185310000000001</v>
      </c>
      <c r="U3251">
        <v>-1.7039789999999999</v>
      </c>
      <c r="V3251">
        <v>-0.38617469999999998</v>
      </c>
      <c r="W3251">
        <v>5.430869E-2</v>
      </c>
      <c r="X3251">
        <v>0.92082549999999996</v>
      </c>
      <c r="Y3251">
        <v>-0.51960109999999904</v>
      </c>
      <c r="Z3251">
        <v>9.0840519999999994E-2</v>
      </c>
      <c r="AA3251">
        <v>0.84956620000000005</v>
      </c>
      <c r="AB3251">
        <v>27</v>
      </c>
      <c r="AC3251">
        <v>0.63639999999997998</v>
      </c>
      <c r="AD3251">
        <v>-8.1172999999999898E-2</v>
      </c>
      <c r="AE3251">
        <v>-0.27234999999999898</v>
      </c>
      <c r="AF3251">
        <v>-0.45885377908150499</v>
      </c>
      <c r="AG3251">
        <v>-8.1172999999999898E-2</v>
      </c>
      <c r="AH3251">
        <v>0.50568912718070103</v>
      </c>
      <c r="AI3251">
        <v>96.779270638841297</v>
      </c>
      <c r="AJ3251">
        <v>132.22007001978699</v>
      </c>
      <c r="AK3251">
        <v>0.687646231615617</v>
      </c>
      <c r="AL3251">
        <v>86.886809530584102</v>
      </c>
      <c r="AM3251">
        <v>112.75214424882201</v>
      </c>
      <c r="AN3251">
        <v>0.999999967089927</v>
      </c>
    </row>
    <row r="3252" spans="1:40" x14ac:dyDescent="0.3">
      <c r="A3252" t="str">
        <f>"20200111153942833"</f>
        <v>20200111153942833</v>
      </c>
      <c r="B3252" t="str">
        <f>"1578728382823795"</f>
        <v>1578728382823795</v>
      </c>
      <c r="C3252" t="s">
        <v>40</v>
      </c>
      <c r="D3252">
        <v>5.4104190000000001</v>
      </c>
      <c r="E3252">
        <v>0.43081079999999999</v>
      </c>
      <c r="F3252" t="s">
        <v>41</v>
      </c>
      <c r="G3252">
        <v>-418.8965</v>
      </c>
      <c r="H3252">
        <v>1.0377620000000001</v>
      </c>
      <c r="I3252">
        <v>27.33745</v>
      </c>
      <c r="J3252">
        <v>-419.51749999999998</v>
      </c>
      <c r="K3252">
        <v>1.1166510000000001</v>
      </c>
      <c r="L3252">
        <v>27.59357</v>
      </c>
      <c r="M3252">
        <v>0.43004559999999997</v>
      </c>
      <c r="N3252">
        <v>0</v>
      </c>
      <c r="O3252">
        <v>-0.90260609999999997</v>
      </c>
      <c r="P3252">
        <v>0.74291359999999995</v>
      </c>
      <c r="Q3252">
        <v>4.7779099999999998E-2</v>
      </c>
      <c r="R3252">
        <v>-0.6676801</v>
      </c>
      <c r="S3252">
        <v>2.56839</v>
      </c>
      <c r="T3252">
        <v>-0.27272489999999999</v>
      </c>
      <c r="U3252">
        <v>-1.665009</v>
      </c>
      <c r="V3252">
        <v>-0.38516220000000001</v>
      </c>
      <c r="W3252">
        <v>5.4673869999999999E-2</v>
      </c>
      <c r="X3252">
        <v>0.92122789999999999</v>
      </c>
      <c r="Y3252">
        <v>-0.51982669999999997</v>
      </c>
      <c r="Z3252">
        <v>9.0888220000000006E-2</v>
      </c>
      <c r="AA3252">
        <v>0.84942309999999999</v>
      </c>
      <c r="AB3252">
        <v>27</v>
      </c>
      <c r="AC3252">
        <v>0.62099999999998001</v>
      </c>
      <c r="AD3252">
        <v>-7.8888999999999904E-2</v>
      </c>
      <c r="AE3252">
        <v>-0.25611999999999902</v>
      </c>
      <c r="AF3252">
        <v>-0.444328701553102</v>
      </c>
      <c r="AG3252">
        <v>-7.8888999999999904E-2</v>
      </c>
      <c r="AH3252">
        <v>0.49154486871357</v>
      </c>
      <c r="AI3252">
        <v>96.789617892632094</v>
      </c>
      <c r="AJ3252">
        <v>132.11179438190899</v>
      </c>
      <c r="AK3252">
        <v>0.6672839180615</v>
      </c>
      <c r="AL3252">
        <v>86.865855221072493</v>
      </c>
      <c r="AM3252">
        <v>112.689636144373</v>
      </c>
      <c r="AN3252">
        <v>0.99999999805401296</v>
      </c>
    </row>
    <row r="3253" spans="1:40" x14ac:dyDescent="0.3">
      <c r="A3253" t="str">
        <f>"20200111153942856"</f>
        <v>20200111153942856</v>
      </c>
      <c r="B3253" t="str">
        <f>"1578728382854047"</f>
        <v>1578728382854047</v>
      </c>
      <c r="C3253" t="s">
        <v>40</v>
      </c>
      <c r="D3253">
        <v>5.4368089999999896</v>
      </c>
      <c r="E3253">
        <v>0.43058679999999999</v>
      </c>
      <c r="F3253" t="s">
        <v>41</v>
      </c>
      <c r="G3253">
        <v>-418.7851</v>
      </c>
      <c r="H3253">
        <v>1.0398400000000001</v>
      </c>
      <c r="I3253">
        <v>27.134329999999999</v>
      </c>
      <c r="J3253">
        <v>-419.3877</v>
      </c>
      <c r="K3253">
        <v>1.1168149999999999</v>
      </c>
      <c r="L3253">
        <v>27.361049999999999</v>
      </c>
      <c r="M3253">
        <v>0.44461830000000002</v>
      </c>
      <c r="N3253">
        <v>0</v>
      </c>
      <c r="O3253">
        <v>-0.89552109999999996</v>
      </c>
      <c r="P3253">
        <v>0.75258049999999999</v>
      </c>
      <c r="Q3253">
        <v>4.8292830000000002E-2</v>
      </c>
      <c r="R3253">
        <v>-0.65672749999999902</v>
      </c>
      <c r="S3253">
        <v>2.5941160000000001</v>
      </c>
      <c r="T3253">
        <v>-0.2720339</v>
      </c>
      <c r="U3253">
        <v>-1.6262509999999999</v>
      </c>
      <c r="V3253">
        <v>-0.38373350000000001</v>
      </c>
      <c r="W3253">
        <v>5.488432E-2</v>
      </c>
      <c r="X3253">
        <v>0.92181139999999995</v>
      </c>
      <c r="Y3253">
        <v>-0.51894529999999905</v>
      </c>
      <c r="Z3253">
        <v>9.0349650000000004E-2</v>
      </c>
      <c r="AA3253">
        <v>0.85001930000000003</v>
      </c>
      <c r="AB3253">
        <v>27</v>
      </c>
      <c r="AC3253">
        <v>0.60259999999999503</v>
      </c>
      <c r="AD3253">
        <v>-7.6975000000000002E-2</v>
      </c>
      <c r="AE3253">
        <v>-0.22672</v>
      </c>
      <c r="AF3253">
        <v>-0.43273008779857097</v>
      </c>
      <c r="AG3253">
        <v>-7.6975000000000002E-2</v>
      </c>
      <c r="AH3253">
        <v>0.46440543503764398</v>
      </c>
      <c r="AI3253">
        <v>96.914223118120006</v>
      </c>
      <c r="AJ3253">
        <v>132.97788617970701</v>
      </c>
      <c r="AK3253">
        <v>0.63941605203784402</v>
      </c>
      <c r="AL3253">
        <v>86.853779111212404</v>
      </c>
      <c r="AM3253">
        <v>112.601083288589</v>
      </c>
      <c r="AN3253">
        <v>0.99999997238703497</v>
      </c>
    </row>
    <row r="3254" spans="1:40" x14ac:dyDescent="0.3">
      <c r="A3254" t="str">
        <f>"20200111153942878"</f>
        <v>20200111153942878</v>
      </c>
      <c r="B3254" t="str">
        <f>"1578728382874076"</f>
        <v>1578728382874076</v>
      </c>
      <c r="C3254" t="s">
        <v>40</v>
      </c>
      <c r="D3254">
        <v>5.4196589999999896</v>
      </c>
      <c r="E3254">
        <v>0.43043809999999899</v>
      </c>
      <c r="F3254" t="s">
        <v>41</v>
      </c>
      <c r="G3254">
        <v>-418.46820000000002</v>
      </c>
      <c r="H3254">
        <v>1.0218119999999999</v>
      </c>
      <c r="I3254">
        <v>26.804510000000001</v>
      </c>
      <c r="J3254">
        <v>-419.25639999999999</v>
      </c>
      <c r="K3254">
        <v>1.1169659999999999</v>
      </c>
      <c r="L3254">
        <v>27.135470000000002</v>
      </c>
      <c r="M3254">
        <v>0.4590765</v>
      </c>
      <c r="N3254">
        <v>0</v>
      </c>
      <c r="O3254">
        <v>-0.88820030000000005</v>
      </c>
      <c r="P3254">
        <v>0.76255479999999998</v>
      </c>
      <c r="Q3254">
        <v>4.925264E-2</v>
      </c>
      <c r="R3254">
        <v>-0.64504569999999894</v>
      </c>
      <c r="S3254">
        <v>2.619904</v>
      </c>
      <c r="T3254">
        <v>-0.27067980000000003</v>
      </c>
      <c r="U3254">
        <v>-1.5857239999999999</v>
      </c>
      <c r="V3254">
        <v>-0.38300000000000001</v>
      </c>
      <c r="W3254">
        <v>5.5474710000000003E-2</v>
      </c>
      <c r="X3254">
        <v>0.92208109999999999</v>
      </c>
      <c r="Y3254">
        <v>-0.51849959999999995</v>
      </c>
      <c r="Z3254">
        <v>8.9585380000000006E-2</v>
      </c>
      <c r="AA3254">
        <v>0.85037209999999996</v>
      </c>
      <c r="AB3254">
        <v>27</v>
      </c>
      <c r="AC3254">
        <v>0.78819999999996004</v>
      </c>
      <c r="AD3254">
        <v>-9.5153999999999697E-2</v>
      </c>
      <c r="AE3254">
        <v>-0.33096000000000397</v>
      </c>
      <c r="AF3254">
        <v>-0.54152982399341498</v>
      </c>
      <c r="AG3254">
        <v>-9.5153999999999697E-2</v>
      </c>
      <c r="AH3254">
        <v>0.64789019723096497</v>
      </c>
      <c r="AI3254">
        <v>96.429418530469206</v>
      </c>
      <c r="AJ3254">
        <v>129.89008532134901</v>
      </c>
      <c r="AK3254">
        <v>0.84974733989481699</v>
      </c>
      <c r="AL3254">
        <v>86.819900724361901</v>
      </c>
      <c r="AM3254">
        <v>112.55627668016101</v>
      </c>
      <c r="AN3254">
        <v>0.999999999213397</v>
      </c>
    </row>
    <row r="3255" spans="1:40" x14ac:dyDescent="0.3">
      <c r="A3255" t="str">
        <f>"20200111153942901"</f>
        <v>20200111153942901</v>
      </c>
      <c r="B3255" t="str">
        <f>"1578728382894570"</f>
        <v>1578728382894570</v>
      </c>
      <c r="C3255" t="s">
        <v>40</v>
      </c>
      <c r="D3255">
        <v>5.3893019999999998</v>
      </c>
      <c r="E3255">
        <v>0.4303864</v>
      </c>
      <c r="F3255" t="s">
        <v>41</v>
      </c>
      <c r="G3255">
        <v>-418.35160000000002</v>
      </c>
      <c r="H3255">
        <v>1.0247869999999999</v>
      </c>
      <c r="I3255">
        <v>26.607099999999999</v>
      </c>
      <c r="J3255">
        <v>-419.1139</v>
      </c>
      <c r="K3255">
        <v>1.117089</v>
      </c>
      <c r="L3255">
        <v>26.900359999999999</v>
      </c>
      <c r="M3255">
        <v>0.47443459999999898</v>
      </c>
      <c r="N3255">
        <v>0</v>
      </c>
      <c r="O3255">
        <v>-0.88009729999999997</v>
      </c>
      <c r="P3255">
        <v>0.77312269999999905</v>
      </c>
      <c r="Q3255">
        <v>4.8981469999999999E-2</v>
      </c>
      <c r="R3255">
        <v>-0.63236239999999999</v>
      </c>
      <c r="S3255">
        <v>2.6451720000000001</v>
      </c>
      <c r="T3255">
        <v>-0.26943479999999997</v>
      </c>
      <c r="U3255">
        <v>-1.544373</v>
      </c>
      <c r="V3255">
        <v>-0.38224069999999999</v>
      </c>
      <c r="W3255">
        <v>5.4866709999999999E-2</v>
      </c>
      <c r="X3255">
        <v>0.92243249999999999</v>
      </c>
      <c r="Y3255">
        <v>-0.51718120000000001</v>
      </c>
      <c r="Z3255">
        <v>8.8793170000000005E-2</v>
      </c>
      <c r="AA3255">
        <v>0.85125759999999995</v>
      </c>
      <c r="AB3255">
        <v>27</v>
      </c>
      <c r="AC3255">
        <v>0.76229999999998199</v>
      </c>
      <c r="AD3255">
        <v>-9.2301999999999801E-2</v>
      </c>
      <c r="AE3255">
        <v>-0.29326000000000002</v>
      </c>
      <c r="AF3255">
        <v>-0.52514929840247604</v>
      </c>
      <c r="AG3255">
        <v>-9.2301999999999801E-2</v>
      </c>
      <c r="AH3255">
        <v>0.61204784114284005</v>
      </c>
      <c r="AI3255">
        <v>96.529246234807303</v>
      </c>
      <c r="AJ3255">
        <v>130.63025405924901</v>
      </c>
      <c r="AK3255">
        <v>0.81172902169641803</v>
      </c>
      <c r="AL3255">
        <v>86.854789739865097</v>
      </c>
      <c r="AM3255">
        <v>112.50830458348</v>
      </c>
      <c r="AN3255">
        <v>1.0000000128294799</v>
      </c>
    </row>
    <row r="3256" spans="1:40" x14ac:dyDescent="0.3">
      <c r="A3256" t="str">
        <f>"20200111153942923"</f>
        <v>20200111153942923</v>
      </c>
      <c r="B3256" t="str">
        <f>"1578728382914093"</f>
        <v>1578728382914093</v>
      </c>
      <c r="C3256" t="s">
        <v>40</v>
      </c>
      <c r="D3256">
        <v>5.3707260000000003</v>
      </c>
      <c r="E3256">
        <v>0.43045800000000001</v>
      </c>
      <c r="F3256" t="s">
        <v>41</v>
      </c>
      <c r="G3256">
        <v>-418.23700000000002</v>
      </c>
      <c r="H3256">
        <v>1.027908</v>
      </c>
      <c r="I3256">
        <v>26.407630000000001</v>
      </c>
      <c r="J3256">
        <v>-418.97730000000001</v>
      </c>
      <c r="K3256">
        <v>1.117175</v>
      </c>
      <c r="L3256">
        <v>26.683530000000001</v>
      </c>
      <c r="M3256">
        <v>0.4888941</v>
      </c>
      <c r="N3256">
        <v>0</v>
      </c>
      <c r="O3256">
        <v>-0.87215209999999999</v>
      </c>
      <c r="P3256">
        <v>0.78268389999999999</v>
      </c>
      <c r="Q3256">
        <v>4.7946780000000001E-2</v>
      </c>
      <c r="R3256">
        <v>-0.62056990000000001</v>
      </c>
      <c r="S3256">
        <v>2.6704409999999998</v>
      </c>
      <c r="T3256">
        <v>-0.2715745</v>
      </c>
      <c r="U3256">
        <v>-1.500275</v>
      </c>
      <c r="V3256">
        <v>-0.38103989999999999</v>
      </c>
      <c r="W3256">
        <v>5.3575900000000003E-2</v>
      </c>
      <c r="X3256">
        <v>0.92300499999999996</v>
      </c>
      <c r="Y3256">
        <v>-0.51716249999999997</v>
      </c>
      <c r="Z3256">
        <v>8.9150350000000003E-2</v>
      </c>
      <c r="AA3256">
        <v>0.85123159999999898</v>
      </c>
      <c r="AB3256">
        <v>27</v>
      </c>
      <c r="AC3256">
        <v>0.74030000000004703</v>
      </c>
      <c r="AD3256">
        <v>-8.9266999999999902E-2</v>
      </c>
      <c r="AE3256">
        <v>-0.27589999999999998</v>
      </c>
      <c r="AF3256">
        <v>-0.50441369556468896</v>
      </c>
      <c r="AG3256">
        <v>-8.9266999999999902E-2</v>
      </c>
      <c r="AH3256">
        <v>0.59505849826073398</v>
      </c>
      <c r="AI3256">
        <v>96.528123421371305</v>
      </c>
      <c r="AJ3256">
        <v>130.28696994170599</v>
      </c>
      <c r="AK3256">
        <v>0.785172840790196</v>
      </c>
      <c r="AL3256">
        <v>86.9288566456692</v>
      </c>
      <c r="AM3256">
        <v>112.432078164665</v>
      </c>
      <c r="AN3256">
        <v>1.0000000062389001</v>
      </c>
    </row>
    <row r="3257" spans="1:40" x14ac:dyDescent="0.3">
      <c r="A3257" t="str">
        <f>"20200111153942945"</f>
        <v>20200111153942945</v>
      </c>
      <c r="B3257" t="str">
        <f>"1578728382934586"</f>
        <v>1578728382934586</v>
      </c>
      <c r="C3257" t="s">
        <v>40</v>
      </c>
      <c r="D3257">
        <v>5.4090119999999997</v>
      </c>
      <c r="E3257">
        <v>0.43067709999999998</v>
      </c>
      <c r="F3257" t="s">
        <v>41</v>
      </c>
      <c r="G3257">
        <v>-418.11360000000002</v>
      </c>
      <c r="H3257">
        <v>1.0291110000000001</v>
      </c>
      <c r="I3257">
        <v>26.215479999999999</v>
      </c>
      <c r="J3257">
        <v>-418.83920000000001</v>
      </c>
      <c r="K3257">
        <v>1.117265</v>
      </c>
      <c r="L3257">
        <v>26.472290000000001</v>
      </c>
      <c r="M3257">
        <v>0.50326359999999903</v>
      </c>
      <c r="N3257">
        <v>0</v>
      </c>
      <c r="O3257">
        <v>-0.86394439999999995</v>
      </c>
      <c r="P3257">
        <v>0.79213359999999899</v>
      </c>
      <c r="Q3257">
        <v>4.7300740000000001E-2</v>
      </c>
      <c r="R3257">
        <v>-0.60851239999999995</v>
      </c>
      <c r="S3257">
        <v>2.6927490000000001</v>
      </c>
      <c r="T3257">
        <v>-0.27456120000000001</v>
      </c>
      <c r="U3257">
        <v>-1.4592590000000001</v>
      </c>
      <c r="V3257">
        <v>-0.37992090000000001</v>
      </c>
      <c r="W3257">
        <v>5.268167E-2</v>
      </c>
      <c r="X3257">
        <v>0.92351760000000005</v>
      </c>
      <c r="Y3257">
        <v>-0.51592990000000005</v>
      </c>
      <c r="Z3257">
        <v>8.9725760000000002E-2</v>
      </c>
      <c r="AA3257">
        <v>0.85191879999999998</v>
      </c>
      <c r="AB3257">
        <v>27</v>
      </c>
      <c r="AC3257">
        <v>0.72559999999998503</v>
      </c>
      <c r="AD3257">
        <v>-8.8153999999999802E-2</v>
      </c>
      <c r="AE3257">
        <v>-0.25681000000000098</v>
      </c>
      <c r="AF3257">
        <v>-0.49127200361220102</v>
      </c>
      <c r="AG3257">
        <v>-8.8153999999999802E-2</v>
      </c>
      <c r="AH3257">
        <v>0.57953156859147903</v>
      </c>
      <c r="AI3257">
        <v>96.618534856713893</v>
      </c>
      <c r="AJ3257">
        <v>130.28812236426299</v>
      </c>
      <c r="AK3257">
        <v>0.76483733449881097</v>
      </c>
      <c r="AL3257">
        <v>86.980164706371696</v>
      </c>
      <c r="AM3257">
        <v>112.361510350279</v>
      </c>
      <c r="AN3257">
        <v>1.00000000306027</v>
      </c>
    </row>
    <row r="3258" spans="1:40" x14ac:dyDescent="0.3">
      <c r="A3258" t="str">
        <f>"20200111153942967"</f>
        <v>20200111153942967</v>
      </c>
      <c r="B3258" t="str">
        <f>"1578728382963867"</f>
        <v>1578728382963867</v>
      </c>
      <c r="C3258" t="s">
        <v>40</v>
      </c>
      <c r="D3258">
        <v>5.3133339999999896</v>
      </c>
      <c r="E3258">
        <v>0.43115340000000002</v>
      </c>
      <c r="F3258" t="s">
        <v>41</v>
      </c>
      <c r="G3258">
        <v>-417.98630000000003</v>
      </c>
      <c r="H3258">
        <v>1.03023</v>
      </c>
      <c r="I3258">
        <v>26.026589999999999</v>
      </c>
      <c r="J3258">
        <v>-418.69260000000003</v>
      </c>
      <c r="K3258">
        <v>1.117367</v>
      </c>
      <c r="L3258">
        <v>26.256530000000001</v>
      </c>
      <c r="M3258">
        <v>0.51821079999999997</v>
      </c>
      <c r="N3258">
        <v>0</v>
      </c>
      <c r="O3258">
        <v>-0.85506629999999995</v>
      </c>
      <c r="P3258">
        <v>0.80186380000000002</v>
      </c>
      <c r="Q3258">
        <v>4.7093780000000002E-2</v>
      </c>
      <c r="R3258">
        <v>-0.59564810000000001</v>
      </c>
      <c r="S3258">
        <v>2.7140499999999999</v>
      </c>
      <c r="T3258">
        <v>-0.27700219999999998</v>
      </c>
      <c r="U3258">
        <v>-1.4185179999999999</v>
      </c>
      <c r="V3258">
        <v>-0.37878329999999999</v>
      </c>
      <c r="W3258">
        <v>5.221025E-2</v>
      </c>
      <c r="X3258">
        <v>0.92401149999999999</v>
      </c>
      <c r="Y3258">
        <v>-0.51380009999999998</v>
      </c>
      <c r="Z3258">
        <v>9.0043319999999996E-2</v>
      </c>
      <c r="AA3258">
        <v>0.85317149999999997</v>
      </c>
      <c r="AB3258">
        <v>27</v>
      </c>
      <c r="AC3258">
        <v>0.70629999999999804</v>
      </c>
      <c r="AD3258">
        <v>-8.7137000000000006E-2</v>
      </c>
      <c r="AE3258">
        <v>-0.22993999999999901</v>
      </c>
      <c r="AF3258">
        <v>-0.47827142084388502</v>
      </c>
      <c r="AG3258">
        <v>-8.7137000000000006E-2</v>
      </c>
      <c r="AH3258">
        <v>0.55507715569237603</v>
      </c>
      <c r="AI3258">
        <v>96.782066680573607</v>
      </c>
      <c r="AJ3258">
        <v>130.74919102165799</v>
      </c>
      <c r="AK3258">
        <v>0.73786655808253498</v>
      </c>
      <c r="AL3258">
        <v>87.007212223799101</v>
      </c>
      <c r="AM3258">
        <v>112.29036891782999</v>
      </c>
      <c r="AN3258">
        <v>0.99999997534810003</v>
      </c>
    </row>
    <row r="3259" spans="1:40" x14ac:dyDescent="0.3">
      <c r="A3259" t="str">
        <f>"20200111153942991"</f>
        <v>20200111153942991</v>
      </c>
      <c r="B3259" t="str">
        <f>"1578728382984363"</f>
        <v>1578728382984363</v>
      </c>
      <c r="C3259" t="s">
        <v>40</v>
      </c>
      <c r="D3259">
        <v>5.3269739999999999</v>
      </c>
      <c r="E3259">
        <v>0.43145480000000003</v>
      </c>
      <c r="F3259" t="s">
        <v>41</v>
      </c>
      <c r="G3259">
        <v>-417.85950000000003</v>
      </c>
      <c r="H3259">
        <v>1.0330360000000001</v>
      </c>
      <c r="I3259">
        <v>25.836829999999999</v>
      </c>
      <c r="J3259">
        <v>-418.53579999999999</v>
      </c>
      <c r="K3259">
        <v>1.1174850000000001</v>
      </c>
      <c r="L3259">
        <v>26.03445</v>
      </c>
      <c r="M3259">
        <v>0.53384140000000002</v>
      </c>
      <c r="N3259">
        <v>0</v>
      </c>
      <c r="O3259">
        <v>-0.84540029999999999</v>
      </c>
      <c r="P3259">
        <v>0.81172319999999998</v>
      </c>
      <c r="Q3259">
        <v>4.6280040000000001E-2</v>
      </c>
      <c r="R3259">
        <v>-0.58220590000000005</v>
      </c>
      <c r="S3259">
        <v>2.7345579999999998</v>
      </c>
      <c r="T3259">
        <v>-0.27675159999999999</v>
      </c>
      <c r="U3259">
        <v>-1.377167</v>
      </c>
      <c r="V3259">
        <v>-0.37722070000000002</v>
      </c>
      <c r="W3259">
        <v>5.1133570000000003E-2</v>
      </c>
      <c r="X3259">
        <v>0.9247107</v>
      </c>
      <c r="Y3259">
        <v>-0.51094989999999996</v>
      </c>
      <c r="Z3259">
        <v>8.9416789999999996E-2</v>
      </c>
      <c r="AA3259">
        <v>0.85494729999999997</v>
      </c>
      <c r="AB3259">
        <v>27</v>
      </c>
      <c r="AC3259">
        <v>0.67629999999996904</v>
      </c>
      <c r="AD3259">
        <v>-8.4448999999999996E-2</v>
      </c>
      <c r="AE3259">
        <v>-0.19761999999999999</v>
      </c>
      <c r="AF3259">
        <v>-0.459715043945299</v>
      </c>
      <c r="AG3259">
        <v>-8.4448999999999996E-2</v>
      </c>
      <c r="AH3259">
        <v>0.52070695672293899</v>
      </c>
      <c r="AI3259">
        <v>96.931928878037994</v>
      </c>
      <c r="AJ3259">
        <v>131.440225189893</v>
      </c>
      <c r="AK3259">
        <v>0.69971800749322799</v>
      </c>
      <c r="AL3259">
        <v>87.068984007047305</v>
      </c>
      <c r="AM3259">
        <v>112.192205119436</v>
      </c>
      <c r="AN3259">
        <v>0.99999998859196204</v>
      </c>
    </row>
    <row r="3260" spans="1:40" x14ac:dyDescent="0.3">
      <c r="A3260" t="str">
        <f>"20200111153943012"</f>
        <v>20200111153943012</v>
      </c>
      <c r="B3260" t="str">
        <f>"1578728383003882"</f>
        <v>1578728383003882</v>
      </c>
      <c r="C3260" t="s">
        <v>40</v>
      </c>
      <c r="D3260">
        <v>5.361256</v>
      </c>
      <c r="E3260">
        <v>0.43175140000000001</v>
      </c>
      <c r="F3260" t="s">
        <v>41</v>
      </c>
      <c r="G3260">
        <v>-417.7328</v>
      </c>
      <c r="H3260">
        <v>1.036368</v>
      </c>
      <c r="I3260">
        <v>25.646270000000001</v>
      </c>
      <c r="J3260">
        <v>-418.38389999999998</v>
      </c>
      <c r="K3260">
        <v>1.1175919999999999</v>
      </c>
      <c r="L3260">
        <v>25.827670000000001</v>
      </c>
      <c r="M3260">
        <v>0.54861780000000004</v>
      </c>
      <c r="N3260">
        <v>0</v>
      </c>
      <c r="O3260">
        <v>-0.83589049999999998</v>
      </c>
      <c r="P3260">
        <v>0.82048980000000005</v>
      </c>
      <c r="Q3260">
        <v>4.6927389999999999E-2</v>
      </c>
      <c r="R3260">
        <v>-0.56973180000000001</v>
      </c>
      <c r="S3260">
        <v>2.7560120000000001</v>
      </c>
      <c r="T3260">
        <v>-0.2784179</v>
      </c>
      <c r="U3260">
        <v>-1.3324579999999999</v>
      </c>
      <c r="V3260">
        <v>-0.3751023</v>
      </c>
      <c r="W3260">
        <v>5.1565960000000001E-2</v>
      </c>
      <c r="X3260">
        <v>0.92554800000000004</v>
      </c>
      <c r="Y3260">
        <v>-0.50969140000000002</v>
      </c>
      <c r="Z3260">
        <v>8.9438160000000003E-2</v>
      </c>
      <c r="AA3260">
        <v>0.85569589999999995</v>
      </c>
      <c r="AB3260">
        <v>27</v>
      </c>
      <c r="AC3260">
        <v>0.65109999999998502</v>
      </c>
      <c r="AD3260">
        <v>-8.1223999999999894E-2</v>
      </c>
      <c r="AE3260">
        <v>-0.18140000000000001</v>
      </c>
      <c r="AF3260">
        <v>-0.43846498241946602</v>
      </c>
      <c r="AG3260">
        <v>-8.1223999999999894E-2</v>
      </c>
      <c r="AH3260">
        <v>0.50166858585387897</v>
      </c>
      <c r="AI3260">
        <v>96.950491886439295</v>
      </c>
      <c r="AJ3260">
        <v>131.15388820287899</v>
      </c>
      <c r="AK3260">
        <v>0.67120805196059297</v>
      </c>
      <c r="AL3260">
        <v>87.044177019707504</v>
      </c>
      <c r="AM3260">
        <v>112.06152661249</v>
      </c>
      <c r="AN3260">
        <v>0.99999994200000397</v>
      </c>
    </row>
    <row r="3261" spans="1:40" x14ac:dyDescent="0.3">
      <c r="A3261" t="str">
        <f>"20200111153943036"</f>
        <v>20200111153943036</v>
      </c>
      <c r="B3261" t="str">
        <f>"1578728383024378"</f>
        <v>1578728383024378</v>
      </c>
      <c r="C3261" t="s">
        <v>40</v>
      </c>
      <c r="D3261">
        <v>5.3050499999999996</v>
      </c>
      <c r="E3261">
        <v>0.43218879999999998</v>
      </c>
      <c r="F3261" t="s">
        <v>41</v>
      </c>
      <c r="G3261">
        <v>-417.59899999999999</v>
      </c>
      <c r="H3261">
        <v>1.0393190000000001</v>
      </c>
      <c r="I3261">
        <v>25.461980000000001</v>
      </c>
      <c r="J3261">
        <v>-418.2287</v>
      </c>
      <c r="K3261">
        <v>1.117715</v>
      </c>
      <c r="L3261">
        <v>25.62424</v>
      </c>
      <c r="M3261">
        <v>0.56336249999999999</v>
      </c>
      <c r="N3261">
        <v>0</v>
      </c>
      <c r="O3261">
        <v>-0.8260284</v>
      </c>
      <c r="P3261">
        <v>0.82905019999999996</v>
      </c>
      <c r="Q3261">
        <v>4.7835549999999998E-2</v>
      </c>
      <c r="R3261">
        <v>-0.55712430000000002</v>
      </c>
      <c r="S3261">
        <v>2.7747799999999998</v>
      </c>
      <c r="T3261">
        <v>-0.27666560000000001</v>
      </c>
      <c r="U3261">
        <v>-1.2923579999999999</v>
      </c>
      <c r="V3261">
        <v>-0.37282500000000002</v>
      </c>
      <c r="W3261">
        <v>5.2285489999999997E-2</v>
      </c>
      <c r="X3261">
        <v>0.92642740000000001</v>
      </c>
      <c r="Y3261">
        <v>-0.50691120000000001</v>
      </c>
      <c r="Z3261">
        <v>8.8275980000000004E-2</v>
      </c>
      <c r="AA3261">
        <v>0.85746630000000001</v>
      </c>
      <c r="AB3261">
        <v>27</v>
      </c>
      <c r="AC3261">
        <v>0.62970000000001303</v>
      </c>
      <c r="AD3261">
        <v>-7.8395999999999896E-2</v>
      </c>
      <c r="AE3261">
        <v>-0.16225999999999899</v>
      </c>
      <c r="AF3261">
        <v>-0.42265999607424098</v>
      </c>
      <c r="AG3261">
        <v>-7.8395999999999896E-2</v>
      </c>
      <c r="AH3261">
        <v>0.48185054096052399</v>
      </c>
      <c r="AI3261">
        <v>96.973297820307593</v>
      </c>
      <c r="AJ3261">
        <v>131.25594206501501</v>
      </c>
      <c r="AK3261">
        <v>0.64573008983740798</v>
      </c>
      <c r="AL3261">
        <v>87.002895437879701</v>
      </c>
      <c r="AM3261">
        <v>111.92148377507399</v>
      </c>
      <c r="AN3261">
        <v>0.99999999028014996</v>
      </c>
    </row>
    <row r="3262" spans="1:40" x14ac:dyDescent="0.3">
      <c r="A3262" t="str">
        <f>"20200111153943057"</f>
        <v>20200111153943057</v>
      </c>
      <c r="B3262" t="str">
        <f>"1578728383043898"</f>
        <v>1578728383043898</v>
      </c>
      <c r="C3262" t="s">
        <v>40</v>
      </c>
      <c r="D3262">
        <v>5.3160210000000001</v>
      </c>
      <c r="E3262">
        <v>0.4448664</v>
      </c>
      <c r="F3262" t="s">
        <v>41</v>
      </c>
      <c r="G3262">
        <v>-417.2466</v>
      </c>
      <c r="H3262">
        <v>1.02111</v>
      </c>
      <c r="I3262">
        <v>25.183330000000002</v>
      </c>
      <c r="J3262">
        <v>-418.07190000000003</v>
      </c>
      <c r="K3262">
        <v>1.117831</v>
      </c>
      <c r="L3262">
        <v>25.426880000000001</v>
      </c>
      <c r="M3262">
        <v>0.57789360000000001</v>
      </c>
      <c r="N3262">
        <v>0</v>
      </c>
      <c r="O3262">
        <v>-0.81593130000000003</v>
      </c>
      <c r="P3262">
        <v>0.83702999999999905</v>
      </c>
      <c r="Q3262">
        <v>4.7819599999999997E-2</v>
      </c>
      <c r="R3262">
        <v>-0.54506319999999997</v>
      </c>
      <c r="S3262">
        <v>2.7925420000000001</v>
      </c>
      <c r="T3262">
        <v>-0.27461429999999998</v>
      </c>
      <c r="U3262">
        <v>-1.2528379999999999</v>
      </c>
      <c r="V3262">
        <v>-0.36985220000000002</v>
      </c>
      <c r="W3262">
        <v>5.213073E-2</v>
      </c>
      <c r="X3262">
        <v>0.92762699999999998</v>
      </c>
      <c r="Y3262">
        <v>-0.50391030000000003</v>
      </c>
      <c r="Z3262">
        <v>8.6990460000000006E-2</v>
      </c>
      <c r="AA3262">
        <v>0.85936429999999997</v>
      </c>
      <c r="AB3262">
        <v>27</v>
      </c>
      <c r="AC3262">
        <v>0.82530000000002701</v>
      </c>
      <c r="AD3262">
        <v>-9.6721000000000001E-2</v>
      </c>
      <c r="AE3262">
        <v>-0.24355000000000199</v>
      </c>
      <c r="AF3262">
        <v>-0.52607410911119901</v>
      </c>
      <c r="AG3262">
        <v>-9.6721000000000001E-2</v>
      </c>
      <c r="AH3262">
        <v>0.66732415064786099</v>
      </c>
      <c r="AI3262">
        <v>96.493622439931301</v>
      </c>
      <c r="AJ3262">
        <v>128.24990296559599</v>
      </c>
      <c r="AK3262">
        <v>0.85523706780987496</v>
      </c>
      <c r="AL3262">
        <v>87.011774841565398</v>
      </c>
      <c r="AM3262">
        <v>111.737559780374</v>
      </c>
      <c r="AN3262">
        <v>1.0000000569920799</v>
      </c>
    </row>
    <row r="3263" spans="1:40" x14ac:dyDescent="0.3">
      <c r="A3263" t="str">
        <f>"20200111153943080"</f>
        <v>20200111153943080</v>
      </c>
      <c r="B3263" t="str">
        <f>"1578728383074156"</f>
        <v>1578728383074156</v>
      </c>
      <c r="C3263" t="s">
        <v>40</v>
      </c>
      <c r="D3263">
        <v>5.2885790000000004</v>
      </c>
      <c r="E3263">
        <v>0.44543280000000002</v>
      </c>
      <c r="F3263" t="s">
        <v>41</v>
      </c>
      <c r="G3263">
        <v>-417.12720000000002</v>
      </c>
      <c r="H3263">
        <v>1.0345489999999999</v>
      </c>
      <c r="I3263">
        <v>24.983180000000001</v>
      </c>
      <c r="J3263">
        <v>-417.90089999999998</v>
      </c>
      <c r="K3263">
        <v>1.117942</v>
      </c>
      <c r="L3263">
        <v>25.22</v>
      </c>
      <c r="M3263">
        <v>0.59332450000000003</v>
      </c>
      <c r="N3263">
        <v>0</v>
      </c>
      <c r="O3263">
        <v>-0.80478319999999903</v>
      </c>
      <c r="P3263">
        <v>0.84560329999999995</v>
      </c>
      <c r="Q3263">
        <v>4.777178E-2</v>
      </c>
      <c r="R3263">
        <v>-0.53166999999999998</v>
      </c>
      <c r="S3263">
        <v>2.7551269999999999</v>
      </c>
      <c r="T3263">
        <v>-0.24290780000000001</v>
      </c>
      <c r="U3263">
        <v>-1.2942199999999999</v>
      </c>
      <c r="V3263">
        <v>-0.36696719999999999</v>
      </c>
      <c r="W3263">
        <v>5.1949769999999999E-2</v>
      </c>
      <c r="X3263">
        <v>0.9287822</v>
      </c>
      <c r="Y3263">
        <v>-0.47310049999999998</v>
      </c>
      <c r="Z3263">
        <v>7.5968560000000004E-2</v>
      </c>
      <c r="AA3263">
        <v>0.87772700000000003</v>
      </c>
      <c r="AB3263">
        <v>27</v>
      </c>
      <c r="AC3263">
        <v>0.77369999999996197</v>
      </c>
      <c r="AD3263">
        <v>-8.3392999999999995E-2</v>
      </c>
      <c r="AE3263">
        <v>-0.236820000000001</v>
      </c>
      <c r="AF3263">
        <v>-0.47715113187213098</v>
      </c>
      <c r="AG3263">
        <v>-8.3392999999999995E-2</v>
      </c>
      <c r="AH3263">
        <v>0.64290896155936705</v>
      </c>
      <c r="AI3263">
        <v>95.946456251474203</v>
      </c>
      <c r="AJ3263">
        <v>126.58189096883</v>
      </c>
      <c r="AK3263">
        <v>0.80495933310273504</v>
      </c>
      <c r="AL3263">
        <v>87.022157102036303</v>
      </c>
      <c r="AM3263">
        <v>111.55926164740799</v>
      </c>
      <c r="AN3263">
        <v>1.0000000397578599</v>
      </c>
    </row>
    <row r="3264" spans="1:40" x14ac:dyDescent="0.3">
      <c r="A3264" t="str">
        <f>"20200111153943103"</f>
        <v>20200111153943103</v>
      </c>
      <c r="B3264" t="str">
        <f>"1578728383094654"</f>
        <v>1578728383094654</v>
      </c>
      <c r="C3264" t="s">
        <v>40</v>
      </c>
      <c r="D3264">
        <v>5.2983560000000001</v>
      </c>
      <c r="E3264">
        <v>0.44613219999999998</v>
      </c>
      <c r="F3264" t="s">
        <v>41</v>
      </c>
      <c r="G3264">
        <v>-416.98570000000001</v>
      </c>
      <c r="H3264">
        <v>1.0377379999999901</v>
      </c>
      <c r="I3264">
        <v>24.806069999999998</v>
      </c>
      <c r="J3264">
        <v>-417.7278</v>
      </c>
      <c r="K3264">
        <v>1.1180460000000001</v>
      </c>
      <c r="L3264">
        <v>25.018550000000001</v>
      </c>
      <c r="M3264">
        <v>0.60852839999999997</v>
      </c>
      <c r="N3264">
        <v>0</v>
      </c>
      <c r="O3264">
        <v>-0.79335219999999995</v>
      </c>
      <c r="P3264">
        <v>0.85444779999999998</v>
      </c>
      <c r="Q3264">
        <v>4.8045539999999998E-2</v>
      </c>
      <c r="R3264">
        <v>-0.51731119999999997</v>
      </c>
      <c r="S3264">
        <v>2.7734990000000002</v>
      </c>
      <c r="T3264">
        <v>-0.2429605</v>
      </c>
      <c r="U3264">
        <v>-1.253296</v>
      </c>
      <c r="V3264">
        <v>-0.36499169999999997</v>
      </c>
      <c r="W3264">
        <v>5.2085970000000002E-2</v>
      </c>
      <c r="X3264">
        <v>0.92955259999999995</v>
      </c>
      <c r="Y3264">
        <v>-0.46931970000000001</v>
      </c>
      <c r="Z3264">
        <v>7.5281790000000001E-2</v>
      </c>
      <c r="AA3264">
        <v>0.87981339999999997</v>
      </c>
      <c r="AB3264">
        <v>27</v>
      </c>
      <c r="AC3264">
        <v>0.74209999999999299</v>
      </c>
      <c r="AD3264">
        <v>-8.0308000000000004E-2</v>
      </c>
      <c r="AE3264">
        <v>-0.212479999999999</v>
      </c>
      <c r="AF3264">
        <v>-0.45459180972875202</v>
      </c>
      <c r="AG3264">
        <v>-8.0308000000000004E-2</v>
      </c>
      <c r="AH3264">
        <v>0.61360747425388196</v>
      </c>
      <c r="AI3264">
        <v>96.003317241442005</v>
      </c>
      <c r="AJ3264">
        <v>126.532940274548</v>
      </c>
      <c r="AK3264">
        <v>0.76786536632191604</v>
      </c>
      <c r="AL3264">
        <v>87.014342607744794</v>
      </c>
      <c r="AM3264">
        <v>111.437607373719</v>
      </c>
      <c r="AN3264">
        <v>0.99999996275324399</v>
      </c>
    </row>
    <row r="3265" spans="1:40" x14ac:dyDescent="0.3">
      <c r="A3265" t="str">
        <f>"20200111153943127"</f>
        <v>20200111153943127</v>
      </c>
      <c r="B3265" t="str">
        <f>"1578728383114171"</f>
        <v>1578728383114171</v>
      </c>
      <c r="C3265" t="s">
        <v>40</v>
      </c>
      <c r="D3265">
        <v>5.3111360000000003</v>
      </c>
      <c r="E3265">
        <v>0.44642799999999999</v>
      </c>
      <c r="F3265" t="s">
        <v>41</v>
      </c>
      <c r="G3265">
        <v>-416.83980000000003</v>
      </c>
      <c r="H3265">
        <v>1.041644</v>
      </c>
      <c r="I3265">
        <v>24.633379999999999</v>
      </c>
      <c r="J3265">
        <v>-417.54730000000001</v>
      </c>
      <c r="K3265">
        <v>1.118136</v>
      </c>
      <c r="L3265">
        <v>24.81662</v>
      </c>
      <c r="M3265">
        <v>0.62394169999999904</v>
      </c>
      <c r="N3265">
        <v>0</v>
      </c>
      <c r="O3265">
        <v>-0.7812905</v>
      </c>
      <c r="P3265">
        <v>0.86267719999999903</v>
      </c>
      <c r="Q3265">
        <v>4.8302659999999997E-2</v>
      </c>
      <c r="R3265">
        <v>-0.50344290000000003</v>
      </c>
      <c r="S3265">
        <v>2.7914430000000001</v>
      </c>
      <c r="T3265">
        <v>-0.240174</v>
      </c>
      <c r="U3265">
        <v>-1.2108460000000001</v>
      </c>
      <c r="V3265">
        <v>-0.36181219999999997</v>
      </c>
      <c r="W3265">
        <v>5.2279300000000001E-2</v>
      </c>
      <c r="X3265">
        <v>0.93078399999999994</v>
      </c>
      <c r="Y3265">
        <v>-0.46547630000000001</v>
      </c>
      <c r="Z3265">
        <v>7.3682490000000003E-2</v>
      </c>
      <c r="AA3265">
        <v>0.88198790000000005</v>
      </c>
      <c r="AB3265">
        <v>27</v>
      </c>
      <c r="AC3265">
        <v>0.70749999999998103</v>
      </c>
      <c r="AD3265">
        <v>-7.6491999999999893E-2</v>
      </c>
      <c r="AE3265">
        <v>-0.18324000000000101</v>
      </c>
      <c r="AF3265">
        <v>-0.43374244225196401</v>
      </c>
      <c r="AG3265">
        <v>-7.6491999999999893E-2</v>
      </c>
      <c r="AH3265">
        <v>0.57834946146037203</v>
      </c>
      <c r="AI3265">
        <v>96.039937871844401</v>
      </c>
      <c r="AJ3265">
        <v>126.868651505822</v>
      </c>
      <c r="AK3265">
        <v>0.72696054352777695</v>
      </c>
      <c r="AL3265">
        <v>87.0032506855202</v>
      </c>
      <c r="AM3265">
        <v>111.24198427837</v>
      </c>
      <c r="AN3265">
        <v>1.00000002396666</v>
      </c>
    </row>
    <row r="3266" spans="1:40" x14ac:dyDescent="0.3">
      <c r="A3266" t="str">
        <f>"20200111153943148"</f>
        <v>20200111153943148</v>
      </c>
      <c r="B3266" t="str">
        <f>"1578728383144427"</f>
        <v>1578728383144427</v>
      </c>
      <c r="C3266" t="s">
        <v>40</v>
      </c>
      <c r="D3266">
        <v>5.2784259999999996</v>
      </c>
      <c r="E3266">
        <v>0.4439709</v>
      </c>
      <c r="F3266" t="s">
        <v>41</v>
      </c>
      <c r="G3266">
        <v>-416.6925</v>
      </c>
      <c r="H3266">
        <v>1.0451060000000001</v>
      </c>
      <c r="I3266">
        <v>24.46116</v>
      </c>
      <c r="J3266">
        <v>-417.38389999999998</v>
      </c>
      <c r="K3266">
        <v>1.117861</v>
      </c>
      <c r="L3266">
        <v>24.640139999999999</v>
      </c>
      <c r="M3266">
        <v>0.63660660000000002</v>
      </c>
      <c r="N3266">
        <v>0</v>
      </c>
      <c r="O3266">
        <v>-0.77099569999999995</v>
      </c>
      <c r="P3266">
        <v>0.86914859999999905</v>
      </c>
      <c r="Q3266">
        <v>4.8270430000000003E-2</v>
      </c>
      <c r="R3266">
        <v>-0.49218980000000001</v>
      </c>
      <c r="S3266">
        <v>2.8097840000000001</v>
      </c>
      <c r="T3266">
        <v>-0.23995849999999999</v>
      </c>
      <c r="U3266">
        <v>-1.167206</v>
      </c>
      <c r="V3266">
        <v>-0.35866959999999998</v>
      </c>
      <c r="W3266">
        <v>5.317069E-2</v>
      </c>
      <c r="X3266">
        <v>0.93194900000000003</v>
      </c>
      <c r="Y3266">
        <v>-0.4647963</v>
      </c>
      <c r="Z3266">
        <v>7.303904E-2</v>
      </c>
      <c r="AA3266">
        <v>0.88239999999999996</v>
      </c>
      <c r="AB3266">
        <v>26</v>
      </c>
      <c r="AC3266">
        <v>0.69139999999998702</v>
      </c>
      <c r="AD3266">
        <v>-7.2755000000000097E-2</v>
      </c>
      <c r="AE3266">
        <v>-0.178979999999999</v>
      </c>
      <c r="AF3266">
        <v>-0.41488346864556502</v>
      </c>
      <c r="AG3266">
        <v>-7.2755000000000097E-2</v>
      </c>
      <c r="AH3266">
        <v>0.57228967492915495</v>
      </c>
      <c r="AI3266">
        <v>95.876633137320397</v>
      </c>
      <c r="AJ3266">
        <v>125.940369814541</v>
      </c>
      <c r="AK3266">
        <v>0.71058923057621304</v>
      </c>
      <c r="AL3266">
        <v>86.952106502079602</v>
      </c>
      <c r="AM3266">
        <v>111.049703698247</v>
      </c>
      <c r="AN3266">
        <v>0.99999997142011698</v>
      </c>
    </row>
    <row r="3267" spans="1:40" x14ac:dyDescent="0.3">
      <c r="A3267" t="str">
        <f>"20200111153943170"</f>
        <v>20200111153943170</v>
      </c>
      <c r="B3267" t="str">
        <f>"1578728383163946"</f>
        <v>1578728383163946</v>
      </c>
      <c r="C3267" t="s">
        <v>40</v>
      </c>
      <c r="D3267">
        <v>5.2791759999999996</v>
      </c>
      <c r="E3267">
        <v>0.44435649999999999</v>
      </c>
      <c r="F3267" t="s">
        <v>41</v>
      </c>
      <c r="G3267">
        <v>-416.53410000000002</v>
      </c>
      <c r="H3267">
        <v>1.0333829999999999</v>
      </c>
      <c r="I3267">
        <v>24.305499999999999</v>
      </c>
      <c r="J3267">
        <v>-417.21199999999999</v>
      </c>
      <c r="K3267">
        <v>1.1171899999999999</v>
      </c>
      <c r="L3267">
        <v>24.459050000000001</v>
      </c>
      <c r="M3267">
        <v>0.64860519999999999</v>
      </c>
      <c r="N3267">
        <v>0</v>
      </c>
      <c r="O3267">
        <v>-0.76090249999999904</v>
      </c>
      <c r="P3267">
        <v>0.87516779999999905</v>
      </c>
      <c r="Q3267">
        <v>4.736452E-2</v>
      </c>
      <c r="R3267">
        <v>-0.48149550000000002</v>
      </c>
      <c r="S3267">
        <v>2.835175</v>
      </c>
      <c r="T3267">
        <v>-0.28180290000000002</v>
      </c>
      <c r="U3267">
        <v>-1.1162719999999999</v>
      </c>
      <c r="V3267">
        <v>-0.3553906</v>
      </c>
      <c r="W3267">
        <v>5.4329170000000003E-2</v>
      </c>
      <c r="X3267">
        <v>0.93313769999999996</v>
      </c>
      <c r="Y3267">
        <v>-0.46623779999999998</v>
      </c>
      <c r="Z3267">
        <v>8.4982100000000005E-2</v>
      </c>
      <c r="AA3267">
        <v>0.88056819999999902</v>
      </c>
      <c r="AB3267">
        <v>26</v>
      </c>
      <c r="AC3267">
        <v>0.67789999999996498</v>
      </c>
      <c r="AD3267">
        <v>-8.3806999999999895E-2</v>
      </c>
      <c r="AE3267">
        <v>-0.15355000000000199</v>
      </c>
      <c r="AF3267">
        <v>-0.41032769505052502</v>
      </c>
      <c r="AG3267">
        <v>-8.3806999999999895E-2</v>
      </c>
      <c r="AH3267">
        <v>0.54864420318460305</v>
      </c>
      <c r="AI3267">
        <v>96.9741082351632</v>
      </c>
      <c r="AJ3267">
        <v>126.79259315761701</v>
      </c>
      <c r="AK3267">
        <v>0.69021945224873604</v>
      </c>
      <c r="AL3267">
        <v>86.8856346434209</v>
      </c>
      <c r="AM3267">
        <v>110.849609133431</v>
      </c>
      <c r="AN3267">
        <v>1.00000005222126</v>
      </c>
    </row>
    <row r="3268" spans="1:40" x14ac:dyDescent="0.3">
      <c r="A3268" t="str">
        <f>"20200111153943194"</f>
        <v>20200111153943194</v>
      </c>
      <c r="B3268" t="str">
        <f>"1578728383184442"</f>
        <v>1578728383184442</v>
      </c>
      <c r="C3268" t="s">
        <v>40</v>
      </c>
      <c r="D3268">
        <v>5.3241250000000004</v>
      </c>
      <c r="E3268">
        <v>0.44465130000000003</v>
      </c>
      <c r="F3268" t="s">
        <v>41</v>
      </c>
      <c r="G3268">
        <v>-416.37939999999998</v>
      </c>
      <c r="H3268">
        <v>1.0340579999999999</v>
      </c>
      <c r="I3268">
        <v>24.141770000000001</v>
      </c>
      <c r="J3268">
        <v>-417.02539999999999</v>
      </c>
      <c r="K3268">
        <v>1.1166590000000001</v>
      </c>
      <c r="L3268">
        <v>24.267430000000001</v>
      </c>
      <c r="M3268">
        <v>0.66139999999999999</v>
      </c>
      <c r="N3268">
        <v>0</v>
      </c>
      <c r="O3268">
        <v>-0.74977150000000004</v>
      </c>
      <c r="P3268">
        <v>0.88158840000000005</v>
      </c>
      <c r="Q3268">
        <v>4.5251909999999999E-2</v>
      </c>
      <c r="R3268">
        <v>-0.46984510000000002</v>
      </c>
      <c r="S3268">
        <v>2.8466490000000002</v>
      </c>
      <c r="T3268">
        <v>-0.28419800000000001</v>
      </c>
      <c r="U3268">
        <v>-1.084473</v>
      </c>
      <c r="V3268">
        <v>-0.35188309999999901</v>
      </c>
      <c r="W3268">
        <v>5.4398200000000001E-2</v>
      </c>
      <c r="X3268">
        <v>0.93446189999999996</v>
      </c>
      <c r="Y3268">
        <v>-0.4609917</v>
      </c>
      <c r="Z3268">
        <v>8.4793090000000002E-2</v>
      </c>
      <c r="AA3268">
        <v>0.88334409999999897</v>
      </c>
      <c r="AB3268">
        <v>26</v>
      </c>
      <c r="AC3268">
        <v>0.64600000000001501</v>
      </c>
      <c r="AD3268">
        <v>-8.2601000000000105E-2</v>
      </c>
      <c r="AE3268">
        <v>-0.125659999999996</v>
      </c>
      <c r="AF3268">
        <v>-0.39509555711901201</v>
      </c>
      <c r="AG3268">
        <v>-8.2601000000000105E-2</v>
      </c>
      <c r="AH3268">
        <v>0.51349381483011902</v>
      </c>
      <c r="AI3268">
        <v>97.265447568146499</v>
      </c>
      <c r="AJ3268">
        <v>127.575623504269</v>
      </c>
      <c r="AK3268">
        <v>0.65314571293469503</v>
      </c>
      <c r="AL3268">
        <v>86.881673374947795</v>
      </c>
      <c r="AM3268">
        <v>110.634481006638</v>
      </c>
      <c r="AN3268">
        <v>0.99999996139022895</v>
      </c>
    </row>
    <row r="3269" spans="1:40" x14ac:dyDescent="0.3">
      <c r="A3269" t="str">
        <f>"20200111153943215"</f>
        <v>20200111153943215</v>
      </c>
      <c r="B3269" t="str">
        <f>"1578728383203962"</f>
        <v>1578728383203962</v>
      </c>
      <c r="C3269" t="s">
        <v>40</v>
      </c>
      <c r="D3269">
        <v>5.2603119999999999</v>
      </c>
      <c r="E3269">
        <v>0.4451657</v>
      </c>
      <c r="F3269" t="s">
        <v>41</v>
      </c>
      <c r="G3269">
        <v>-416.1617</v>
      </c>
      <c r="H3269">
        <v>1.0305120000000001</v>
      </c>
      <c r="I3269">
        <v>23.95083</v>
      </c>
      <c r="J3269">
        <v>-416.8623</v>
      </c>
      <c r="K3269">
        <v>1.1167370000000001</v>
      </c>
      <c r="L3269">
        <v>24.105260000000001</v>
      </c>
      <c r="M3269">
        <v>0.67359230000000003</v>
      </c>
      <c r="N3269">
        <v>0</v>
      </c>
      <c r="O3269">
        <v>-0.73882519999999996</v>
      </c>
      <c r="P3269">
        <v>0.88693359999999899</v>
      </c>
      <c r="Q3269">
        <v>4.4274290000000001E-2</v>
      </c>
      <c r="R3269">
        <v>-0.45977020000000002</v>
      </c>
      <c r="S3269">
        <v>2.8589169999999999</v>
      </c>
      <c r="T3269">
        <v>-0.28517930000000002</v>
      </c>
      <c r="U3269">
        <v>-1.0482479999999901</v>
      </c>
      <c r="V3269">
        <v>-0.34723939999999998</v>
      </c>
      <c r="W3269">
        <v>5.3947780000000001E-2</v>
      </c>
      <c r="X3269">
        <v>0.93622349999999999</v>
      </c>
      <c r="Y3269">
        <v>-0.45756780000000002</v>
      </c>
      <c r="Z3269">
        <v>8.4248429999999999E-2</v>
      </c>
      <c r="AA3269">
        <v>0.88517449999999998</v>
      </c>
      <c r="AB3269">
        <v>26</v>
      </c>
      <c r="AC3269">
        <v>0.70060000000000799</v>
      </c>
      <c r="AD3269">
        <v>-8.6224999999999996E-2</v>
      </c>
      <c r="AE3269">
        <v>-0.15443000000000101</v>
      </c>
      <c r="AF3269">
        <v>-0.40779242679844402</v>
      </c>
      <c r="AG3269">
        <v>-8.6224999999999996E-2</v>
      </c>
      <c r="AH3269">
        <v>0.57778967878720999</v>
      </c>
      <c r="AI3269">
        <v>96.951422759992099</v>
      </c>
      <c r="AJ3269">
        <v>125.213680477838</v>
      </c>
      <c r="AK3269">
        <v>0.71243970053064298</v>
      </c>
      <c r="AL3269">
        <v>86.907518621582895</v>
      </c>
      <c r="AM3269">
        <v>110.34950006645801</v>
      </c>
      <c r="AN3269">
        <v>1.0000000029157601</v>
      </c>
    </row>
    <row r="3270" spans="1:40" x14ac:dyDescent="0.3">
      <c r="A3270" t="str">
        <f>"20200111153943238"</f>
        <v>20200111153943238</v>
      </c>
      <c r="B3270" t="str">
        <f>"1578728383234219"</f>
        <v>1578728383234219</v>
      </c>
      <c r="C3270" t="s">
        <v>40</v>
      </c>
      <c r="D3270">
        <v>5.242076</v>
      </c>
      <c r="E3270">
        <v>0.4459012</v>
      </c>
      <c r="F3270" t="s">
        <v>41</v>
      </c>
      <c r="G3270">
        <v>-415.8698</v>
      </c>
      <c r="H3270">
        <v>1.018275</v>
      </c>
      <c r="I3270">
        <v>23.753319999999999</v>
      </c>
      <c r="J3270">
        <v>-416.67970000000003</v>
      </c>
      <c r="K3270">
        <v>1.117238</v>
      </c>
      <c r="L3270">
        <v>23.93121</v>
      </c>
      <c r="M3270">
        <v>0.6871254</v>
      </c>
      <c r="N3270">
        <v>0</v>
      </c>
      <c r="O3270">
        <v>-0.72626429999999997</v>
      </c>
      <c r="P3270">
        <v>0.89317230000000003</v>
      </c>
      <c r="Q3270">
        <v>4.6072639999999998E-2</v>
      </c>
      <c r="R3270">
        <v>-0.44734859999999999</v>
      </c>
      <c r="S3270">
        <v>2.8690190000000002</v>
      </c>
      <c r="T3270">
        <v>-0.28465469999999998</v>
      </c>
      <c r="U3270">
        <v>-1.0178830000000001</v>
      </c>
      <c r="V3270">
        <v>-0.3430781</v>
      </c>
      <c r="W3270">
        <v>5.5018119999999997E-2</v>
      </c>
      <c r="X3270">
        <v>0.93769429999999998</v>
      </c>
      <c r="Y3270">
        <v>-0.45053490000000002</v>
      </c>
      <c r="Z3270">
        <v>8.298548E-2</v>
      </c>
      <c r="AA3270">
        <v>0.8888935</v>
      </c>
      <c r="AB3270">
        <v>25</v>
      </c>
      <c r="AC3270">
        <v>0.80990000000002704</v>
      </c>
      <c r="AD3270">
        <v>-9.8962999999999898E-2</v>
      </c>
      <c r="AE3270">
        <v>-0.17788999999999699</v>
      </c>
      <c r="AF3270">
        <v>-0.45951649053992499</v>
      </c>
      <c r="AG3270">
        <v>-9.8962999999999898E-2</v>
      </c>
      <c r="AH3270">
        <v>0.67620321653557602</v>
      </c>
      <c r="AI3270">
        <v>96.901880958879204</v>
      </c>
      <c r="AJ3270">
        <v>124.198218169279</v>
      </c>
      <c r="AK3270">
        <v>0.82352891297160202</v>
      </c>
      <c r="AL3270">
        <v>86.846101700642706</v>
      </c>
      <c r="AM3270">
        <v>110.096266394026</v>
      </c>
      <c r="AN3270">
        <v>1.00000008824021</v>
      </c>
    </row>
    <row r="3271" spans="1:40" x14ac:dyDescent="0.3">
      <c r="A3271" t="str">
        <f>"20200111153943259"</f>
        <v>20200111153943259</v>
      </c>
      <c r="B3271" t="str">
        <f>"1578728383253739"</f>
        <v>1578728383253739</v>
      </c>
      <c r="C3271" t="s">
        <v>40</v>
      </c>
      <c r="D3271">
        <v>5.2539569999999998</v>
      </c>
      <c r="E3271">
        <v>0.44646659999999999</v>
      </c>
      <c r="F3271" t="s">
        <v>41</v>
      </c>
      <c r="G3271">
        <v>-415.7131</v>
      </c>
      <c r="H3271">
        <v>1.023074</v>
      </c>
      <c r="I3271">
        <v>23.601469999999999</v>
      </c>
      <c r="J3271">
        <v>-416.50150000000002</v>
      </c>
      <c r="K3271">
        <v>1.1177870000000001</v>
      </c>
      <c r="L3271">
        <v>23.768460000000001</v>
      </c>
      <c r="M3271">
        <v>0.69940760000000002</v>
      </c>
      <c r="N3271">
        <v>0</v>
      </c>
      <c r="O3271">
        <v>-0.71445190000000003</v>
      </c>
      <c r="P3271">
        <v>0.89942049999999996</v>
      </c>
      <c r="Q3271">
        <v>4.8535130000000003E-2</v>
      </c>
      <c r="R3271">
        <v>-0.43438169999999998</v>
      </c>
      <c r="S3271">
        <v>2.8812259999999998</v>
      </c>
      <c r="T3271">
        <v>-0.28063139999999998</v>
      </c>
      <c r="U3271">
        <v>-0.9824524</v>
      </c>
      <c r="V3271">
        <v>-0.34072720000000001</v>
      </c>
      <c r="W3271">
        <v>5.6710620000000003E-2</v>
      </c>
      <c r="X3271">
        <v>0.93845029999999996</v>
      </c>
      <c r="Y3271">
        <v>-0.44645010000000002</v>
      </c>
      <c r="Z3271">
        <v>8.0851820000000005E-2</v>
      </c>
      <c r="AA3271">
        <v>0.8911483</v>
      </c>
      <c r="AB3271">
        <v>26</v>
      </c>
      <c r="AC3271">
        <v>0.78840000000002397</v>
      </c>
      <c r="AD3271">
        <v>-9.4713000000000006E-2</v>
      </c>
      <c r="AE3271">
        <v>-0.166989999999998</v>
      </c>
      <c r="AF3271">
        <v>-0.44048224980492601</v>
      </c>
      <c r="AG3271">
        <v>-9.4713000000000006E-2</v>
      </c>
      <c r="AH3271">
        <v>0.66170951786838395</v>
      </c>
      <c r="AI3271">
        <v>96.794709443890696</v>
      </c>
      <c r="AJ3271">
        <v>123.65063975363999</v>
      </c>
      <c r="AK3271">
        <v>0.80053397854171005</v>
      </c>
      <c r="AL3271">
        <v>86.748976768218</v>
      </c>
      <c r="AM3271">
        <v>109.95465931941</v>
      </c>
      <c r="AN3271">
        <v>1.0000000424053499</v>
      </c>
    </row>
    <row r="3272" spans="1:40" x14ac:dyDescent="0.3">
      <c r="A3272" t="str">
        <f>"20200111153943283"</f>
        <v>20200111153943283</v>
      </c>
      <c r="B3272" t="str">
        <f>"1578728383274234"</f>
        <v>1578728383274234</v>
      </c>
      <c r="C3272" t="s">
        <v>40</v>
      </c>
      <c r="D3272">
        <v>5.3149699999999998</v>
      </c>
      <c r="E3272">
        <v>0.44669609999999899</v>
      </c>
      <c r="F3272" t="s">
        <v>41</v>
      </c>
      <c r="G3272">
        <v>-415.5505</v>
      </c>
      <c r="H3272">
        <v>1.0277259999999999</v>
      </c>
      <c r="I3272">
        <v>23.45768</v>
      </c>
      <c r="J3272">
        <v>-416.30500000000001</v>
      </c>
      <c r="K3272">
        <v>1.1181669999999999</v>
      </c>
      <c r="L3272">
        <v>23.596889999999998</v>
      </c>
      <c r="M3272">
        <v>0.71225699999999903</v>
      </c>
      <c r="N3272">
        <v>0</v>
      </c>
      <c r="O3272">
        <v>-0.70164879999999996</v>
      </c>
      <c r="P3272">
        <v>0.90649590000000002</v>
      </c>
      <c r="Q3272">
        <v>5.0961199999999998E-2</v>
      </c>
      <c r="R3272">
        <v>-0.41912820000000001</v>
      </c>
      <c r="S3272">
        <v>2.8938290000000002</v>
      </c>
      <c r="T3272">
        <v>-0.27398060000000002</v>
      </c>
      <c r="U3272">
        <v>-0.94506840000000003</v>
      </c>
      <c r="V3272">
        <v>-0.33959529999999999</v>
      </c>
      <c r="W3272">
        <v>5.8559100000000003E-2</v>
      </c>
      <c r="X3272">
        <v>0.938747</v>
      </c>
      <c r="Y3272">
        <v>-0.44203049999999999</v>
      </c>
      <c r="Z3272">
        <v>7.7900810000000001E-2</v>
      </c>
      <c r="AA3272">
        <v>0.89361100000000004</v>
      </c>
      <c r="AB3272">
        <v>26</v>
      </c>
      <c r="AC3272">
        <v>0.75450000000000705</v>
      </c>
      <c r="AD3272">
        <v>-9.0440999999999994E-2</v>
      </c>
      <c r="AE3272">
        <v>-0.139209999999998</v>
      </c>
      <c r="AF3272">
        <v>-0.424424672857385</v>
      </c>
      <c r="AG3272">
        <v>-9.0440999999999994E-2</v>
      </c>
      <c r="AH3272">
        <v>0.62648941752804999</v>
      </c>
      <c r="AI3272">
        <v>96.815497194711398</v>
      </c>
      <c r="AJ3272">
        <v>124.116266775352</v>
      </c>
      <c r="AK3272">
        <v>0.76210554891414795</v>
      </c>
      <c r="AL3272">
        <v>86.642890278943696</v>
      </c>
      <c r="AM3272">
        <v>109.887783454876</v>
      </c>
      <c r="AN3272">
        <v>1.0000000329919401</v>
      </c>
    </row>
    <row r="3273" spans="1:40" x14ac:dyDescent="0.3">
      <c r="A3273" t="str">
        <f>"20200111153943304"</f>
        <v>20200111153943304</v>
      </c>
      <c r="B3273" t="str">
        <f>"1578728383293758"</f>
        <v>1578728383293758</v>
      </c>
      <c r="C3273" t="s">
        <v>40</v>
      </c>
      <c r="D3273">
        <v>5.3218489999999896</v>
      </c>
      <c r="E3273">
        <v>0.44426070000000001</v>
      </c>
      <c r="F3273" t="s">
        <v>41</v>
      </c>
      <c r="G3273">
        <v>-415.38679999999999</v>
      </c>
      <c r="H3273">
        <v>1.0336339999999999</v>
      </c>
      <c r="I3273">
        <v>23.313009999999998</v>
      </c>
      <c r="J3273">
        <v>-416.11869999999999</v>
      </c>
      <c r="K3273">
        <v>1.1182570000000001</v>
      </c>
      <c r="L3273">
        <v>23.440829999999998</v>
      </c>
      <c r="M3273">
        <v>0.72425909999999905</v>
      </c>
      <c r="N3273">
        <v>0</v>
      </c>
      <c r="O3273">
        <v>-0.68926100000000001</v>
      </c>
      <c r="P3273">
        <v>0.91317429999999999</v>
      </c>
      <c r="Q3273">
        <v>5.036918E-2</v>
      </c>
      <c r="R3273">
        <v>-0.40444530000000001</v>
      </c>
      <c r="S3273">
        <v>2.9089049999999999</v>
      </c>
      <c r="T3273">
        <v>-0.26775339999999997</v>
      </c>
      <c r="U3273">
        <v>-0.8989258</v>
      </c>
      <c r="V3273">
        <v>-0.33857100000000001</v>
      </c>
      <c r="W3273">
        <v>5.7598000000000003E-2</v>
      </c>
      <c r="X3273">
        <v>0.93917629999999996</v>
      </c>
      <c r="Y3273">
        <v>-0.44104339999999997</v>
      </c>
      <c r="Z3273">
        <v>7.5253120000000007E-2</v>
      </c>
      <c r="AA3273">
        <v>0.89432529999999999</v>
      </c>
      <c r="AB3273">
        <v>25</v>
      </c>
      <c r="AC3273">
        <v>0.731899999999996</v>
      </c>
      <c r="AD3273">
        <v>-8.4623000000000101E-2</v>
      </c>
      <c r="AE3273">
        <v>-0.12781999999999599</v>
      </c>
      <c r="AF3273">
        <v>-0.40669526693934799</v>
      </c>
      <c r="AG3273">
        <v>-8.4623000000000101E-2</v>
      </c>
      <c r="AH3273">
        <v>0.61038214745333397</v>
      </c>
      <c r="AI3273">
        <v>96.581381769806697</v>
      </c>
      <c r="AJ3273">
        <v>123.675367468011</v>
      </c>
      <c r="AK3273">
        <v>0.73832815076333802</v>
      </c>
      <c r="AL3273">
        <v>86.698050210454696</v>
      </c>
      <c r="AM3273">
        <v>109.824122393105</v>
      </c>
      <c r="AN3273">
        <v>0.99999998706334403</v>
      </c>
    </row>
    <row r="3274" spans="1:40" x14ac:dyDescent="0.3">
      <c r="A3274" t="str">
        <f>"20200111153943325"</f>
        <v>20200111153943325</v>
      </c>
      <c r="B3274" t="str">
        <f>"1578728383314254"</f>
        <v>1578728383314254</v>
      </c>
      <c r="C3274" t="s">
        <v>40</v>
      </c>
      <c r="D3274">
        <v>5.4331800000000001</v>
      </c>
      <c r="E3274">
        <v>0.44318279999999899</v>
      </c>
      <c r="F3274" t="s">
        <v>41</v>
      </c>
      <c r="G3274">
        <v>-415.21480000000003</v>
      </c>
      <c r="H3274">
        <v>1.034168</v>
      </c>
      <c r="I3274">
        <v>23.183219999999999</v>
      </c>
      <c r="J3274">
        <v>-415.9366</v>
      </c>
      <c r="K3274">
        <v>1.1181399999999999</v>
      </c>
      <c r="L3274">
        <v>23.29391</v>
      </c>
      <c r="M3274">
        <v>0.73591340000000005</v>
      </c>
      <c r="N3274">
        <v>0</v>
      </c>
      <c r="O3274">
        <v>-0.67681219999999997</v>
      </c>
      <c r="P3274">
        <v>0.91911860000000001</v>
      </c>
      <c r="Q3274">
        <v>4.7908890000000003E-2</v>
      </c>
      <c r="R3274">
        <v>-0.3910573</v>
      </c>
      <c r="S3274">
        <v>2.9306030000000001</v>
      </c>
      <c r="T3274">
        <v>-0.27258830000000001</v>
      </c>
      <c r="U3274">
        <v>-0.83462519999999996</v>
      </c>
      <c r="V3274">
        <v>-0.33627269999999998</v>
      </c>
      <c r="W3274">
        <v>5.4977169999999999E-2</v>
      </c>
      <c r="X3274">
        <v>0.94015859999999996</v>
      </c>
      <c r="Y3274">
        <v>-0.4455578</v>
      </c>
      <c r="Z3274">
        <v>7.5851089999999996E-2</v>
      </c>
      <c r="AA3274">
        <v>0.89203410000000005</v>
      </c>
      <c r="AB3274">
        <v>25</v>
      </c>
      <c r="AC3274">
        <v>0.72179999999997302</v>
      </c>
      <c r="AD3274">
        <v>-8.3971999999999894E-2</v>
      </c>
      <c r="AE3274">
        <v>-0.110689999999998</v>
      </c>
      <c r="AF3274">
        <v>-0.40182397130820002</v>
      </c>
      <c r="AG3274">
        <v>-8.3971999999999894E-2</v>
      </c>
      <c r="AH3274">
        <v>0.59829532126583695</v>
      </c>
      <c r="AI3274">
        <v>96.645751773068895</v>
      </c>
      <c r="AJ3274">
        <v>123.88589232737699</v>
      </c>
      <c r="AK3274">
        <v>0.72558327719875404</v>
      </c>
      <c r="AL3274">
        <v>86.848451258292201</v>
      </c>
      <c r="AM3274">
        <v>109.680939569009</v>
      </c>
      <c r="AN3274">
        <v>1.0000000055702201</v>
      </c>
    </row>
    <row r="3275" spans="1:40" x14ac:dyDescent="0.3">
      <c r="A3275" t="str">
        <f>"20200111153943350"</f>
        <v>20200111153943350</v>
      </c>
      <c r="B3275" t="str">
        <f>"1578728383344507"</f>
        <v>1578728383344507</v>
      </c>
      <c r="C3275" t="s">
        <v>40</v>
      </c>
      <c r="D3275">
        <v>5.3106090000000004</v>
      </c>
      <c r="E3275">
        <v>0.4428416</v>
      </c>
      <c r="F3275" t="s">
        <v>41</v>
      </c>
      <c r="G3275">
        <v>-415.02789999999999</v>
      </c>
      <c r="H3275">
        <v>1.0323370000000001</v>
      </c>
      <c r="I3275">
        <v>23.052070000000001</v>
      </c>
      <c r="J3275">
        <v>-415.73520000000002</v>
      </c>
      <c r="K3275">
        <v>1.117891</v>
      </c>
      <c r="L3275">
        <v>23.137360000000001</v>
      </c>
      <c r="M3275">
        <v>0.74859149999999997</v>
      </c>
      <c r="N3275">
        <v>0</v>
      </c>
      <c r="O3275">
        <v>-0.66277069999999905</v>
      </c>
      <c r="P3275">
        <v>0.92524669999999998</v>
      </c>
      <c r="Q3275">
        <v>4.5505499999999997E-2</v>
      </c>
      <c r="R3275">
        <v>-0.37662669999999998</v>
      </c>
      <c r="S3275">
        <v>2.9453429999999998</v>
      </c>
      <c r="T3275">
        <v>-0.278028</v>
      </c>
      <c r="U3275">
        <v>-0.7829895</v>
      </c>
      <c r="V3275">
        <v>-0.33316319999999999</v>
      </c>
      <c r="W3275">
        <v>5.257452E-2</v>
      </c>
      <c r="X3275">
        <v>0.94140230000000003</v>
      </c>
      <c r="Y3275">
        <v>-0.44425490000000001</v>
      </c>
      <c r="Z3275">
        <v>7.6288239999999993E-2</v>
      </c>
      <c r="AA3275">
        <v>0.89264650000000001</v>
      </c>
      <c r="AB3275">
        <v>25</v>
      </c>
      <c r="AC3275">
        <v>0.70730000000003201</v>
      </c>
      <c r="AD3275">
        <v>-8.5553999999999894E-2</v>
      </c>
      <c r="AE3275">
        <v>-8.5290000000000504E-2</v>
      </c>
      <c r="AF3275">
        <v>-0.39924277893447802</v>
      </c>
      <c r="AG3275">
        <v>-8.5553999999999894E-2</v>
      </c>
      <c r="AH3275">
        <v>0.57777555478190601</v>
      </c>
      <c r="AI3275">
        <v>96.945575397769801</v>
      </c>
      <c r="AJ3275">
        <v>124.644464372453</v>
      </c>
      <c r="AK3275">
        <v>0.70748772084811795</v>
      </c>
      <c r="AL3275">
        <v>86.986312592959294</v>
      </c>
      <c r="AM3275">
        <v>109.488921470398</v>
      </c>
      <c r="AN3275">
        <v>1.0000000442163699</v>
      </c>
    </row>
    <row r="3276" spans="1:40" x14ac:dyDescent="0.3">
      <c r="A3276" t="str">
        <f>"20200111153943372"</f>
        <v>20200111153943372</v>
      </c>
      <c r="B3276" t="str">
        <f>"1578728383364027"</f>
        <v>1578728383364027</v>
      </c>
      <c r="C3276" t="s">
        <v>40</v>
      </c>
      <c r="D3276">
        <v>5.3026819999999999</v>
      </c>
      <c r="E3276">
        <v>0.44252160000000001</v>
      </c>
      <c r="F3276" t="s">
        <v>41</v>
      </c>
      <c r="G3276">
        <v>-414.80680000000001</v>
      </c>
      <c r="H3276">
        <v>1.029582</v>
      </c>
      <c r="I3276">
        <v>22.907360000000001</v>
      </c>
      <c r="J3276">
        <v>-415.53230000000002</v>
      </c>
      <c r="K3276">
        <v>1.117607</v>
      </c>
      <c r="L3276">
        <v>22.985289999999999</v>
      </c>
      <c r="M3276">
        <v>0.761015</v>
      </c>
      <c r="N3276">
        <v>0</v>
      </c>
      <c r="O3276">
        <v>-0.64847500000000002</v>
      </c>
      <c r="P3276">
        <v>0.93081860000000005</v>
      </c>
      <c r="Q3276">
        <v>4.4863800000000002E-2</v>
      </c>
      <c r="R3276">
        <v>-0.36271759999999997</v>
      </c>
      <c r="S3276">
        <v>2.957916</v>
      </c>
      <c r="T3276">
        <v>-0.28136909999999998</v>
      </c>
      <c r="U3276">
        <v>-0.73281859999999999</v>
      </c>
      <c r="V3276">
        <v>-0.32939610000000002</v>
      </c>
      <c r="W3276">
        <v>5.2031670000000002E-2</v>
      </c>
      <c r="X3276">
        <v>0.94275710000000001</v>
      </c>
      <c r="Y3276">
        <v>-0.4424149</v>
      </c>
      <c r="Z3276">
        <v>7.6086180000000003E-2</v>
      </c>
      <c r="AA3276">
        <v>0.89357699999999995</v>
      </c>
      <c r="AB3276">
        <v>25</v>
      </c>
      <c r="AC3276">
        <v>0.72550000000001003</v>
      </c>
      <c r="AD3276">
        <v>-8.8025000000000006E-2</v>
      </c>
      <c r="AE3276">
        <v>-7.79299999999985E-2</v>
      </c>
      <c r="AF3276">
        <v>-0.405333032098743</v>
      </c>
      <c r="AG3276">
        <v>-8.8025000000000006E-2</v>
      </c>
      <c r="AH3276">
        <v>0.59410732130987798</v>
      </c>
      <c r="AI3276">
        <v>96.977828768545606</v>
      </c>
      <c r="AJ3276">
        <v>124.30398127807101</v>
      </c>
      <c r="AK3276">
        <v>0.72457351370951995</v>
      </c>
      <c r="AL3276">
        <v>87.017458156488402</v>
      </c>
      <c r="AM3276">
        <v>109.259239699858</v>
      </c>
      <c r="AN3276">
        <v>1.0000000174893</v>
      </c>
    </row>
    <row r="3277" spans="1:40" x14ac:dyDescent="0.3">
      <c r="A3277" t="str">
        <f>"20200111153943394"</f>
        <v>20200111153943394</v>
      </c>
      <c r="B3277" t="str">
        <f>"1578728383384522"</f>
        <v>1578728383384522</v>
      </c>
      <c r="C3277" t="s">
        <v>40</v>
      </c>
      <c r="D3277">
        <v>5.2673699999999997</v>
      </c>
      <c r="E3277">
        <v>0.44239339999999999</v>
      </c>
      <c r="F3277" t="s">
        <v>66</v>
      </c>
      <c r="G3277">
        <v>-403.8408</v>
      </c>
      <c r="H3277" s="1">
        <v>-4.4724450000000003E-6</v>
      </c>
      <c r="I3277">
        <v>20.286740000000002</v>
      </c>
      <c r="J3277">
        <v>-415.33370000000002</v>
      </c>
      <c r="K3277">
        <v>1.1173649999999999</v>
      </c>
      <c r="L3277">
        <v>22.841919999999998</v>
      </c>
      <c r="M3277">
        <v>0.77272479999999999</v>
      </c>
      <c r="N3277">
        <v>0</v>
      </c>
      <c r="O3277">
        <v>-0.63448300000000002</v>
      </c>
      <c r="P3277">
        <v>0.935693</v>
      </c>
      <c r="Q3277">
        <v>4.5845990000000003E-2</v>
      </c>
      <c r="R3277">
        <v>-0.34982390000000002</v>
      </c>
      <c r="S3277">
        <v>2.9696039999999999</v>
      </c>
      <c r="T3277">
        <v>-0.28387000000000001</v>
      </c>
      <c r="U3277">
        <v>-0.68542479999999995</v>
      </c>
      <c r="V3277">
        <v>-0.32517489999999999</v>
      </c>
      <c r="W3277">
        <v>5.3126890000000003E-2</v>
      </c>
      <c r="X3277">
        <v>0.94416040000000001</v>
      </c>
      <c r="Y3277">
        <v>-0.44036989999999998</v>
      </c>
      <c r="Z3277">
        <v>7.5620530000000005E-2</v>
      </c>
      <c r="AA3277">
        <v>0.89462609999999998</v>
      </c>
      <c r="AB3277">
        <v>25</v>
      </c>
      <c r="AC3277">
        <v>11.492900000000001</v>
      </c>
      <c r="AD3277">
        <v>-1.1173694724449901</v>
      </c>
      <c r="AE3277">
        <v>-2.55518</v>
      </c>
      <c r="AF3277">
        <v>-5.2709942769895104</v>
      </c>
      <c r="AG3277">
        <v>-1.1173694724449901</v>
      </c>
      <c r="AH3277">
        <v>10.4100250265125</v>
      </c>
      <c r="AI3277">
        <v>95.469972844060393</v>
      </c>
      <c r="AJ3277">
        <v>116.85483983427</v>
      </c>
      <c r="AK3277">
        <v>11.721796631004301</v>
      </c>
      <c r="AL3277">
        <v>86.954619761903601</v>
      </c>
      <c r="AM3277">
        <v>109.00403641992099</v>
      </c>
      <c r="AN3277">
        <v>1.0000000214796201</v>
      </c>
    </row>
    <row r="3278" spans="1:40" x14ac:dyDescent="0.3">
      <c r="A3278" t="str">
        <f>"20200111153943417"</f>
        <v>20200111153943417</v>
      </c>
      <c r="B3278" t="str">
        <f>"1578728383404043"</f>
        <v>1578728383404043</v>
      </c>
      <c r="C3278" t="s">
        <v>40</v>
      </c>
      <c r="D3278">
        <v>5.2855970000000001</v>
      </c>
      <c r="E3278">
        <v>0.44235190000000002</v>
      </c>
      <c r="F3278" t="s">
        <v>66</v>
      </c>
      <c r="G3278">
        <v>-403.4366</v>
      </c>
      <c r="H3278" s="1">
        <v>-4.658725E-6</v>
      </c>
      <c r="I3278">
        <v>20.275480000000002</v>
      </c>
      <c r="J3278">
        <v>-415.13839999999999</v>
      </c>
      <c r="K3278">
        <v>1.117173</v>
      </c>
      <c r="L3278">
        <v>22.706240000000001</v>
      </c>
      <c r="M3278">
        <v>0.78374379999999999</v>
      </c>
      <c r="N3278">
        <v>0</v>
      </c>
      <c r="O3278">
        <v>-0.62082709999999997</v>
      </c>
      <c r="P3278">
        <v>0.94015439999999995</v>
      </c>
      <c r="Q3278">
        <v>4.8198650000000003E-2</v>
      </c>
      <c r="R3278">
        <v>-0.33732250000000003</v>
      </c>
      <c r="S3278">
        <v>2.9796140000000002</v>
      </c>
      <c r="T3278">
        <v>-0.27984350000000002</v>
      </c>
      <c r="U3278">
        <v>-0.64276119999999903</v>
      </c>
      <c r="V3278">
        <v>-0.32114860000000001</v>
      </c>
      <c r="W3278">
        <v>5.5562300000000002E-2</v>
      </c>
      <c r="X3278">
        <v>0.9453975</v>
      </c>
      <c r="Y3278">
        <v>-0.43767240000000002</v>
      </c>
      <c r="Z3278">
        <v>7.341367E-2</v>
      </c>
      <c r="AA3278">
        <v>0.89613240000000005</v>
      </c>
      <c r="AB3278">
        <v>25</v>
      </c>
      <c r="AC3278">
        <v>11.701799999999899</v>
      </c>
      <c r="AD3278">
        <v>-1.117177658725</v>
      </c>
      <c r="AE3278">
        <v>-2.4307599999999998</v>
      </c>
      <c r="AF3278">
        <v>-5.3141248134752104</v>
      </c>
      <c r="AG3278">
        <v>-1.117177658725</v>
      </c>
      <c r="AH3278">
        <v>10.589474107191601</v>
      </c>
      <c r="AI3278">
        <v>95.386602247546605</v>
      </c>
      <c r="AJ3278">
        <v>116.648909778225</v>
      </c>
      <c r="AK3278">
        <v>11.9006289884707</v>
      </c>
      <c r="AL3278">
        <v>86.8148744778848</v>
      </c>
      <c r="AM3278">
        <v>108.76246495802199</v>
      </c>
      <c r="AN3278">
        <v>1.0000000127347499</v>
      </c>
    </row>
    <row r="3279" spans="1:40" x14ac:dyDescent="0.3">
      <c r="A3279" t="str">
        <f>"20200111153943440"</f>
        <v>20200111153943440</v>
      </c>
      <c r="B3279" t="str">
        <f>"1578728383434299"</f>
        <v>1578728383434299</v>
      </c>
      <c r="C3279" t="s">
        <v>40</v>
      </c>
      <c r="D3279">
        <v>5.2327700000000004</v>
      </c>
      <c r="E3279">
        <v>0.44242589999999998</v>
      </c>
      <c r="F3279" t="s">
        <v>41</v>
      </c>
      <c r="G3279">
        <v>-414.13099999999997</v>
      </c>
      <c r="H3279">
        <v>1.0255829999999999</v>
      </c>
      <c r="I3279">
        <v>22.503039999999999</v>
      </c>
      <c r="J3279">
        <v>-414.92489999999998</v>
      </c>
      <c r="K3279">
        <v>1.116994</v>
      </c>
      <c r="L3279">
        <v>22.563320000000001</v>
      </c>
      <c r="M3279">
        <v>0.79524619999999901</v>
      </c>
      <c r="N3279">
        <v>0</v>
      </c>
      <c r="O3279">
        <v>-0.60603009999999902</v>
      </c>
      <c r="P3279">
        <v>0.94463059999999999</v>
      </c>
      <c r="Q3279">
        <v>5.0276580000000001E-2</v>
      </c>
      <c r="R3279">
        <v>-0.32426159999999998</v>
      </c>
      <c r="S3279">
        <v>2.9887079999999999</v>
      </c>
      <c r="T3279">
        <v>-0.27170660000000002</v>
      </c>
      <c r="U3279">
        <v>-0.60253909999999999</v>
      </c>
      <c r="V3279">
        <v>-0.3164862</v>
      </c>
      <c r="W3279">
        <v>5.7724150000000002E-2</v>
      </c>
      <c r="X3279">
        <v>0.94683919999999999</v>
      </c>
      <c r="Y3279">
        <v>-0.4332531</v>
      </c>
      <c r="Z3279">
        <v>7.001185E-2</v>
      </c>
      <c r="AA3279">
        <v>0.89854889999999998</v>
      </c>
      <c r="AB3279">
        <v>25</v>
      </c>
      <c r="AC3279">
        <v>0.79390000000000704</v>
      </c>
      <c r="AD3279">
        <v>-9.1411000000000103E-2</v>
      </c>
      <c r="AE3279">
        <v>-6.0280000000002297E-2</v>
      </c>
      <c r="AF3279">
        <v>-0.427620502101413</v>
      </c>
      <c r="AG3279">
        <v>-9.1411000000000103E-2</v>
      </c>
      <c r="AH3279">
        <v>0.65929081217086505</v>
      </c>
      <c r="AI3279">
        <v>96.635089824408396</v>
      </c>
      <c r="AJ3279">
        <v>122.96771608655401</v>
      </c>
      <c r="AK3279">
        <v>0.79112555245762595</v>
      </c>
      <c r="AL3279">
        <v>86.690810449241795</v>
      </c>
      <c r="AM3279">
        <v>108.482487736374</v>
      </c>
      <c r="AN3279">
        <v>1.00000003147015</v>
      </c>
    </row>
    <row r="3280" spans="1:40" x14ac:dyDescent="0.3">
      <c r="A3280" t="str">
        <f>"20200111153943462"</f>
        <v>20200111153943462</v>
      </c>
      <c r="B3280" t="str">
        <f>"1578728383453819"</f>
        <v>1578728383453819</v>
      </c>
      <c r="C3280" t="s">
        <v>40</v>
      </c>
      <c r="D3280">
        <v>5.2675510000000001</v>
      </c>
      <c r="E3280">
        <v>0.44260850000000002</v>
      </c>
      <c r="F3280" t="s">
        <v>41</v>
      </c>
      <c r="G3280">
        <v>-413.95249999999999</v>
      </c>
      <c r="H3280">
        <v>1.031444</v>
      </c>
      <c r="I3280">
        <v>22.381049999999998</v>
      </c>
      <c r="J3280">
        <v>-414.71679999999998</v>
      </c>
      <c r="K3280">
        <v>1.116851</v>
      </c>
      <c r="L3280">
        <v>22.429110000000001</v>
      </c>
      <c r="M3280">
        <v>0.80595399999999995</v>
      </c>
      <c r="N3280">
        <v>0</v>
      </c>
      <c r="O3280">
        <v>-0.59172179999999996</v>
      </c>
      <c r="P3280">
        <v>0.94849720000000004</v>
      </c>
      <c r="Q3280">
        <v>5.0931700000000003E-2</v>
      </c>
      <c r="R3280">
        <v>-0.31266490000000002</v>
      </c>
      <c r="S3280">
        <v>2.9972530000000002</v>
      </c>
      <c r="T3280">
        <v>-0.26363959999999997</v>
      </c>
      <c r="U3280">
        <v>-0.56109619999999905</v>
      </c>
      <c r="V3280">
        <v>-0.31112590000000001</v>
      </c>
      <c r="W3280">
        <v>5.8475810000000003E-2</v>
      </c>
      <c r="X3280">
        <v>0.94856799999999997</v>
      </c>
      <c r="Y3280">
        <v>-0.42990699999999998</v>
      </c>
      <c r="Z3280">
        <v>6.6773310000000002E-2</v>
      </c>
      <c r="AA3280">
        <v>0.9004006</v>
      </c>
      <c r="AB3280">
        <v>25</v>
      </c>
      <c r="AC3280">
        <v>0.76429999999999099</v>
      </c>
      <c r="AD3280">
        <v>-8.5406999999999997E-2</v>
      </c>
      <c r="AE3280">
        <v>-4.80600000000031E-2</v>
      </c>
      <c r="AF3280">
        <v>-0.40850070886106099</v>
      </c>
      <c r="AG3280">
        <v>-8.5406999999999997E-2</v>
      </c>
      <c r="AH3280">
        <v>0.63660855076288103</v>
      </c>
      <c r="AI3280">
        <v>96.442110731500804</v>
      </c>
      <c r="AJ3280">
        <v>122.687588221189</v>
      </c>
      <c r="AK3280">
        <v>0.76120800816426304</v>
      </c>
      <c r="AL3280">
        <v>86.647670519570497</v>
      </c>
      <c r="AM3280">
        <v>108.15925029311499</v>
      </c>
      <c r="AN3280">
        <v>0.99999999831498199</v>
      </c>
    </row>
    <row r="3281" spans="1:40" x14ac:dyDescent="0.3">
      <c r="A3281" t="str">
        <f>"20200111153943485"</f>
        <v>20200111153943485</v>
      </c>
      <c r="B3281" t="str">
        <f>"1578728383474314"</f>
        <v>1578728383474314</v>
      </c>
      <c r="C3281" t="s">
        <v>40</v>
      </c>
      <c r="D3281">
        <v>5.2535339999999904</v>
      </c>
      <c r="E3281">
        <v>0.442778</v>
      </c>
      <c r="F3281" t="s">
        <v>41</v>
      </c>
      <c r="G3281">
        <v>-413.71949999999998</v>
      </c>
      <c r="H3281">
        <v>1.0303880000000001</v>
      </c>
      <c r="I3281">
        <v>22.254840000000002</v>
      </c>
      <c r="J3281">
        <v>-414.50540000000001</v>
      </c>
      <c r="K3281">
        <v>1.116719</v>
      </c>
      <c r="L3281">
        <v>22.29776</v>
      </c>
      <c r="M3281">
        <v>0.81634189999999995</v>
      </c>
      <c r="N3281">
        <v>0</v>
      </c>
      <c r="O3281">
        <v>-0.57731219999999905</v>
      </c>
      <c r="P3281">
        <v>0.95211520000000005</v>
      </c>
      <c r="Q3281">
        <v>5.1443929999999999E-2</v>
      </c>
      <c r="R3281">
        <v>-0.30138039999999999</v>
      </c>
      <c r="S3281">
        <v>3.0037229999999999</v>
      </c>
      <c r="T3281">
        <v>-0.26043690000000003</v>
      </c>
      <c r="U3281">
        <v>-0.52526859999999997</v>
      </c>
      <c r="V3281">
        <v>-0.30550260000000001</v>
      </c>
      <c r="W3281">
        <v>5.9091299999999999E-2</v>
      </c>
      <c r="X3281">
        <v>0.95035590000000003</v>
      </c>
      <c r="Y3281">
        <v>-0.42477470000000001</v>
      </c>
      <c r="Z3281">
        <v>6.4731269999999994E-2</v>
      </c>
      <c r="AA3281">
        <v>0.9029819</v>
      </c>
      <c r="AB3281">
        <v>25</v>
      </c>
      <c r="AC3281">
        <v>0.78590000000002602</v>
      </c>
      <c r="AD3281">
        <v>-8.6331000000000102E-2</v>
      </c>
      <c r="AE3281">
        <v>-4.2920000000002199E-2</v>
      </c>
      <c r="AF3281">
        <v>-0.41375640340491898</v>
      </c>
      <c r="AG3281">
        <v>-8.6331000000000102E-2</v>
      </c>
      <c r="AH3281">
        <v>0.65851746042176196</v>
      </c>
      <c r="AI3281">
        <v>96.334245688713693</v>
      </c>
      <c r="AJ3281">
        <v>122.141762926288</v>
      </c>
      <c r="AK3281">
        <v>0.78249130896125696</v>
      </c>
      <c r="AL3281">
        <v>86.612344384878796</v>
      </c>
      <c r="AM3281">
        <v>107.820586155919</v>
      </c>
      <c r="AN3281">
        <v>0.99999997850362898</v>
      </c>
    </row>
    <row r="3282" spans="1:40" x14ac:dyDescent="0.3">
      <c r="A3282" t="str">
        <f>"20200111153943508"</f>
        <v>20200111153943508</v>
      </c>
      <c r="B3282" t="str">
        <f>"1578728383504570"</f>
        <v>1578728383504570</v>
      </c>
      <c r="C3282" t="s">
        <v>40</v>
      </c>
      <c r="D3282">
        <v>5.2458489999999998</v>
      </c>
      <c r="E3282">
        <v>0.44315900000000003</v>
      </c>
      <c r="F3282" t="s">
        <v>66</v>
      </c>
      <c r="G3282">
        <v>-401.52010000000001</v>
      </c>
      <c r="H3282" s="1">
        <v>-5.5346140000000003E-6</v>
      </c>
      <c r="I3282">
        <v>20.180810000000001</v>
      </c>
      <c r="J3282">
        <v>-414.29329999999999</v>
      </c>
      <c r="K3282">
        <v>1.1165940000000001</v>
      </c>
      <c r="L3282">
        <v>22.170870000000001</v>
      </c>
      <c r="M3282">
        <v>0.82627340000000005</v>
      </c>
      <c r="N3282">
        <v>0</v>
      </c>
      <c r="O3282">
        <v>-0.56301159999999995</v>
      </c>
      <c r="P3282">
        <v>0.95576859999999997</v>
      </c>
      <c r="Q3282">
        <v>5.4144900000000003E-2</v>
      </c>
      <c r="R3282">
        <v>-0.28909390000000001</v>
      </c>
      <c r="S3282">
        <v>3.0095209999999999</v>
      </c>
      <c r="T3282">
        <v>-0.2588165</v>
      </c>
      <c r="U3282">
        <v>-0.49063109999999999</v>
      </c>
      <c r="V3282">
        <v>-0.30115599999999998</v>
      </c>
      <c r="W3282">
        <v>6.1860449999999997E-2</v>
      </c>
      <c r="X3282">
        <v>0.95156629999999998</v>
      </c>
      <c r="Y3282">
        <v>-0.41952420000000001</v>
      </c>
      <c r="Z3282">
        <v>6.3095719999999994E-2</v>
      </c>
      <c r="AA3282">
        <v>0.90554869999999998</v>
      </c>
      <c r="AB3282">
        <v>25</v>
      </c>
      <c r="AC3282">
        <v>12.7731999999999</v>
      </c>
      <c r="AD3282">
        <v>-1.1165995346140001</v>
      </c>
      <c r="AE3282">
        <v>-1.9900599999999999</v>
      </c>
      <c r="AF3282">
        <v>-5.50684628670506</v>
      </c>
      <c r="AG3282">
        <v>-1.1165995346140001</v>
      </c>
      <c r="AH3282">
        <v>11.589808575711301</v>
      </c>
      <c r="AI3282">
        <v>94.973336663217196</v>
      </c>
      <c r="AJ3282">
        <v>115.414523204533</v>
      </c>
      <c r="AK3282">
        <v>12.8800548666428</v>
      </c>
      <c r="AL3282">
        <v>86.453392995918804</v>
      </c>
      <c r="AM3282">
        <v>107.561772987076</v>
      </c>
      <c r="AN3282">
        <v>1.0000000374529401</v>
      </c>
    </row>
    <row r="3283" spans="1:40" x14ac:dyDescent="0.3">
      <c r="A3283" t="str">
        <f>"20200111153943528"</f>
        <v>20200111153943528</v>
      </c>
      <c r="B3283" t="str">
        <f>"1578728383524091"</f>
        <v>1578728383524091</v>
      </c>
      <c r="C3283" t="s">
        <v>40</v>
      </c>
      <c r="D3283">
        <v>5.2459559999999996</v>
      </c>
      <c r="E3283">
        <v>0.44345299999999999</v>
      </c>
      <c r="F3283" t="s">
        <v>66</v>
      </c>
      <c r="G3283">
        <v>-400.89280000000002</v>
      </c>
      <c r="H3283" s="1">
        <v>-5.8209929999999999E-6</v>
      </c>
      <c r="I3283">
        <v>20.148060000000001</v>
      </c>
      <c r="J3283">
        <v>-414.09629999999999</v>
      </c>
      <c r="K3283">
        <v>1.1164559999999999</v>
      </c>
      <c r="L3283">
        <v>22.057220000000001</v>
      </c>
      <c r="M3283">
        <v>0.83506179999999997</v>
      </c>
      <c r="N3283">
        <v>0</v>
      </c>
      <c r="O3283">
        <v>-0.54989739999999998</v>
      </c>
      <c r="P3283">
        <v>0.95931659999999996</v>
      </c>
      <c r="Q3283">
        <v>5.6166939999999999E-2</v>
      </c>
      <c r="R3283">
        <v>-0.27668959999999998</v>
      </c>
      <c r="S3283">
        <v>3.0153810000000001</v>
      </c>
      <c r="T3283">
        <v>-0.25125639999999999</v>
      </c>
      <c r="U3283">
        <v>-0.45516970000000001</v>
      </c>
      <c r="V3283">
        <v>-0.29842170000000001</v>
      </c>
      <c r="W3283">
        <v>6.3918199999999994E-2</v>
      </c>
      <c r="X3283">
        <v>0.95229140000000001</v>
      </c>
      <c r="Y3283">
        <v>-0.41611589999999998</v>
      </c>
      <c r="Z3283">
        <v>6.0200110000000001E-2</v>
      </c>
      <c r="AA3283">
        <v>0.90731660000000003</v>
      </c>
      <c r="AB3283">
        <v>25</v>
      </c>
      <c r="AC3283">
        <v>13.203499999999901</v>
      </c>
      <c r="AD3283">
        <v>-1.116461820993</v>
      </c>
      <c r="AE3283">
        <v>-1.90915999999999</v>
      </c>
      <c r="AF3283">
        <v>-5.6276960395378399</v>
      </c>
      <c r="AG3283">
        <v>-1.116461820993</v>
      </c>
      <c r="AH3283">
        <v>11.993302914639401</v>
      </c>
      <c r="AI3283">
        <v>94.817150912641196</v>
      </c>
      <c r="AJ3283">
        <v>115.137685779774</v>
      </c>
      <c r="AK3283">
        <v>13.2949902035866</v>
      </c>
      <c r="AL3283">
        <v>86.335258528215604</v>
      </c>
      <c r="AM3283">
        <v>107.39954335447599</v>
      </c>
      <c r="AN3283">
        <v>0.99999997891804404</v>
      </c>
    </row>
    <row r="3284" spans="1:40" x14ac:dyDescent="0.3">
      <c r="A3284" t="str">
        <f>"20200111153943551"</f>
        <v>20200111153943551</v>
      </c>
      <c r="B3284" t="str">
        <f>"1578728383544588"</f>
        <v>1578728383544588</v>
      </c>
      <c r="C3284" t="s">
        <v>40</v>
      </c>
      <c r="D3284">
        <v>5.2504939999999998</v>
      </c>
      <c r="E3284">
        <v>0.44367269999999998</v>
      </c>
      <c r="F3284" t="s">
        <v>66</v>
      </c>
      <c r="G3284">
        <v>-400.41070000000002</v>
      </c>
      <c r="H3284" s="1">
        <v>-6.0473940000000002E-6</v>
      </c>
      <c r="I3284">
        <v>20.15849</v>
      </c>
      <c r="J3284">
        <v>-413.87909999999999</v>
      </c>
      <c r="K3284">
        <v>1.1162609999999999</v>
      </c>
      <c r="L3284">
        <v>21.936250000000001</v>
      </c>
      <c r="M3284">
        <v>0.84427369999999902</v>
      </c>
      <c r="N3284">
        <v>0</v>
      </c>
      <c r="O3284">
        <v>-0.53565220000000002</v>
      </c>
      <c r="P3284">
        <v>0.96319900000000003</v>
      </c>
      <c r="Q3284">
        <v>5.6618189999999999E-2</v>
      </c>
      <c r="R3284">
        <v>-0.26275929999999997</v>
      </c>
      <c r="S3284">
        <v>3.0207519999999999</v>
      </c>
      <c r="T3284">
        <v>-0.24643139999999999</v>
      </c>
      <c r="U3284">
        <v>-0.41909790000000002</v>
      </c>
      <c r="V3284">
        <v>-0.29602679999999998</v>
      </c>
      <c r="W3284">
        <v>6.4416920000000003E-2</v>
      </c>
      <c r="X3284">
        <v>0.95300499999999999</v>
      </c>
      <c r="Y3284">
        <v>-0.41171930000000001</v>
      </c>
      <c r="Z3284">
        <v>5.7886800000000002E-2</v>
      </c>
      <c r="AA3284">
        <v>0.90947040000000001</v>
      </c>
      <c r="AB3284">
        <v>25</v>
      </c>
      <c r="AC3284">
        <v>13.4683999999999</v>
      </c>
      <c r="AD3284">
        <v>-1.116267047394</v>
      </c>
      <c r="AE3284">
        <v>-1.77776</v>
      </c>
      <c r="AF3284">
        <v>-5.6759369330784297</v>
      </c>
      <c r="AG3284">
        <v>-1.116267047394</v>
      </c>
      <c r="AH3284">
        <v>12.242339559161101</v>
      </c>
      <c r="AI3284">
        <v>94.728883657489106</v>
      </c>
      <c r="AJ3284">
        <v>114.873934874005</v>
      </c>
      <c r="AK3284">
        <v>13.5402064264612</v>
      </c>
      <c r="AL3284">
        <v>86.3066249258288</v>
      </c>
      <c r="AM3284">
        <v>107.25607993193501</v>
      </c>
      <c r="AN3284">
        <v>0.99999996796276203</v>
      </c>
    </row>
    <row r="3285" spans="1:40" x14ac:dyDescent="0.3">
      <c r="A3285" t="str">
        <f>"20200111153943573"</f>
        <v>20200111153943573</v>
      </c>
      <c r="B3285" t="str">
        <f>"1578728383564106"</f>
        <v>1578728383564106</v>
      </c>
      <c r="C3285" t="s">
        <v>40</v>
      </c>
      <c r="D3285">
        <v>5.2444309999999996</v>
      </c>
      <c r="E3285">
        <v>0.44410149999999998</v>
      </c>
      <c r="F3285" t="s">
        <v>66</v>
      </c>
      <c r="G3285">
        <v>-400.07119999999998</v>
      </c>
      <c r="H3285" s="1">
        <v>-6.1912990000000001E-6</v>
      </c>
      <c r="I3285">
        <v>20.215409999999999</v>
      </c>
      <c r="J3285">
        <v>-413.66399999999999</v>
      </c>
      <c r="K3285">
        <v>1.1160300000000001</v>
      </c>
      <c r="L3285">
        <v>21.820799999999998</v>
      </c>
      <c r="M3285">
        <v>0.85290080000000001</v>
      </c>
      <c r="N3285">
        <v>0</v>
      </c>
      <c r="O3285">
        <v>-0.52181120000000003</v>
      </c>
      <c r="P3285">
        <v>0.96676910000000005</v>
      </c>
      <c r="Q3285">
        <v>5.4047440000000002E-2</v>
      </c>
      <c r="R3285">
        <v>-0.2498727</v>
      </c>
      <c r="S3285">
        <v>3.0261230000000001</v>
      </c>
      <c r="T3285">
        <v>-0.2446393</v>
      </c>
      <c r="U3285">
        <v>-0.37713619999999998</v>
      </c>
      <c r="V3285">
        <v>-0.29317359999999998</v>
      </c>
      <c r="W3285">
        <v>6.1940870000000002E-2</v>
      </c>
      <c r="X3285">
        <v>0.95405059999999997</v>
      </c>
      <c r="Y3285">
        <v>-0.40957100000000002</v>
      </c>
      <c r="Z3285">
        <v>5.642722E-2</v>
      </c>
      <c r="AA3285">
        <v>0.91053150000000005</v>
      </c>
      <c r="AB3285">
        <v>25</v>
      </c>
      <c r="AC3285">
        <v>13.5928</v>
      </c>
      <c r="AD3285">
        <v>-1.11603619129899</v>
      </c>
      <c r="AE3285">
        <v>-1.6053899999999901</v>
      </c>
      <c r="AF3285">
        <v>-5.6866118063099904</v>
      </c>
      <c r="AG3285">
        <v>-1.11603619129899</v>
      </c>
      <c r="AH3285">
        <v>12.3506067009228</v>
      </c>
      <c r="AI3285">
        <v>94.692338123561896</v>
      </c>
      <c r="AJ3285">
        <v>114.722845396175</v>
      </c>
      <c r="AK3285">
        <v>13.6426015296509</v>
      </c>
      <c r="AL3285">
        <v>86.448776244912906</v>
      </c>
      <c r="AM3285">
        <v>107.081855698845</v>
      </c>
      <c r="AN3285">
        <v>0.99999998923683797</v>
      </c>
    </row>
    <row r="3286" spans="1:40" x14ac:dyDescent="0.3">
      <c r="A3286" t="str">
        <f>"20200111153943598"</f>
        <v>20200111153943598</v>
      </c>
      <c r="B3286" t="str">
        <f>"1578728383594363"</f>
        <v>1578728383594363</v>
      </c>
      <c r="C3286" t="s">
        <v>40</v>
      </c>
      <c r="D3286">
        <v>5.2303730000000002</v>
      </c>
      <c r="E3286">
        <v>0.44480380000000003</v>
      </c>
      <c r="F3286" t="s">
        <v>66</v>
      </c>
      <c r="G3286">
        <v>-400.33269999999999</v>
      </c>
      <c r="H3286" s="1">
        <v>-6.1136280000000001E-6</v>
      </c>
      <c r="I3286">
        <v>20.326270000000001</v>
      </c>
      <c r="J3286">
        <v>-413.43709999999999</v>
      </c>
      <c r="K3286">
        <v>1.115723</v>
      </c>
      <c r="L3286">
        <v>21.703769999999999</v>
      </c>
      <c r="M3286">
        <v>0.86144750000000003</v>
      </c>
      <c r="N3286">
        <v>0</v>
      </c>
      <c r="O3286">
        <v>-0.5075828</v>
      </c>
      <c r="P3286">
        <v>0.97025910000000004</v>
      </c>
      <c r="Q3286">
        <v>5.0677279999999998E-2</v>
      </c>
      <c r="R3286">
        <v>-0.23670469999999999</v>
      </c>
      <c r="S3286">
        <v>3.0295100000000001</v>
      </c>
      <c r="T3286">
        <v>-0.25361689999999998</v>
      </c>
      <c r="U3286">
        <v>-0.33963009999999999</v>
      </c>
      <c r="V3286">
        <v>-0.29026109999999999</v>
      </c>
      <c r="W3286">
        <v>5.8703810000000002E-2</v>
      </c>
      <c r="X3286">
        <v>0.95514520000000003</v>
      </c>
      <c r="Y3286">
        <v>-0.40552359999999998</v>
      </c>
      <c r="Z3286">
        <v>5.7316010000000001E-2</v>
      </c>
      <c r="AA3286">
        <v>0.91228589999999998</v>
      </c>
      <c r="AB3286">
        <v>25</v>
      </c>
      <c r="AC3286">
        <v>13.104399999999901</v>
      </c>
      <c r="AD3286">
        <v>-1.1157291136280001</v>
      </c>
      <c r="AE3286">
        <v>-1.3774999999999999</v>
      </c>
      <c r="AF3286">
        <v>-5.4267472769461902</v>
      </c>
      <c r="AG3286">
        <v>-1.1157291136280001</v>
      </c>
      <c r="AH3286">
        <v>11.904202586821899</v>
      </c>
      <c r="AI3286">
        <v>94.874512150204893</v>
      </c>
      <c r="AJ3286">
        <v>114.50673334033699</v>
      </c>
      <c r="AK3286">
        <v>13.1302885227605</v>
      </c>
      <c r="AL3286">
        <v>86.634584601927003</v>
      </c>
      <c r="AM3286">
        <v>106.903613491371</v>
      </c>
      <c r="AN3286">
        <v>0.99999999828238295</v>
      </c>
    </row>
    <row r="3287" spans="1:40" x14ac:dyDescent="0.3">
      <c r="A3287" t="str">
        <f>"20200111153943620"</f>
        <v>20200111153943620</v>
      </c>
      <c r="B3287" t="str">
        <f>"1578728383613883"</f>
        <v>1578728383613883</v>
      </c>
      <c r="C3287" t="s">
        <v>40</v>
      </c>
      <c r="D3287">
        <v>5.2489290000000004</v>
      </c>
      <c r="E3287">
        <v>0.44539010000000001</v>
      </c>
      <c r="F3287" t="s">
        <v>66</v>
      </c>
      <c r="G3287">
        <v>-400.65440000000001</v>
      </c>
      <c r="H3287" s="1">
        <v>-5.9811269999999999E-6</v>
      </c>
      <c r="I3287">
        <v>20.423729999999999</v>
      </c>
      <c r="J3287">
        <v>-413.21609999999998</v>
      </c>
      <c r="K3287">
        <v>1.115389</v>
      </c>
      <c r="L3287">
        <v>21.593720000000001</v>
      </c>
      <c r="M3287">
        <v>0.86927069999999995</v>
      </c>
      <c r="N3287">
        <v>0</v>
      </c>
      <c r="O3287">
        <v>-0.49407069999999997</v>
      </c>
      <c r="P3287">
        <v>0.97283989999999998</v>
      </c>
      <c r="Q3287">
        <v>4.6865709999999998E-2</v>
      </c>
      <c r="R3287">
        <v>-0.22668540000000001</v>
      </c>
      <c r="S3287">
        <v>3.0317080000000001</v>
      </c>
      <c r="T3287">
        <v>-0.2646192</v>
      </c>
      <c r="U3287">
        <v>-0.30358889999999999</v>
      </c>
      <c r="V3287">
        <v>-0.28513919999999998</v>
      </c>
      <c r="W3287">
        <v>5.5113339999999997E-2</v>
      </c>
      <c r="X3287">
        <v>0.95690030000000004</v>
      </c>
      <c r="Y3287">
        <v>-0.40184930000000002</v>
      </c>
      <c r="Z3287">
        <v>5.8639810000000001E-2</v>
      </c>
      <c r="AA3287">
        <v>0.91382629999999998</v>
      </c>
      <c r="AB3287">
        <v>25</v>
      </c>
      <c r="AC3287">
        <v>12.561699999999901</v>
      </c>
      <c r="AD3287">
        <v>-1.1153949811270001</v>
      </c>
      <c r="AE3287">
        <v>-1.1699900000000001</v>
      </c>
      <c r="AF3287">
        <v>-5.1497585558249401</v>
      </c>
      <c r="AG3287">
        <v>-1.1153949811270001</v>
      </c>
      <c r="AH3287">
        <v>11.4099005577313</v>
      </c>
      <c r="AI3287">
        <v>95.091706386110999</v>
      </c>
      <c r="AJ3287">
        <v>114.291619126635</v>
      </c>
      <c r="AK3287">
        <v>12.5678140455902</v>
      </c>
      <c r="AL3287">
        <v>86.840637471488094</v>
      </c>
      <c r="AM3287">
        <v>106.59311678055801</v>
      </c>
      <c r="AN3287">
        <v>1.0000000138813401</v>
      </c>
    </row>
    <row r="3288" spans="1:40" x14ac:dyDescent="0.3">
      <c r="A3288" t="str">
        <f>"20200111153943653"</f>
        <v>20200111153943653</v>
      </c>
      <c r="B3288" t="str">
        <f>"1578728383644139"</f>
        <v>1578728383644139</v>
      </c>
      <c r="C3288" t="s">
        <v>40</v>
      </c>
      <c r="D3288">
        <v>5.2371749999999997</v>
      </c>
      <c r="E3288">
        <v>0.45985969999999998</v>
      </c>
      <c r="F3288" t="s">
        <v>66</v>
      </c>
      <c r="G3288">
        <v>-400.94389999999999</v>
      </c>
      <c r="H3288" s="1">
        <v>-5.8557069999999997E-6</v>
      </c>
      <c r="I3288">
        <v>20.476859999999999</v>
      </c>
      <c r="J3288">
        <v>-412.88940000000002</v>
      </c>
      <c r="K3288">
        <v>1.1149420000000001</v>
      </c>
      <c r="L3288">
        <v>21.437650000000001</v>
      </c>
      <c r="M3288">
        <v>0.88003039999999999</v>
      </c>
      <c r="N3288">
        <v>0</v>
      </c>
      <c r="O3288">
        <v>-0.47464849999999997</v>
      </c>
      <c r="P3288">
        <v>0.97659339999999994</v>
      </c>
      <c r="Q3288">
        <v>4.601152E-2</v>
      </c>
      <c r="R3288">
        <v>-0.2101152</v>
      </c>
      <c r="S3288">
        <v>3.032715</v>
      </c>
      <c r="T3288">
        <v>-0.2756383</v>
      </c>
      <c r="U3288">
        <v>-0.276001</v>
      </c>
      <c r="V3288">
        <v>-0.2800839</v>
      </c>
      <c r="W3288">
        <v>5.4502960000000003E-2</v>
      </c>
      <c r="X3288">
        <v>0.95842709999999998</v>
      </c>
      <c r="Y3288">
        <v>-0.38961289999999998</v>
      </c>
      <c r="Z3288">
        <v>5.9001850000000002E-2</v>
      </c>
      <c r="AA3288">
        <v>0.91908679999999998</v>
      </c>
      <c r="AB3288">
        <v>25</v>
      </c>
      <c r="AC3288">
        <v>11.945499999999999</v>
      </c>
      <c r="AD3288">
        <v>-1.1149478557070001</v>
      </c>
      <c r="AE3288">
        <v>-0.96078999999999903</v>
      </c>
      <c r="AF3288">
        <v>-4.7835999969362302</v>
      </c>
      <c r="AG3288">
        <v>-1.1149478557070001</v>
      </c>
      <c r="AH3288">
        <v>10.875704690610799</v>
      </c>
      <c r="AI3288">
        <v>95.360997019738903</v>
      </c>
      <c r="AJ3288">
        <v>113.741946270323</v>
      </c>
      <c r="AK3288">
        <v>11.9334358073862</v>
      </c>
      <c r="AL3288">
        <v>86.8756623807447</v>
      </c>
      <c r="AM3288">
        <v>106.29009772144001</v>
      </c>
      <c r="AN3288">
        <v>1.0000000348511899</v>
      </c>
    </row>
    <row r="3289" spans="1:40" x14ac:dyDescent="0.3">
      <c r="A3289" t="str">
        <f>"20200111153943676"</f>
        <v>20200111153943676</v>
      </c>
      <c r="B3289" t="str">
        <f>"1578728383664638"</f>
        <v>1578728383664638</v>
      </c>
      <c r="C3289" t="s">
        <v>40</v>
      </c>
      <c r="D3289">
        <v>5.1884569999999997</v>
      </c>
      <c r="E3289">
        <v>0.46229759999999998</v>
      </c>
      <c r="F3289" t="s">
        <v>66</v>
      </c>
      <c r="G3289">
        <v>-400.8329</v>
      </c>
      <c r="H3289" s="1">
        <v>-5.8392879999999998E-6</v>
      </c>
      <c r="I3289">
        <v>20.094049999999999</v>
      </c>
      <c r="J3289">
        <v>-412.67110000000002</v>
      </c>
      <c r="K3289">
        <v>1.1146579999999999</v>
      </c>
      <c r="L3289">
        <v>21.337769999999999</v>
      </c>
      <c r="M3289">
        <v>0.88668419999999903</v>
      </c>
      <c r="N3289">
        <v>0</v>
      </c>
      <c r="O3289">
        <v>-0.46210400000000001</v>
      </c>
      <c r="P3289">
        <v>0.97875060000000003</v>
      </c>
      <c r="Q3289">
        <v>4.6515109999999998E-2</v>
      </c>
      <c r="R3289">
        <v>-0.19970940000000001</v>
      </c>
      <c r="S3289">
        <v>3.0128170000000001</v>
      </c>
      <c r="T3289">
        <v>-0.27861529999999901</v>
      </c>
      <c r="U3289">
        <v>-0.33575440000000001</v>
      </c>
      <c r="V3289">
        <v>-0.27662979999999998</v>
      </c>
      <c r="W3289">
        <v>5.516857E-2</v>
      </c>
      <c r="X3289">
        <v>0.95939169999999996</v>
      </c>
      <c r="Y3289">
        <v>-0.35780479999999998</v>
      </c>
      <c r="Z3289">
        <v>5.7430290000000002E-2</v>
      </c>
      <c r="AA3289">
        <v>0.93202870000000004</v>
      </c>
      <c r="AB3289">
        <v>25</v>
      </c>
      <c r="AC3289">
        <v>11.838200000000001</v>
      </c>
      <c r="AD3289">
        <v>-1.1146638392879999</v>
      </c>
      <c r="AE3289">
        <v>-1.2437199999999999</v>
      </c>
      <c r="AF3289">
        <v>-4.3302689471056199</v>
      </c>
      <c r="AG3289">
        <v>-1.1146638392879999</v>
      </c>
      <c r="AH3289">
        <v>10.9766090526507</v>
      </c>
      <c r="AI3289">
        <v>95.396374847501207</v>
      </c>
      <c r="AJ3289">
        <v>111.529219297174</v>
      </c>
      <c r="AK3289">
        <v>11.852411186067499</v>
      </c>
      <c r="AL3289">
        <v>86.8374682412461</v>
      </c>
      <c r="AM3289">
        <v>106.084321115623</v>
      </c>
      <c r="AN3289">
        <v>1.0000000256963799</v>
      </c>
    </row>
    <row r="3290" spans="1:40" x14ac:dyDescent="0.3">
      <c r="A3290" t="str">
        <f>"20200111153943695"</f>
        <v>20200111153943695</v>
      </c>
      <c r="B3290" t="str">
        <f>"1578728383684155"</f>
        <v>1578728383684155</v>
      </c>
      <c r="C3290" t="s">
        <v>40</v>
      </c>
      <c r="D3290">
        <v>5.1893330000000004</v>
      </c>
      <c r="E3290">
        <v>0.4641613</v>
      </c>
      <c r="F3290" t="s">
        <v>66</v>
      </c>
      <c r="G3290">
        <v>-400.37759999999997</v>
      </c>
      <c r="H3290" s="1">
        <v>-6.0386379999999999E-6</v>
      </c>
      <c r="I3290">
        <v>20.022469999999998</v>
      </c>
      <c r="J3290">
        <v>-412.46620000000001</v>
      </c>
      <c r="K3290">
        <v>1.114379</v>
      </c>
      <c r="L3290">
        <v>21.247129999999999</v>
      </c>
      <c r="M3290">
        <v>0.89253989999999905</v>
      </c>
      <c r="N3290">
        <v>0</v>
      </c>
      <c r="O3290">
        <v>-0.45069419999999999</v>
      </c>
      <c r="P3290">
        <v>0.98053849999999998</v>
      </c>
      <c r="Q3290">
        <v>4.6342389999999997E-2</v>
      </c>
      <c r="R3290">
        <v>-0.1907778</v>
      </c>
      <c r="S3290">
        <v>3.0123600000000001</v>
      </c>
      <c r="T3290">
        <v>-0.2731324</v>
      </c>
      <c r="U3290">
        <v>-0.32229609999999997</v>
      </c>
      <c r="V3290">
        <v>-0.2730263</v>
      </c>
      <c r="W3290">
        <v>5.5161429999999997E-2</v>
      </c>
      <c r="X3290">
        <v>0.96042380000000005</v>
      </c>
      <c r="Y3290">
        <v>-0.35012209999999899</v>
      </c>
      <c r="Z3290">
        <v>5.5070670000000002E-2</v>
      </c>
      <c r="AA3290">
        <v>0.93508380000000002</v>
      </c>
      <c r="AB3290">
        <v>25</v>
      </c>
      <c r="AC3290">
        <v>12.0886</v>
      </c>
      <c r="AD3290">
        <v>-1.1143850386380001</v>
      </c>
      <c r="AE3290">
        <v>-1.2246599999999901</v>
      </c>
      <c r="AF3290">
        <v>-4.3194089428739604</v>
      </c>
      <c r="AG3290">
        <v>-1.1143850386380001</v>
      </c>
      <c r="AH3290">
        <v>11.2482901340812</v>
      </c>
      <c r="AI3290">
        <v>95.2840729246807</v>
      </c>
      <c r="AJ3290">
        <v>111.007080334035</v>
      </c>
      <c r="AK3290">
        <v>12.1005445567788</v>
      </c>
      <c r="AL3290">
        <v>86.837877906452604</v>
      </c>
      <c r="AM3290">
        <v>105.869226417267</v>
      </c>
      <c r="AN3290">
        <v>1.0000000097288799</v>
      </c>
    </row>
    <row r="3291" spans="1:40" x14ac:dyDescent="0.3">
      <c r="A3291" t="str">
        <f>"20200111153943718"</f>
        <v>20200111153943718</v>
      </c>
      <c r="B3291" t="str">
        <f>"1578728383714411"</f>
        <v>1578728383714411</v>
      </c>
      <c r="C3291" t="s">
        <v>40</v>
      </c>
      <c r="D3291">
        <v>5.2274900000000004</v>
      </c>
      <c r="E3291">
        <v>0.46488780000000002</v>
      </c>
      <c r="F3291" t="s">
        <v>66</v>
      </c>
      <c r="G3291">
        <v>-400.12439999999998</v>
      </c>
      <c r="H3291" s="1">
        <v>-6.1470529999999997E-6</v>
      </c>
      <c r="I3291">
        <v>19.980370000000001</v>
      </c>
      <c r="J3291">
        <v>-412.24400000000003</v>
      </c>
      <c r="K3291">
        <v>1.114093</v>
      </c>
      <c r="L3291">
        <v>21.151949999999999</v>
      </c>
      <c r="M3291">
        <v>0.89852080000000001</v>
      </c>
      <c r="N3291">
        <v>0</v>
      </c>
      <c r="O3291">
        <v>-0.43865399999999999</v>
      </c>
      <c r="P3291">
        <v>0.98218349999999999</v>
      </c>
      <c r="Q3291">
        <v>4.6388159999999998E-2</v>
      </c>
      <c r="R3291">
        <v>-0.18210950000000001</v>
      </c>
      <c r="S3291">
        <v>3.012238</v>
      </c>
      <c r="T3291">
        <v>-0.2719839</v>
      </c>
      <c r="U3291">
        <v>-0.30917359999999999</v>
      </c>
      <c r="V3291">
        <v>-0.2685497</v>
      </c>
      <c r="W3291">
        <v>5.538995E-2</v>
      </c>
      <c r="X3291">
        <v>0.96167199999999997</v>
      </c>
      <c r="Y3291">
        <v>-0.34164939999999999</v>
      </c>
      <c r="Z3291">
        <v>5.350949E-2</v>
      </c>
      <c r="AA3291">
        <v>0.93830290000000005</v>
      </c>
      <c r="AB3291">
        <v>25</v>
      </c>
      <c r="AC3291">
        <v>12.1196</v>
      </c>
      <c r="AD3291">
        <v>-1.1140991470529999</v>
      </c>
      <c r="AE3291">
        <v>-1.1715799999999901</v>
      </c>
      <c r="AF3291">
        <v>-4.22873705043461</v>
      </c>
      <c r="AG3291">
        <v>-1.1140991470529999</v>
      </c>
      <c r="AH3291">
        <v>11.3103263958978</v>
      </c>
      <c r="AI3291">
        <v>95.271465748048399</v>
      </c>
      <c r="AJ3291">
        <v>110.499907958988</v>
      </c>
      <c r="AK3291">
        <v>12.126290328576401</v>
      </c>
      <c r="AL3291">
        <v>86.824764632969206</v>
      </c>
      <c r="AM3291">
        <v>105.602545355527</v>
      </c>
      <c r="AN3291">
        <v>1.0000000117575401</v>
      </c>
    </row>
    <row r="3292" spans="1:40" x14ac:dyDescent="0.3">
      <c r="A3292" t="str">
        <f>"20200111153943742"</f>
        <v>20200111153943742</v>
      </c>
      <c r="B3292" t="str">
        <f>"1578728383733932"</f>
        <v>1578728383733932</v>
      </c>
      <c r="C3292" t="s">
        <v>40</v>
      </c>
      <c r="D3292">
        <v>5.2901540000000002</v>
      </c>
      <c r="E3292">
        <v>0.46599000000000002</v>
      </c>
      <c r="F3292" t="s">
        <v>66</v>
      </c>
      <c r="G3292">
        <v>-400.20839999999998</v>
      </c>
      <c r="H3292" s="1">
        <v>-6.113468E-6</v>
      </c>
      <c r="I3292">
        <v>20.000260000000001</v>
      </c>
      <c r="J3292">
        <v>-412.00470000000001</v>
      </c>
      <c r="K3292">
        <v>1.113804</v>
      </c>
      <c r="L3292">
        <v>21.052859999999999</v>
      </c>
      <c r="M3292">
        <v>0.90456769999999997</v>
      </c>
      <c r="N3292">
        <v>0</v>
      </c>
      <c r="O3292">
        <v>-0.42604989999999998</v>
      </c>
      <c r="P3292">
        <v>0.98376019999999997</v>
      </c>
      <c r="Q3292">
        <v>4.668713E-2</v>
      </c>
      <c r="R3292">
        <v>-0.1733104</v>
      </c>
      <c r="S3292">
        <v>3.0141300000000002</v>
      </c>
      <c r="T3292">
        <v>-0.2790086</v>
      </c>
      <c r="U3292">
        <v>-0.2884216</v>
      </c>
      <c r="V3292">
        <v>-0.26366309999999998</v>
      </c>
      <c r="W3292">
        <v>5.5883679999999998E-2</v>
      </c>
      <c r="X3292">
        <v>0.96299469999999998</v>
      </c>
      <c r="Y3292">
        <v>-0.3348874</v>
      </c>
      <c r="Z3292">
        <v>5.3519959999999998E-2</v>
      </c>
      <c r="AA3292">
        <v>0.94073689999999999</v>
      </c>
      <c r="AB3292">
        <v>25</v>
      </c>
      <c r="AC3292">
        <v>11.7963</v>
      </c>
      <c r="AD3292">
        <v>-1.1138101134680001</v>
      </c>
      <c r="AE3292">
        <v>-1.05259999999999</v>
      </c>
      <c r="AF3292">
        <v>-4.03843188098599</v>
      </c>
      <c r="AG3292">
        <v>-1.1138101134680001</v>
      </c>
      <c r="AH3292">
        <v>11.0228451972025</v>
      </c>
      <c r="AI3292">
        <v>95.419910185103106</v>
      </c>
      <c r="AJ3292">
        <v>110.121282400689</v>
      </c>
      <c r="AK3292">
        <v>11.7920575502208</v>
      </c>
      <c r="AL3292">
        <v>86.796432078242006</v>
      </c>
      <c r="AM3292">
        <v>105.312042366165</v>
      </c>
      <c r="AN3292">
        <v>1.0000000041100201</v>
      </c>
    </row>
    <row r="3293" spans="1:40" x14ac:dyDescent="0.3">
      <c r="A3293" t="str">
        <f>"20200111153943764"</f>
        <v>20200111153943764</v>
      </c>
      <c r="B3293" t="str">
        <f>"1578728383754426"</f>
        <v>1578728383754426</v>
      </c>
      <c r="C3293" t="s">
        <v>40</v>
      </c>
      <c r="D3293">
        <v>5.3386589999999998</v>
      </c>
      <c r="E3293">
        <v>0.46692479999999997</v>
      </c>
      <c r="F3293" t="s">
        <v>66</v>
      </c>
      <c r="G3293">
        <v>-400.38330000000002</v>
      </c>
      <c r="H3293" s="1">
        <v>-6.033596E-6</v>
      </c>
      <c r="I3293">
        <v>20.0092</v>
      </c>
      <c r="J3293">
        <v>-411.7826</v>
      </c>
      <c r="K3293">
        <v>1.113548</v>
      </c>
      <c r="L3293">
        <v>20.963930000000001</v>
      </c>
      <c r="M3293">
        <v>0.90983579999999997</v>
      </c>
      <c r="N3293">
        <v>0</v>
      </c>
      <c r="O3293">
        <v>-0.41468529999999998</v>
      </c>
      <c r="P3293">
        <v>0.98501530000000004</v>
      </c>
      <c r="Q3293">
        <v>4.7638430000000002E-2</v>
      </c>
      <c r="R3293">
        <v>-0.16575709999999999</v>
      </c>
      <c r="S3293">
        <v>3.0155639999999999</v>
      </c>
      <c r="T3293">
        <v>-0.28901670000000002</v>
      </c>
      <c r="U3293">
        <v>-0.27081300000000003</v>
      </c>
      <c r="V3293">
        <v>-0.2589436</v>
      </c>
      <c r="W3293">
        <v>5.701577E-2</v>
      </c>
      <c r="X3293">
        <v>0.96420819999999996</v>
      </c>
      <c r="Y3293">
        <v>-0.32842349999999998</v>
      </c>
      <c r="Z3293">
        <v>5.4133500000000001E-2</v>
      </c>
      <c r="AA3293">
        <v>0.94297799999999998</v>
      </c>
      <c r="AB3293">
        <v>25</v>
      </c>
      <c r="AC3293">
        <v>11.399299999999901</v>
      </c>
      <c r="AD3293">
        <v>-1.1135540335959999</v>
      </c>
      <c r="AE3293">
        <v>-0.95472999999999797</v>
      </c>
      <c r="AF3293">
        <v>-3.8227035130921099</v>
      </c>
      <c r="AG3293">
        <v>-1.1135540335959999</v>
      </c>
      <c r="AH3293">
        <v>10.667581431463701</v>
      </c>
      <c r="AI3293">
        <v>95.612311762057004</v>
      </c>
      <c r="AJ3293">
        <v>109.71502514839401</v>
      </c>
      <c r="AK3293">
        <v>11.386411126059601</v>
      </c>
      <c r="AL3293">
        <v>86.731464551752595</v>
      </c>
      <c r="AM3293">
        <v>105.03241712603</v>
      </c>
      <c r="AN3293">
        <v>1.00000001947844</v>
      </c>
    </row>
    <row r="3294" spans="1:40" x14ac:dyDescent="0.3">
      <c r="A3294" t="str">
        <f>"20200111153943786"</f>
        <v>20200111153943786</v>
      </c>
      <c r="B3294" t="str">
        <f>"1578728383784683"</f>
        <v>1578728383784683</v>
      </c>
      <c r="C3294" t="s">
        <v>40</v>
      </c>
      <c r="D3294">
        <v>5.3407920000000004</v>
      </c>
      <c r="E3294">
        <v>0.46848190000000001</v>
      </c>
      <c r="F3294" t="s">
        <v>66</v>
      </c>
      <c r="G3294">
        <v>-400.38260000000002</v>
      </c>
      <c r="H3294" s="1">
        <v>-6.0316260000000003E-6</v>
      </c>
      <c r="I3294">
        <v>19.996259999999999</v>
      </c>
      <c r="J3294">
        <v>-411.55599999999998</v>
      </c>
      <c r="K3294">
        <v>1.1132850000000001</v>
      </c>
      <c r="L3294">
        <v>20.875979999999998</v>
      </c>
      <c r="M3294">
        <v>0.91488849999999999</v>
      </c>
      <c r="N3294">
        <v>0</v>
      </c>
      <c r="O3294">
        <v>-0.40341949999999999</v>
      </c>
      <c r="P3294">
        <v>0.98606609999999995</v>
      </c>
      <c r="Q3294">
        <v>5.0307480000000002E-2</v>
      </c>
      <c r="R3294">
        <v>-0.15856429999999999</v>
      </c>
      <c r="S3294">
        <v>3.0167540000000002</v>
      </c>
      <c r="T3294">
        <v>-0.29467729999999998</v>
      </c>
      <c r="U3294">
        <v>-0.256073</v>
      </c>
      <c r="V3294">
        <v>-0.25402750000000002</v>
      </c>
      <c r="W3294">
        <v>5.9866669999999997E-2</v>
      </c>
      <c r="X3294">
        <v>0.96534240000000004</v>
      </c>
      <c r="Y3294">
        <v>-0.32131959999999998</v>
      </c>
      <c r="Z3294">
        <v>5.3836670000000003E-2</v>
      </c>
      <c r="AA3294">
        <v>0.94543920000000004</v>
      </c>
      <c r="AB3294">
        <v>25</v>
      </c>
      <c r="AC3294">
        <v>11.1733999999999</v>
      </c>
      <c r="AD3294">
        <v>-1.1132910316259901</v>
      </c>
      <c r="AE3294">
        <v>-0.87971999999999895</v>
      </c>
      <c r="AF3294">
        <v>-3.6669706929658199</v>
      </c>
      <c r="AG3294">
        <v>-1.1132910316259901</v>
      </c>
      <c r="AH3294">
        <v>10.475183831220701</v>
      </c>
      <c r="AI3294">
        <v>95.728193715963997</v>
      </c>
      <c r="AJ3294">
        <v>109.29324439977501</v>
      </c>
      <c r="AK3294">
        <v>11.154172639960199</v>
      </c>
      <c r="AL3294">
        <v>86.567840129719301</v>
      </c>
      <c r="AM3294">
        <v>104.743009208701</v>
      </c>
      <c r="AN3294">
        <v>0.99999996908544897</v>
      </c>
    </row>
    <row r="3295" spans="1:40" x14ac:dyDescent="0.3">
      <c r="A3295" t="str">
        <f>"20200111153943807"</f>
        <v>20200111153943807</v>
      </c>
      <c r="B3295" t="str">
        <f>"1578728383804203"</f>
        <v>1578728383804203</v>
      </c>
      <c r="C3295" t="s">
        <v>40</v>
      </c>
      <c r="D3295">
        <v>5.3204909999999996</v>
      </c>
      <c r="E3295">
        <v>0.46930739999999999</v>
      </c>
      <c r="F3295" t="s">
        <v>66</v>
      </c>
      <c r="G3295">
        <v>-400.27800000000002</v>
      </c>
      <c r="H3295" s="1">
        <v>-6.0721109999999999E-6</v>
      </c>
      <c r="I3295">
        <v>19.950119999999998</v>
      </c>
      <c r="J3295">
        <v>-411.34179999999998</v>
      </c>
      <c r="K3295">
        <v>1.11304</v>
      </c>
      <c r="L3295">
        <v>20.795439999999999</v>
      </c>
      <c r="M3295">
        <v>0.91937619999999998</v>
      </c>
      <c r="N3295">
        <v>0</v>
      </c>
      <c r="O3295">
        <v>-0.39308860000000001</v>
      </c>
      <c r="P3295">
        <v>0.98705739999999997</v>
      </c>
      <c r="Q3295">
        <v>5.2398819999999999E-2</v>
      </c>
      <c r="R3295">
        <v>-0.15156539999999999</v>
      </c>
      <c r="S3295">
        <v>3.0177610000000001</v>
      </c>
      <c r="T3295">
        <v>-0.2978961</v>
      </c>
      <c r="U3295">
        <v>-0.24774170000000001</v>
      </c>
      <c r="V3295">
        <v>-0.24995439999999999</v>
      </c>
      <c r="W3295">
        <v>6.2114580000000003E-2</v>
      </c>
      <c r="X3295">
        <v>0.96626319999999999</v>
      </c>
      <c r="Y3295">
        <v>-0.31328060000000002</v>
      </c>
      <c r="Z3295">
        <v>5.3082530000000003E-2</v>
      </c>
      <c r="AA3295">
        <v>0.94817589999999996</v>
      </c>
      <c r="AB3295">
        <v>25</v>
      </c>
      <c r="AC3295">
        <v>11.063799999999899</v>
      </c>
      <c r="AD3295">
        <v>-1.113046072111</v>
      </c>
      <c r="AE3295">
        <v>-0.84531999999999696</v>
      </c>
      <c r="AF3295">
        <v>-3.53670836941214</v>
      </c>
      <c r="AG3295">
        <v>-1.113046072111</v>
      </c>
      <c r="AH3295">
        <v>10.400629245060699</v>
      </c>
      <c r="AI3295">
        <v>95.785435811354603</v>
      </c>
      <c r="AJ3295">
        <v>108.78047468237099</v>
      </c>
      <c r="AK3295">
        <v>11.041751054163599</v>
      </c>
      <c r="AL3295">
        <v>86.438804222129093</v>
      </c>
      <c r="AM3295">
        <v>104.503431689633</v>
      </c>
      <c r="AN3295">
        <v>0.99999999740108803</v>
      </c>
    </row>
    <row r="3296" spans="1:40" x14ac:dyDescent="0.3">
      <c r="A3296" t="str">
        <f>"20200111153943831"</f>
        <v>20200111153943831</v>
      </c>
      <c r="B3296" t="str">
        <f>"1578728383824698"</f>
        <v>1578728383824698</v>
      </c>
      <c r="C3296" t="s">
        <v>40</v>
      </c>
      <c r="D3296">
        <v>5.3293400000000002</v>
      </c>
      <c r="E3296">
        <v>0.47875679999999998</v>
      </c>
      <c r="F3296" t="s">
        <v>66</v>
      </c>
      <c r="G3296">
        <v>-400.06150000000002</v>
      </c>
      <c r="H3296" s="1">
        <v>-6.1614939999999996E-6</v>
      </c>
      <c r="I3296">
        <v>19.92174</v>
      </c>
      <c r="J3296">
        <v>-411.0967</v>
      </c>
      <c r="K3296">
        <v>1.1127469999999999</v>
      </c>
      <c r="L3296">
        <v>20.70609</v>
      </c>
      <c r="M3296">
        <v>0.92419839999999998</v>
      </c>
      <c r="N3296">
        <v>0</v>
      </c>
      <c r="O3296">
        <v>-0.38161810000000002</v>
      </c>
      <c r="P3296">
        <v>0.98828769999999999</v>
      </c>
      <c r="Q3296">
        <v>5.3193629999999999E-2</v>
      </c>
      <c r="R3296">
        <v>-0.1430322</v>
      </c>
      <c r="S3296">
        <v>3.0192869999999998</v>
      </c>
      <c r="T3296">
        <v>-0.29791879999999998</v>
      </c>
      <c r="U3296">
        <v>-0.23385619999999999</v>
      </c>
      <c r="V3296">
        <v>-0.24622469999999999</v>
      </c>
      <c r="W3296">
        <v>6.3065449999999995E-2</v>
      </c>
      <c r="X3296">
        <v>0.96715879999999999</v>
      </c>
      <c r="Y3296">
        <v>-0.30592170000000002</v>
      </c>
      <c r="Z3296">
        <v>5.1669960000000001E-2</v>
      </c>
      <c r="AA3296">
        <v>0.95065350000000004</v>
      </c>
      <c r="AB3296">
        <v>25</v>
      </c>
      <c r="AC3296">
        <v>11.0351999999999</v>
      </c>
      <c r="AD3296">
        <v>-1.1127531614939901</v>
      </c>
      <c r="AE3296">
        <v>-0.78434999999999899</v>
      </c>
      <c r="AF3296">
        <v>-3.4518075270806601</v>
      </c>
      <c r="AG3296">
        <v>-1.1127531614939901</v>
      </c>
      <c r="AH3296">
        <v>10.3940612803721</v>
      </c>
      <c r="AI3296">
        <v>95.801374979818306</v>
      </c>
      <c r="AJ3296">
        <v>108.371027993121</v>
      </c>
      <c r="AK3296">
        <v>11.0086195638943</v>
      </c>
      <c r="AL3296">
        <v>86.384216359166601</v>
      </c>
      <c r="AM3296">
        <v>104.283255724981</v>
      </c>
      <c r="AN3296">
        <v>0.99999999914561599</v>
      </c>
    </row>
    <row r="3297" spans="1:40" x14ac:dyDescent="0.3">
      <c r="A3297" t="str">
        <f>"20200111153943853"</f>
        <v>20200111153943853</v>
      </c>
      <c r="B3297" t="str">
        <f>"1578728383844219"</f>
        <v>1578728383844219</v>
      </c>
      <c r="C3297" t="s">
        <v>40</v>
      </c>
      <c r="D3297">
        <v>5.3339660000000002</v>
      </c>
      <c r="E3297">
        <v>0.47882269999999999</v>
      </c>
      <c r="F3297" t="s">
        <v>66</v>
      </c>
      <c r="G3297">
        <v>-401.27929999999998</v>
      </c>
      <c r="H3297" s="1">
        <v>-5.5751759999999998E-6</v>
      </c>
      <c r="I3297">
        <v>19.778549999999999</v>
      </c>
      <c r="J3297">
        <v>-410.86360000000002</v>
      </c>
      <c r="K3297">
        <v>1.112468</v>
      </c>
      <c r="L3297">
        <v>20.623719999999999</v>
      </c>
      <c r="M3297">
        <v>0.92849230000000005</v>
      </c>
      <c r="N3297">
        <v>0</v>
      </c>
      <c r="O3297">
        <v>-0.3710523</v>
      </c>
      <c r="P3297">
        <v>0.98948829999999999</v>
      </c>
      <c r="Q3297">
        <v>5.2663700000000001E-2</v>
      </c>
      <c r="R3297">
        <v>-0.13468139999999901</v>
      </c>
      <c r="S3297">
        <v>3.0127259999999998</v>
      </c>
      <c r="T3297">
        <v>-0.34147509999999998</v>
      </c>
      <c r="U3297">
        <v>-0.28463749999999999</v>
      </c>
      <c r="V3297">
        <v>-0.24331269999999999</v>
      </c>
      <c r="W3297">
        <v>6.2669020000000006E-2</v>
      </c>
      <c r="X3297">
        <v>0.96792129999999998</v>
      </c>
      <c r="Y3297">
        <v>-0.27810790000000002</v>
      </c>
      <c r="Z3297">
        <v>5.6553699999999901E-2</v>
      </c>
      <c r="AA3297">
        <v>0.9588835</v>
      </c>
      <c r="AB3297">
        <v>25</v>
      </c>
      <c r="AC3297">
        <v>9.5843000000000398</v>
      </c>
      <c r="AD3297">
        <v>-1.112473575176</v>
      </c>
      <c r="AE3297">
        <v>-0.84517000000000297</v>
      </c>
      <c r="AF3297">
        <v>-2.7352831175940602</v>
      </c>
      <c r="AG3297">
        <v>-1.112473575176</v>
      </c>
      <c r="AH3297">
        <v>9.09202484474317</v>
      </c>
      <c r="AI3297">
        <v>96.682850350772796</v>
      </c>
      <c r="AJ3297">
        <v>106.743610257051</v>
      </c>
      <c r="AK3297">
        <v>9.5595129042376996</v>
      </c>
      <c r="AL3297">
        <v>86.406975361603102</v>
      </c>
      <c r="AM3297">
        <v>104.11044950486701</v>
      </c>
      <c r="AN3297">
        <v>1.0000000595213601</v>
      </c>
    </row>
    <row r="3298" spans="1:40" x14ac:dyDescent="0.3">
      <c r="A3298" t="str">
        <f>"20200111153943877"</f>
        <v>20200111153943877</v>
      </c>
      <c r="B3298" t="str">
        <f>"1578728383874475"</f>
        <v>1578728383874475</v>
      </c>
      <c r="C3298" t="s">
        <v>40</v>
      </c>
      <c r="D3298">
        <v>5.3444370000000001</v>
      </c>
      <c r="E3298">
        <v>0.47865609999999997</v>
      </c>
      <c r="F3298" t="s">
        <v>66</v>
      </c>
      <c r="G3298">
        <v>-401.3107</v>
      </c>
      <c r="H3298" s="1">
        <v>-5.5645540000000001E-6</v>
      </c>
      <c r="I3298">
        <v>19.801010000000002</v>
      </c>
      <c r="J3298">
        <v>-410.6311</v>
      </c>
      <c r="K3298">
        <v>1.112195</v>
      </c>
      <c r="L3298">
        <v>20.544370000000001</v>
      </c>
      <c r="M3298">
        <v>0.93248869999999895</v>
      </c>
      <c r="N3298">
        <v>0</v>
      </c>
      <c r="O3298">
        <v>-0.36089549999999998</v>
      </c>
      <c r="P3298">
        <v>0.99060099999999995</v>
      </c>
      <c r="Q3298">
        <v>5.1992129999999998E-2</v>
      </c>
      <c r="R3298">
        <v>-0.12651660000000001</v>
      </c>
      <c r="S3298">
        <v>3.0151979999999998</v>
      </c>
      <c r="T3298">
        <v>-0.35113220000000001</v>
      </c>
      <c r="U3298">
        <v>-0.25967410000000002</v>
      </c>
      <c r="V3298">
        <v>-0.2406847</v>
      </c>
      <c r="W3298">
        <v>6.2120290000000002E-2</v>
      </c>
      <c r="X3298">
        <v>0.96861339999999996</v>
      </c>
      <c r="Y3298">
        <v>-0.27543220000000002</v>
      </c>
      <c r="Z3298">
        <v>5.6876879999999998E-2</v>
      </c>
      <c r="AA3298">
        <v>0.95963639999999995</v>
      </c>
      <c r="AB3298">
        <v>25</v>
      </c>
      <c r="AC3298">
        <v>9.3203999999999994</v>
      </c>
      <c r="AD3298">
        <v>-1.1122005645540001</v>
      </c>
      <c r="AE3298">
        <v>-0.74335999999999902</v>
      </c>
      <c r="AF3298">
        <v>-2.63354490547836</v>
      </c>
      <c r="AG3298">
        <v>-1.1122005645540001</v>
      </c>
      <c r="AH3298">
        <v>8.8354081130966993</v>
      </c>
      <c r="AI3298">
        <v>96.878642263579493</v>
      </c>
      <c r="AJ3298">
        <v>106.597590068849</v>
      </c>
      <c r="AK3298">
        <v>9.28638710101729</v>
      </c>
      <c r="AL3298">
        <v>86.438476392947095</v>
      </c>
      <c r="AM3298">
        <v>103.954450455604</v>
      </c>
      <c r="AN3298">
        <v>0.99999998695166603</v>
      </c>
    </row>
    <row r="3299" spans="1:40" x14ac:dyDescent="0.3">
      <c r="A3299" t="str">
        <f>"20200111153943896"</f>
        <v>20200111153943896</v>
      </c>
      <c r="B3299" t="str">
        <f>"1578728383893996"</f>
        <v>1578728383893996</v>
      </c>
      <c r="C3299" t="s">
        <v>40</v>
      </c>
      <c r="D3299">
        <v>5.3824709999999998</v>
      </c>
      <c r="E3299">
        <v>0.4758115</v>
      </c>
      <c r="F3299" t="s">
        <v>66</v>
      </c>
      <c r="G3299">
        <v>-401.23689999999999</v>
      </c>
      <c r="H3299" s="1">
        <v>-5.6022159999999999E-6</v>
      </c>
      <c r="I3299">
        <v>19.819649999999999</v>
      </c>
      <c r="J3299">
        <v>-410.42540000000002</v>
      </c>
      <c r="K3299">
        <v>1.11196299999999</v>
      </c>
      <c r="L3299">
        <v>20.476099999999999</v>
      </c>
      <c r="M3299">
        <v>0.93581740000000002</v>
      </c>
      <c r="N3299">
        <v>0</v>
      </c>
      <c r="O3299">
        <v>-0.35217789999999999</v>
      </c>
      <c r="P3299">
        <v>0.99142980000000003</v>
      </c>
      <c r="Q3299">
        <v>5.2447750000000001E-2</v>
      </c>
      <c r="R3299">
        <v>-0.1196499</v>
      </c>
      <c r="S3299">
        <v>3.017487</v>
      </c>
      <c r="T3299">
        <v>-0.35724840000000002</v>
      </c>
      <c r="U3299">
        <v>-0.2327881</v>
      </c>
      <c r="V3299">
        <v>-0.23831640000000001</v>
      </c>
      <c r="W3299">
        <v>6.2681379999999995E-2</v>
      </c>
      <c r="X3299">
        <v>0.96916270000000004</v>
      </c>
      <c r="Y3299">
        <v>-0.27494000000000002</v>
      </c>
      <c r="Z3299">
        <v>5.6860580000000001E-2</v>
      </c>
      <c r="AA3299">
        <v>0.95977849999999998</v>
      </c>
      <c r="AB3299">
        <v>25</v>
      </c>
      <c r="AC3299">
        <v>9.1885000000000296</v>
      </c>
      <c r="AD3299">
        <v>-1.11196860221599</v>
      </c>
      <c r="AE3299">
        <v>-0.65644999999999898</v>
      </c>
      <c r="AF3299">
        <v>-2.5842977639960298</v>
      </c>
      <c r="AG3299">
        <v>-1.11196860221599</v>
      </c>
      <c r="AH3299">
        <v>8.7040756968963802</v>
      </c>
      <c r="AI3299">
        <v>96.982165303175407</v>
      </c>
      <c r="AJ3299">
        <v>106.536503210368</v>
      </c>
      <c r="AK3299">
        <v>9.1474588188529893</v>
      </c>
      <c r="AL3299">
        <v>86.406265578354507</v>
      </c>
      <c r="AM3299">
        <v>103.81489730379499</v>
      </c>
      <c r="AN3299">
        <v>1.00000000048947</v>
      </c>
    </row>
    <row r="3300" spans="1:40" x14ac:dyDescent="0.3">
      <c r="A3300" t="str">
        <f>"20200111153943920"</f>
        <v>20200111153943920</v>
      </c>
      <c r="B3300" t="str">
        <f>"1578728383914491"</f>
        <v>1578728383914491</v>
      </c>
      <c r="C3300" t="s">
        <v>40</v>
      </c>
      <c r="D3300">
        <v>5.3885759999999996</v>
      </c>
      <c r="E3300">
        <v>0.47588209999999997</v>
      </c>
      <c r="F3300" t="s">
        <v>42</v>
      </c>
      <c r="G3300">
        <v>-396.81</v>
      </c>
      <c r="H3300" s="1">
        <v>-1.4960529999999999E-6</v>
      </c>
      <c r="I3300">
        <v>19.645019999999999</v>
      </c>
      <c r="J3300">
        <v>-410.18130000000002</v>
      </c>
      <c r="K3300">
        <v>1.1117269999999999</v>
      </c>
      <c r="L3300">
        <v>20.39752</v>
      </c>
      <c r="M3300">
        <v>0.93954219999999999</v>
      </c>
      <c r="N3300">
        <v>0</v>
      </c>
      <c r="O3300">
        <v>-0.34212009999999998</v>
      </c>
      <c r="P3300">
        <v>0.99236400000000002</v>
      </c>
      <c r="Q3300">
        <v>5.3466010000000001E-2</v>
      </c>
      <c r="R3300">
        <v>-0.1111534</v>
      </c>
      <c r="S3300">
        <v>3.016785</v>
      </c>
      <c r="T3300">
        <v>-0.24637899999999999</v>
      </c>
      <c r="U3300">
        <v>-0.1841431</v>
      </c>
      <c r="V3300">
        <v>-0.2361798</v>
      </c>
      <c r="W3300">
        <v>6.3791630000000002E-2</v>
      </c>
      <c r="X3300">
        <v>0.96961319999999995</v>
      </c>
      <c r="Y3300">
        <v>-0.28224729999999998</v>
      </c>
      <c r="Z3300">
        <v>3.8860730000000003E-2</v>
      </c>
      <c r="AA3300">
        <v>0.95855429999999997</v>
      </c>
      <c r="AB3300">
        <v>25</v>
      </c>
      <c r="AC3300">
        <v>13.3713</v>
      </c>
      <c r="AD3300">
        <v>-1.1117284960529901</v>
      </c>
      <c r="AE3300">
        <v>-0.75249999999999695</v>
      </c>
      <c r="AF3300">
        <v>-3.8415278066776599</v>
      </c>
      <c r="AG3300">
        <v>-1.1117284960529901</v>
      </c>
      <c r="AH3300">
        <v>12.7339711435227</v>
      </c>
      <c r="AI3300">
        <v>94.777879629055903</v>
      </c>
      <c r="AJ3300">
        <v>106.787278984355</v>
      </c>
      <c r="AK3300">
        <v>13.3471831193882</v>
      </c>
      <c r="AL3300">
        <v>86.342525412993496</v>
      </c>
      <c r="AM3300">
        <v>103.68960164804299</v>
      </c>
      <c r="AN3300">
        <v>1.0000000138001599</v>
      </c>
    </row>
    <row r="3301" spans="1:40" x14ac:dyDescent="0.3">
      <c r="A3301" t="str">
        <f>"20200111153943942"</f>
        <v>20200111153943942</v>
      </c>
      <c r="B3301" t="str">
        <f>"1578728383934011"</f>
        <v>1578728383934011</v>
      </c>
      <c r="C3301" t="s">
        <v>40</v>
      </c>
      <c r="D3301">
        <v>5.301742</v>
      </c>
      <c r="E3301">
        <v>0.47603980000000001</v>
      </c>
      <c r="F3301" t="s">
        <v>42</v>
      </c>
      <c r="G3301">
        <v>-394.90120000000002</v>
      </c>
      <c r="H3301" s="1">
        <v>-2.3937800000000001E-6</v>
      </c>
      <c r="I3301">
        <v>19.598960000000002</v>
      </c>
      <c r="J3301">
        <v>-409.952</v>
      </c>
      <c r="K3301">
        <v>1.1115349999999999</v>
      </c>
      <c r="L3301">
        <v>20.32593</v>
      </c>
      <c r="M3301">
        <v>0.94284259999999998</v>
      </c>
      <c r="N3301">
        <v>0</v>
      </c>
      <c r="O3301">
        <v>-0.332920099999999</v>
      </c>
      <c r="P3301">
        <v>0.99316300000000002</v>
      </c>
      <c r="Q3301">
        <v>5.4861600000000003E-2</v>
      </c>
      <c r="R3301">
        <v>-0.1030413</v>
      </c>
      <c r="S3301">
        <v>3.0172119999999998</v>
      </c>
      <c r="T3301">
        <v>-0.21952250000000001</v>
      </c>
      <c r="U3301">
        <v>-0.157684299999999</v>
      </c>
      <c r="V3301">
        <v>-0.23458850000000001</v>
      </c>
      <c r="W3301">
        <v>6.5254370000000006E-2</v>
      </c>
      <c r="X3301">
        <v>0.96990209999999999</v>
      </c>
      <c r="Y3301">
        <v>-0.281701599999999</v>
      </c>
      <c r="Z3301">
        <v>3.3996079999999998E-2</v>
      </c>
      <c r="AA3301">
        <v>0.95889959999999996</v>
      </c>
      <c r="AB3301">
        <v>25</v>
      </c>
      <c r="AC3301">
        <v>15.050799999999899</v>
      </c>
      <c r="AD3301">
        <v>-1.1115373937799999</v>
      </c>
      <c r="AE3301">
        <v>-0.72696999999999701</v>
      </c>
      <c r="AF3301">
        <v>-4.3023430843688102</v>
      </c>
      <c r="AG3301">
        <v>-1.1115373937799999</v>
      </c>
      <c r="AH3301">
        <v>14.355970987665801</v>
      </c>
      <c r="AI3301">
        <v>94.241734393377698</v>
      </c>
      <c r="AJ3301">
        <v>106.682955547684</v>
      </c>
      <c r="AK3301">
        <v>15.0279597548067</v>
      </c>
      <c r="AL3301">
        <v>86.258541486379499</v>
      </c>
      <c r="AM3301">
        <v>103.59690193943401</v>
      </c>
      <c r="AN3301">
        <v>0.99999999036037801</v>
      </c>
    </row>
    <row r="3302" spans="1:40" x14ac:dyDescent="0.3">
      <c r="A3302" t="str">
        <f>"20200111153943965"</f>
        <v>20200111153943965</v>
      </c>
      <c r="B3302" t="str">
        <f>"1578728383954506"</f>
        <v>1578728383954506</v>
      </c>
      <c r="C3302" t="s">
        <v>40</v>
      </c>
      <c r="D3302">
        <v>5.324503</v>
      </c>
      <c r="E3302">
        <v>0.47677710000000001</v>
      </c>
      <c r="F3302" t="s">
        <v>42</v>
      </c>
      <c r="G3302">
        <v>-393.84089999999998</v>
      </c>
      <c r="H3302" s="1">
        <v>-2.8929739999999998E-6</v>
      </c>
      <c r="I3302">
        <v>19.610479999999999</v>
      </c>
      <c r="J3302">
        <v>-409.71730000000002</v>
      </c>
      <c r="K3302">
        <v>1.1113580000000001</v>
      </c>
      <c r="L3302">
        <v>20.25488</v>
      </c>
      <c r="M3302">
        <v>0.9460286</v>
      </c>
      <c r="N3302">
        <v>0</v>
      </c>
      <c r="O3302">
        <v>-0.32375959999999998</v>
      </c>
      <c r="P3302">
        <v>0.99395469999999997</v>
      </c>
      <c r="Q3302">
        <v>5.6017879999999999E-2</v>
      </c>
      <c r="R3302">
        <v>-9.4425670000000003E-2</v>
      </c>
      <c r="S3302">
        <v>3.0182799999999999</v>
      </c>
      <c r="T3302">
        <v>-0.20823749999999999</v>
      </c>
      <c r="U3302">
        <v>-0.13403319999999999</v>
      </c>
      <c r="V3302">
        <v>-0.23355590000000001</v>
      </c>
      <c r="W3302">
        <v>6.6462919999999995E-2</v>
      </c>
      <c r="X3302">
        <v>0.97006919999999996</v>
      </c>
      <c r="Y3302">
        <v>-0.28009509999999899</v>
      </c>
      <c r="Z3302">
        <v>3.1598830000000001E-2</v>
      </c>
      <c r="AA3302">
        <v>0.95945210000000003</v>
      </c>
      <c r="AB3302">
        <v>25</v>
      </c>
      <c r="AC3302">
        <v>15.8764</v>
      </c>
      <c r="AD3302">
        <v>-1.111360892974</v>
      </c>
      <c r="AE3302">
        <v>-0.64440000000000097</v>
      </c>
      <c r="AF3302">
        <v>-4.50893303204903</v>
      </c>
      <c r="AG3302">
        <v>-1.111360892974</v>
      </c>
      <c r="AH3302">
        <v>15.1556133004489</v>
      </c>
      <c r="AI3302">
        <v>94.020444444592499</v>
      </c>
      <c r="AJ3302">
        <v>106.568221191633</v>
      </c>
      <c r="AK3302">
        <v>15.851126604588099</v>
      </c>
      <c r="AL3302">
        <v>86.189145911941395</v>
      </c>
      <c r="AM3302">
        <v>103.53701324426</v>
      </c>
      <c r="AN3302">
        <v>0.99999996547418701</v>
      </c>
    </row>
    <row r="3303" spans="1:40" x14ac:dyDescent="0.3">
      <c r="A3303" t="str">
        <f>"20200111153943987"</f>
        <v>20200111153943987</v>
      </c>
      <c r="B3303" t="str">
        <f>"1578728383983787"</f>
        <v>1578728383983787</v>
      </c>
      <c r="C3303" t="s">
        <v>40</v>
      </c>
      <c r="D3303">
        <v>5.3104040000000001</v>
      </c>
      <c r="E3303">
        <v>0.477161</v>
      </c>
      <c r="F3303" t="s">
        <v>42</v>
      </c>
      <c r="G3303">
        <v>-393.19170000000003</v>
      </c>
      <c r="H3303" s="1">
        <v>-3.2029120000000002E-6</v>
      </c>
      <c r="I3303">
        <v>19.631769999999999</v>
      </c>
      <c r="J3303">
        <v>-409.49040000000002</v>
      </c>
      <c r="K3303">
        <v>1.111189</v>
      </c>
      <c r="L3303">
        <v>20.188230000000001</v>
      </c>
      <c r="M3303">
        <v>0.94893260000000001</v>
      </c>
      <c r="N3303">
        <v>0</v>
      </c>
      <c r="O3303">
        <v>-0.31514910000000002</v>
      </c>
      <c r="P3303">
        <v>0.99465550000000003</v>
      </c>
      <c r="Q3303">
        <v>5.6701170000000002E-2</v>
      </c>
      <c r="R3303">
        <v>-8.6285319999999999E-2</v>
      </c>
      <c r="S3303">
        <v>3.0188899999999999</v>
      </c>
      <c r="T3303">
        <v>-0.20302310000000001</v>
      </c>
      <c r="U3303">
        <v>-0.1138306</v>
      </c>
      <c r="V3303">
        <v>-0.23264840000000001</v>
      </c>
      <c r="W3303">
        <v>6.7197510000000002E-2</v>
      </c>
      <c r="X3303">
        <v>0.97023669999999995</v>
      </c>
      <c r="Y3303">
        <v>-0.27788400000000002</v>
      </c>
      <c r="Z3303">
        <v>3.0186660000000001E-2</v>
      </c>
      <c r="AA3303">
        <v>0.9601402</v>
      </c>
      <c r="AB3303">
        <v>25</v>
      </c>
      <c r="AC3303">
        <v>16.298699999999901</v>
      </c>
      <c r="AD3303">
        <v>-1.111192202912</v>
      </c>
      <c r="AE3303">
        <v>-0.55645999999999696</v>
      </c>
      <c r="AF3303">
        <v>-4.5876579605921499</v>
      </c>
      <c r="AG3303">
        <v>-1.111192202912</v>
      </c>
      <c r="AH3303">
        <v>15.5710712324118</v>
      </c>
      <c r="AI3303">
        <v>93.915980531543696</v>
      </c>
      <c r="AJ3303">
        <v>106.416396707034</v>
      </c>
      <c r="AK3303">
        <v>16.270820907380202</v>
      </c>
      <c r="AL3303">
        <v>86.1469629018424</v>
      </c>
      <c r="AM3303">
        <v>103.484095798265</v>
      </c>
      <c r="AN3303">
        <v>1.0000000186998199</v>
      </c>
    </row>
    <row r="3304" spans="1:40" x14ac:dyDescent="0.3">
      <c r="A3304" t="str">
        <f>"20200111153944009"</f>
        <v>20200111153944009</v>
      </c>
      <c r="B3304" t="str">
        <f>"1578728384004283"</f>
        <v>1578728384004283</v>
      </c>
      <c r="C3304" t="s">
        <v>40</v>
      </c>
      <c r="D3304">
        <v>5.2702710000000002</v>
      </c>
      <c r="E3304">
        <v>0.47716779999999998</v>
      </c>
      <c r="F3304" t="s">
        <v>42</v>
      </c>
      <c r="G3304">
        <v>-392.7045</v>
      </c>
      <c r="H3304" s="1">
        <v>-3.4450040000000002E-6</v>
      </c>
      <c r="I3304">
        <v>19.67605</v>
      </c>
      <c r="J3304">
        <v>-409.2679</v>
      </c>
      <c r="K3304">
        <v>1.111003</v>
      </c>
      <c r="L3304">
        <v>20.124759999999998</v>
      </c>
      <c r="M3304">
        <v>0.95162239999999998</v>
      </c>
      <c r="N3304">
        <v>0</v>
      </c>
      <c r="O3304">
        <v>-0.30693480000000001</v>
      </c>
      <c r="P3304">
        <v>0.99528490000000003</v>
      </c>
      <c r="Q3304">
        <v>5.6344850000000002E-2</v>
      </c>
      <c r="R3304">
        <v>-7.8949909999999998E-2</v>
      </c>
      <c r="S3304">
        <v>3.019501</v>
      </c>
      <c r="T3304">
        <v>-0.19988510000000001</v>
      </c>
      <c r="U3304">
        <v>-9.2132569999999997E-2</v>
      </c>
      <c r="V3304">
        <v>-0.23138320000000001</v>
      </c>
      <c r="W3304">
        <v>6.6904900000000003E-2</v>
      </c>
      <c r="X3304">
        <v>0.97055939999999996</v>
      </c>
      <c r="Y3304">
        <v>-0.27654139999999999</v>
      </c>
      <c r="Z3304">
        <v>2.9159859999999999E-2</v>
      </c>
      <c r="AA3304">
        <v>0.96055950000000001</v>
      </c>
      <c r="AB3304">
        <v>25</v>
      </c>
      <c r="AC3304">
        <v>16.563400000000001</v>
      </c>
      <c r="AD3304">
        <v>-1.111006445004</v>
      </c>
      <c r="AE3304">
        <v>-0.448710000000001</v>
      </c>
      <c r="AF3304">
        <v>-4.6365154726727296</v>
      </c>
      <c r="AG3304">
        <v>-1.111006445004</v>
      </c>
      <c r="AH3304">
        <v>15.830292572048901</v>
      </c>
      <c r="AI3304">
        <v>93.853214229206202</v>
      </c>
      <c r="AJ3304">
        <v>106.32471701925699</v>
      </c>
      <c r="AK3304">
        <v>16.532688044169898</v>
      </c>
      <c r="AL3304">
        <v>86.163765962282099</v>
      </c>
      <c r="AM3304">
        <v>103.409124136939</v>
      </c>
      <c r="AN3304">
        <v>0.99999999990730404</v>
      </c>
    </row>
    <row r="3305" spans="1:40" x14ac:dyDescent="0.3">
      <c r="A3305" t="str">
        <f>"20200111153944032"</f>
        <v>20200111153944032</v>
      </c>
      <c r="B3305" t="str">
        <f>"1578728384023803"</f>
        <v>1578728384023803</v>
      </c>
      <c r="C3305" t="s">
        <v>40</v>
      </c>
      <c r="D3305">
        <v>5.3548400000000003</v>
      </c>
      <c r="E3305">
        <v>0.47744150000000002</v>
      </c>
      <c r="F3305" t="s">
        <v>42</v>
      </c>
      <c r="G3305">
        <v>-392.80990000000003</v>
      </c>
      <c r="H3305" s="1">
        <v>-3.4133380000000002E-6</v>
      </c>
      <c r="I3305">
        <v>19.744260000000001</v>
      </c>
      <c r="J3305">
        <v>-409.01780000000002</v>
      </c>
      <c r="K3305">
        <v>1.110789</v>
      </c>
      <c r="L3305">
        <v>20.055479999999999</v>
      </c>
      <c r="M3305">
        <v>0.95447130000000002</v>
      </c>
      <c r="N3305">
        <v>0</v>
      </c>
      <c r="O3305">
        <v>-0.29796080000000003</v>
      </c>
      <c r="P3305">
        <v>0.99588779999999999</v>
      </c>
      <c r="Q3305">
        <v>5.669126E-2</v>
      </c>
      <c r="R3305">
        <v>-7.0666980000000004E-2</v>
      </c>
      <c r="S3305">
        <v>3.020203</v>
      </c>
      <c r="T3305">
        <v>-0.2038806</v>
      </c>
      <c r="U3305">
        <v>-6.9824220000000006E-2</v>
      </c>
      <c r="V3305">
        <v>-0.2302807</v>
      </c>
      <c r="W3305">
        <v>6.7324040000000002E-2</v>
      </c>
      <c r="X3305">
        <v>0.97079260000000001</v>
      </c>
      <c r="Y3305">
        <v>-0.27456439999999999</v>
      </c>
      <c r="Z3305">
        <v>2.909511E-2</v>
      </c>
      <c r="AA3305">
        <v>0.96112839999999999</v>
      </c>
      <c r="AB3305">
        <v>25</v>
      </c>
      <c r="AC3305">
        <v>16.207899999999899</v>
      </c>
      <c r="AD3305">
        <v>-1.1107924133380001</v>
      </c>
      <c r="AE3305">
        <v>-0.311219999999998</v>
      </c>
      <c r="AF3305">
        <v>-4.5115478978985397</v>
      </c>
      <c r="AG3305">
        <v>-1.1107924133380001</v>
      </c>
      <c r="AH3305">
        <v>15.491557949639301</v>
      </c>
      <c r="AI3305">
        <v>93.9382054506749</v>
      </c>
      <c r="AJ3305">
        <v>106.236944819309</v>
      </c>
      <c r="AK3305">
        <v>16.173320374233501</v>
      </c>
      <c r="AL3305">
        <v>86.139696738907404</v>
      </c>
      <c r="AM3305">
        <v>103.34443225193201</v>
      </c>
      <c r="AN3305">
        <v>0.99999999968458497</v>
      </c>
    </row>
    <row r="3306" spans="1:40" x14ac:dyDescent="0.3">
      <c r="A3306" t="str">
        <f>"20200111153944056"</f>
        <v>20200111153944056</v>
      </c>
      <c r="B3306" t="str">
        <f>"1578728384044302"</f>
        <v>1578728384044302</v>
      </c>
      <c r="C3306" t="s">
        <v>40</v>
      </c>
      <c r="D3306">
        <v>5.3623659999999997</v>
      </c>
      <c r="E3306">
        <v>0.4777496</v>
      </c>
      <c r="F3306" t="s">
        <v>42</v>
      </c>
      <c r="G3306">
        <v>-392.52670000000001</v>
      </c>
      <c r="H3306" s="1">
        <v>-3.5620489999999998E-6</v>
      </c>
      <c r="I3306">
        <v>19.800070000000002</v>
      </c>
      <c r="J3306">
        <v>-408.77670000000001</v>
      </c>
      <c r="K3306">
        <v>1.1105940000000001</v>
      </c>
      <c r="L3306">
        <v>19.990780000000001</v>
      </c>
      <c r="M3306">
        <v>0.95704730000000005</v>
      </c>
      <c r="N3306">
        <v>0</v>
      </c>
      <c r="O3306">
        <v>-0.28958329999999999</v>
      </c>
      <c r="P3306">
        <v>0.99635390000000001</v>
      </c>
      <c r="Q3306">
        <v>5.7493130000000003E-2</v>
      </c>
      <c r="R3306">
        <v>-6.30386E-2</v>
      </c>
      <c r="S3306">
        <v>3.020721</v>
      </c>
      <c r="T3306">
        <v>-0.20346719999999999</v>
      </c>
      <c r="U3306">
        <v>-4.6783449999999997E-2</v>
      </c>
      <c r="V3306">
        <v>-0.22916739999999999</v>
      </c>
      <c r="W3306">
        <v>6.8197980000000005E-2</v>
      </c>
      <c r="X3306">
        <v>0.97099500000000005</v>
      </c>
      <c r="Y3306">
        <v>-0.27349600000000002</v>
      </c>
      <c r="Z3306">
        <v>2.845978E-2</v>
      </c>
      <c r="AA3306">
        <v>0.96145199999999997</v>
      </c>
      <c r="AB3306">
        <v>25</v>
      </c>
      <c r="AC3306">
        <v>16.25</v>
      </c>
      <c r="AD3306">
        <v>-1.1105975620490001</v>
      </c>
      <c r="AE3306">
        <v>-0.19070999999999499</v>
      </c>
      <c r="AF3306">
        <v>-4.5026382244832499</v>
      </c>
      <c r="AG3306">
        <v>-1.1105975620490001</v>
      </c>
      <c r="AH3306">
        <v>15.536262097123201</v>
      </c>
      <c r="AI3306">
        <v>93.927702740467097</v>
      </c>
      <c r="AJ3306">
        <v>106.162368931966</v>
      </c>
      <c r="AK3306">
        <v>16.213655290399998</v>
      </c>
      <c r="AL3306">
        <v>86.089508216398301</v>
      </c>
      <c r="AM3306">
        <v>103.279539449401</v>
      </c>
      <c r="AN3306">
        <v>0.99999997586191902</v>
      </c>
    </row>
    <row r="3307" spans="1:40" x14ac:dyDescent="0.3">
      <c r="A3307" t="str">
        <f>"20200111153944077"</f>
        <v>20200111153944077</v>
      </c>
      <c r="B3307" t="str">
        <f>"1578728384074555"</f>
        <v>1578728384074555</v>
      </c>
      <c r="C3307" t="s">
        <v>40</v>
      </c>
      <c r="D3307">
        <v>5.300243</v>
      </c>
      <c r="E3307">
        <v>0.47867179999999998</v>
      </c>
      <c r="F3307" t="s">
        <v>42</v>
      </c>
      <c r="G3307">
        <v>-392.28399999999999</v>
      </c>
      <c r="H3307" s="1">
        <v>-3.6897960000000001E-6</v>
      </c>
      <c r="I3307">
        <v>19.84901</v>
      </c>
      <c r="J3307">
        <v>-408.54700000000003</v>
      </c>
      <c r="K3307">
        <v>1.110414</v>
      </c>
      <c r="L3307">
        <v>19.931000000000001</v>
      </c>
      <c r="M3307">
        <v>0.95935369999999998</v>
      </c>
      <c r="N3307">
        <v>0</v>
      </c>
      <c r="O3307">
        <v>-0.28185080000000001</v>
      </c>
      <c r="P3307">
        <v>0.99676620000000005</v>
      </c>
      <c r="Q3307">
        <v>5.7900979999999998E-2</v>
      </c>
      <c r="R3307">
        <v>-5.5717709999999997E-2</v>
      </c>
      <c r="S3307">
        <v>3.0210880000000002</v>
      </c>
      <c r="T3307">
        <v>-0.2034357</v>
      </c>
      <c r="U3307">
        <v>-2.5970460000000001E-2</v>
      </c>
      <c r="V3307">
        <v>-0.22843079999999999</v>
      </c>
      <c r="W3307">
        <v>6.8665619999999997E-2</v>
      </c>
      <c r="X3307">
        <v>0.97113559999999999</v>
      </c>
      <c r="Y3307">
        <v>-0.27238010000000001</v>
      </c>
      <c r="Z3307">
        <v>2.79177E-2</v>
      </c>
      <c r="AA3307">
        <v>0.96178470000000005</v>
      </c>
      <c r="AB3307">
        <v>25</v>
      </c>
      <c r="AC3307">
        <v>16.262999999999899</v>
      </c>
      <c r="AD3307">
        <v>-1.1104176897960001</v>
      </c>
      <c r="AE3307">
        <v>-8.1989999999997495E-2</v>
      </c>
      <c r="AF3307">
        <v>-4.4846273288407001</v>
      </c>
      <c r="AG3307">
        <v>-1.1104176897960001</v>
      </c>
      <c r="AH3307">
        <v>15.5541342501296</v>
      </c>
      <c r="AI3307">
        <v>93.924126026679502</v>
      </c>
      <c r="AJ3307">
        <v>106.083531287192</v>
      </c>
      <c r="AK3307">
        <v>16.225782014912301</v>
      </c>
      <c r="AL3307">
        <v>86.062651458725796</v>
      </c>
      <c r="AM3307">
        <v>103.23651188085699</v>
      </c>
      <c r="AN3307">
        <v>0.99999997567299104</v>
      </c>
    </row>
    <row r="3308" spans="1:40" x14ac:dyDescent="0.3">
      <c r="A3308" t="str">
        <f>"20200111153944098"</f>
        <v>20200111153944098</v>
      </c>
      <c r="B3308" t="str">
        <f>"1578728384094074"</f>
        <v>1578728384094074</v>
      </c>
      <c r="C3308" t="s">
        <v>40</v>
      </c>
      <c r="D3308">
        <v>5.3209499999999998</v>
      </c>
      <c r="E3308">
        <v>0.47920950000000001</v>
      </c>
      <c r="F3308" t="s">
        <v>42</v>
      </c>
      <c r="G3308">
        <v>-391.77229999999997</v>
      </c>
      <c r="H3308" s="1">
        <v>-3.9370970000000001E-6</v>
      </c>
      <c r="I3308">
        <v>19.869479999999999</v>
      </c>
      <c r="J3308">
        <v>-408.33199999999999</v>
      </c>
      <c r="K3308">
        <v>1.1102749999999999</v>
      </c>
      <c r="L3308">
        <v>19.87659</v>
      </c>
      <c r="M3308">
        <v>0.96140190000000003</v>
      </c>
      <c r="N3308">
        <v>0</v>
      </c>
      <c r="O3308">
        <v>-0.27478659999999999</v>
      </c>
      <c r="P3308">
        <v>0.99709360000000002</v>
      </c>
      <c r="Q3308">
        <v>5.8044169999999999E-2</v>
      </c>
      <c r="R3308">
        <v>-4.934943E-2</v>
      </c>
      <c r="S3308">
        <v>3.020721</v>
      </c>
      <c r="T3308">
        <v>-0.19996040000000001</v>
      </c>
      <c r="U3308">
        <v>-1.107788E-2</v>
      </c>
      <c r="V3308">
        <v>-0.22746449999999999</v>
      </c>
      <c r="W3308">
        <v>6.8858760000000005E-2</v>
      </c>
      <c r="X3308">
        <v>0.97134880000000001</v>
      </c>
      <c r="Y3308">
        <v>-0.270105599999999</v>
      </c>
      <c r="Z3308">
        <v>2.692106E-2</v>
      </c>
      <c r="AA3308">
        <v>0.96245429999999998</v>
      </c>
      <c r="AB3308">
        <v>24</v>
      </c>
      <c r="AC3308">
        <v>16.559699999999999</v>
      </c>
      <c r="AD3308">
        <v>-1.1102789370970001</v>
      </c>
      <c r="AE3308">
        <v>-7.1100000000008301E-3</v>
      </c>
      <c r="AF3308">
        <v>-4.5236643343398804</v>
      </c>
      <c r="AG3308">
        <v>-1.1102789370970001</v>
      </c>
      <c r="AH3308">
        <v>15.8527998240033</v>
      </c>
      <c r="AI3308">
        <v>93.852962667239595</v>
      </c>
      <c r="AJ3308">
        <v>105.926324202572</v>
      </c>
      <c r="AK3308">
        <v>16.522939223632701</v>
      </c>
      <c r="AL3308">
        <v>86.051559428058596</v>
      </c>
      <c r="AM3308">
        <v>103.17968596240399</v>
      </c>
      <c r="AN3308">
        <v>1.0000000594252101</v>
      </c>
    </row>
    <row r="3309" spans="1:40" x14ac:dyDescent="0.3">
      <c r="A3309" t="str">
        <f>"20200111153944123"</f>
        <v>20200111153944123</v>
      </c>
      <c r="B3309" t="str">
        <f>"1578728384114571"</f>
        <v>1578728384114571</v>
      </c>
      <c r="C3309" t="s">
        <v>40</v>
      </c>
      <c r="D3309">
        <v>5.3157120000000004</v>
      </c>
      <c r="E3309">
        <v>0.47923519999999997</v>
      </c>
      <c r="F3309" t="s">
        <v>42</v>
      </c>
      <c r="G3309">
        <v>-391.55290000000002</v>
      </c>
      <c r="H3309" s="1">
        <v>-4.04873299999999E-6</v>
      </c>
      <c r="I3309">
        <v>19.89913</v>
      </c>
      <c r="J3309">
        <v>-408.07400000000001</v>
      </c>
      <c r="K3309">
        <v>1.1101350000000001</v>
      </c>
      <c r="L3309">
        <v>19.813320000000001</v>
      </c>
      <c r="M3309">
        <v>0.96372579999999997</v>
      </c>
      <c r="N3309">
        <v>0</v>
      </c>
      <c r="O3309">
        <v>-0.26652369999999997</v>
      </c>
      <c r="P3309">
        <v>0.99739120000000003</v>
      </c>
      <c r="Q3309">
        <v>5.9007669999999998E-2</v>
      </c>
      <c r="R3309">
        <v>-4.1579350000000001E-2</v>
      </c>
      <c r="S3309">
        <v>3.0205380000000002</v>
      </c>
      <c r="T3309">
        <v>-0.19986979999999999</v>
      </c>
      <c r="U3309">
        <v>4.0588380000000004E-3</v>
      </c>
      <c r="V3309">
        <v>-0.22666539999999999</v>
      </c>
      <c r="W3309">
        <v>6.9862460000000001E-2</v>
      </c>
      <c r="X3309">
        <v>0.97146390000000005</v>
      </c>
      <c r="Y3309">
        <v>-0.26668950000000002</v>
      </c>
      <c r="Z3309">
        <v>2.627055E-2</v>
      </c>
      <c r="AA3309">
        <v>0.96342439999999996</v>
      </c>
      <c r="AB3309">
        <v>24</v>
      </c>
      <c r="AC3309">
        <v>16.521099999999901</v>
      </c>
      <c r="AD3309">
        <v>-1.1101390487330001</v>
      </c>
      <c r="AE3309">
        <v>8.5809999999998596E-2</v>
      </c>
      <c r="AF3309">
        <v>-4.4662400973810596</v>
      </c>
      <c r="AG3309">
        <v>-1.1101390487330001</v>
      </c>
      <c r="AH3309">
        <v>15.8290424180282</v>
      </c>
      <c r="AI3309">
        <v>93.861476636294995</v>
      </c>
      <c r="AJ3309">
        <v>105.75666691545599</v>
      </c>
      <c r="AK3309">
        <v>16.484486439883799</v>
      </c>
      <c r="AL3309">
        <v>85.993912735876705</v>
      </c>
      <c r="AM3309">
        <v>103.133490377332</v>
      </c>
      <c r="AN3309">
        <v>1.0000000379388101</v>
      </c>
    </row>
    <row r="3310" spans="1:40" x14ac:dyDescent="0.3">
      <c r="A3310" t="str">
        <f>"20200111153944144"</f>
        <v>20200111153944144</v>
      </c>
      <c r="B3310" t="str">
        <f>"1578728384134093"</f>
        <v>1578728384134093</v>
      </c>
      <c r="C3310" t="s">
        <v>40</v>
      </c>
      <c r="D3310">
        <v>5.3289049999999998</v>
      </c>
      <c r="E3310">
        <v>0.47892410000000002</v>
      </c>
      <c r="F3310" t="s">
        <v>42</v>
      </c>
      <c r="G3310">
        <v>-391.00189999999998</v>
      </c>
      <c r="H3310" s="1">
        <v>-4.3278100000000002E-6</v>
      </c>
      <c r="I3310">
        <v>19.969080000000002</v>
      </c>
      <c r="J3310">
        <v>-407.84800000000001</v>
      </c>
      <c r="K3310">
        <v>1.1100319999999999</v>
      </c>
      <c r="L3310">
        <v>19.759519999999998</v>
      </c>
      <c r="M3310">
        <v>0.96565559999999995</v>
      </c>
      <c r="N3310">
        <v>0</v>
      </c>
      <c r="O3310">
        <v>-0.25944719999999999</v>
      </c>
      <c r="P3310">
        <v>0.99764940000000002</v>
      </c>
      <c r="Q3310">
        <v>5.9301130000000001E-2</v>
      </c>
      <c r="R3310">
        <v>-3.434243E-2</v>
      </c>
      <c r="S3310">
        <v>3.0205989999999998</v>
      </c>
      <c r="T3310">
        <v>-0.19641819999999999</v>
      </c>
      <c r="U3310">
        <v>2.7557370000000001E-2</v>
      </c>
      <c r="V3310">
        <v>-0.22656670000000001</v>
      </c>
      <c r="W3310">
        <v>7.0176879999999997E-2</v>
      </c>
      <c r="X3310">
        <v>0.9714642</v>
      </c>
      <c r="Y3310">
        <v>-0.26716899999999999</v>
      </c>
      <c r="Z3310">
        <v>2.5389539999999999E-2</v>
      </c>
      <c r="AA3310">
        <v>0.96331520000000004</v>
      </c>
      <c r="AB3310">
        <v>24</v>
      </c>
      <c r="AC3310">
        <v>16.8461</v>
      </c>
      <c r="AD3310">
        <v>-1.1100363278099901</v>
      </c>
      <c r="AE3310">
        <v>0.209559999999996</v>
      </c>
      <c r="AF3310">
        <v>-4.5537168966617401</v>
      </c>
      <c r="AG3310">
        <v>-1.1100363278099901</v>
      </c>
      <c r="AH3310">
        <v>16.1446665101343</v>
      </c>
      <c r="AI3310">
        <v>93.785954612534397</v>
      </c>
      <c r="AJ3310">
        <v>105.75147941933</v>
      </c>
      <c r="AK3310">
        <v>16.811269284246599</v>
      </c>
      <c r="AL3310">
        <v>85.975853231268303</v>
      </c>
      <c r="AM3310">
        <v>103.127965675802</v>
      </c>
      <c r="AN3310">
        <v>0.99999997795853102</v>
      </c>
    </row>
    <row r="3311" spans="1:40" x14ac:dyDescent="0.3">
      <c r="A3311" t="str">
        <f>"20200111153944166"</f>
        <v>20200111153944166</v>
      </c>
      <c r="B3311" t="str">
        <f>"1578728384154586"</f>
        <v>1578728384154586</v>
      </c>
      <c r="C3311" t="s">
        <v>40</v>
      </c>
      <c r="D3311">
        <v>5.2986370000000003</v>
      </c>
      <c r="E3311">
        <v>0.4661073</v>
      </c>
      <c r="F3311" t="s">
        <v>42</v>
      </c>
      <c r="G3311">
        <v>-390.70460000000003</v>
      </c>
      <c r="H3311" s="1">
        <v>-4.4906060000000004E-6</v>
      </c>
      <c r="I3311">
        <v>20.052759999999999</v>
      </c>
      <c r="J3311">
        <v>-407.61799999999999</v>
      </c>
      <c r="K3311">
        <v>1.109934</v>
      </c>
      <c r="L3311">
        <v>19.70645</v>
      </c>
      <c r="M3311">
        <v>0.96752450000000001</v>
      </c>
      <c r="N3311">
        <v>0</v>
      </c>
      <c r="O3311">
        <v>-0.25239099999999998</v>
      </c>
      <c r="P3311">
        <v>0.99784490000000003</v>
      </c>
      <c r="Q3311">
        <v>5.9603650000000001E-2</v>
      </c>
      <c r="R3311">
        <v>-2.7435569999999999E-2</v>
      </c>
      <c r="S3311">
        <v>3.020508</v>
      </c>
      <c r="T3311">
        <v>-0.19557830000000001</v>
      </c>
      <c r="U3311">
        <v>5.1666259999999999E-2</v>
      </c>
      <c r="V3311">
        <v>-0.2261803</v>
      </c>
      <c r="W3311">
        <v>7.0503179999999999E-2</v>
      </c>
      <c r="X3311">
        <v>0.97153060000000002</v>
      </c>
      <c r="Y3311">
        <v>-0.26784599999999997</v>
      </c>
      <c r="Z3311">
        <v>2.4861830000000001E-2</v>
      </c>
      <c r="AA3311">
        <v>0.96314089999999997</v>
      </c>
      <c r="AB3311">
        <v>24</v>
      </c>
      <c r="AC3311">
        <v>16.913399999999999</v>
      </c>
      <c r="AD3311">
        <v>-1.1099384906059999</v>
      </c>
      <c r="AE3311">
        <v>0.34630999999999801</v>
      </c>
      <c r="AF3311">
        <v>-4.5845668907042798</v>
      </c>
      <c r="AG3311">
        <v>-1.1099384906059999</v>
      </c>
      <c r="AH3311">
        <v>16.208536916331202</v>
      </c>
      <c r="AI3311">
        <v>93.769968884648094</v>
      </c>
      <c r="AJ3311">
        <v>105.793497480637</v>
      </c>
      <c r="AK3311">
        <v>16.880962235498899</v>
      </c>
      <c r="AL3311">
        <v>85.9571111493225</v>
      </c>
      <c r="AM3311">
        <v>103.10548515411099</v>
      </c>
      <c r="AN3311">
        <v>0.99999996661727997</v>
      </c>
    </row>
    <row r="3312" spans="1:40" x14ac:dyDescent="0.3">
      <c r="A3312" t="str">
        <f>"20200111153944187"</f>
        <v>20200111153944187</v>
      </c>
      <c r="B3312" t="str">
        <f>"1578728384183867"</f>
        <v>1578728384183867</v>
      </c>
      <c r="C3312" t="s">
        <v>40</v>
      </c>
      <c r="D3312">
        <v>5.3425909999999996</v>
      </c>
      <c r="E3312">
        <v>0.46708670000000002</v>
      </c>
      <c r="F3312" t="s">
        <v>67</v>
      </c>
      <c r="G3312">
        <v>-382.63819999999998</v>
      </c>
      <c r="H3312" s="1">
        <v>-3.8938419999999998E-6</v>
      </c>
      <c r="I3312">
        <v>21.170069999999999</v>
      </c>
      <c r="J3312">
        <v>-407.39150000000001</v>
      </c>
      <c r="K3312">
        <v>1.109839</v>
      </c>
      <c r="L3312">
        <v>19.655729999999998</v>
      </c>
      <c r="M3312">
        <v>0.96927980000000002</v>
      </c>
      <c r="N3312">
        <v>0</v>
      </c>
      <c r="O3312">
        <v>-0.24556610000000001</v>
      </c>
      <c r="P3312">
        <v>0.99801519999999999</v>
      </c>
      <c r="Q3312">
        <v>5.9259590000000001E-2</v>
      </c>
      <c r="R3312">
        <v>-2.1312850000000001E-2</v>
      </c>
      <c r="S3312">
        <v>3.0193479999999999</v>
      </c>
      <c r="T3312">
        <v>-0.1341599</v>
      </c>
      <c r="U3312">
        <v>0.1769104</v>
      </c>
      <c r="V3312">
        <v>-0.22527620000000001</v>
      </c>
      <c r="W3312">
        <v>7.0191149999999994E-2</v>
      </c>
      <c r="X3312">
        <v>0.9717633</v>
      </c>
      <c r="Y3312">
        <v>-0.30133409999999999</v>
      </c>
      <c r="Z3312">
        <v>1.751817E-2</v>
      </c>
      <c r="AA3312">
        <v>0.95335769999999997</v>
      </c>
      <c r="AB3312">
        <v>24</v>
      </c>
      <c r="AC3312">
        <v>24.753299999999999</v>
      </c>
      <c r="AD3312">
        <v>-1.109842893842</v>
      </c>
      <c r="AE3312">
        <v>1.51434</v>
      </c>
      <c r="AF3312">
        <v>-7.53203741570952</v>
      </c>
      <c r="AG3312">
        <v>-1.109842893842</v>
      </c>
      <c r="AH3312">
        <v>23.5760763801485</v>
      </c>
      <c r="AI3312">
        <v>92.567544195271793</v>
      </c>
      <c r="AJ3312">
        <v>107.717536564562</v>
      </c>
      <c r="AK3312">
        <v>24.774880753764599</v>
      </c>
      <c r="AL3312">
        <v>85.975033839466093</v>
      </c>
      <c r="AM3312">
        <v>103.05187788968701</v>
      </c>
      <c r="AN3312">
        <v>1.00000003752582</v>
      </c>
    </row>
    <row r="3313" spans="1:40" x14ac:dyDescent="0.3">
      <c r="A3313" t="str">
        <f>"20200111153944211"</f>
        <v>20200111153944211</v>
      </c>
      <c r="B3313" t="str">
        <f>"1578728384204363"</f>
        <v>1578728384204363</v>
      </c>
      <c r="C3313" t="s">
        <v>40</v>
      </c>
      <c r="D3313">
        <v>5.2833059999999996</v>
      </c>
      <c r="E3313">
        <v>0.4685725</v>
      </c>
      <c r="F3313" t="s">
        <v>67</v>
      </c>
      <c r="G3313">
        <v>-382.45749999999998</v>
      </c>
      <c r="H3313" s="1">
        <v>-3.9887100000000003E-6</v>
      </c>
      <c r="I3313">
        <v>21.2056</v>
      </c>
      <c r="J3313">
        <v>-407.15</v>
      </c>
      <c r="K3313">
        <v>1.109742</v>
      </c>
      <c r="L3313">
        <v>19.603300000000001</v>
      </c>
      <c r="M3313">
        <v>0.97106729999999997</v>
      </c>
      <c r="N3313">
        <v>0</v>
      </c>
      <c r="O3313">
        <v>-0.2384011</v>
      </c>
      <c r="P3313">
        <v>0.99815710000000002</v>
      </c>
      <c r="Q3313">
        <v>5.882594E-2</v>
      </c>
      <c r="R3313">
        <v>-1.490296E-2</v>
      </c>
      <c r="S3313">
        <v>3.017944</v>
      </c>
      <c r="T3313">
        <v>-0.13433210000000001</v>
      </c>
      <c r="U3313">
        <v>0.1875916</v>
      </c>
      <c r="V3313">
        <v>-0.22432279999999999</v>
      </c>
      <c r="W3313">
        <v>6.9791590000000001E-2</v>
      </c>
      <c r="X3313">
        <v>0.9720126</v>
      </c>
      <c r="Y3313">
        <v>-0.29768749999999999</v>
      </c>
      <c r="Z3313">
        <v>1.715473E-2</v>
      </c>
      <c r="AA3313">
        <v>0.9545093</v>
      </c>
      <c r="AB3313">
        <v>24</v>
      </c>
      <c r="AC3313">
        <v>24.6924999999999</v>
      </c>
      <c r="AD3313">
        <v>-1.1097459887100001</v>
      </c>
      <c r="AE3313">
        <v>1.6022999999999901</v>
      </c>
      <c r="AF3313">
        <v>-7.42843807035071</v>
      </c>
      <c r="AG3313">
        <v>-1.1097459887100001</v>
      </c>
      <c r="AH3313">
        <v>23.5509993079936</v>
      </c>
      <c r="AI3313">
        <v>92.573056259261804</v>
      </c>
      <c r="AJ3313">
        <v>107.506276562605</v>
      </c>
      <c r="AK3313">
        <v>24.719684397856099</v>
      </c>
      <c r="AL3313">
        <v>85.9979832298567</v>
      </c>
      <c r="AM3313">
        <v>102.99529956450399</v>
      </c>
      <c r="AN3313">
        <v>1.00000003959666</v>
      </c>
    </row>
    <row r="3314" spans="1:40" x14ac:dyDescent="0.3">
      <c r="A3314" t="str">
        <f>"20200111153944233"</f>
        <v>20200111153944233</v>
      </c>
      <c r="B3314" t="str">
        <f>"1578728384224859"</f>
        <v>1578728384224859</v>
      </c>
      <c r="C3314" t="s">
        <v>40</v>
      </c>
      <c r="D3314">
        <v>5.2310540000000003</v>
      </c>
      <c r="E3314">
        <v>0.46969050000000001</v>
      </c>
      <c r="F3314" t="s">
        <v>67</v>
      </c>
      <c r="G3314">
        <v>-382.73630000000003</v>
      </c>
      <c r="H3314" s="1">
        <v>-3.8504420000000003E-6</v>
      </c>
      <c r="I3314">
        <v>21.1813</v>
      </c>
      <c r="J3314">
        <v>-406.91079999999999</v>
      </c>
      <c r="K3314">
        <v>1.109659</v>
      </c>
      <c r="L3314">
        <v>19.553039999999999</v>
      </c>
      <c r="M3314">
        <v>0.97275599999999995</v>
      </c>
      <c r="N3314">
        <v>0</v>
      </c>
      <c r="O3314">
        <v>-0.2314165</v>
      </c>
      <c r="P3314">
        <v>0.9982124</v>
      </c>
      <c r="Q3314">
        <v>5.9083129999999998E-2</v>
      </c>
      <c r="R3314">
        <v>-9.0242619999999999E-3</v>
      </c>
      <c r="S3314">
        <v>3.0165410000000001</v>
      </c>
      <c r="T3314">
        <v>-0.13711970000000001</v>
      </c>
      <c r="U3314">
        <v>0.19497680000000001</v>
      </c>
      <c r="V3314">
        <v>-0.2230443</v>
      </c>
      <c r="W3314">
        <v>7.0085060000000005E-2</v>
      </c>
      <c r="X3314">
        <v>0.97228559999999997</v>
      </c>
      <c r="Y3314">
        <v>-0.293168599999999</v>
      </c>
      <c r="Z3314">
        <v>1.7104009999999999E-2</v>
      </c>
      <c r="AA3314">
        <v>0.95590779999999997</v>
      </c>
      <c r="AB3314">
        <v>24</v>
      </c>
      <c r="AC3314">
        <v>24.174499999999899</v>
      </c>
      <c r="AD3314">
        <v>-1.1096628504420001</v>
      </c>
      <c r="AE3314">
        <v>1.62826</v>
      </c>
      <c r="AF3314">
        <v>-7.16394133640215</v>
      </c>
      <c r="AG3314">
        <v>-1.1096628504420001</v>
      </c>
      <c r="AH3314">
        <v>23.092870085350199</v>
      </c>
      <c r="AI3314">
        <v>92.6277172275353</v>
      </c>
      <c r="AJ3314">
        <v>107.23509650147101</v>
      </c>
      <c r="AK3314">
        <v>24.204009087172398</v>
      </c>
      <c r="AL3314">
        <v>85.9811271302503</v>
      </c>
      <c r="AM3314">
        <v>102.920221002674</v>
      </c>
      <c r="AN3314">
        <v>0.99999998168252602</v>
      </c>
    </row>
    <row r="3315" spans="1:40" x14ac:dyDescent="0.3">
      <c r="A3315" t="str">
        <f>"20200111153944257"</f>
        <v>20200111153944257</v>
      </c>
      <c r="B3315" t="str">
        <f>"1578728384254138"</f>
        <v>1578728384254138</v>
      </c>
      <c r="C3315" t="s">
        <v>40</v>
      </c>
      <c r="D3315">
        <v>5.2597839999999998</v>
      </c>
      <c r="E3315">
        <v>0.47109329999999999</v>
      </c>
      <c r="F3315" t="s">
        <v>67</v>
      </c>
      <c r="G3315">
        <v>-382.4425</v>
      </c>
      <c r="H3315" s="1">
        <v>-3.9963129999999999E-6</v>
      </c>
      <c r="I3315">
        <v>21.207519999999999</v>
      </c>
      <c r="J3315">
        <v>-406.66950000000003</v>
      </c>
      <c r="K3315">
        <v>1.1095919999999999</v>
      </c>
      <c r="L3315">
        <v>19.504090000000001</v>
      </c>
      <c r="M3315">
        <v>0.97438539999999996</v>
      </c>
      <c r="N3315">
        <v>0</v>
      </c>
      <c r="O3315">
        <v>-0.2244583</v>
      </c>
      <c r="P3315">
        <v>0.99818660000000003</v>
      </c>
      <c r="Q3315">
        <v>6.0075499999999997E-2</v>
      </c>
      <c r="R3315">
        <v>-3.852758E-3</v>
      </c>
      <c r="S3315">
        <v>3.01532</v>
      </c>
      <c r="T3315">
        <v>-0.13674749999999999</v>
      </c>
      <c r="U3315">
        <v>0.20388790000000001</v>
      </c>
      <c r="V3315">
        <v>-0.22111529999999999</v>
      </c>
      <c r="W3315">
        <v>7.1114380000000005E-2</v>
      </c>
      <c r="X3315">
        <v>0.97265140000000005</v>
      </c>
      <c r="Y3315">
        <v>-0.28918529999999998</v>
      </c>
      <c r="Z3315">
        <v>1.666374E-2</v>
      </c>
      <c r="AA3315">
        <v>0.95712799999999998</v>
      </c>
      <c r="AB3315">
        <v>24</v>
      </c>
      <c r="AC3315">
        <v>24.227</v>
      </c>
      <c r="AD3315">
        <v>-1.109595996313</v>
      </c>
      <c r="AE3315">
        <v>1.70343</v>
      </c>
      <c r="AF3315">
        <v>-7.0836426697972996</v>
      </c>
      <c r="AG3315">
        <v>-1.109595996313</v>
      </c>
      <c r="AH3315">
        <v>23.177931121678501</v>
      </c>
      <c r="AI3315">
        <v>92.621316272018802</v>
      </c>
      <c r="AJ3315">
        <v>106.994207923346</v>
      </c>
      <c r="AK3315">
        <v>24.2616093412963</v>
      </c>
      <c r="AL3315">
        <v>85.922003933690604</v>
      </c>
      <c r="AM3315">
        <v>102.807523974164</v>
      </c>
      <c r="AN3315">
        <v>0.99999998842941695</v>
      </c>
    </row>
    <row r="3316" spans="1:40" x14ac:dyDescent="0.3">
      <c r="A3316" t="str">
        <f>"20200111153944278"</f>
        <v>20200111153944278</v>
      </c>
      <c r="B3316" t="str">
        <f>"1578728384274640"</f>
        <v>1578728384274640</v>
      </c>
      <c r="C3316" t="s">
        <v>40</v>
      </c>
      <c r="D3316">
        <v>5.3069750000000004</v>
      </c>
      <c r="E3316">
        <v>0.47187410000000002</v>
      </c>
      <c r="F3316" t="s">
        <v>67</v>
      </c>
      <c r="G3316">
        <v>-381.59809999999999</v>
      </c>
      <c r="H3316" s="1">
        <v>-4.4017300000000001E-6</v>
      </c>
      <c r="I3316">
        <v>21.239540000000002</v>
      </c>
      <c r="J3316">
        <v>-406.44560000000001</v>
      </c>
      <c r="K3316">
        <v>1.1095660000000001</v>
      </c>
      <c r="L3316">
        <v>19.46021</v>
      </c>
      <c r="M3316">
        <v>0.97583989999999998</v>
      </c>
      <c r="N3316">
        <v>0</v>
      </c>
      <c r="O3316">
        <v>-0.2180494</v>
      </c>
      <c r="P3316">
        <v>0.99814329999999996</v>
      </c>
      <c r="Q3316">
        <v>6.0909419999999999E-2</v>
      </c>
      <c r="R3316">
        <v>3.7534269999999999E-4</v>
      </c>
      <c r="S3316">
        <v>3.0142519999999999</v>
      </c>
      <c r="T3316">
        <v>-0.1334032</v>
      </c>
      <c r="U3316">
        <v>0.20864869999999999</v>
      </c>
      <c r="V3316">
        <v>-0.21883030000000001</v>
      </c>
      <c r="W3316">
        <v>7.1980939999999993E-2</v>
      </c>
      <c r="X3316">
        <v>0.97310439999999998</v>
      </c>
      <c r="Y3316">
        <v>-0.2844544</v>
      </c>
      <c r="Z3316">
        <v>1.5878550000000002E-2</v>
      </c>
      <c r="AA3316">
        <v>0.95855809999999997</v>
      </c>
      <c r="AB3316">
        <v>24</v>
      </c>
      <c r="AC3316">
        <v>24.8475</v>
      </c>
      <c r="AD3316">
        <v>-1.1095704017299901</v>
      </c>
      <c r="AE3316">
        <v>1.7793299999999901</v>
      </c>
      <c r="AF3316">
        <v>-7.1408400118336903</v>
      </c>
      <c r="AG3316">
        <v>-1.1095704017299901</v>
      </c>
      <c r="AH3316">
        <v>23.814232941769401</v>
      </c>
      <c r="AI3316">
        <v>92.555387512324103</v>
      </c>
      <c r="AJ3316">
        <v>106.69167321216599</v>
      </c>
      <c r="AK3316">
        <v>24.886551250742901</v>
      </c>
      <c r="AL3316">
        <v>85.872226444390506</v>
      </c>
      <c r="AM3316">
        <v>102.673759687521</v>
      </c>
      <c r="AN3316">
        <v>1.00000006461036</v>
      </c>
    </row>
    <row r="3317" spans="1:40" x14ac:dyDescent="0.3">
      <c r="A3317" t="str">
        <f>"20200111153944300"</f>
        <v>20200111153944300</v>
      </c>
      <c r="B3317" t="str">
        <f>"1578728384294159"</f>
        <v>1578728384294159</v>
      </c>
      <c r="C3317" t="s">
        <v>40</v>
      </c>
      <c r="D3317">
        <v>5.5072359999999998</v>
      </c>
      <c r="E3317">
        <v>0.4722421</v>
      </c>
      <c r="F3317" t="s">
        <v>67</v>
      </c>
      <c r="G3317">
        <v>-381.0668</v>
      </c>
      <c r="H3317" s="1">
        <v>-4.6124070000000001E-6</v>
      </c>
      <c r="I3317">
        <v>21.276949999999999</v>
      </c>
      <c r="J3317">
        <v>-406.20679999999999</v>
      </c>
      <c r="K3317">
        <v>1.1095680000000001</v>
      </c>
      <c r="L3317">
        <v>19.41507</v>
      </c>
      <c r="M3317">
        <v>0.97733510000000001</v>
      </c>
      <c r="N3317">
        <v>0</v>
      </c>
      <c r="O3317">
        <v>-0.2112483</v>
      </c>
      <c r="P3317">
        <v>0.99806430000000002</v>
      </c>
      <c r="Q3317">
        <v>6.2002160000000001E-2</v>
      </c>
      <c r="R3317">
        <v>4.8709690000000002E-3</v>
      </c>
      <c r="S3317">
        <v>3.0135800000000001</v>
      </c>
      <c r="T3317">
        <v>-0.13175510000000001</v>
      </c>
      <c r="U3317">
        <v>0.2157288</v>
      </c>
      <c r="V3317">
        <v>-0.21642700000000001</v>
      </c>
      <c r="W3317">
        <v>7.3098560000000007E-2</v>
      </c>
      <c r="X3317">
        <v>0.97355840000000005</v>
      </c>
      <c r="Y3317">
        <v>-0.28005380000000002</v>
      </c>
      <c r="Z3317">
        <v>1.529669E-2</v>
      </c>
      <c r="AA3317">
        <v>0.9598624</v>
      </c>
      <c r="AB3317">
        <v>24</v>
      </c>
      <c r="AC3317">
        <v>25.139999999999901</v>
      </c>
      <c r="AD3317">
        <v>-1.109572612407</v>
      </c>
      <c r="AE3317">
        <v>1.86187999999999</v>
      </c>
      <c r="AF3317">
        <v>-7.1173526330551704</v>
      </c>
      <c r="AG3317">
        <v>-1.109572612407</v>
      </c>
      <c r="AH3317">
        <v>24.132433008215799</v>
      </c>
      <c r="AI3317">
        <v>92.525134711418701</v>
      </c>
      <c r="AJ3317">
        <v>106.43231311123699</v>
      </c>
      <c r="AK3317">
        <v>25.184562390112799</v>
      </c>
      <c r="AL3317">
        <v>85.808022128987304</v>
      </c>
      <c r="AM3317">
        <v>102.533332857582</v>
      </c>
      <c r="AN3317">
        <v>1.0000000020068101</v>
      </c>
    </row>
    <row r="3318" spans="1:40" x14ac:dyDescent="0.3">
      <c r="A3318" t="str">
        <f>"20200111153944323"</f>
        <v>20200111153944323</v>
      </c>
      <c r="B3318" t="str">
        <f>"1578728384314655"</f>
        <v>1578728384314655</v>
      </c>
      <c r="C3318" t="s">
        <v>40</v>
      </c>
      <c r="D3318">
        <v>5.1594749999999996</v>
      </c>
      <c r="E3318">
        <v>0.48222510000000002</v>
      </c>
      <c r="F3318" t="s">
        <v>67</v>
      </c>
      <c r="G3318">
        <v>-380.13260000000002</v>
      </c>
      <c r="H3318" s="1">
        <v>-4.9896889999999998E-6</v>
      </c>
      <c r="I3318">
        <v>21.381460000000001</v>
      </c>
      <c r="J3318">
        <v>-405.96010000000001</v>
      </c>
      <c r="K3318">
        <v>1.1095930000000001</v>
      </c>
      <c r="L3318">
        <v>19.370239999999999</v>
      </c>
      <c r="M3318">
        <v>0.9788249</v>
      </c>
      <c r="N3318">
        <v>0</v>
      </c>
      <c r="O3318">
        <v>-0.20423559999999999</v>
      </c>
      <c r="P3318">
        <v>0.99793520000000002</v>
      </c>
      <c r="Q3318">
        <v>6.3581680000000002E-2</v>
      </c>
      <c r="R3318">
        <v>9.074113E-3</v>
      </c>
      <c r="S3318">
        <v>3.0126949999999999</v>
      </c>
      <c r="T3318">
        <v>-0.1282037</v>
      </c>
      <c r="U3318">
        <v>0.2272034</v>
      </c>
      <c r="V3318">
        <v>-0.2135377</v>
      </c>
      <c r="W3318">
        <v>7.4703019999999995E-2</v>
      </c>
      <c r="X3318">
        <v>0.97407449999999995</v>
      </c>
      <c r="Y3318">
        <v>-0.2768603</v>
      </c>
      <c r="Z3318">
        <v>1.452606E-2</v>
      </c>
      <c r="AA3318">
        <v>0.9608004</v>
      </c>
      <c r="AB3318">
        <v>24</v>
      </c>
      <c r="AC3318">
        <v>25.827499999999901</v>
      </c>
      <c r="AD3318">
        <v>-1.109597989689</v>
      </c>
      <c r="AE3318">
        <v>2.0112199999999998</v>
      </c>
      <c r="AF3318">
        <v>-7.2309481988716602</v>
      </c>
      <c r="AG3318">
        <v>-1.109597989689</v>
      </c>
      <c r="AH3318">
        <v>24.826648881056201</v>
      </c>
      <c r="AI3318">
        <v>92.457099882148299</v>
      </c>
      <c r="AJ3318">
        <v>106.238597871962</v>
      </c>
      <c r="AK3318">
        <v>25.882046175229998</v>
      </c>
      <c r="AL3318">
        <v>85.715841311941503</v>
      </c>
      <c r="AM3318">
        <v>102.364845090244</v>
      </c>
      <c r="AN3318">
        <v>1.0000000110343299</v>
      </c>
    </row>
    <row r="3319" spans="1:40" x14ac:dyDescent="0.3">
      <c r="A3319" t="str">
        <f>"20200111153944345"</f>
        <v>20200111153944345</v>
      </c>
      <c r="B3319" t="str">
        <f>"1578728384334178"</f>
        <v>1578728384334178</v>
      </c>
      <c r="C3319" t="s">
        <v>40</v>
      </c>
      <c r="D3319">
        <v>5.3004419999999897</v>
      </c>
      <c r="E3319">
        <v>0.4812129</v>
      </c>
      <c r="F3319" t="s">
        <v>67</v>
      </c>
      <c r="G3319">
        <v>-380.50650000000002</v>
      </c>
      <c r="H3319" s="1">
        <v>-4.7298589999999997E-6</v>
      </c>
      <c r="I3319">
        <v>20.726009999999999</v>
      </c>
      <c r="J3319">
        <v>-405.73230000000001</v>
      </c>
      <c r="K3319">
        <v>1.1096170000000001</v>
      </c>
      <c r="L3319">
        <v>19.330380000000002</v>
      </c>
      <c r="M3319">
        <v>0.98015640000000004</v>
      </c>
      <c r="N3319">
        <v>0</v>
      </c>
      <c r="O3319">
        <v>-0.19774739999999999</v>
      </c>
      <c r="P3319">
        <v>0.997838</v>
      </c>
      <c r="Q3319">
        <v>6.4543690000000001E-2</v>
      </c>
      <c r="R3319">
        <v>1.238846E-2</v>
      </c>
      <c r="S3319">
        <v>3.0131230000000002</v>
      </c>
      <c r="T3319">
        <v>-0.13135050000000001</v>
      </c>
      <c r="U3319">
        <v>0.16049189999999999</v>
      </c>
      <c r="V3319">
        <v>-0.210315</v>
      </c>
      <c r="W3319">
        <v>7.5693440000000001E-2</v>
      </c>
      <c r="X3319">
        <v>0.97469899999999998</v>
      </c>
      <c r="Y3319">
        <v>-0.24920200000000001</v>
      </c>
      <c r="Z3319">
        <v>1.400467E-2</v>
      </c>
      <c r="AA3319">
        <v>0.96835020000000005</v>
      </c>
      <c r="AB3319">
        <v>24</v>
      </c>
      <c r="AC3319">
        <v>25.2257999999999</v>
      </c>
      <c r="AD3319">
        <v>-1.1096217298590001</v>
      </c>
      <c r="AE3319">
        <v>1.3956299999999999</v>
      </c>
      <c r="AF3319">
        <v>-6.3446352406690201</v>
      </c>
      <c r="AG3319">
        <v>-1.1096217298590001</v>
      </c>
      <c r="AH3319">
        <v>24.404486445373401</v>
      </c>
      <c r="AI3319">
        <v>92.519682600220193</v>
      </c>
      <c r="AJ3319">
        <v>104.573047954247</v>
      </c>
      <c r="AK3319">
        <v>25.2401389731303</v>
      </c>
      <c r="AL3319">
        <v>85.658933326948599</v>
      </c>
      <c r="AM3319">
        <v>102.176277726514</v>
      </c>
      <c r="AN3319">
        <v>1.00000001834251</v>
      </c>
    </row>
    <row r="3320" spans="1:40" x14ac:dyDescent="0.3">
      <c r="A3320" t="str">
        <f>"20200111153944369"</f>
        <v>20200111153944369</v>
      </c>
      <c r="B3320" t="str">
        <f>"1578728384364431"</f>
        <v>1578728384364431</v>
      </c>
      <c r="C3320" t="s">
        <v>40</v>
      </c>
      <c r="D3320">
        <v>5.2514880000000002</v>
      </c>
      <c r="E3320">
        <v>0.48485660000000003</v>
      </c>
      <c r="F3320" t="s">
        <v>67</v>
      </c>
      <c r="G3320">
        <v>-380.51499999999999</v>
      </c>
      <c r="H3320" s="1">
        <v>-4.7445120000000004E-6</v>
      </c>
      <c r="I3320">
        <v>20.827210000000001</v>
      </c>
      <c r="J3320">
        <v>-405.48910000000001</v>
      </c>
      <c r="K3320">
        <v>1.109637</v>
      </c>
      <c r="L3320">
        <v>19.289580000000001</v>
      </c>
      <c r="M3320">
        <v>0.9815313</v>
      </c>
      <c r="N3320">
        <v>0</v>
      </c>
      <c r="O3320">
        <v>-0.1908069</v>
      </c>
      <c r="P3320">
        <v>0.99776240000000005</v>
      </c>
      <c r="Q3320">
        <v>6.4917359999999993E-2</v>
      </c>
      <c r="R3320">
        <v>1.6006639999999999E-2</v>
      </c>
      <c r="S3320">
        <v>3.0128170000000001</v>
      </c>
      <c r="T3320">
        <v>-0.13257140000000001</v>
      </c>
      <c r="U3320">
        <v>0.17883299999999999</v>
      </c>
      <c r="V3320">
        <v>-0.20694850000000001</v>
      </c>
      <c r="W3320">
        <v>7.6098070000000004E-2</v>
      </c>
      <c r="X3320">
        <v>0.97538780000000003</v>
      </c>
      <c r="Y3320">
        <v>-0.24823110000000001</v>
      </c>
      <c r="Z3320">
        <v>1.381229E-2</v>
      </c>
      <c r="AA3320">
        <v>0.96860239999999997</v>
      </c>
      <c r="AB3320">
        <v>24</v>
      </c>
      <c r="AC3320">
        <v>24.9741</v>
      </c>
      <c r="AD3320">
        <v>-1.1096417445119999</v>
      </c>
      <c r="AE3320">
        <v>1.5376300000000001</v>
      </c>
      <c r="AF3320">
        <v>-6.26273864377265</v>
      </c>
      <c r="AG3320">
        <v>-1.1096417445119999</v>
      </c>
      <c r="AH3320">
        <v>24.174215970707699</v>
      </c>
      <c r="AI3320">
        <v>92.5442611615413</v>
      </c>
      <c r="AJ3320">
        <v>104.524126156102</v>
      </c>
      <c r="AK3320">
        <v>24.996918168442001</v>
      </c>
      <c r="AL3320">
        <v>85.635682504056106</v>
      </c>
      <c r="AM3320">
        <v>101.978833841409</v>
      </c>
      <c r="AN3320">
        <v>0.99999997914940697</v>
      </c>
    </row>
    <row r="3321" spans="1:40" x14ac:dyDescent="0.3">
      <c r="A3321" t="str">
        <f>"20200111153944390"</f>
        <v>20200111153944390</v>
      </c>
      <c r="B3321" t="str">
        <f>"1578728384383951"</f>
        <v>1578728384383951</v>
      </c>
      <c r="C3321" t="s">
        <v>40</v>
      </c>
      <c r="D3321">
        <v>5.2609180000000002</v>
      </c>
      <c r="E3321">
        <v>0.48708879999999999</v>
      </c>
      <c r="F3321" t="s">
        <v>69</v>
      </c>
      <c r="G3321">
        <v>-279.68</v>
      </c>
      <c r="H3321">
        <v>1.09595</v>
      </c>
      <c r="I3321">
        <v>26.14883</v>
      </c>
      <c r="J3321">
        <v>-405.25810000000001</v>
      </c>
      <c r="K3321">
        <v>1.1096490000000001</v>
      </c>
      <c r="L3321">
        <v>19.252469999999999</v>
      </c>
      <c r="M3321">
        <v>0.98279399999999995</v>
      </c>
      <c r="N3321">
        <v>0</v>
      </c>
      <c r="O3321">
        <v>-0.1841941</v>
      </c>
      <c r="P3321">
        <v>0.9976583</v>
      </c>
      <c r="Q3321">
        <v>6.5599030000000003E-2</v>
      </c>
      <c r="R3321">
        <v>1.9357119999999998E-2</v>
      </c>
      <c r="S3321">
        <v>3.0041199999999999</v>
      </c>
      <c r="T3321">
        <v>-3.267527E-4</v>
      </c>
      <c r="U3321">
        <v>0.16378779999999901</v>
      </c>
      <c r="V3321">
        <v>-0.20365150000000001</v>
      </c>
      <c r="W3321">
        <v>7.6811699999999997E-2</v>
      </c>
      <c r="X3321">
        <v>0.97602560000000005</v>
      </c>
      <c r="Y3321">
        <v>-0.23744680000000001</v>
      </c>
      <c r="Z3321" s="1">
        <v>3.2864010000000003E-5</v>
      </c>
      <c r="AA3321">
        <v>0.97140059999999995</v>
      </c>
      <c r="AB3321">
        <v>24</v>
      </c>
      <c r="AC3321">
        <v>125.57810000000001</v>
      </c>
      <c r="AD3321">
        <v>-1.36989999999999E-2</v>
      </c>
      <c r="AE3321">
        <v>6.8963599999999898</v>
      </c>
      <c r="AF3321">
        <v>-29.911265060696</v>
      </c>
      <c r="AG3321">
        <v>-1.36989999999999E-2</v>
      </c>
      <c r="AH3321">
        <v>122.15864614509699</v>
      </c>
      <c r="AI3321">
        <v>90.006240849250602</v>
      </c>
      <c r="AJ3321">
        <v>103.758511545544</v>
      </c>
      <c r="AK3321">
        <v>125.767320052535</v>
      </c>
      <c r="AL3321">
        <v>85.594674451694701</v>
      </c>
      <c r="AM3321">
        <v>101.785888201894</v>
      </c>
      <c r="AN3321">
        <v>0.99999997128224904</v>
      </c>
    </row>
    <row r="3322" spans="1:40" x14ac:dyDescent="0.3">
      <c r="A3322" t="str">
        <f>"20200111153944414"</f>
        <v>20200111153944414</v>
      </c>
      <c r="B3322" t="str">
        <f>"1578728384404447"</f>
        <v>1578728384404447</v>
      </c>
      <c r="C3322" t="s">
        <v>40</v>
      </c>
      <c r="D3322">
        <v>5.2733239999999997</v>
      </c>
      <c r="E3322">
        <v>0.48797699999999999</v>
      </c>
      <c r="F3322" t="s">
        <v>70</v>
      </c>
      <c r="G3322">
        <v>-273.40989999999999</v>
      </c>
      <c r="H3322">
        <v>1.5268250000000001</v>
      </c>
      <c r="I3322">
        <v>26.094470000000001</v>
      </c>
      <c r="J3322">
        <v>-405.01799999999997</v>
      </c>
      <c r="K3322">
        <v>1.1096539999999999</v>
      </c>
      <c r="L3322">
        <v>19.21555</v>
      </c>
      <c r="M3322">
        <v>0.98405960000000003</v>
      </c>
      <c r="N3322">
        <v>0</v>
      </c>
      <c r="O3322">
        <v>-0.177308299999999</v>
      </c>
      <c r="P3322">
        <v>0.9975752</v>
      </c>
      <c r="Q3322">
        <v>6.5839309999999998E-2</v>
      </c>
      <c r="R3322">
        <v>2.2560790000000001E-2</v>
      </c>
      <c r="S3322">
        <v>3.0033569999999998</v>
      </c>
      <c r="T3322">
        <v>9.5028879999999993E-3</v>
      </c>
      <c r="U3322">
        <v>0.1558533</v>
      </c>
      <c r="V3322">
        <v>-0.19994619999999999</v>
      </c>
      <c r="W3322">
        <v>7.7092679999999997E-2</v>
      </c>
      <c r="X3322">
        <v>0.97676929999999995</v>
      </c>
      <c r="Y3322">
        <v>-0.22808680000000001</v>
      </c>
      <c r="Z3322">
        <v>-9.197001E-4</v>
      </c>
      <c r="AA3322">
        <v>0.97364039999999996</v>
      </c>
      <c r="AB3322">
        <v>24</v>
      </c>
      <c r="AC3322">
        <v>131.60810000000001</v>
      </c>
      <c r="AD3322">
        <v>0.41717100000000001</v>
      </c>
      <c r="AE3322">
        <v>6.8789199999999999</v>
      </c>
      <c r="AF3322">
        <v>-30.107011363726901</v>
      </c>
      <c r="AG3322">
        <v>0.41717100000000001</v>
      </c>
      <c r="AH3322">
        <v>128.30133021393701</v>
      </c>
      <c r="AI3322">
        <v>89.818630358466905</v>
      </c>
      <c r="AJ3322">
        <v>103.206013068432</v>
      </c>
      <c r="AK3322">
        <v>131.78709155135201</v>
      </c>
      <c r="AL3322">
        <v>85.578527797010807</v>
      </c>
      <c r="AM3322">
        <v>101.568715558226</v>
      </c>
      <c r="AN3322">
        <v>1.00000001481325</v>
      </c>
    </row>
    <row r="3323" spans="1:40" x14ac:dyDescent="0.3">
      <c r="A3323" t="str">
        <f>"20200111153944436"</f>
        <v>20200111153944436</v>
      </c>
      <c r="B3323" t="str">
        <f>"1578728384423966"</f>
        <v>1578728384423966</v>
      </c>
      <c r="C3323" t="s">
        <v>40</v>
      </c>
      <c r="D3323">
        <v>5.2740530000000003</v>
      </c>
      <c r="E3323">
        <v>0.48862250000000002</v>
      </c>
      <c r="F3323" t="s">
        <v>70</v>
      </c>
      <c r="G3323">
        <v>-273.40989999999999</v>
      </c>
      <c r="H3323">
        <v>1.502542</v>
      </c>
      <c r="I3323">
        <v>26.152699999999999</v>
      </c>
      <c r="J3323">
        <v>-404.78370000000001</v>
      </c>
      <c r="K3323">
        <v>1.109645</v>
      </c>
      <c r="L3323">
        <v>19.18121</v>
      </c>
      <c r="M3323">
        <v>0.98524650000000003</v>
      </c>
      <c r="N3323">
        <v>0</v>
      </c>
      <c r="O3323">
        <v>-0.17059050000000001</v>
      </c>
      <c r="P3323">
        <v>0.9975041</v>
      </c>
      <c r="Q3323">
        <v>6.5971360000000007E-2</v>
      </c>
      <c r="R3323">
        <v>2.516666E-2</v>
      </c>
      <c r="S3323">
        <v>3.003082</v>
      </c>
      <c r="T3323">
        <v>8.9651350000000008E-3</v>
      </c>
      <c r="U3323">
        <v>0.15829470000000001</v>
      </c>
      <c r="V3323">
        <v>-0.19582669999999999</v>
      </c>
      <c r="W3323">
        <v>7.727668E-2</v>
      </c>
      <c r="X3323">
        <v>0.97758900000000004</v>
      </c>
      <c r="Y3323">
        <v>-0.2222343</v>
      </c>
      <c r="Z3323">
        <v>-8.3914169999999998E-4</v>
      </c>
      <c r="AA3323">
        <v>0.97499290000000005</v>
      </c>
      <c r="AB3323">
        <v>24</v>
      </c>
      <c r="AC3323">
        <v>131.37379999999999</v>
      </c>
      <c r="AD3323">
        <v>0.392897</v>
      </c>
      <c r="AE3323">
        <v>6.9714899999999904</v>
      </c>
      <c r="AF3323">
        <v>-29.282253023178601</v>
      </c>
      <c r="AG3323">
        <v>0.392897</v>
      </c>
      <c r="AH3323">
        <v>128.257233422414</v>
      </c>
      <c r="AI3323">
        <v>89.828886396755806</v>
      </c>
      <c r="AJ3323">
        <v>102.86069949528201</v>
      </c>
      <c r="AK3323">
        <v>131.55805804031101</v>
      </c>
      <c r="AL3323">
        <v>85.567953840699403</v>
      </c>
      <c r="AM3323">
        <v>101.327339496592</v>
      </c>
      <c r="AN3323">
        <v>1.00000001731285</v>
      </c>
    </row>
    <row r="3324" spans="1:40" x14ac:dyDescent="0.3">
      <c r="A3324" t="str">
        <f>"20200111153944459"</f>
        <v>20200111153944459</v>
      </c>
      <c r="B3324" t="str">
        <f>"1578728384454223"</f>
        <v>1578728384454223</v>
      </c>
      <c r="C3324" t="s">
        <v>40</v>
      </c>
      <c r="D3324">
        <v>5.2952329999999996</v>
      </c>
      <c r="E3324">
        <v>0.48954340000000002</v>
      </c>
      <c r="F3324" t="s">
        <v>70</v>
      </c>
      <c r="G3324">
        <v>-273.40989999999999</v>
      </c>
      <c r="H3324">
        <v>1.3903430000000001</v>
      </c>
      <c r="I3324">
        <v>26.210290000000001</v>
      </c>
      <c r="J3324">
        <v>-404.54230000000001</v>
      </c>
      <c r="K3324">
        <v>1.1096140000000001</v>
      </c>
      <c r="L3324">
        <v>19.14761</v>
      </c>
      <c r="M3324">
        <v>0.98641469999999998</v>
      </c>
      <c r="N3324">
        <v>0</v>
      </c>
      <c r="O3324">
        <v>-0.16370129999999999</v>
      </c>
      <c r="P3324">
        <v>0.99739169999999999</v>
      </c>
      <c r="Q3324">
        <v>6.6402409999999995E-2</v>
      </c>
      <c r="R3324">
        <v>2.8290740000000002E-2</v>
      </c>
      <c r="S3324">
        <v>3.0030209999999999</v>
      </c>
      <c r="T3324">
        <v>6.4164399999999998E-3</v>
      </c>
      <c r="U3324">
        <v>0.16067500000000001</v>
      </c>
      <c r="V3324">
        <v>-0.19204689999999999</v>
      </c>
      <c r="W3324">
        <v>7.7759679999999998E-2</v>
      </c>
      <c r="X3324">
        <v>0.97830030000000001</v>
      </c>
      <c r="Y3324">
        <v>-0.2161891</v>
      </c>
      <c r="Z3324">
        <v>-5.7954909999999998E-4</v>
      </c>
      <c r="AA3324">
        <v>0.97635130000000003</v>
      </c>
      <c r="AB3324">
        <v>24</v>
      </c>
      <c r="AC3324">
        <v>131.13239999999999</v>
      </c>
      <c r="AD3324">
        <v>0.28072900000000001</v>
      </c>
      <c r="AE3324">
        <v>7.0626800000000003</v>
      </c>
      <c r="AF3324">
        <v>-28.4358178038006</v>
      </c>
      <c r="AG3324">
        <v>0.28072900000000001</v>
      </c>
      <c r="AH3324">
        <v>128.20621836677401</v>
      </c>
      <c r="AI3324">
        <v>89.877518010053393</v>
      </c>
      <c r="AJ3324">
        <v>102.50561561086499</v>
      </c>
      <c r="AK3324">
        <v>131.32215719691499</v>
      </c>
      <c r="AL3324">
        <v>85.540196504856695</v>
      </c>
      <c r="AM3324">
        <v>101.10631687825899</v>
      </c>
      <c r="AN3324">
        <v>1.0000000283067001</v>
      </c>
    </row>
    <row r="3325" spans="1:40" x14ac:dyDescent="0.3">
      <c r="A3325" t="str">
        <f>"20200111153944479"</f>
        <v>20200111153944479</v>
      </c>
      <c r="B3325" t="str">
        <f>"1578728384474719"</f>
        <v>1578728384474719</v>
      </c>
      <c r="C3325" t="s">
        <v>40</v>
      </c>
      <c r="D3325">
        <v>5.287604</v>
      </c>
      <c r="E3325">
        <v>0.48979289999999998</v>
      </c>
      <c r="F3325" t="s">
        <v>69</v>
      </c>
      <c r="G3325">
        <v>-279.68</v>
      </c>
      <c r="H3325">
        <v>1.320181</v>
      </c>
      <c r="I3325">
        <v>25.89442</v>
      </c>
      <c r="J3325">
        <v>-404.32150000000001</v>
      </c>
      <c r="K3325">
        <v>1.1095729999999999</v>
      </c>
      <c r="L3325">
        <v>19.11835</v>
      </c>
      <c r="M3325">
        <v>0.9874349</v>
      </c>
      <c r="N3325">
        <v>0</v>
      </c>
      <c r="O3325">
        <v>-0.15743119999999999</v>
      </c>
      <c r="P3325">
        <v>0.99730609999999997</v>
      </c>
      <c r="Q3325">
        <v>6.656136E-2</v>
      </c>
      <c r="R3325">
        <v>3.082499E-2</v>
      </c>
      <c r="S3325">
        <v>3.0029599999999999</v>
      </c>
      <c r="T3325">
        <v>5.0642489999999998E-3</v>
      </c>
      <c r="U3325">
        <v>0.16226199999999999</v>
      </c>
      <c r="V3325">
        <v>-0.18830710000000001</v>
      </c>
      <c r="W3325">
        <v>7.7973130000000002E-2</v>
      </c>
      <c r="X3325">
        <v>0.97901000000000005</v>
      </c>
      <c r="Y3325">
        <v>-0.2104984</v>
      </c>
      <c r="Z3325">
        <v>-4.4214100000000001E-4</v>
      </c>
      <c r="AA3325">
        <v>0.97759410000000002</v>
      </c>
      <c r="AB3325">
        <v>24</v>
      </c>
      <c r="AC3325">
        <v>124.64149999999999</v>
      </c>
      <c r="AD3325">
        <v>0.21060799999999999</v>
      </c>
      <c r="AE3325">
        <v>6.7760699999999998</v>
      </c>
      <c r="AF3325">
        <v>-26.315784331141799</v>
      </c>
      <c r="AG3325">
        <v>0.21060799999999999</v>
      </c>
      <c r="AH3325">
        <v>122.01970919015901</v>
      </c>
      <c r="AI3325">
        <v>89.903329309137305</v>
      </c>
      <c r="AJ3325">
        <v>102.170474607717</v>
      </c>
      <c r="AK3325">
        <v>124.82537519088</v>
      </c>
      <c r="AL3325">
        <v>85.527929243791206</v>
      </c>
      <c r="AM3325">
        <v>100.887555735154</v>
      </c>
      <c r="AN3325">
        <v>0.99999997650620298</v>
      </c>
    </row>
    <row r="3326" spans="1:40" x14ac:dyDescent="0.3">
      <c r="A3326" t="str">
        <f>"20200111153944503"</f>
        <v>20200111153944503</v>
      </c>
      <c r="B3326" t="str">
        <f>"1578728384494239"</f>
        <v>1578728384494239</v>
      </c>
      <c r="C3326" t="s">
        <v>40</v>
      </c>
      <c r="D3326">
        <v>5.2898430000000003</v>
      </c>
      <c r="E3326">
        <v>0.49011199999999999</v>
      </c>
      <c r="F3326" t="s">
        <v>69</v>
      </c>
      <c r="G3326">
        <v>-279.68</v>
      </c>
      <c r="H3326">
        <v>1.231363</v>
      </c>
      <c r="I3326">
        <v>26.07546</v>
      </c>
      <c r="J3326">
        <v>-404.07470000000001</v>
      </c>
      <c r="K3326">
        <v>1.1095189999999999</v>
      </c>
      <c r="L3326">
        <v>19.087250000000001</v>
      </c>
      <c r="M3326">
        <v>0.98851789999999995</v>
      </c>
      <c r="N3326">
        <v>0</v>
      </c>
      <c r="O3326">
        <v>-0.15048249999999999</v>
      </c>
      <c r="P3326">
        <v>0.99724889999999999</v>
      </c>
      <c r="Q3326">
        <v>6.5850270000000002E-2</v>
      </c>
      <c r="R3326">
        <v>3.4039859999999998E-2</v>
      </c>
      <c r="S3326">
        <v>3.0027159999999999</v>
      </c>
      <c r="T3326">
        <v>2.934098E-3</v>
      </c>
      <c r="U3326">
        <v>0.16760249999999999</v>
      </c>
      <c r="V3326">
        <v>-0.18456320000000001</v>
      </c>
      <c r="W3326">
        <v>7.7323260000000005E-2</v>
      </c>
      <c r="X3326">
        <v>0.97977420000000004</v>
      </c>
      <c r="Y3326">
        <v>-0.20535800000000001</v>
      </c>
      <c r="Z3326">
        <v>-2.469312E-4</v>
      </c>
      <c r="AA3326">
        <v>0.97868690000000003</v>
      </c>
      <c r="AB3326">
        <v>24</v>
      </c>
      <c r="AC3326">
        <v>124.3947</v>
      </c>
      <c r="AD3326">
        <v>0.12184399999999899</v>
      </c>
      <c r="AE3326">
        <v>6.9882099999999898</v>
      </c>
      <c r="AF3326">
        <v>-25.6295729359787</v>
      </c>
      <c r="AG3326">
        <v>0.12184399999999899</v>
      </c>
      <c r="AH3326">
        <v>121.92609140924399</v>
      </c>
      <c r="AI3326">
        <v>89.943967376553601</v>
      </c>
      <c r="AJ3326">
        <v>101.871072692209</v>
      </c>
      <c r="AK3326">
        <v>124.590776629638</v>
      </c>
      <c r="AL3326">
        <v>85.565276793243399</v>
      </c>
      <c r="AM3326">
        <v>100.667979066063</v>
      </c>
      <c r="AN3326">
        <v>0.99999997215845304</v>
      </c>
    </row>
    <row r="3327" spans="1:40" x14ac:dyDescent="0.3">
      <c r="A3327" t="str">
        <f>"20200111153944526"</f>
        <v>20200111153944526</v>
      </c>
      <c r="B3327" t="str">
        <f>"1578728384514734"</f>
        <v>1578728384514734</v>
      </c>
      <c r="C3327" t="s">
        <v>40</v>
      </c>
      <c r="D3327">
        <v>5.2478059999999997</v>
      </c>
      <c r="E3327">
        <v>0.4902861</v>
      </c>
      <c r="F3327" t="s">
        <v>69</v>
      </c>
      <c r="G3327">
        <v>-279.68</v>
      </c>
      <c r="H3327">
        <v>1.035787</v>
      </c>
      <c r="I3327">
        <v>26.319500000000001</v>
      </c>
      <c r="J3327">
        <v>-403.83479999999997</v>
      </c>
      <c r="K3327">
        <v>1.1094520000000001</v>
      </c>
      <c r="L3327">
        <v>19.058589999999999</v>
      </c>
      <c r="M3327">
        <v>0.98950879999999997</v>
      </c>
      <c r="N3327">
        <v>0</v>
      </c>
      <c r="O3327">
        <v>-0.14382410000000001</v>
      </c>
      <c r="P3327">
        <v>0.99722149999999998</v>
      </c>
      <c r="Q3327">
        <v>6.4353530000000006E-2</v>
      </c>
      <c r="R3327">
        <v>3.7522840000000002E-2</v>
      </c>
      <c r="S3327">
        <v>3.0024410000000001</v>
      </c>
      <c r="T3327">
        <v>-1.7795560000000001E-3</v>
      </c>
      <c r="U3327">
        <v>0.17456050000000001</v>
      </c>
      <c r="V3327">
        <v>-0.18137130000000001</v>
      </c>
      <c r="W3327">
        <v>7.5887919999999998E-2</v>
      </c>
      <c r="X3327">
        <v>0.98048230000000003</v>
      </c>
      <c r="Y3327">
        <v>-0.20103299999999999</v>
      </c>
      <c r="Z3327">
        <v>1.4457369999999999E-4</v>
      </c>
      <c r="AA3327">
        <v>0.97958449999999997</v>
      </c>
      <c r="AB3327">
        <v>24</v>
      </c>
      <c r="AC3327">
        <v>124.154799999999</v>
      </c>
      <c r="AD3327">
        <v>-7.3664999999999994E-2</v>
      </c>
      <c r="AE3327">
        <v>7.26091</v>
      </c>
      <c r="AF3327">
        <v>-25.043519141113599</v>
      </c>
      <c r="AG3327">
        <v>-7.3664999999999994E-2</v>
      </c>
      <c r="AH3327">
        <v>121.81931896476</v>
      </c>
      <c r="AI3327">
        <v>90.033937432771495</v>
      </c>
      <c r="AJ3327">
        <v>101.616970377436</v>
      </c>
      <c r="AK3327">
        <v>124.366915819849</v>
      </c>
      <c r="AL3327">
        <v>85.6477583645501</v>
      </c>
      <c r="AM3327">
        <v>100.48020530483799</v>
      </c>
      <c r="AN3327">
        <v>1.00000003273945</v>
      </c>
    </row>
    <row r="3328" spans="1:40" x14ac:dyDescent="0.3">
      <c r="A3328" t="str">
        <f>"20200111153944547"</f>
        <v>20200111153944547</v>
      </c>
      <c r="B3328" t="str">
        <f>"1578728384534255"</f>
        <v>1578728384534255</v>
      </c>
      <c r="C3328" t="s">
        <v>40</v>
      </c>
      <c r="D3328">
        <v>5.226337</v>
      </c>
      <c r="E3328">
        <v>0.4907473</v>
      </c>
      <c r="F3328" t="s">
        <v>69</v>
      </c>
      <c r="G3328">
        <v>-279.68</v>
      </c>
      <c r="H3328">
        <v>0.69863529999999996</v>
      </c>
      <c r="I3328">
        <v>26.641110000000001</v>
      </c>
      <c r="J3328">
        <v>-403.60520000000002</v>
      </c>
      <c r="K3328">
        <v>1.1093770000000001</v>
      </c>
      <c r="L3328">
        <v>19.03256</v>
      </c>
      <c r="M3328">
        <v>0.99039730000000004</v>
      </c>
      <c r="N3328">
        <v>0</v>
      </c>
      <c r="O3328">
        <v>-0.1375738</v>
      </c>
      <c r="P3328">
        <v>0.99714460000000005</v>
      </c>
      <c r="Q3328">
        <v>6.3292899999999999E-2</v>
      </c>
      <c r="R3328">
        <v>4.118815E-2</v>
      </c>
      <c r="S3328">
        <v>3.0021360000000001</v>
      </c>
      <c r="T3328">
        <v>-9.9337100000000001E-3</v>
      </c>
      <c r="U3328">
        <v>0.1833496</v>
      </c>
      <c r="V3328">
        <v>-0.1787647</v>
      </c>
      <c r="W3328">
        <v>7.4886079999999994E-2</v>
      </c>
      <c r="X3328">
        <v>0.98103790000000002</v>
      </c>
      <c r="Y3328">
        <v>-0.19770869999999999</v>
      </c>
      <c r="Z3328">
        <v>7.8101639999999996E-4</v>
      </c>
      <c r="AA3328">
        <v>0.98026049999999998</v>
      </c>
      <c r="AB3328">
        <v>24</v>
      </c>
      <c r="AC3328">
        <v>123.9252</v>
      </c>
      <c r="AD3328">
        <v>-0.41074169999999999</v>
      </c>
      <c r="AE3328">
        <v>7.6085499999999904</v>
      </c>
      <c r="AF3328">
        <v>-24.5863734826418</v>
      </c>
      <c r="AG3328">
        <v>-0.41074169999999999</v>
      </c>
      <c r="AH3328">
        <v>121.698471868653</v>
      </c>
      <c r="AI3328">
        <v>90.189547460243304</v>
      </c>
      <c r="AJ3328">
        <v>101.42155882647501</v>
      </c>
      <c r="AK3328">
        <v>124.15786936371499</v>
      </c>
      <c r="AL3328">
        <v>85.7053234619341</v>
      </c>
      <c r="AM3328">
        <v>100.327129180618</v>
      </c>
      <c r="AN3328">
        <v>1.00000005209013</v>
      </c>
    </row>
    <row r="3329" spans="1:40" x14ac:dyDescent="0.3">
      <c r="A3329" t="str">
        <f>"20200111153944568"</f>
        <v>20200111153944568</v>
      </c>
      <c r="B3329" t="str">
        <f>"1578728384564511"</f>
        <v>1578728384564511</v>
      </c>
      <c r="C3329" t="s">
        <v>40</v>
      </c>
      <c r="D3329">
        <v>5.2635329999999998</v>
      </c>
      <c r="E3329">
        <v>0.49120409999999998</v>
      </c>
      <c r="F3329" t="s">
        <v>71</v>
      </c>
      <c r="G3329">
        <v>-279.68</v>
      </c>
      <c r="H3329">
        <v>0.47355320000000001</v>
      </c>
      <c r="I3329">
        <v>26.895700000000001</v>
      </c>
      <c r="J3329">
        <v>-403.38630000000001</v>
      </c>
      <c r="K3329">
        <v>1.109283</v>
      </c>
      <c r="L3329">
        <v>19.008970000000001</v>
      </c>
      <c r="M3329">
        <v>0.99118819999999996</v>
      </c>
      <c r="N3329">
        <v>0</v>
      </c>
      <c r="O3329">
        <v>-0.13175680000000001</v>
      </c>
      <c r="P3329">
        <v>0.99693509999999996</v>
      </c>
      <c r="Q3329">
        <v>6.3902410000000007E-2</v>
      </c>
      <c r="R3329">
        <v>4.5134859999999999E-2</v>
      </c>
      <c r="S3329">
        <v>3.001709</v>
      </c>
      <c r="T3329">
        <v>-1.540101E-2</v>
      </c>
      <c r="U3329">
        <v>0.1904602</v>
      </c>
      <c r="V3329">
        <v>-0.17686789999999999</v>
      </c>
      <c r="W3329">
        <v>7.5549859999999996E-2</v>
      </c>
      <c r="X3329">
        <v>0.9813307</v>
      </c>
      <c r="Y3329">
        <v>-0.19427150000000001</v>
      </c>
      <c r="Z3329">
        <v>1.1724929999999999E-3</v>
      </c>
      <c r="AA3329">
        <v>0.98094709999999996</v>
      </c>
      <c r="AB3329">
        <v>24</v>
      </c>
      <c r="AC3329">
        <v>123.7063</v>
      </c>
      <c r="AD3329">
        <v>-0.63572980000000001</v>
      </c>
      <c r="AE3329">
        <v>7.88673</v>
      </c>
      <c r="AF3329">
        <v>-24.117989889127902</v>
      </c>
      <c r="AG3329">
        <v>-0.63572980000000001</v>
      </c>
      <c r="AH3329">
        <v>121.585210698601</v>
      </c>
      <c r="AI3329">
        <v>90.293853039297005</v>
      </c>
      <c r="AJ3329">
        <v>101.21971056184</v>
      </c>
      <c r="AK3329">
        <v>123.955818940838</v>
      </c>
      <c r="AL3329">
        <v>85.6671833514132</v>
      </c>
      <c r="AM3329">
        <v>100.216888539462</v>
      </c>
      <c r="AN3329">
        <v>0.99999998907945897</v>
      </c>
    </row>
    <row r="3330" spans="1:40" x14ac:dyDescent="0.3">
      <c r="A3330" t="str">
        <f>"20200111153944591"</f>
        <v>20200111153944591</v>
      </c>
      <c r="B3330" t="str">
        <f>"1578728384584031"</f>
        <v>1578728384584031</v>
      </c>
      <c r="C3330" t="s">
        <v>40</v>
      </c>
      <c r="D3330">
        <v>5.2305039999999998</v>
      </c>
      <c r="E3330">
        <v>0.4954847</v>
      </c>
      <c r="F3330" t="s">
        <v>71</v>
      </c>
      <c r="G3330">
        <v>-279.68</v>
      </c>
      <c r="H3330">
        <v>0.44523639999999998</v>
      </c>
      <c r="I3330">
        <v>27.18009</v>
      </c>
      <c r="J3330">
        <v>-403.14</v>
      </c>
      <c r="K3330">
        <v>1.1091580000000001</v>
      </c>
      <c r="L3330">
        <v>18.983730000000001</v>
      </c>
      <c r="M3330">
        <v>0.9920118</v>
      </c>
      <c r="N3330">
        <v>0</v>
      </c>
      <c r="O3330">
        <v>-0.125405399999999</v>
      </c>
      <c r="P3330">
        <v>0.99658979999999997</v>
      </c>
      <c r="Q3330">
        <v>6.4969639999999995E-2</v>
      </c>
      <c r="R3330">
        <v>5.0873120000000001E-2</v>
      </c>
      <c r="S3330">
        <v>3.0012819999999998</v>
      </c>
      <c r="T3330">
        <v>-1.6110780000000002E-2</v>
      </c>
      <c r="U3330">
        <v>0.19824220000000001</v>
      </c>
      <c r="V3330">
        <v>-0.17620559999999999</v>
      </c>
      <c r="W3330">
        <v>7.6669550000000003E-2</v>
      </c>
      <c r="X3330">
        <v>0.98136299999999999</v>
      </c>
      <c r="Y3330">
        <v>-0.19052830000000001</v>
      </c>
      <c r="Z3330">
        <v>1.1826759999999999E-3</v>
      </c>
      <c r="AA3330">
        <v>0.98168100000000003</v>
      </c>
      <c r="AB3330">
        <v>24</v>
      </c>
      <c r="AC3330">
        <v>123.459999999999</v>
      </c>
      <c r="AD3330">
        <v>-0.6639216</v>
      </c>
      <c r="AE3330">
        <v>8.1963600000000003</v>
      </c>
      <c r="AF3330">
        <v>-23.614953834033798</v>
      </c>
      <c r="AG3330">
        <v>-0.6639216</v>
      </c>
      <c r="AH3330">
        <v>121.45371269317501</v>
      </c>
      <c r="AI3330">
        <v>90.307444357174703</v>
      </c>
      <c r="AJ3330">
        <v>101.003065442886</v>
      </c>
      <c r="AK3330">
        <v>123.729992982425</v>
      </c>
      <c r="AL3330">
        <v>85.602843198650802</v>
      </c>
      <c r="AM3330">
        <v>100.179103776315</v>
      </c>
      <c r="AN3330">
        <v>0.999999985568781</v>
      </c>
    </row>
    <row r="3331" spans="1:40" x14ac:dyDescent="0.3">
      <c r="A3331" t="str">
        <f>"20200111153944614"</f>
        <v>20200111153944614</v>
      </c>
      <c r="B3331" t="str">
        <f>"1578728384604527"</f>
        <v>1578728384604527</v>
      </c>
      <c r="C3331" t="s">
        <v>40</v>
      </c>
      <c r="D3331">
        <v>5.2161559999999998</v>
      </c>
      <c r="E3331">
        <v>0.49466070000000001</v>
      </c>
      <c r="F3331" t="s">
        <v>72</v>
      </c>
      <c r="G3331">
        <v>-371.95010000000002</v>
      </c>
      <c r="H3331" s="1">
        <v>-4.1077079999999999E-6</v>
      </c>
      <c r="I3331">
        <v>20.826530000000002</v>
      </c>
      <c r="J3331">
        <v>-402.899</v>
      </c>
      <c r="K3331">
        <v>1.1090150000000001</v>
      </c>
      <c r="L3331">
        <v>18.960360000000001</v>
      </c>
      <c r="M3331">
        <v>0.99275020000000003</v>
      </c>
      <c r="N3331">
        <v>0</v>
      </c>
      <c r="O3331">
        <v>-0.1194215</v>
      </c>
      <c r="P3331">
        <v>0.99619570000000002</v>
      </c>
      <c r="Q3331">
        <v>6.6777829999999996E-2</v>
      </c>
      <c r="R3331">
        <v>5.5988959999999997E-2</v>
      </c>
      <c r="S3331">
        <v>3.0082089999999999</v>
      </c>
      <c r="T3331">
        <v>-0.10697669999999999</v>
      </c>
      <c r="U3331">
        <v>0.17773439999999999</v>
      </c>
      <c r="V3331">
        <v>-0.17529739999999999</v>
      </c>
      <c r="W3331">
        <v>7.8538339999999998E-2</v>
      </c>
      <c r="X3331">
        <v>0.98137790000000003</v>
      </c>
      <c r="Y3331">
        <v>-0.17759559999999999</v>
      </c>
      <c r="Z3331">
        <v>7.3923490000000003E-3</v>
      </c>
      <c r="AA3331">
        <v>0.98407579999999995</v>
      </c>
      <c r="AB3331">
        <v>24</v>
      </c>
      <c r="AC3331">
        <v>30.948899999999899</v>
      </c>
      <c r="AD3331">
        <v>-1.1090191077079901</v>
      </c>
      <c r="AE3331">
        <v>1.8661699999999899</v>
      </c>
      <c r="AF3331">
        <v>-5.5420289787593999</v>
      </c>
      <c r="AG3331">
        <v>-1.1090191077079901</v>
      </c>
      <c r="AH3331">
        <v>30.465517924729099</v>
      </c>
      <c r="AI3331">
        <v>92.051152978294695</v>
      </c>
      <c r="AJ3331">
        <v>100.310023691428</v>
      </c>
      <c r="AK3331">
        <v>30.985348005221201</v>
      </c>
      <c r="AL3331">
        <v>85.49544565571</v>
      </c>
      <c r="AM3331">
        <v>100.127576749526</v>
      </c>
      <c r="AN3331">
        <v>1.0000000159525599</v>
      </c>
    </row>
    <row r="3332" spans="1:40" x14ac:dyDescent="0.3">
      <c r="A3332" t="str">
        <f>"20200111153944636"</f>
        <v>20200111153944636</v>
      </c>
      <c r="B3332" t="str">
        <f>"1578728384624049"</f>
        <v>1578728384624049</v>
      </c>
      <c r="C3332" t="s">
        <v>40</v>
      </c>
      <c r="D3332">
        <v>5.2233669999999996</v>
      </c>
      <c r="E3332">
        <v>0.49549530000000003</v>
      </c>
      <c r="F3332" t="s">
        <v>72</v>
      </c>
      <c r="G3332">
        <v>-376.6327</v>
      </c>
      <c r="H3332" s="1">
        <v>-1.858283E-6</v>
      </c>
      <c r="I3332">
        <v>20.691490000000002</v>
      </c>
      <c r="J3332">
        <v>-402.66719999999998</v>
      </c>
      <c r="K3332">
        <v>1.108854</v>
      </c>
      <c r="L3332">
        <v>18.939060000000001</v>
      </c>
      <c r="M3332">
        <v>0.99339509999999998</v>
      </c>
      <c r="N3332">
        <v>0</v>
      </c>
      <c r="O3332">
        <v>-0.1139367</v>
      </c>
      <c r="P3332">
        <v>0.99583109999999997</v>
      </c>
      <c r="Q3332">
        <v>6.7950449999999996E-2</v>
      </c>
      <c r="R3332">
        <v>6.0855520000000003E-2</v>
      </c>
      <c r="S3332">
        <v>3.0088200000000001</v>
      </c>
      <c r="T3332">
        <v>-0.12703879999999901</v>
      </c>
      <c r="U3332">
        <v>0.19830320000000001</v>
      </c>
      <c r="V3332">
        <v>-0.1746386</v>
      </c>
      <c r="W3332">
        <v>7.9772819999999994E-2</v>
      </c>
      <c r="X3332">
        <v>0.98139580000000004</v>
      </c>
      <c r="Y3332">
        <v>-0.17877699999999999</v>
      </c>
      <c r="Z3332">
        <v>8.5688169999999994E-3</v>
      </c>
      <c r="AA3332">
        <v>0.98385230000000001</v>
      </c>
      <c r="AB3332">
        <v>24</v>
      </c>
      <c r="AC3332">
        <v>26.034499999999898</v>
      </c>
      <c r="AD3332">
        <v>-1.1088558582829999</v>
      </c>
      <c r="AE3332">
        <v>1.7524299999999899</v>
      </c>
      <c r="AF3332">
        <v>-4.6990889476531201</v>
      </c>
      <c r="AG3332">
        <v>-1.1088558582829999</v>
      </c>
      <c r="AH3332">
        <v>25.618982940353199</v>
      </c>
      <c r="AI3332">
        <v>92.437744854523899</v>
      </c>
      <c r="AJ3332">
        <v>100.393781113527</v>
      </c>
      <c r="AK3332">
        <v>26.069969028568298</v>
      </c>
      <c r="AL3332">
        <v>85.424492590573394</v>
      </c>
      <c r="AM3332">
        <v>100.090118711597</v>
      </c>
      <c r="AN3332">
        <v>1.00000002983917</v>
      </c>
    </row>
    <row r="3333" spans="1:40" x14ac:dyDescent="0.3">
      <c r="A3333" t="str">
        <f>"20200111153944660"</f>
        <v>20200111153944660</v>
      </c>
      <c r="B3333" t="str">
        <f>"1578728384654303"</f>
        <v>1578728384654303</v>
      </c>
      <c r="C3333" t="s">
        <v>40</v>
      </c>
      <c r="D3333">
        <v>5.1857439999999997</v>
      </c>
      <c r="E3333">
        <v>0.49633670000000002</v>
      </c>
      <c r="F3333" t="s">
        <v>72</v>
      </c>
      <c r="G3333">
        <v>-378.12650000000002</v>
      </c>
      <c r="H3333" s="1">
        <v>-1.131751E-6</v>
      </c>
      <c r="I3333">
        <v>20.614709999999999</v>
      </c>
      <c r="J3333">
        <v>-402.42680000000001</v>
      </c>
      <c r="K3333">
        <v>1.108668</v>
      </c>
      <c r="L3333">
        <v>18.918030000000002</v>
      </c>
      <c r="M3333">
        <v>0.99400069999999996</v>
      </c>
      <c r="N3333">
        <v>0</v>
      </c>
      <c r="O3333">
        <v>-0.1085276</v>
      </c>
      <c r="P3333">
        <v>0.99546849999999998</v>
      </c>
      <c r="Q3333">
        <v>6.9371509999999997E-2</v>
      </c>
      <c r="R3333">
        <v>6.5039050000000001E-2</v>
      </c>
      <c r="S3333">
        <v>3.009277</v>
      </c>
      <c r="T3333">
        <v>-0.13597210000000001</v>
      </c>
      <c r="U3333">
        <v>0.20547489999999999</v>
      </c>
      <c r="V3333">
        <v>-0.17338299999999901</v>
      </c>
      <c r="W3333">
        <v>8.1265690000000002E-2</v>
      </c>
      <c r="X3333">
        <v>0.98149589999999998</v>
      </c>
      <c r="Y3333">
        <v>-0.17571600000000001</v>
      </c>
      <c r="Z3333">
        <v>8.85646E-3</v>
      </c>
      <c r="AA3333">
        <v>0.98440099999999997</v>
      </c>
      <c r="AB3333">
        <v>24</v>
      </c>
      <c r="AC3333">
        <v>24.3003</v>
      </c>
      <c r="AD3333">
        <v>-1.108669131751</v>
      </c>
      <c r="AE3333">
        <v>1.69668</v>
      </c>
      <c r="AF3333">
        <v>-4.3152143529399796</v>
      </c>
      <c r="AG3333">
        <v>-1.108669131751</v>
      </c>
      <c r="AH3333">
        <v>23.923033898727098</v>
      </c>
      <c r="AI3333">
        <v>92.611287936639997</v>
      </c>
      <c r="AJ3333">
        <v>100.225009239228</v>
      </c>
      <c r="AK3333">
        <v>24.334374310328201</v>
      </c>
      <c r="AL3333">
        <v>85.338678612873906</v>
      </c>
      <c r="AM3333">
        <v>100.018047601275</v>
      </c>
      <c r="AN3333">
        <v>0.99999998938849299</v>
      </c>
    </row>
    <row r="3334" spans="1:40" x14ac:dyDescent="0.3">
      <c r="A3334" t="str">
        <f>"20200111153944692"</f>
        <v>20200111153944692</v>
      </c>
      <c r="B3334" t="str">
        <f>"1578728384684107"</f>
        <v>1578728384684107</v>
      </c>
      <c r="C3334" t="s">
        <v>40</v>
      </c>
      <c r="D3334">
        <v>5.192018</v>
      </c>
      <c r="E3334">
        <v>0.497693</v>
      </c>
      <c r="F3334" t="s">
        <v>72</v>
      </c>
      <c r="G3334">
        <v>-377.29039999999998</v>
      </c>
      <c r="H3334" s="1">
        <v>-1.544154E-6</v>
      </c>
      <c r="I3334">
        <v>20.679310000000001</v>
      </c>
      <c r="J3334">
        <v>-402.06990000000002</v>
      </c>
      <c r="K3334">
        <v>1.108403</v>
      </c>
      <c r="L3334">
        <v>18.888549999999999</v>
      </c>
      <c r="M3334">
        <v>0.99480279999999999</v>
      </c>
      <c r="N3334">
        <v>0</v>
      </c>
      <c r="O3334">
        <v>-0.1009157</v>
      </c>
      <c r="P3334">
        <v>0.99504820000000005</v>
      </c>
      <c r="Q3334">
        <v>6.9874640000000002E-2</v>
      </c>
      <c r="R3334">
        <v>7.0687230000000004E-2</v>
      </c>
      <c r="S3334">
        <v>3.009125</v>
      </c>
      <c r="T3334">
        <v>-0.1327207</v>
      </c>
      <c r="U3334">
        <v>0.2108459</v>
      </c>
      <c r="V3334">
        <v>-0.17138699999999901</v>
      </c>
      <c r="W3334">
        <v>8.1865450000000006E-2</v>
      </c>
      <c r="X3334">
        <v>0.98179660000000002</v>
      </c>
      <c r="Y3334">
        <v>-0.16995650000000001</v>
      </c>
      <c r="Z3334">
        <v>8.1836989999999991E-3</v>
      </c>
      <c r="AA3334">
        <v>0.9854176</v>
      </c>
      <c r="AB3334">
        <v>24</v>
      </c>
      <c r="AC3334">
        <v>24.779499999999999</v>
      </c>
      <c r="AD3334">
        <v>-1.108404544154</v>
      </c>
      <c r="AE3334">
        <v>1.7907599999999999</v>
      </c>
      <c r="AF3334">
        <v>-4.27397929237911</v>
      </c>
      <c r="AG3334">
        <v>-1.108404544154</v>
      </c>
      <c r="AH3334">
        <v>24.423630730897301</v>
      </c>
      <c r="AI3334">
        <v>92.559598198721005</v>
      </c>
      <c r="AJ3334">
        <v>99.925890223311498</v>
      </c>
      <c r="AK3334">
        <v>24.819532584326002</v>
      </c>
      <c r="AL3334">
        <v>85.304200107486807</v>
      </c>
      <c r="AM3334">
        <v>99.9020423444112</v>
      </c>
      <c r="AN3334">
        <v>1.00000000972213</v>
      </c>
    </row>
    <row r="3335" spans="1:40" x14ac:dyDescent="0.3">
      <c r="A3335" t="str">
        <f>"20200111153944714"</f>
        <v>20200111153944714</v>
      </c>
      <c r="B3335" t="str">
        <f>"1578728384704603"</f>
        <v>1578728384704603</v>
      </c>
      <c r="C3335" t="s">
        <v>40</v>
      </c>
      <c r="D3335">
        <v>5.2006459999999999</v>
      </c>
      <c r="E3335">
        <v>0.49789119999999998</v>
      </c>
      <c r="F3335" t="s">
        <v>72</v>
      </c>
      <c r="G3335">
        <v>-376.64890000000003</v>
      </c>
      <c r="H3335" s="1">
        <v>-1.8587159999999999E-6</v>
      </c>
      <c r="I3335">
        <v>20.721810000000001</v>
      </c>
      <c r="J3335">
        <v>-401.85050000000001</v>
      </c>
      <c r="K3335">
        <v>1.108247</v>
      </c>
      <c r="L3335">
        <v>18.871549999999999</v>
      </c>
      <c r="M3335">
        <v>0.99523969999999995</v>
      </c>
      <c r="N3335">
        <v>0</v>
      </c>
      <c r="O3335">
        <v>-9.6514199999999994E-2</v>
      </c>
      <c r="P3335">
        <v>0.99499570000000004</v>
      </c>
      <c r="Q3335">
        <v>6.8590910000000005E-2</v>
      </c>
      <c r="R3335">
        <v>7.2656209999999999E-2</v>
      </c>
      <c r="S3335">
        <v>3.008759</v>
      </c>
      <c r="T3335">
        <v>-0.13118769999999999</v>
      </c>
      <c r="U3335">
        <v>0.21698000000000001</v>
      </c>
      <c r="V3335">
        <v>-0.16895479999999999</v>
      </c>
      <c r="W3335">
        <v>8.0648310000000001E-2</v>
      </c>
      <c r="X3335">
        <v>0.98231880000000005</v>
      </c>
      <c r="Y3335">
        <v>-0.1676166</v>
      </c>
      <c r="Z3335">
        <v>7.8476199999999996E-3</v>
      </c>
      <c r="AA3335">
        <v>0.98582099999999995</v>
      </c>
      <c r="AB3335">
        <v>24</v>
      </c>
      <c r="AC3335">
        <v>25.2015999999999</v>
      </c>
      <c r="AD3335">
        <v>-1.108248858716</v>
      </c>
      <c r="AE3335">
        <v>1.85026</v>
      </c>
      <c r="AF3335">
        <v>-4.2659500693385297</v>
      </c>
      <c r="AG3335">
        <v>-1.108248858716</v>
      </c>
      <c r="AH3335">
        <v>24.8575222561342</v>
      </c>
      <c r="AI3335">
        <v>92.516052702168295</v>
      </c>
      <c r="AJ3335">
        <v>99.738013935671006</v>
      </c>
      <c r="AK3335">
        <v>25.245256153209102</v>
      </c>
      <c r="AL3335">
        <v>85.374168653048102</v>
      </c>
      <c r="AM3335">
        <v>99.759152759612604</v>
      </c>
      <c r="AN3335">
        <v>1.0000000495911601</v>
      </c>
    </row>
    <row r="3336" spans="1:40" x14ac:dyDescent="0.3">
      <c r="A3336" t="str">
        <f>"20200111153944738"</f>
        <v>20200111153944738</v>
      </c>
      <c r="B3336" t="str">
        <f>"1578728384733883"</f>
        <v>1578728384733883</v>
      </c>
      <c r="C3336" t="s">
        <v>40</v>
      </c>
      <c r="D3336">
        <v>5.274457</v>
      </c>
      <c r="E3336">
        <v>0.50918649999999999</v>
      </c>
      <c r="F3336" t="s">
        <v>72</v>
      </c>
      <c r="G3336">
        <v>-377.13600000000002</v>
      </c>
      <c r="H3336" s="1">
        <v>-1.620294E-6</v>
      </c>
      <c r="I3336">
        <v>20.691269999999999</v>
      </c>
      <c r="J3336">
        <v>-401.60230000000001</v>
      </c>
      <c r="K3336">
        <v>1.1080429999999999</v>
      </c>
      <c r="L3336">
        <v>18.853210000000001</v>
      </c>
      <c r="M3336">
        <v>0.99568129999999999</v>
      </c>
      <c r="N3336">
        <v>0</v>
      </c>
      <c r="O3336">
        <v>-9.1848260000000001E-2</v>
      </c>
      <c r="P3336">
        <v>0.99496359999999995</v>
      </c>
      <c r="Q3336">
        <v>6.7392640000000004E-2</v>
      </c>
      <c r="R3336">
        <v>7.4199509999999996E-2</v>
      </c>
      <c r="S3336">
        <v>3.0082399999999998</v>
      </c>
      <c r="T3336">
        <v>-0.13489570000000001</v>
      </c>
      <c r="U3336">
        <v>0.22149659999999999</v>
      </c>
      <c r="V3336">
        <v>-0.16583290000000001</v>
      </c>
      <c r="W3336">
        <v>7.9533729999999997E-2</v>
      </c>
      <c r="X3336">
        <v>0.98294139999999997</v>
      </c>
      <c r="Y3336">
        <v>-0.16447300000000001</v>
      </c>
      <c r="Z3336">
        <v>7.7913660000000001E-3</v>
      </c>
      <c r="AA3336">
        <v>0.98635079999999997</v>
      </c>
      <c r="AB3336">
        <v>24</v>
      </c>
      <c r="AC3336">
        <v>24.4663</v>
      </c>
      <c r="AD3336">
        <v>-1.108044620294</v>
      </c>
      <c r="AE3336">
        <v>1.83806</v>
      </c>
      <c r="AF3336">
        <v>-4.0693817626414202</v>
      </c>
      <c r="AG3336">
        <v>-1.108044620294</v>
      </c>
      <c r="AH3336">
        <v>24.144779941529901</v>
      </c>
      <c r="AI3336">
        <v>92.591063927249294</v>
      </c>
      <c r="AJ3336">
        <v>99.566770970547097</v>
      </c>
      <c r="AK3336">
        <v>24.510365750750999</v>
      </c>
      <c r="AL3336">
        <v>85.438234877075999</v>
      </c>
      <c r="AM3336">
        <v>99.576243068563002</v>
      </c>
      <c r="AN3336">
        <v>0.99999998038204096</v>
      </c>
    </row>
    <row r="3337" spans="1:40" x14ac:dyDescent="0.3">
      <c r="A3337" t="str">
        <f>"20200111153944761"</f>
        <v>20200111153944761</v>
      </c>
      <c r="B3337" t="str">
        <f>"1578728384754380"</f>
        <v>1578728384754380</v>
      </c>
      <c r="C3337" t="s">
        <v>40</v>
      </c>
      <c r="D3337">
        <v>5.2270690000000002</v>
      </c>
      <c r="E3337">
        <v>0.5170264</v>
      </c>
      <c r="F3337" t="s">
        <v>72</v>
      </c>
      <c r="G3337">
        <v>-373.0367</v>
      </c>
      <c r="H3337" s="1">
        <v>-3.4151440000000001E-6</v>
      </c>
      <c r="I3337">
        <v>20.15408</v>
      </c>
      <c r="J3337">
        <v>-401.36349999999999</v>
      </c>
      <c r="K3337">
        <v>1.107826</v>
      </c>
      <c r="L3337">
        <v>18.836359999999999</v>
      </c>
      <c r="M3337">
        <v>0.99605960000000004</v>
      </c>
      <c r="N3337">
        <v>0</v>
      </c>
      <c r="O3337">
        <v>-8.7654490000000002E-2</v>
      </c>
      <c r="P3337">
        <v>0.99492449999999999</v>
      </c>
      <c r="Q3337">
        <v>6.6495730000000003E-2</v>
      </c>
      <c r="R3337">
        <v>7.5521809999999995E-2</v>
      </c>
      <c r="S3337">
        <v>3.0129090000000001</v>
      </c>
      <c r="T3337">
        <v>-0.1168693</v>
      </c>
      <c r="U3337">
        <v>0.137207</v>
      </c>
      <c r="V3337">
        <v>-0.16295789999999999</v>
      </c>
      <c r="W3337">
        <v>7.8720879999999993E-2</v>
      </c>
      <c r="X3337">
        <v>0.98348749999999996</v>
      </c>
      <c r="Y3337">
        <v>-0.1327237</v>
      </c>
      <c r="Z3337">
        <v>5.9676159999999898E-3</v>
      </c>
      <c r="AA3337">
        <v>0.99113510000000005</v>
      </c>
      <c r="AB3337">
        <v>24</v>
      </c>
      <c r="AC3337">
        <v>28.326799999999899</v>
      </c>
      <c r="AD3337">
        <v>-1.107829415144</v>
      </c>
      <c r="AE3337">
        <v>1.31772</v>
      </c>
      <c r="AF3337">
        <v>-3.7900598357319701</v>
      </c>
      <c r="AG3337">
        <v>-1.107829415144</v>
      </c>
      <c r="AH3337">
        <v>28.059409589284702</v>
      </c>
      <c r="AI3337">
        <v>92.240626476154105</v>
      </c>
      <c r="AJ3337">
        <v>97.692537820118503</v>
      </c>
      <c r="AK3337">
        <v>28.335883717836101</v>
      </c>
      <c r="AL3337">
        <v>85.484954141849101</v>
      </c>
      <c r="AM3337">
        <v>99.408085770552503</v>
      </c>
      <c r="AN3337">
        <v>0.99999995838831601</v>
      </c>
    </row>
    <row r="3338" spans="1:40" x14ac:dyDescent="0.3">
      <c r="A3338" t="str">
        <f>"20200111153944784"</f>
        <v>20200111153944784</v>
      </c>
      <c r="B3338" t="str">
        <f>"1578728384773900"</f>
        <v>1578728384773900</v>
      </c>
      <c r="C3338" t="s">
        <v>40</v>
      </c>
      <c r="D3338">
        <v>5.2220250000000004</v>
      </c>
      <c r="E3338">
        <v>0.51819380000000004</v>
      </c>
      <c r="F3338" t="s">
        <v>72</v>
      </c>
      <c r="G3338">
        <v>-378.17579999999998</v>
      </c>
      <c r="H3338" s="1">
        <v>-8.7526089999999899E-7</v>
      </c>
      <c r="I3338">
        <v>19.43336</v>
      </c>
      <c r="J3338">
        <v>-401.1198</v>
      </c>
      <c r="K3338">
        <v>1.1076140000000001</v>
      </c>
      <c r="L3338">
        <v>18.81982</v>
      </c>
      <c r="M3338">
        <v>0.99640689999999998</v>
      </c>
      <c r="N3338">
        <v>0</v>
      </c>
      <c r="O3338">
        <v>-8.361855E-2</v>
      </c>
      <c r="P3338">
        <v>0.99483319999999997</v>
      </c>
      <c r="Q3338">
        <v>6.5247219999999995E-2</v>
      </c>
      <c r="R3338">
        <v>7.7780130000000003E-2</v>
      </c>
      <c r="S3338">
        <v>3.0190429999999999</v>
      </c>
      <c r="T3338">
        <v>-0.1442387</v>
      </c>
      <c r="U3338">
        <v>7.7728270000000002E-2</v>
      </c>
      <c r="V3338">
        <v>-0.16116510000000001</v>
      </c>
      <c r="W3338">
        <v>7.7545740000000002E-2</v>
      </c>
      <c r="X3338">
        <v>0.98387619999999998</v>
      </c>
      <c r="Y3338">
        <v>-0.1090262</v>
      </c>
      <c r="Z3338">
        <v>6.5924989999999999E-3</v>
      </c>
      <c r="AA3338">
        <v>0.99401700000000004</v>
      </c>
      <c r="AB3338">
        <v>24</v>
      </c>
      <c r="AC3338">
        <v>22.943999999999999</v>
      </c>
      <c r="AD3338">
        <v>-1.1076148752609001</v>
      </c>
      <c r="AE3338">
        <v>0.61353999999999997</v>
      </c>
      <c r="AF3338">
        <v>-2.5242303914233899</v>
      </c>
      <c r="AG3338">
        <v>-1.1076148752609001</v>
      </c>
      <c r="AH3338">
        <v>22.759322292797201</v>
      </c>
      <c r="AI3338">
        <v>92.769229217092104</v>
      </c>
      <c r="AJ3338">
        <v>96.328794168262604</v>
      </c>
      <c r="AK3338">
        <v>22.925647232047801</v>
      </c>
      <c r="AL3338">
        <v>85.552491157927193</v>
      </c>
      <c r="AM3338">
        <v>99.302789928359999</v>
      </c>
      <c r="AN3338">
        <v>0.99999995408829701</v>
      </c>
    </row>
    <row r="3339" spans="1:40" x14ac:dyDescent="0.3">
      <c r="A3339" t="str">
        <f>"20200111153944805"</f>
        <v>20200111153944805</v>
      </c>
      <c r="B3339" t="str">
        <f>"1578728384794396"</f>
        <v>1578728384794396</v>
      </c>
      <c r="C3339" t="s">
        <v>40</v>
      </c>
      <c r="D3339">
        <v>5.2462770000000001</v>
      </c>
      <c r="E3339">
        <v>0.51830750000000003</v>
      </c>
      <c r="F3339" t="s">
        <v>67</v>
      </c>
      <c r="G3339">
        <v>-381.1191</v>
      </c>
      <c r="H3339" s="1">
        <v>-4.2526099999999996E-6</v>
      </c>
      <c r="I3339">
        <v>19.311240000000002</v>
      </c>
      <c r="J3339">
        <v>-400.89699999999999</v>
      </c>
      <c r="K3339">
        <v>1.1074329999999999</v>
      </c>
      <c r="L3339">
        <v>18.80527</v>
      </c>
      <c r="M3339">
        <v>0.99669180000000002</v>
      </c>
      <c r="N3339">
        <v>0</v>
      </c>
      <c r="O3339">
        <v>-8.0155519999999994E-2</v>
      </c>
      <c r="P3339">
        <v>0.99477959999999999</v>
      </c>
      <c r="Q3339">
        <v>6.4695539999999996E-2</v>
      </c>
      <c r="R3339">
        <v>7.8918260000000004E-2</v>
      </c>
      <c r="S3339">
        <v>3.020721</v>
      </c>
      <c r="T3339">
        <v>-0.1672845</v>
      </c>
      <c r="U3339">
        <v>7.421875E-2</v>
      </c>
      <c r="V3339">
        <v>-0.15883710000000001</v>
      </c>
      <c r="W3339">
        <v>7.7061299999999999E-2</v>
      </c>
      <c r="X3339">
        <v>0.98429279999999997</v>
      </c>
      <c r="Y3339">
        <v>-0.1043395</v>
      </c>
      <c r="Z3339">
        <v>7.3192429999999996E-3</v>
      </c>
      <c r="AA3339">
        <v>0.99451480000000003</v>
      </c>
      <c r="AB3339">
        <v>24</v>
      </c>
      <c r="AC3339">
        <v>19.777899999999899</v>
      </c>
      <c r="AD3339">
        <v>-1.10743725260999</v>
      </c>
      <c r="AE3339">
        <v>0.50596999999999703</v>
      </c>
      <c r="AF3339">
        <v>-2.0832653002582102</v>
      </c>
      <c r="AG3339">
        <v>-1.10743725260999</v>
      </c>
      <c r="AH3339">
        <v>19.6122406984089</v>
      </c>
      <c r="AI3339">
        <v>93.213825770189601</v>
      </c>
      <c r="AJ3339">
        <v>96.063376132262306</v>
      </c>
      <c r="AK3339">
        <v>19.753642620844701</v>
      </c>
      <c r="AL3339">
        <v>85.580331003037003</v>
      </c>
      <c r="AM3339">
        <v>99.166896885812506</v>
      </c>
      <c r="AN3339">
        <v>0.99999999221296998</v>
      </c>
    </row>
    <row r="3340" spans="1:40" x14ac:dyDescent="0.3">
      <c r="A3340" t="str">
        <f>"20200111153944826"</f>
        <v>20200111153944826</v>
      </c>
      <c r="B3340" t="str">
        <f>"1578728384813918"</f>
        <v>1578728384813918</v>
      </c>
      <c r="C3340" t="s">
        <v>40</v>
      </c>
      <c r="D3340">
        <v>5.2844340000000001</v>
      </c>
      <c r="E3340">
        <v>0.51785930000000002</v>
      </c>
      <c r="F3340" t="s">
        <v>67</v>
      </c>
      <c r="G3340">
        <v>-381.90559999999999</v>
      </c>
      <c r="H3340" s="1">
        <v>-3.8854869999999998E-6</v>
      </c>
      <c r="I3340">
        <v>19.285060000000001</v>
      </c>
      <c r="J3340">
        <v>-400.67169999999999</v>
      </c>
      <c r="K3340">
        <v>1.107256</v>
      </c>
      <c r="L3340">
        <v>18.791080000000001</v>
      </c>
      <c r="M3340">
        <v>0.99694819999999995</v>
      </c>
      <c r="N3340">
        <v>0</v>
      </c>
      <c r="O3340">
        <v>-7.6902479999999995E-2</v>
      </c>
      <c r="P3340">
        <v>0.99471220000000005</v>
      </c>
      <c r="Q3340">
        <v>6.496884E-2</v>
      </c>
      <c r="R3340">
        <v>7.9540299999999994E-2</v>
      </c>
      <c r="S3340">
        <v>3.021118</v>
      </c>
      <c r="T3340">
        <v>-0.17616889999999999</v>
      </c>
      <c r="U3340">
        <v>7.6324459999999997E-2</v>
      </c>
      <c r="V3340">
        <v>-0.15620599999999901</v>
      </c>
      <c r="W3340">
        <v>7.7400269999999993E-2</v>
      </c>
      <c r="X3340">
        <v>0.98468719999999998</v>
      </c>
      <c r="Y3340">
        <v>-0.1017624</v>
      </c>
      <c r="Z3340">
        <v>7.4420390000000001E-3</v>
      </c>
      <c r="AA3340">
        <v>0.99478089999999997</v>
      </c>
      <c r="AB3340">
        <v>24</v>
      </c>
      <c r="AC3340">
        <v>18.766099999999899</v>
      </c>
      <c r="AD3340">
        <v>-1.1072598854869999</v>
      </c>
      <c r="AE3340">
        <v>0.49398000000000403</v>
      </c>
      <c r="AF3340">
        <v>-1.9290953594820499</v>
      </c>
      <c r="AG3340">
        <v>-1.1072598854869999</v>
      </c>
      <c r="AH3340">
        <v>18.6077888109409</v>
      </c>
      <c r="AI3340">
        <v>93.387268808811996</v>
      </c>
      <c r="AJ3340">
        <v>95.918789055701197</v>
      </c>
      <c r="AK3340">
        <v>18.740257143181399</v>
      </c>
      <c r="AL3340">
        <v>85.560851301531997</v>
      </c>
      <c r="AM3340">
        <v>99.014012441195504</v>
      </c>
      <c r="AN3340">
        <v>0.999999999037956</v>
      </c>
    </row>
    <row r="3341" spans="1:40" x14ac:dyDescent="0.3">
      <c r="A3341" t="str">
        <f>"20200111153944848"</f>
        <v>20200111153944848</v>
      </c>
      <c r="B3341" t="str">
        <f>"1578728384844171"</f>
        <v>1578728384844171</v>
      </c>
      <c r="C3341" t="s">
        <v>40</v>
      </c>
      <c r="D3341">
        <v>5.2701710000000004</v>
      </c>
      <c r="E3341">
        <v>0.51764670000000002</v>
      </c>
      <c r="F3341" t="s">
        <v>67</v>
      </c>
      <c r="G3341">
        <v>-381.87130000000002</v>
      </c>
      <c r="H3341" s="1">
        <v>-3.8983590000000002E-6</v>
      </c>
      <c r="I3341">
        <v>19.30386</v>
      </c>
      <c r="J3341">
        <v>-400.44459999999998</v>
      </c>
      <c r="K3341">
        <v>1.1070879999999901</v>
      </c>
      <c r="L3341">
        <v>18.77722</v>
      </c>
      <c r="M3341">
        <v>0.99717630000000002</v>
      </c>
      <c r="N3341">
        <v>0</v>
      </c>
      <c r="O3341">
        <v>-7.388952E-2</v>
      </c>
      <c r="P3341">
        <v>0.99477119999999997</v>
      </c>
      <c r="Q3341">
        <v>6.4490989999999998E-2</v>
      </c>
      <c r="R3341">
        <v>7.9190800000000006E-2</v>
      </c>
      <c r="S3341">
        <v>3.020966</v>
      </c>
      <c r="T3341">
        <v>-0.17792179999999999</v>
      </c>
      <c r="U3341">
        <v>8.2397460000000006E-2</v>
      </c>
      <c r="V3341">
        <v>-0.15284800000000001</v>
      </c>
      <c r="W3341">
        <v>7.6991889999999993E-2</v>
      </c>
      <c r="X3341">
        <v>0.98524599999999996</v>
      </c>
      <c r="Y3341">
        <v>-0.10075679999999999</v>
      </c>
      <c r="Z3341">
        <v>7.3096580000000001E-3</v>
      </c>
      <c r="AA3341">
        <v>0.99488430000000005</v>
      </c>
      <c r="AB3341">
        <v>24</v>
      </c>
      <c r="AC3341">
        <v>18.5732999999999</v>
      </c>
      <c r="AD3341">
        <v>-1.1070918983589999</v>
      </c>
      <c r="AE3341">
        <v>0.52664</v>
      </c>
      <c r="AF3341">
        <v>-1.8909825555303199</v>
      </c>
      <c r="AG3341">
        <v>-1.1070918983589999</v>
      </c>
      <c r="AH3341">
        <v>18.4182163808008</v>
      </c>
      <c r="AI3341">
        <v>93.421881694071701</v>
      </c>
      <c r="AJ3341">
        <v>95.861969442364298</v>
      </c>
      <c r="AK3341">
        <v>18.548104004095201</v>
      </c>
      <c r="AL3341">
        <v>85.584319661343301</v>
      </c>
      <c r="AM3341">
        <v>98.818392015604104</v>
      </c>
      <c r="AN3341">
        <v>0.99999997137288499</v>
      </c>
    </row>
    <row r="3342" spans="1:40" x14ac:dyDescent="0.3">
      <c r="A3342" t="str">
        <f>"20200111153944871"</f>
        <v>20200111153944871</v>
      </c>
      <c r="B3342" t="str">
        <f>"1578728384864667"</f>
        <v>1578728384864667</v>
      </c>
      <c r="C3342" t="s">
        <v>40</v>
      </c>
      <c r="D3342">
        <v>5.290368</v>
      </c>
      <c r="E3342">
        <v>0.51757410000000004</v>
      </c>
      <c r="F3342" t="s">
        <v>67</v>
      </c>
      <c r="G3342">
        <v>-382.17469999999997</v>
      </c>
      <c r="H3342" s="1">
        <v>-3.7587230000000001E-6</v>
      </c>
      <c r="I3342">
        <v>19.282550000000001</v>
      </c>
      <c r="J3342">
        <v>-400.2045</v>
      </c>
      <c r="K3342">
        <v>1.106897</v>
      </c>
      <c r="L3342">
        <v>18.763000000000002</v>
      </c>
      <c r="M3342">
        <v>0.99738749999999998</v>
      </c>
      <c r="N3342">
        <v>0</v>
      </c>
      <c r="O3342">
        <v>-7.0984350000000002E-2</v>
      </c>
      <c r="P3342">
        <v>0.99478449999999996</v>
      </c>
      <c r="Q3342">
        <v>6.4772259999999998E-2</v>
      </c>
      <c r="R3342">
        <v>7.8794000000000003E-2</v>
      </c>
      <c r="S3342">
        <v>3.0209959999999998</v>
      </c>
      <c r="T3342">
        <v>-0.1830618</v>
      </c>
      <c r="U3342">
        <v>8.3557129999999993E-2</v>
      </c>
      <c r="V3342">
        <v>-0.14954600000000001</v>
      </c>
      <c r="W3342">
        <v>7.7345120000000003E-2</v>
      </c>
      <c r="X3342">
        <v>0.98572499999999996</v>
      </c>
      <c r="Y3342">
        <v>-9.8231890000000002E-2</v>
      </c>
      <c r="Z3342">
        <v>7.2683259999999899E-3</v>
      </c>
      <c r="AA3342">
        <v>0.99513700000000005</v>
      </c>
      <c r="AB3342">
        <v>24</v>
      </c>
      <c r="AC3342">
        <v>18.029800000000002</v>
      </c>
      <c r="AD3342">
        <v>-1.106900758723</v>
      </c>
      <c r="AE3342">
        <v>0.51955000000000195</v>
      </c>
      <c r="AF3342">
        <v>-1.7914411252584901</v>
      </c>
      <c r="AG3342">
        <v>-1.106900758723</v>
      </c>
      <c r="AH3342">
        <v>17.880091544795999</v>
      </c>
      <c r="AI3342">
        <v>93.524879222057194</v>
      </c>
      <c r="AJ3342">
        <v>95.721481607111897</v>
      </c>
      <c r="AK3342">
        <v>18.003670854723399</v>
      </c>
      <c r="AL3342">
        <v>85.564020778672798</v>
      </c>
      <c r="AM3342">
        <v>98.626655658140095</v>
      </c>
      <c r="AN3342">
        <v>1.0000000246644001</v>
      </c>
    </row>
    <row r="3343" spans="1:40" x14ac:dyDescent="0.3">
      <c r="A3343" t="str">
        <f>"20200111153944893"</f>
        <v>20200111153944893</v>
      </c>
      <c r="B3343" t="str">
        <f>"1578728384884694"</f>
        <v>1578728384884694</v>
      </c>
      <c r="C3343" t="s">
        <v>40</v>
      </c>
      <c r="D3343">
        <v>5.327216</v>
      </c>
      <c r="E3343">
        <v>0.5175303</v>
      </c>
      <c r="F3343" t="s">
        <v>67</v>
      </c>
      <c r="G3343">
        <v>-382.15190000000001</v>
      </c>
      <c r="H3343" s="1">
        <v>-3.772849E-6</v>
      </c>
      <c r="I3343">
        <v>19.263559999999998</v>
      </c>
      <c r="J3343">
        <v>-399.96690000000001</v>
      </c>
      <c r="K3343">
        <v>1.1067100000000001</v>
      </c>
      <c r="L3343">
        <v>18.749300000000002</v>
      </c>
      <c r="M3343">
        <v>0.99756929999999999</v>
      </c>
      <c r="N3343">
        <v>0</v>
      </c>
      <c r="O3343">
        <v>-6.8386539999999996E-2</v>
      </c>
      <c r="P3343">
        <v>0.99496870000000004</v>
      </c>
      <c r="Q3343">
        <v>6.4096920000000002E-2</v>
      </c>
      <c r="R3343">
        <v>7.6999219999999993E-2</v>
      </c>
      <c r="S3343">
        <v>3.0211790000000001</v>
      </c>
      <c r="T3343">
        <v>-0.18524460000000001</v>
      </c>
      <c r="U3343">
        <v>8.3770750000000005E-2</v>
      </c>
      <c r="V3343">
        <v>-0.1451588</v>
      </c>
      <c r="W3343">
        <v>7.6747510000000005E-2</v>
      </c>
      <c r="X3343">
        <v>0.98642719999999995</v>
      </c>
      <c r="Y3343">
        <v>-9.5710719999999999E-2</v>
      </c>
      <c r="Z3343">
        <v>7.1182719999999897E-3</v>
      </c>
      <c r="AA3343">
        <v>0.99538369999999998</v>
      </c>
      <c r="AB3343">
        <v>24</v>
      </c>
      <c r="AC3343">
        <v>17.814999999999898</v>
      </c>
      <c r="AD3343">
        <v>-1.106713772849</v>
      </c>
      <c r="AE3343">
        <v>0.51426000000000005</v>
      </c>
      <c r="AF3343">
        <v>-1.72482006583879</v>
      </c>
      <c r="AG3343">
        <v>-1.106713772849</v>
      </c>
      <c r="AH3343">
        <v>17.669978763789398</v>
      </c>
      <c r="AI3343">
        <v>93.566983400458298</v>
      </c>
      <c r="AJ3343">
        <v>95.575151840314902</v>
      </c>
      <c r="AK3343">
        <v>17.788422334409098</v>
      </c>
      <c r="AL3343">
        <v>85.598363015142098</v>
      </c>
      <c r="AM3343">
        <v>98.371342750450097</v>
      </c>
      <c r="AN3343">
        <v>0.99999993920423802</v>
      </c>
    </row>
    <row r="3344" spans="1:40" x14ac:dyDescent="0.3">
      <c r="A3344" t="str">
        <f>"20200111153944915"</f>
        <v>20200111153944915</v>
      </c>
      <c r="B3344" t="str">
        <f>"1578728384904216"</f>
        <v>1578728384904216</v>
      </c>
      <c r="C3344" t="s">
        <v>40</v>
      </c>
      <c r="D3344">
        <v>5.3179030000000003</v>
      </c>
      <c r="E3344">
        <v>0.51757900000000001</v>
      </c>
      <c r="F3344" t="s">
        <v>67</v>
      </c>
      <c r="G3344">
        <v>-382.25630000000001</v>
      </c>
      <c r="H3344" s="1">
        <v>-3.7316680000000002E-6</v>
      </c>
      <c r="I3344">
        <v>19.217479999999998</v>
      </c>
      <c r="J3344">
        <v>-399.73489999999998</v>
      </c>
      <c r="K3344">
        <v>1.1065240000000001</v>
      </c>
      <c r="L3344">
        <v>18.736180000000001</v>
      </c>
      <c r="M3344">
        <v>0.99772169999999905</v>
      </c>
      <c r="N3344">
        <v>0</v>
      </c>
      <c r="O3344">
        <v>-6.612854E-2</v>
      </c>
      <c r="P3344">
        <v>0.99525649999999999</v>
      </c>
      <c r="Q3344">
        <v>6.3469429999999993E-2</v>
      </c>
      <c r="R3344">
        <v>7.3729160000000002E-2</v>
      </c>
      <c r="S3344">
        <v>3.0211489999999999</v>
      </c>
      <c r="T3344">
        <v>-0.18878809999999999</v>
      </c>
      <c r="U3344">
        <v>7.9864500000000005E-2</v>
      </c>
      <c r="V3344">
        <v>-0.13964270000000001</v>
      </c>
      <c r="W3344">
        <v>7.6200279999999995E-2</v>
      </c>
      <c r="X3344">
        <v>0.98726559999999997</v>
      </c>
      <c r="Y3344">
        <v>-9.2170859999999993E-2</v>
      </c>
      <c r="Z3344">
        <v>7.0030739999999998E-3</v>
      </c>
      <c r="AA3344">
        <v>0.99571860000000001</v>
      </c>
      <c r="AB3344">
        <v>24</v>
      </c>
      <c r="AC3344">
        <v>17.478599999999901</v>
      </c>
      <c r="AD3344">
        <v>-1.106527731668</v>
      </c>
      <c r="AE3344">
        <v>0.481300000000001</v>
      </c>
      <c r="AF3344">
        <v>-1.6296572574989601</v>
      </c>
      <c r="AG3344">
        <v>-1.106527731668</v>
      </c>
      <c r="AH3344">
        <v>17.339064276684901</v>
      </c>
      <c r="AI3344">
        <v>93.635516373493402</v>
      </c>
      <c r="AJ3344">
        <v>95.369320334831301</v>
      </c>
      <c r="AK3344">
        <v>17.450597020987001</v>
      </c>
      <c r="AL3344">
        <v>85.629809189779706</v>
      </c>
      <c r="AM3344">
        <v>98.0507334893897</v>
      </c>
      <c r="AN3344">
        <v>0.999999965639363</v>
      </c>
    </row>
    <row r="3345" spans="1:40" x14ac:dyDescent="0.3">
      <c r="A3345" t="str">
        <f>"20200111153944937"</f>
        <v>20200111153944937</v>
      </c>
      <c r="B3345" t="str">
        <f>"1578728384934471"</f>
        <v>1578728384934471</v>
      </c>
      <c r="C3345" t="s">
        <v>40</v>
      </c>
      <c r="D3345">
        <v>5.3737009999999996</v>
      </c>
      <c r="E3345">
        <v>0.51758879999999996</v>
      </c>
      <c r="F3345" t="s">
        <v>67</v>
      </c>
      <c r="G3345">
        <v>-382.45440000000002</v>
      </c>
      <c r="H3345" s="1">
        <v>-3.651611E-6</v>
      </c>
      <c r="I3345">
        <v>19.140940000000001</v>
      </c>
      <c r="J3345">
        <v>-399.50760000000002</v>
      </c>
      <c r="K3345">
        <v>1.1063499999999999</v>
      </c>
      <c r="L3345">
        <v>18.72354</v>
      </c>
      <c r="M3345">
        <v>0.99784879999999998</v>
      </c>
      <c r="N3345">
        <v>0</v>
      </c>
      <c r="O3345">
        <v>-6.4187839999999996E-2</v>
      </c>
      <c r="P3345">
        <v>0.99555020000000005</v>
      </c>
      <c r="Q3345">
        <v>6.3302929999999993E-2</v>
      </c>
      <c r="R3345">
        <v>6.9806579999999993E-2</v>
      </c>
      <c r="S3345">
        <v>3.0213930000000002</v>
      </c>
      <c r="T3345">
        <v>-0.19347</v>
      </c>
      <c r="U3345">
        <v>7.0770260000000001E-2</v>
      </c>
      <c r="V3345">
        <v>-0.1337911</v>
      </c>
      <c r="W3345">
        <v>7.6107099999999997E-2</v>
      </c>
      <c r="X3345">
        <v>0.98808280000000004</v>
      </c>
      <c r="Y3345">
        <v>-8.7234359999999997E-2</v>
      </c>
      <c r="Z3345">
        <v>6.8941310000000004E-3</v>
      </c>
      <c r="AA3345">
        <v>0.99616400000000005</v>
      </c>
      <c r="AB3345">
        <v>24</v>
      </c>
      <c r="AC3345">
        <v>17.0532</v>
      </c>
      <c r="AD3345">
        <v>-1.106353651611</v>
      </c>
      <c r="AE3345">
        <v>0.41739999999999999</v>
      </c>
      <c r="AF3345">
        <v>-1.5049140865263799</v>
      </c>
      <c r="AG3345">
        <v>-1.106353651611</v>
      </c>
      <c r="AH3345">
        <v>16.920059395195501</v>
      </c>
      <c r="AI3345">
        <v>93.726410732002293</v>
      </c>
      <c r="AJ3345">
        <v>95.082661180247698</v>
      </c>
      <c r="AK3345">
        <v>17.022843321466699</v>
      </c>
      <c r="AL3345">
        <v>85.635163641271205</v>
      </c>
      <c r="AM3345">
        <v>97.711221674927899</v>
      </c>
      <c r="AN3345">
        <v>0.99999998438272997</v>
      </c>
    </row>
    <row r="3346" spans="1:40" x14ac:dyDescent="0.3">
      <c r="A3346" t="str">
        <f>"20200111153944958"</f>
        <v>20200111153944958</v>
      </c>
      <c r="B3346" t="str">
        <f>"1578728384953990"</f>
        <v>1578728384953990</v>
      </c>
      <c r="C3346" t="s">
        <v>40</v>
      </c>
      <c r="D3346">
        <v>5.3192180000000002</v>
      </c>
      <c r="E3346">
        <v>0.51762859999999999</v>
      </c>
      <c r="F3346" t="s">
        <v>67</v>
      </c>
      <c r="G3346">
        <v>-382.62790000000001</v>
      </c>
      <c r="H3346" s="1">
        <v>-3.584034E-6</v>
      </c>
      <c r="I3346">
        <v>19.059709999999999</v>
      </c>
      <c r="J3346">
        <v>-399.27690000000001</v>
      </c>
      <c r="K3346">
        <v>1.1062050000000001</v>
      </c>
      <c r="L3346">
        <v>18.710909999999998</v>
      </c>
      <c r="M3346">
        <v>0.99796050000000003</v>
      </c>
      <c r="N3346">
        <v>0</v>
      </c>
      <c r="O3346">
        <v>-6.242905E-2</v>
      </c>
      <c r="P3346">
        <v>0.99573219999999996</v>
      </c>
      <c r="Q3346">
        <v>6.362015E-2</v>
      </c>
      <c r="R3346">
        <v>6.6859269999999998E-2</v>
      </c>
      <c r="S3346">
        <v>3.0217900000000002</v>
      </c>
      <c r="T3346">
        <v>-0.1980577</v>
      </c>
      <c r="U3346">
        <v>6.0180659999999997E-2</v>
      </c>
      <c r="V3346">
        <v>-0.12909029999999999</v>
      </c>
      <c r="W3346">
        <v>7.647938E-2</v>
      </c>
      <c r="X3346">
        <v>0.98867919999999998</v>
      </c>
      <c r="Y3346">
        <v>-8.1985279999999994E-2</v>
      </c>
      <c r="Z3346">
        <v>6.7696529999999996E-3</v>
      </c>
      <c r="AA3346">
        <v>0.99661049999999995</v>
      </c>
      <c r="AB3346">
        <v>24</v>
      </c>
      <c r="AC3346">
        <v>16.649000000000001</v>
      </c>
      <c r="AD3346">
        <v>-1.1062085840339999</v>
      </c>
      <c r="AE3346">
        <v>0.348799999999997</v>
      </c>
      <c r="AF3346">
        <v>-1.38149682852777</v>
      </c>
      <c r="AG3346">
        <v>-1.1062085840339999</v>
      </c>
      <c r="AH3346">
        <v>16.5218352138269</v>
      </c>
      <c r="AI3346">
        <v>93.817202549451196</v>
      </c>
      <c r="AJ3346">
        <v>94.779749524260296</v>
      </c>
      <c r="AK3346">
        <v>16.616355489440899</v>
      </c>
      <c r="AL3346">
        <v>85.613771202481502</v>
      </c>
      <c r="AM3346">
        <v>97.438937692758302</v>
      </c>
      <c r="AN3346">
        <v>0.99999998081595698</v>
      </c>
    </row>
    <row r="3347" spans="1:40" x14ac:dyDescent="0.3">
      <c r="A3347" t="str">
        <f>"20200111153944981"</f>
        <v>20200111153944981</v>
      </c>
      <c r="B3347" t="str">
        <f>"1578728384974485"</f>
        <v>1578728384974485</v>
      </c>
      <c r="C3347" t="s">
        <v>40</v>
      </c>
      <c r="D3347">
        <v>5.3092480000000002</v>
      </c>
      <c r="E3347">
        <v>0.51763530000000002</v>
      </c>
      <c r="F3347" t="s">
        <v>67</v>
      </c>
      <c r="G3347">
        <v>-382.40350000000001</v>
      </c>
      <c r="H3347" s="1">
        <v>-3.7011379999999998E-6</v>
      </c>
      <c r="I3347">
        <v>18.997340000000001</v>
      </c>
      <c r="J3347">
        <v>-399.04140000000001</v>
      </c>
      <c r="K3347">
        <v>1.1060559999999999</v>
      </c>
      <c r="L3347">
        <v>18.69821</v>
      </c>
      <c r="M3347">
        <v>0.99805829999999995</v>
      </c>
      <c r="N3347">
        <v>0</v>
      </c>
      <c r="O3347">
        <v>-6.0847199999999997E-2</v>
      </c>
      <c r="P3347">
        <v>0.99587000000000003</v>
      </c>
      <c r="Q3347">
        <v>6.4834340000000004E-2</v>
      </c>
      <c r="R3347">
        <v>6.3559439999999995E-2</v>
      </c>
      <c r="S3347">
        <v>3.0220639999999999</v>
      </c>
      <c r="T3347">
        <v>-0.1981251</v>
      </c>
      <c r="U3347">
        <v>5.130005E-2</v>
      </c>
      <c r="V3347">
        <v>-0.1242147</v>
      </c>
      <c r="W3347">
        <v>7.7740180000000006E-2</v>
      </c>
      <c r="X3347">
        <v>0.98920529999999995</v>
      </c>
      <c r="Y3347">
        <v>-7.7488249999999995E-2</v>
      </c>
      <c r="Z3347">
        <v>6.5207099999999999E-3</v>
      </c>
      <c r="AA3347">
        <v>0.99697199999999997</v>
      </c>
      <c r="AB3347">
        <v>24</v>
      </c>
      <c r="AC3347">
        <v>16.637899999999998</v>
      </c>
      <c r="AD3347">
        <v>-1.106059701138</v>
      </c>
      <c r="AE3347">
        <v>0.29912999999999801</v>
      </c>
      <c r="AF3347">
        <v>-1.30526840570264</v>
      </c>
      <c r="AG3347">
        <v>-1.106059701138</v>
      </c>
      <c r="AH3347">
        <v>16.5158969705587</v>
      </c>
      <c r="AI3347">
        <v>93.819469011486007</v>
      </c>
      <c r="AJ3347">
        <v>94.518752386686103</v>
      </c>
      <c r="AK3347">
        <v>16.6042749439871</v>
      </c>
      <c r="AL3347">
        <v>85.541316933048293</v>
      </c>
      <c r="AM3347">
        <v>97.157181105692203</v>
      </c>
      <c r="AN3347">
        <v>0.99999997641530503</v>
      </c>
    </row>
    <row r="3348" spans="1:40" x14ac:dyDescent="0.3">
      <c r="A3348" t="str">
        <f>"20200111153945004"</f>
        <v>20200111153945004</v>
      </c>
      <c r="B3348" t="str">
        <f>"1578728384994008"</f>
        <v>1578728384994008</v>
      </c>
      <c r="C3348" t="s">
        <v>40</v>
      </c>
      <c r="D3348">
        <v>5.347359</v>
      </c>
      <c r="E3348">
        <v>0.51768249999999905</v>
      </c>
      <c r="F3348" t="s">
        <v>67</v>
      </c>
      <c r="G3348">
        <v>-381.97730000000001</v>
      </c>
      <c r="H3348" s="1">
        <v>-3.9140070000000001E-6</v>
      </c>
      <c r="I3348">
        <v>18.933219999999999</v>
      </c>
      <c r="J3348">
        <v>-398.80020000000002</v>
      </c>
      <c r="K3348">
        <v>1.1059110000000001</v>
      </c>
      <c r="L3348">
        <v>18.68533</v>
      </c>
      <c r="M3348">
        <v>0.9981428</v>
      </c>
      <c r="N3348">
        <v>0</v>
      </c>
      <c r="O3348">
        <v>-5.9446390000000002E-2</v>
      </c>
      <c r="P3348">
        <v>0.9961314</v>
      </c>
      <c r="Q3348">
        <v>6.4206059999999995E-2</v>
      </c>
      <c r="R3348">
        <v>5.9996029999999999E-2</v>
      </c>
      <c r="S3348">
        <v>3.0225219999999999</v>
      </c>
      <c r="T3348">
        <v>-0.19591330000000001</v>
      </c>
      <c r="U3348">
        <v>4.162598E-2</v>
      </c>
      <c r="V3348">
        <v>-0.1192583</v>
      </c>
      <c r="W3348">
        <v>7.7154959999999995E-2</v>
      </c>
      <c r="X3348">
        <v>0.98986090000000004</v>
      </c>
      <c r="Y3348">
        <v>-7.2914649999999998E-2</v>
      </c>
      <c r="Z3348">
        <v>6.208491E-3</v>
      </c>
      <c r="AA3348">
        <v>0.99731890000000001</v>
      </c>
      <c r="AB3348">
        <v>24</v>
      </c>
      <c r="AC3348">
        <v>16.822900000000001</v>
      </c>
      <c r="AD3348">
        <v>-1.1059149140069999</v>
      </c>
      <c r="AE3348">
        <v>0.247890000000001</v>
      </c>
      <c r="AF3348">
        <v>-1.24223352332514</v>
      </c>
      <c r="AG3348">
        <v>-1.1059149140069999</v>
      </c>
      <c r="AH3348">
        <v>16.7062244785842</v>
      </c>
      <c r="AI3348">
        <v>93.776930743345005</v>
      </c>
      <c r="AJ3348">
        <v>94.252546442869601</v>
      </c>
      <c r="AK3348">
        <v>16.788809613916701</v>
      </c>
      <c r="AL3348">
        <v>85.574948759576799</v>
      </c>
      <c r="AM3348">
        <v>96.869875380910599</v>
      </c>
      <c r="AN3348">
        <v>1.0000000156601501</v>
      </c>
    </row>
    <row r="3349" spans="1:40" x14ac:dyDescent="0.3">
      <c r="A3349" t="str">
        <f>"20200111153945027"</f>
        <v>20200111153945027</v>
      </c>
      <c r="B3349" t="str">
        <f>"1578728385014501"</f>
        <v>1578728385014501</v>
      </c>
      <c r="C3349" t="s">
        <v>40</v>
      </c>
      <c r="D3349">
        <v>5.3746839999999896</v>
      </c>
      <c r="E3349">
        <v>0.51777429999999902</v>
      </c>
      <c r="F3349" t="s">
        <v>67</v>
      </c>
      <c r="G3349">
        <v>-382.0718</v>
      </c>
      <c r="H3349" s="1">
        <v>-3.8826239999999997E-6</v>
      </c>
      <c r="I3349">
        <v>18.858280000000001</v>
      </c>
      <c r="J3349">
        <v>-398.56880000000001</v>
      </c>
      <c r="K3349">
        <v>1.1057650000000001</v>
      </c>
      <c r="L3349">
        <v>18.673069999999999</v>
      </c>
      <c r="M3349">
        <v>0.99821029999999999</v>
      </c>
      <c r="N3349">
        <v>0</v>
      </c>
      <c r="O3349">
        <v>-5.8305129999999997E-2</v>
      </c>
      <c r="P3349">
        <v>0.99640890000000004</v>
      </c>
      <c r="Q3349">
        <v>6.3146259999999996E-2</v>
      </c>
      <c r="R3349">
        <v>5.6409590000000003E-2</v>
      </c>
      <c r="S3349">
        <v>3.0226440000000001</v>
      </c>
      <c r="T3349">
        <v>-0.19982730000000001</v>
      </c>
      <c r="U3349">
        <v>3.125E-2</v>
      </c>
      <c r="V3349">
        <v>-0.114536</v>
      </c>
      <c r="W3349">
        <v>7.6136579999999995E-2</v>
      </c>
      <c r="X3349">
        <v>0.99049719999999997</v>
      </c>
      <c r="Y3349">
        <v>-6.8351250000000002E-2</v>
      </c>
      <c r="Z3349">
        <v>6.1060730000000001E-3</v>
      </c>
      <c r="AA3349">
        <v>0.99764260000000005</v>
      </c>
      <c r="AB3349">
        <v>24</v>
      </c>
      <c r="AC3349">
        <v>16.497</v>
      </c>
      <c r="AD3349">
        <v>-1.105768882624</v>
      </c>
      <c r="AE3349">
        <v>0.18520999999999699</v>
      </c>
      <c r="AF3349">
        <v>-1.1417107405043501</v>
      </c>
      <c r="AG3349">
        <v>-1.105768882624</v>
      </c>
      <c r="AH3349">
        <v>16.3845274237136</v>
      </c>
      <c r="AI3349">
        <v>93.851645907984405</v>
      </c>
      <c r="AJ3349">
        <v>93.986055594898502</v>
      </c>
      <c r="AK3349">
        <v>16.461438792984801</v>
      </c>
      <c r="AL3349">
        <v>85.633469665287294</v>
      </c>
      <c r="AM3349">
        <v>96.596093541654994</v>
      </c>
      <c r="AN3349">
        <v>0.999999988658968</v>
      </c>
    </row>
    <row r="3350" spans="1:40" x14ac:dyDescent="0.3">
      <c r="A3350" t="str">
        <f>"20200111153945048"</f>
        <v>20200111153945048</v>
      </c>
      <c r="B3350" t="str">
        <f>"1578728385044758"</f>
        <v>1578728385044758</v>
      </c>
      <c r="C3350" t="s">
        <v>40</v>
      </c>
      <c r="D3350">
        <v>5.353999</v>
      </c>
      <c r="E3350">
        <v>0.51787059999999996</v>
      </c>
      <c r="F3350" t="s">
        <v>67</v>
      </c>
      <c r="G3350">
        <v>-382.17599999999999</v>
      </c>
      <c r="H3350" s="1">
        <v>-3.8472619999999998E-6</v>
      </c>
      <c r="I3350">
        <v>18.779820000000001</v>
      </c>
      <c r="J3350">
        <v>-398.3467</v>
      </c>
      <c r="K3350">
        <v>1.105613</v>
      </c>
      <c r="L3350">
        <v>18.661380000000001</v>
      </c>
      <c r="M3350">
        <v>0.99826340000000002</v>
      </c>
      <c r="N3350">
        <v>0</v>
      </c>
      <c r="O3350">
        <v>-5.7389990000000002E-2</v>
      </c>
      <c r="P3350">
        <v>0.99654589999999998</v>
      </c>
      <c r="Q3350">
        <v>6.3304099999999905E-2</v>
      </c>
      <c r="R3350">
        <v>5.3749089999999999E-2</v>
      </c>
      <c r="S3350">
        <v>3.022583</v>
      </c>
      <c r="T3350">
        <v>-0.2038867</v>
      </c>
      <c r="U3350">
        <v>1.9683840000000001E-2</v>
      </c>
      <c r="V3350">
        <v>-0.1109555</v>
      </c>
      <c r="W3350">
        <v>7.633007E-2</v>
      </c>
      <c r="X3350">
        <v>0.99088980000000004</v>
      </c>
      <c r="Y3350">
        <v>-6.3620309999999999E-2</v>
      </c>
      <c r="Z3350">
        <v>6.008981E-3</v>
      </c>
      <c r="AA3350">
        <v>0.99795610000000001</v>
      </c>
      <c r="AB3350">
        <v>23</v>
      </c>
      <c r="AC3350">
        <v>16.1707</v>
      </c>
      <c r="AD3350">
        <v>-1.105616847262</v>
      </c>
      <c r="AE3350">
        <v>0.118440000000003</v>
      </c>
      <c r="AF3350">
        <v>-1.0414946220244501</v>
      </c>
      <c r="AG3350">
        <v>-1.105616847262</v>
      </c>
      <c r="AH3350">
        <v>16.062164048806299</v>
      </c>
      <c r="AI3350">
        <v>93.929438697795504</v>
      </c>
      <c r="AJ3350">
        <v>93.709950038481097</v>
      </c>
      <c r="AK3350">
        <v>16.133822039164201</v>
      </c>
      <c r="AL3350">
        <v>85.622351195991399</v>
      </c>
      <c r="AM3350">
        <v>96.389115761846895</v>
      </c>
      <c r="AN3350">
        <v>0.99999999915524695</v>
      </c>
    </row>
    <row r="3351" spans="1:40" x14ac:dyDescent="0.3">
      <c r="A3351" t="str">
        <f>"20200111153945073"</f>
        <v>20200111153945073</v>
      </c>
      <c r="B3351" t="str">
        <f>"1578728385064278"</f>
        <v>1578728385064278</v>
      </c>
      <c r="C3351" t="s">
        <v>40</v>
      </c>
      <c r="D3351">
        <v>5.3930309999999997</v>
      </c>
      <c r="E3351">
        <v>0.51782550000000005</v>
      </c>
      <c r="F3351" t="s">
        <v>67</v>
      </c>
      <c r="G3351">
        <v>-381.98930000000001</v>
      </c>
      <c r="H3351" s="1">
        <v>-3.9461649999999997E-6</v>
      </c>
      <c r="I3351">
        <v>18.719840000000001</v>
      </c>
      <c r="J3351">
        <v>-398.08859999999999</v>
      </c>
      <c r="K3351">
        <v>1.105442</v>
      </c>
      <c r="L3351">
        <v>18.64771</v>
      </c>
      <c r="M3351">
        <v>0.99831239999999999</v>
      </c>
      <c r="N3351">
        <v>0</v>
      </c>
      <c r="O3351">
        <v>-5.6534979999999999E-2</v>
      </c>
      <c r="P3351">
        <v>0.99663029999999997</v>
      </c>
      <c r="Q3351">
        <v>6.3117619999999999E-2</v>
      </c>
      <c r="R3351">
        <v>5.2388360000000002E-2</v>
      </c>
      <c r="S3351">
        <v>3.0228269999999999</v>
      </c>
      <c r="T3351">
        <v>-0.2043172</v>
      </c>
      <c r="U3351">
        <v>1.0803220000000001E-2</v>
      </c>
      <c r="V3351">
        <v>-0.1087239</v>
      </c>
      <c r="W3351">
        <v>7.6180319999999996E-2</v>
      </c>
      <c r="X3351">
        <v>0.99114869999999999</v>
      </c>
      <c r="Y3351">
        <v>-5.9842279999999998E-2</v>
      </c>
      <c r="Z3351">
        <v>5.8359179999999998E-3</v>
      </c>
      <c r="AA3351">
        <v>0.99819080000000004</v>
      </c>
      <c r="AB3351">
        <v>23</v>
      </c>
      <c r="AC3351">
        <v>16.0992999999999</v>
      </c>
      <c r="AD3351">
        <v>-1.1054459461649999</v>
      </c>
      <c r="AE3351">
        <v>7.2129999999997793E-2</v>
      </c>
      <c r="AF3351">
        <v>-0.97765904249386903</v>
      </c>
      <c r="AG3351">
        <v>-1.1054459461649999</v>
      </c>
      <c r="AH3351">
        <v>15.994061419809899</v>
      </c>
      <c r="AI3351">
        <v>93.946426201855701</v>
      </c>
      <c r="AJ3351">
        <v>93.497931206468706</v>
      </c>
      <c r="AK3351">
        <v>16.061999521974698</v>
      </c>
      <c r="AL3351">
        <v>85.630956457855902</v>
      </c>
      <c r="AM3351">
        <v>96.260022679440198</v>
      </c>
      <c r="AN3351">
        <v>1.0000000365491</v>
      </c>
    </row>
    <row r="3352" spans="1:40" x14ac:dyDescent="0.3">
      <c r="A3352" t="str">
        <f>"20200111153945094"</f>
        <v>20200111153945094</v>
      </c>
      <c r="B3352" t="str">
        <f>"1578728385084774"</f>
        <v>1578728385084774</v>
      </c>
      <c r="C3352" t="s">
        <v>40</v>
      </c>
      <c r="D3352">
        <v>5.377764</v>
      </c>
      <c r="E3352">
        <v>0.51783999999999997</v>
      </c>
      <c r="F3352" t="s">
        <v>67</v>
      </c>
      <c r="G3352">
        <v>-381.81490000000002</v>
      </c>
      <c r="H3352" s="1">
        <v>-4.0351840000000003E-6</v>
      </c>
      <c r="I3352">
        <v>18.682700000000001</v>
      </c>
      <c r="J3352">
        <v>-397.86290000000002</v>
      </c>
      <c r="K3352">
        <v>1.105299</v>
      </c>
      <c r="L3352">
        <v>18.635680000000001</v>
      </c>
      <c r="M3352">
        <v>0.99834409999999896</v>
      </c>
      <c r="N3352">
        <v>0</v>
      </c>
      <c r="O3352">
        <v>-5.5976699999999997E-2</v>
      </c>
      <c r="P3352">
        <v>0.9966777</v>
      </c>
      <c r="Q3352">
        <v>6.1734129999999998E-2</v>
      </c>
      <c r="R3352">
        <v>5.3126550000000002E-2</v>
      </c>
      <c r="S3352">
        <v>3.0227970000000002</v>
      </c>
      <c r="T3352">
        <v>-0.20533460000000001</v>
      </c>
      <c r="U3352">
        <v>6.5002439999999996E-3</v>
      </c>
      <c r="V3352">
        <v>-0.10888399999999999</v>
      </c>
      <c r="W3352">
        <v>7.4823769999999998E-2</v>
      </c>
      <c r="X3352">
        <v>0.99123439999999996</v>
      </c>
      <c r="Y3352">
        <v>-5.7866260000000003E-2</v>
      </c>
      <c r="Z3352">
        <v>5.7600669999999998E-3</v>
      </c>
      <c r="AA3352">
        <v>0.99830770000000002</v>
      </c>
      <c r="AB3352">
        <v>23</v>
      </c>
      <c r="AC3352">
        <v>16.047999999999998</v>
      </c>
      <c r="AD3352">
        <v>-1.1053030351840001</v>
      </c>
      <c r="AE3352">
        <v>4.7020000000003302E-2</v>
      </c>
      <c r="AF3352">
        <v>-0.94087602422766303</v>
      </c>
      <c r="AG3352">
        <v>-1.1053030351840001</v>
      </c>
      <c r="AH3352">
        <v>15.9445650404716</v>
      </c>
      <c r="AI3352">
        <v>93.958627976782097</v>
      </c>
      <c r="AJ3352">
        <v>93.377061994452205</v>
      </c>
      <c r="AK3352">
        <v>16.010499580662099</v>
      </c>
      <c r="AL3352">
        <v>85.708903291349799</v>
      </c>
      <c r="AM3352">
        <v>96.268629747943706</v>
      </c>
      <c r="AN3352">
        <v>0.99999997887818604</v>
      </c>
    </row>
    <row r="3353" spans="1:40" x14ac:dyDescent="0.3">
      <c r="A3353" t="str">
        <f>"20200111153945116"</f>
        <v>20200111153945116</v>
      </c>
      <c r="B3353" t="str">
        <f>"1578728385104302"</f>
        <v>1578728385104302</v>
      </c>
      <c r="C3353" t="s">
        <v>40</v>
      </c>
      <c r="D3353">
        <v>5.3946589999999999</v>
      </c>
      <c r="E3353">
        <v>0.5178471</v>
      </c>
      <c r="F3353" t="s">
        <v>67</v>
      </c>
      <c r="G3353">
        <v>-381.86700000000002</v>
      </c>
      <c r="H3353" s="1">
        <v>-4.0122500000000004E-6</v>
      </c>
      <c r="I3353">
        <v>18.67315</v>
      </c>
      <c r="J3353">
        <v>-397.6352</v>
      </c>
      <c r="K3353">
        <v>1.105151</v>
      </c>
      <c r="L3353">
        <v>18.623470000000001</v>
      </c>
      <c r="M3353">
        <v>0.99836519999999995</v>
      </c>
      <c r="N3353">
        <v>0</v>
      </c>
      <c r="O3353">
        <v>-5.5597569999999999E-2</v>
      </c>
      <c r="P3353">
        <v>0.99676160000000003</v>
      </c>
      <c r="Q3353">
        <v>5.8986089999999998E-2</v>
      </c>
      <c r="R3353">
        <v>5.4651159999999997E-2</v>
      </c>
      <c r="S3353">
        <v>3.0225520000000001</v>
      </c>
      <c r="T3353">
        <v>-0.2088565</v>
      </c>
      <c r="U3353">
        <v>7.0800780000000001E-3</v>
      </c>
      <c r="V3353">
        <v>-0.1100125</v>
      </c>
      <c r="W3353">
        <v>7.2099369999999996E-2</v>
      </c>
      <c r="X3353">
        <v>0.99131170000000002</v>
      </c>
      <c r="Y3353">
        <v>-5.7671090000000001E-2</v>
      </c>
      <c r="Z3353">
        <v>5.8262319999999998E-3</v>
      </c>
      <c r="AA3353">
        <v>0.99831859999999994</v>
      </c>
      <c r="AB3353">
        <v>23</v>
      </c>
      <c r="AC3353">
        <v>15.7682</v>
      </c>
      <c r="AD3353">
        <v>-1.10515501225</v>
      </c>
      <c r="AE3353">
        <v>4.96799999999986E-2</v>
      </c>
      <c r="AF3353">
        <v>-0.92182562328972895</v>
      </c>
      <c r="AG3353">
        <v>-1.10515501225</v>
      </c>
      <c r="AH3353">
        <v>15.664098549698</v>
      </c>
      <c r="AI3353">
        <v>94.028775813128405</v>
      </c>
      <c r="AJ3353">
        <v>93.367948112396505</v>
      </c>
      <c r="AK3353">
        <v>15.730070357614601</v>
      </c>
      <c r="AL3353">
        <v>85.865422870092004</v>
      </c>
      <c r="AM3353">
        <v>96.332584296345502</v>
      </c>
      <c r="AN3353">
        <v>0.99999997793376805</v>
      </c>
    </row>
    <row r="3354" spans="1:40" x14ac:dyDescent="0.3">
      <c r="A3354" t="str">
        <f>"20200111153945138"</f>
        <v>20200111153945138</v>
      </c>
      <c r="B3354" t="str">
        <f>"1578728385134549"</f>
        <v>1578728385134549</v>
      </c>
      <c r="C3354" t="s">
        <v>40</v>
      </c>
      <c r="D3354">
        <v>5.5781609999999997</v>
      </c>
      <c r="E3354">
        <v>0.51786969999999999</v>
      </c>
      <c r="F3354" t="s">
        <v>67</v>
      </c>
      <c r="G3354">
        <v>-382.21589999999998</v>
      </c>
      <c r="H3354" s="1">
        <v>-3.8468180000000002E-6</v>
      </c>
      <c r="I3354">
        <v>18.676110000000001</v>
      </c>
      <c r="J3354">
        <v>-397.40649999999999</v>
      </c>
      <c r="K3354">
        <v>1.1050219999999999</v>
      </c>
      <c r="L3354">
        <v>18.61111</v>
      </c>
      <c r="M3354">
        <v>0.99837699999999996</v>
      </c>
      <c r="N3354">
        <v>0</v>
      </c>
      <c r="O3354">
        <v>-5.5389920000000002E-2</v>
      </c>
      <c r="P3354">
        <v>0.99701280000000003</v>
      </c>
      <c r="Q3354">
        <v>5.4536149999999999E-2</v>
      </c>
      <c r="R3354">
        <v>5.4695809999999997E-2</v>
      </c>
      <c r="S3354">
        <v>3.021973</v>
      </c>
      <c r="T3354">
        <v>-0.2165958</v>
      </c>
      <c r="U3354">
        <v>1.031494E-2</v>
      </c>
      <c r="V3354">
        <v>-0.10984720000000001</v>
      </c>
      <c r="W3354">
        <v>6.7674670000000006E-2</v>
      </c>
      <c r="X3354">
        <v>0.99164189999999997</v>
      </c>
      <c r="Y3354">
        <v>-5.851042E-2</v>
      </c>
      <c r="Z3354">
        <v>6.0579519999999897E-3</v>
      </c>
      <c r="AA3354">
        <v>0.99826839999999994</v>
      </c>
      <c r="AB3354">
        <v>23</v>
      </c>
      <c r="AC3354">
        <v>15.1906</v>
      </c>
      <c r="AD3354">
        <v>-1.1050258468180001</v>
      </c>
      <c r="AE3354">
        <v>6.5000000000001196E-2</v>
      </c>
      <c r="AF3354">
        <v>-0.901609126224172</v>
      </c>
      <c r="AG3354">
        <v>-1.1050258468180001</v>
      </c>
      <c r="AH3354">
        <v>15.083856889699399</v>
      </c>
      <c r="AI3354">
        <v>94.182498952675601</v>
      </c>
      <c r="AJ3354">
        <v>93.420677316459503</v>
      </c>
      <c r="AK3354">
        <v>15.1511293244945</v>
      </c>
      <c r="AL3354">
        <v>86.119561054560506</v>
      </c>
      <c r="AM3354">
        <v>96.321057902132594</v>
      </c>
      <c r="AN3354">
        <v>0.99999996307152805</v>
      </c>
    </row>
    <row r="3355" spans="1:40" x14ac:dyDescent="0.3">
      <c r="A3355" t="str">
        <f>"20200111153945162"</f>
        <v>20200111153945162</v>
      </c>
      <c r="B3355" t="str">
        <f>"1578728385154071"</f>
        <v>1578728385154071</v>
      </c>
      <c r="C3355" t="s">
        <v>40</v>
      </c>
      <c r="D3355">
        <v>5.5418379999999896</v>
      </c>
      <c r="E3355">
        <v>0.55361179999999999</v>
      </c>
      <c r="F3355" t="s">
        <v>67</v>
      </c>
      <c r="G3355">
        <v>-382.91419999999999</v>
      </c>
      <c r="H3355" s="1">
        <v>-3.5197360000000001E-6</v>
      </c>
      <c r="I3355">
        <v>18.659279999999999</v>
      </c>
      <c r="J3355">
        <v>-397.15660000000003</v>
      </c>
      <c r="K3355">
        <v>1.10491299999999</v>
      </c>
      <c r="L3355">
        <v>18.597439999999999</v>
      </c>
      <c r="M3355">
        <v>0.99838139999999997</v>
      </c>
      <c r="N3355">
        <v>0</v>
      </c>
      <c r="O3355">
        <v>-5.530997E-2</v>
      </c>
      <c r="P3355">
        <v>0.99731000000000003</v>
      </c>
      <c r="Q3355">
        <v>5.0269389999999997E-2</v>
      </c>
      <c r="R3355">
        <v>5.3346930000000001E-2</v>
      </c>
      <c r="S3355">
        <v>3.0209959999999998</v>
      </c>
      <c r="T3355">
        <v>-0.23034750000000001</v>
      </c>
      <c r="U3355">
        <v>1.004028E-2</v>
      </c>
      <c r="V3355">
        <v>-0.1084238</v>
      </c>
      <c r="W3355">
        <v>6.3429970000000002E-2</v>
      </c>
      <c r="X3355">
        <v>0.99207909999999999</v>
      </c>
      <c r="Y3355">
        <v>-5.8303220000000003E-2</v>
      </c>
      <c r="Z3355">
        <v>6.4295990000000003E-3</v>
      </c>
      <c r="AA3355">
        <v>0.9982782</v>
      </c>
      <c r="AB3355">
        <v>23</v>
      </c>
      <c r="AC3355">
        <v>14.2424</v>
      </c>
      <c r="AD3355">
        <v>-1.10491651973599</v>
      </c>
      <c r="AE3355">
        <v>6.1840000000000103E-2</v>
      </c>
      <c r="AF3355">
        <v>-0.84447867735498705</v>
      </c>
      <c r="AG3355">
        <v>-1.10491651973599</v>
      </c>
      <c r="AH3355">
        <v>14.132120286942399</v>
      </c>
      <c r="AI3355">
        <v>94.462634424559695</v>
      </c>
      <c r="AJ3355">
        <v>93.419698915289402</v>
      </c>
      <c r="AK3355">
        <v>14.2003805778825</v>
      </c>
      <c r="AL3355">
        <v>86.363289045425205</v>
      </c>
      <c r="AM3355">
        <v>96.237071780810496</v>
      </c>
      <c r="AN3355">
        <v>1.0000000110787199</v>
      </c>
    </row>
    <row r="3356" spans="1:40" x14ac:dyDescent="0.3">
      <c r="A3356" t="str">
        <f>"20200111153945183"</f>
        <v>20200111153945183</v>
      </c>
      <c r="B3356" t="str">
        <f>"1578728385174566"</f>
        <v>1578728385174566</v>
      </c>
      <c r="C3356" t="s">
        <v>40</v>
      </c>
      <c r="D3356">
        <v>5.4884180000000002</v>
      </c>
      <c r="E3356">
        <v>0.55571219999999999</v>
      </c>
      <c r="F3356" t="s">
        <v>41</v>
      </c>
      <c r="G3356">
        <v>-396.30450000000002</v>
      </c>
      <c r="H3356">
        <v>1.038934</v>
      </c>
      <c r="I3356">
        <v>18.51952</v>
      </c>
      <c r="J3356">
        <v>-396.93340000000001</v>
      </c>
      <c r="K3356">
        <v>1.104851</v>
      </c>
      <c r="L3356">
        <v>18.585139999999999</v>
      </c>
      <c r="M3356">
        <v>0.99838000000000005</v>
      </c>
      <c r="N3356">
        <v>0</v>
      </c>
      <c r="O3356">
        <v>-5.5337949999999997E-2</v>
      </c>
      <c r="P3356">
        <v>0.99739199999999995</v>
      </c>
      <c r="Q3356">
        <v>4.9304300000000002E-2</v>
      </c>
      <c r="R3356">
        <v>5.2712410000000001E-2</v>
      </c>
      <c r="S3356">
        <v>3.034821</v>
      </c>
      <c r="T3356">
        <v>-0.23496819999999999</v>
      </c>
      <c r="U3356">
        <v>-0.27749629999999997</v>
      </c>
      <c r="V3356">
        <v>-0.1078134</v>
      </c>
      <c r="W3356">
        <v>6.2477240000000003E-2</v>
      </c>
      <c r="X3356">
        <v>0.99220600000000003</v>
      </c>
      <c r="Y3356">
        <v>3.58628E-2</v>
      </c>
      <c r="Z3356">
        <v>2.8818950000000002E-3</v>
      </c>
      <c r="AA3356">
        <v>0.99935260000000004</v>
      </c>
      <c r="AB3356">
        <v>23</v>
      </c>
      <c r="AC3356">
        <v>0.62889999999998702</v>
      </c>
      <c r="AD3356">
        <v>-6.5916999999999906E-2</v>
      </c>
      <c r="AE3356">
        <v>-6.5619999999999096E-2</v>
      </c>
      <c r="AF3356">
        <v>3.03841485199721E-2</v>
      </c>
      <c r="AG3356">
        <v>-6.5916999999999906E-2</v>
      </c>
      <c r="AH3356">
        <v>0.62477798484940605</v>
      </c>
      <c r="AI3356">
        <v>96.015634782858299</v>
      </c>
      <c r="AJ3356">
        <v>87.215790204321294</v>
      </c>
      <c r="AK3356">
        <v>0.62897995017549502</v>
      </c>
      <c r="AL3356">
        <v>86.417984693902795</v>
      </c>
      <c r="AM3356">
        <v>96.201445922854404</v>
      </c>
      <c r="AN3356">
        <v>0.99999994058678698</v>
      </c>
    </row>
    <row r="3357" spans="1:40" x14ac:dyDescent="0.3">
      <c r="A3357" t="str">
        <f>"20200111153945206"</f>
        <v>20200111153945206</v>
      </c>
      <c r="B3357" t="str">
        <f>"1578728385194085"</f>
        <v>1578728385194085</v>
      </c>
      <c r="C3357" t="s">
        <v>40</v>
      </c>
      <c r="D3357">
        <v>5.5006459999999997</v>
      </c>
      <c r="E3357">
        <v>0.55648439999999999</v>
      </c>
      <c r="F3357" t="s">
        <v>41</v>
      </c>
      <c r="G3357">
        <v>-396.0942</v>
      </c>
      <c r="H3357">
        <v>1.0431379999999999</v>
      </c>
      <c r="I3357">
        <v>18.503419999999998</v>
      </c>
      <c r="J3357">
        <v>-396.69690000000003</v>
      </c>
      <c r="K3357">
        <v>1.1048009999999999</v>
      </c>
      <c r="L3357">
        <v>18.57199</v>
      </c>
      <c r="M3357">
        <v>0.99837330000000002</v>
      </c>
      <c r="N3357">
        <v>0</v>
      </c>
      <c r="O3357">
        <v>-5.5457739999999998E-2</v>
      </c>
      <c r="P3357">
        <v>0.99738870000000002</v>
      </c>
      <c r="Q3357">
        <v>5.0548740000000002E-2</v>
      </c>
      <c r="R3357">
        <v>5.1583780000000003E-2</v>
      </c>
      <c r="S3357">
        <v>3.0344540000000002</v>
      </c>
      <c r="T3357">
        <v>-0.2232046</v>
      </c>
      <c r="U3357">
        <v>-0.2949524</v>
      </c>
      <c r="V3357">
        <v>-0.10679710000000001</v>
      </c>
      <c r="W3357">
        <v>6.3731200000000002E-2</v>
      </c>
      <c r="X3357">
        <v>0.99223620000000001</v>
      </c>
      <c r="Y3357">
        <v>4.1431229999999999E-2</v>
      </c>
      <c r="Z3357">
        <v>2.542159E-3</v>
      </c>
      <c r="AA3357">
        <v>0.99913810000000003</v>
      </c>
      <c r="AB3357">
        <v>23</v>
      </c>
      <c r="AC3357">
        <v>0.60270000000002699</v>
      </c>
      <c r="AD3357">
        <v>-6.1663000000000003E-2</v>
      </c>
      <c r="AE3357">
        <v>-6.8569999999997494E-2</v>
      </c>
      <c r="AF3357">
        <v>3.4678781746377403E-2</v>
      </c>
      <c r="AG3357">
        <v>-6.1663000000000003E-2</v>
      </c>
      <c r="AH3357">
        <v>0.59938146469592402</v>
      </c>
      <c r="AI3357">
        <v>95.864056796509502</v>
      </c>
      <c r="AJ3357">
        <v>86.688694450722593</v>
      </c>
      <c r="AK3357">
        <v>0.60354211426663795</v>
      </c>
      <c r="AL3357">
        <v>86.345994738464796</v>
      </c>
      <c r="AM3357">
        <v>96.1432517362813</v>
      </c>
      <c r="AN3357">
        <v>0.999999981506144</v>
      </c>
    </row>
    <row r="3358" spans="1:40" x14ac:dyDescent="0.3">
      <c r="A3358" t="str">
        <f>"20200111153945227"</f>
        <v>20200111153945227</v>
      </c>
      <c r="B3358" t="str">
        <f>"1578728385224341"</f>
        <v>1578728385224341</v>
      </c>
      <c r="C3358" t="s">
        <v>40</v>
      </c>
      <c r="D3358">
        <v>5.4413919999999996</v>
      </c>
      <c r="E3358">
        <v>0.55669440000000003</v>
      </c>
      <c r="F3358" t="s">
        <v>41</v>
      </c>
      <c r="G3358">
        <v>-395.88159999999999</v>
      </c>
      <c r="H3358">
        <v>1.048605</v>
      </c>
      <c r="I3358">
        <v>18.490030000000001</v>
      </c>
      <c r="J3358">
        <v>-396.47859999999997</v>
      </c>
      <c r="K3358">
        <v>1.1047579999999999</v>
      </c>
      <c r="L3358">
        <v>18.559660000000001</v>
      </c>
      <c r="M3358">
        <v>0.99836309999999995</v>
      </c>
      <c r="N3358">
        <v>0</v>
      </c>
      <c r="O3358">
        <v>-5.5641740000000002E-2</v>
      </c>
      <c r="P3358">
        <v>0.99730669999999999</v>
      </c>
      <c r="Q3358">
        <v>5.3062829999999998E-2</v>
      </c>
      <c r="R3358">
        <v>5.0633039999999997E-2</v>
      </c>
      <c r="S3358">
        <v>3.034119</v>
      </c>
      <c r="T3358">
        <v>-0.2091132</v>
      </c>
      <c r="U3358">
        <v>-0.30316159999999998</v>
      </c>
      <c r="V3358">
        <v>-0.1060174</v>
      </c>
      <c r="W3358">
        <v>6.6253090000000001E-2</v>
      </c>
      <c r="X3358">
        <v>0.99215469999999895</v>
      </c>
      <c r="Y3358">
        <v>4.3924909999999998E-2</v>
      </c>
      <c r="Z3358">
        <v>2.3089180000000001E-3</v>
      </c>
      <c r="AA3358">
        <v>0.99903209999999998</v>
      </c>
      <c r="AB3358">
        <v>23</v>
      </c>
      <c r="AC3358">
        <v>0.59699999999997999</v>
      </c>
      <c r="AD3358">
        <v>-5.6152999999999897E-2</v>
      </c>
      <c r="AE3358">
        <v>-6.9630000000003606E-2</v>
      </c>
      <c r="AF3358">
        <v>3.5986977648756302E-2</v>
      </c>
      <c r="AG3358">
        <v>-5.6152999999999897E-2</v>
      </c>
      <c r="AH3358">
        <v>0.59475841323349898</v>
      </c>
      <c r="AI3358">
        <v>95.383697847931998</v>
      </c>
      <c r="AJ3358">
        <v>86.537432444504404</v>
      </c>
      <c r="AK3358">
        <v>0.59848625053656901</v>
      </c>
      <c r="AL3358">
        <v>86.201195183255706</v>
      </c>
      <c r="AM3358">
        <v>96.099237766281604</v>
      </c>
      <c r="AN3358">
        <v>1.0000000548846899</v>
      </c>
    </row>
    <row r="3359" spans="1:40" x14ac:dyDescent="0.3">
      <c r="A3359" t="str">
        <f>"20200111153945252"</f>
        <v>20200111153945252</v>
      </c>
      <c r="B3359" t="str">
        <f>"1578728385243862"</f>
        <v>1578728385243862</v>
      </c>
      <c r="C3359" t="s">
        <v>40</v>
      </c>
      <c r="D3359">
        <v>5.5040110000000002</v>
      </c>
      <c r="E3359">
        <v>0.55656079999999997</v>
      </c>
      <c r="F3359" t="s">
        <v>72</v>
      </c>
      <c r="G3359">
        <v>-379.19709999999998</v>
      </c>
      <c r="H3359" s="1">
        <v>-1.0386000000000001E-6</v>
      </c>
      <c r="I3359">
        <v>16.812360000000002</v>
      </c>
      <c r="J3359">
        <v>-396.2373</v>
      </c>
      <c r="K3359">
        <v>1.1047100000000001</v>
      </c>
      <c r="L3359">
        <v>18.545960000000001</v>
      </c>
      <c r="M3359">
        <v>0.99834789999999995</v>
      </c>
      <c r="N3359">
        <v>0</v>
      </c>
      <c r="O3359">
        <v>-5.5916220000000003E-2</v>
      </c>
      <c r="P3359">
        <v>0.99730030000000003</v>
      </c>
      <c r="Q3359">
        <v>5.4577430000000003E-2</v>
      </c>
      <c r="R3359">
        <v>4.9126870000000003E-2</v>
      </c>
      <c r="S3359">
        <v>3.0339969999999998</v>
      </c>
      <c r="T3359">
        <v>-0.19395509999999999</v>
      </c>
      <c r="U3359">
        <v>-0.3067627</v>
      </c>
      <c r="V3359">
        <v>-0.10477649999999999</v>
      </c>
      <c r="W3359">
        <v>6.7777920000000005E-2</v>
      </c>
      <c r="X3359">
        <v>0.99218340000000005</v>
      </c>
      <c r="Y3359">
        <v>4.4823019999999998E-2</v>
      </c>
      <c r="Z3359">
        <v>2.1306659999999998E-3</v>
      </c>
      <c r="AA3359">
        <v>0.99899269999999996</v>
      </c>
      <c r="AB3359">
        <v>23</v>
      </c>
      <c r="AC3359">
        <v>17.040199999999999</v>
      </c>
      <c r="AD3359">
        <v>-1.1047110386000001</v>
      </c>
      <c r="AE3359">
        <v>-1.73359999999999</v>
      </c>
      <c r="AF3359">
        <v>0.77475750088930395</v>
      </c>
      <c r="AG3359">
        <v>-1.1047110386000001</v>
      </c>
      <c r="AH3359">
        <v>17.0395982535182</v>
      </c>
      <c r="AI3359">
        <v>93.705590316049197</v>
      </c>
      <c r="AJ3359">
        <v>87.396664983806502</v>
      </c>
      <c r="AK3359">
        <v>17.092938433905601</v>
      </c>
      <c r="AL3359">
        <v>86.113631523323406</v>
      </c>
      <c r="AM3359">
        <v>96.028203807527703</v>
      </c>
      <c r="AN3359">
        <v>0.99999993031366496</v>
      </c>
    </row>
    <row r="3360" spans="1:40" x14ac:dyDescent="0.3">
      <c r="A3360" t="str">
        <f>"20200111153945273"</f>
        <v>20200111153945273</v>
      </c>
      <c r="B3360" t="str">
        <f>"1578728385264357"</f>
        <v>1578728385264357</v>
      </c>
      <c r="C3360" t="s">
        <v>40</v>
      </c>
      <c r="D3360">
        <v>5.51546</v>
      </c>
      <c r="E3360">
        <v>0.55651839999999997</v>
      </c>
      <c r="F3360" t="s">
        <v>72</v>
      </c>
      <c r="G3360">
        <v>-378.45929999999998</v>
      </c>
      <c r="H3360" s="1">
        <v>-1.34351E-6</v>
      </c>
      <c r="I3360">
        <v>16.731269999999999</v>
      </c>
      <c r="J3360">
        <v>-396.0027</v>
      </c>
      <c r="K3360">
        <v>1.104652</v>
      </c>
      <c r="L3360">
        <v>18.532409999999999</v>
      </c>
      <c r="M3360">
        <v>0.99832929999999998</v>
      </c>
      <c r="N3360">
        <v>0</v>
      </c>
      <c r="O3360">
        <v>-5.6246829999999998E-2</v>
      </c>
      <c r="P3360">
        <v>0.99736780000000003</v>
      </c>
      <c r="Q3360">
        <v>5.4194480000000003E-2</v>
      </c>
      <c r="R3360">
        <v>4.8170119999999997E-2</v>
      </c>
      <c r="S3360">
        <v>3.0336609999999999</v>
      </c>
      <c r="T3360">
        <v>-0.1885095</v>
      </c>
      <c r="U3360">
        <v>-0.30966189999999999</v>
      </c>
      <c r="V3360">
        <v>-0.10414660000000001</v>
      </c>
      <c r="W3360">
        <v>6.7404450000000005E-2</v>
      </c>
      <c r="X3360">
        <v>0.99227520000000002</v>
      </c>
      <c r="Y3360">
        <v>4.544641E-2</v>
      </c>
      <c r="Z3360">
        <v>2.0721849999999998E-3</v>
      </c>
      <c r="AA3360">
        <v>0.99896459999999998</v>
      </c>
      <c r="AB3360">
        <v>23</v>
      </c>
      <c r="AC3360">
        <v>17.543399999999998</v>
      </c>
      <c r="AD3360">
        <v>-1.1046533435100001</v>
      </c>
      <c r="AE3360">
        <v>-1.80114</v>
      </c>
      <c r="AF3360">
        <v>0.80826993724980201</v>
      </c>
      <c r="AG3360">
        <v>-1.1046533435100001</v>
      </c>
      <c r="AH3360">
        <v>17.5480898886548</v>
      </c>
      <c r="AI3360">
        <v>93.598215124967297</v>
      </c>
      <c r="AJ3360">
        <v>87.362804267754896</v>
      </c>
      <c r="AK3360">
        <v>17.601392502898602</v>
      </c>
      <c r="AL3360">
        <v>86.135078994140699</v>
      </c>
      <c r="AM3360">
        <v>95.991677322413693</v>
      </c>
      <c r="AN3360">
        <v>0.99999997335320101</v>
      </c>
    </row>
    <row r="3361" spans="1:40" x14ac:dyDescent="0.3">
      <c r="A3361" t="str">
        <f>"20200111153945294"</f>
        <v>20200111153945294</v>
      </c>
      <c r="B3361" t="str">
        <f>"1578728385284853"</f>
        <v>1578728385284853</v>
      </c>
      <c r="C3361" t="s">
        <v>40</v>
      </c>
      <c r="D3361">
        <v>5.5155110000000001</v>
      </c>
      <c r="E3361">
        <v>0.55636019999999997</v>
      </c>
      <c r="F3361" t="s">
        <v>72</v>
      </c>
      <c r="G3361">
        <v>-378.0874</v>
      </c>
      <c r="H3361" s="1">
        <v>-1.4972039999999999E-6</v>
      </c>
      <c r="I3361">
        <v>16.69041</v>
      </c>
      <c r="J3361">
        <v>-395.78019999999998</v>
      </c>
      <c r="K3361">
        <v>1.104616</v>
      </c>
      <c r="L3361">
        <v>18.519439999999999</v>
      </c>
      <c r="M3361">
        <v>0.99830859999999999</v>
      </c>
      <c r="N3361">
        <v>0</v>
      </c>
      <c r="O3361">
        <v>-5.661269E-2</v>
      </c>
      <c r="P3361">
        <v>0.99750439999999996</v>
      </c>
      <c r="Q3361">
        <v>5.289787E-2</v>
      </c>
      <c r="R3361">
        <v>4.6761520000000001E-2</v>
      </c>
      <c r="S3361">
        <v>3.0331419999999998</v>
      </c>
      <c r="T3361">
        <v>-0.18702250000000001</v>
      </c>
      <c r="U3361">
        <v>-0.3118591</v>
      </c>
      <c r="V3361">
        <v>-0.1031079</v>
      </c>
      <c r="W3361">
        <v>6.6114140000000002E-2</v>
      </c>
      <c r="X3361">
        <v>0.99247050000000003</v>
      </c>
      <c r="Y3361">
        <v>4.5813399999999997E-2</v>
      </c>
      <c r="Z3361">
        <v>2.0672730000000001E-3</v>
      </c>
      <c r="AA3361">
        <v>0.9989479</v>
      </c>
      <c r="AB3361">
        <v>23</v>
      </c>
      <c r="AC3361">
        <v>17.692799999999899</v>
      </c>
      <c r="AD3361">
        <v>-1.1046174972039999</v>
      </c>
      <c r="AE3361">
        <v>-1.8290299999999899</v>
      </c>
      <c r="AF3361">
        <v>0.82120436295550903</v>
      </c>
      <c r="AG3361">
        <v>-1.1046174972039999</v>
      </c>
      <c r="AH3361">
        <v>17.699712755935501</v>
      </c>
      <c r="AI3361">
        <v>93.567300662729807</v>
      </c>
      <c r="AJ3361">
        <v>87.343582535586904</v>
      </c>
      <c r="AK3361">
        <v>17.753151496663701</v>
      </c>
      <c r="AL3361">
        <v>86.209173739354796</v>
      </c>
      <c r="AM3361">
        <v>95.931188913971098</v>
      </c>
      <c r="AN3361">
        <v>1.00000000596029</v>
      </c>
    </row>
    <row r="3362" spans="1:40" x14ac:dyDescent="0.3">
      <c r="A3362" t="str">
        <f>"20200111153945318"</f>
        <v>20200111153945318</v>
      </c>
      <c r="B3362" t="str">
        <f>"1578728385304373"</f>
        <v>1578728385304373</v>
      </c>
      <c r="C3362" t="s">
        <v>40</v>
      </c>
      <c r="D3362">
        <v>5.5536130000000004</v>
      </c>
      <c r="E3362">
        <v>0.55597319999999995</v>
      </c>
      <c r="F3362" t="s">
        <v>72</v>
      </c>
      <c r="G3362">
        <v>-378.27440000000001</v>
      </c>
      <c r="H3362" s="1">
        <v>-1.421665E-6</v>
      </c>
      <c r="I3362">
        <v>16.70431</v>
      </c>
      <c r="J3362">
        <v>-395.54680000000002</v>
      </c>
      <c r="K3362">
        <v>1.104603</v>
      </c>
      <c r="L3362">
        <v>18.505680000000002</v>
      </c>
      <c r="M3362">
        <v>0.99828439999999996</v>
      </c>
      <c r="N3362">
        <v>0</v>
      </c>
      <c r="O3362">
        <v>-5.7038909999999998E-2</v>
      </c>
      <c r="P3362">
        <v>0.99761270000000002</v>
      </c>
      <c r="Q3362">
        <v>5.251977E-2</v>
      </c>
      <c r="R3362">
        <v>4.4842510000000002E-2</v>
      </c>
      <c r="S3362">
        <v>3.03241</v>
      </c>
      <c r="T3362">
        <v>-0.1913456</v>
      </c>
      <c r="U3362">
        <v>-0.314422599999999</v>
      </c>
      <c r="V3362">
        <v>-0.10162060000000001</v>
      </c>
      <c r="W3362">
        <v>6.5737809999999994E-2</v>
      </c>
      <c r="X3362">
        <v>0.99264889999999995</v>
      </c>
      <c r="Y3362">
        <v>4.6247940000000001E-2</v>
      </c>
      <c r="Z3362">
        <v>2.1284279999999999E-3</v>
      </c>
      <c r="AA3362">
        <v>0.99892769999999997</v>
      </c>
      <c r="AB3362">
        <v>23</v>
      </c>
      <c r="AC3362">
        <v>17.272400000000001</v>
      </c>
      <c r="AD3362">
        <v>-1.1046044216649999</v>
      </c>
      <c r="AE3362">
        <v>-1.8013699999999899</v>
      </c>
      <c r="AF3362">
        <v>0.80987514630162505</v>
      </c>
      <c r="AG3362">
        <v>-1.1046044216649999</v>
      </c>
      <c r="AH3362">
        <v>17.277131306688101</v>
      </c>
      <c r="AI3362">
        <v>93.654195284630802</v>
      </c>
      <c r="AJ3362">
        <v>87.316193020118504</v>
      </c>
      <c r="AK3362">
        <v>17.331339096258599</v>
      </c>
      <c r="AL3362">
        <v>86.230782932192596</v>
      </c>
      <c r="AM3362">
        <v>95.845186792603897</v>
      </c>
      <c r="AN3362">
        <v>1.00000002233958</v>
      </c>
    </row>
    <row r="3363" spans="1:40" x14ac:dyDescent="0.3">
      <c r="A3363" t="str">
        <f>"20200111153945338"</f>
        <v>20200111153945338</v>
      </c>
      <c r="B3363" t="str">
        <f>"1578728385334630"</f>
        <v>1578728385334630</v>
      </c>
      <c r="C3363" t="s">
        <v>40</v>
      </c>
      <c r="D3363">
        <v>5.5332619999999997</v>
      </c>
      <c r="E3363">
        <v>0.55540780000000001</v>
      </c>
      <c r="F3363" t="s">
        <v>41</v>
      </c>
      <c r="G3363">
        <v>-394.63979999999998</v>
      </c>
      <c r="H3363">
        <v>1.047118</v>
      </c>
      <c r="I3363">
        <v>18.410679999999999</v>
      </c>
      <c r="J3363">
        <v>-395.32749999999999</v>
      </c>
      <c r="K3363">
        <v>1.104603</v>
      </c>
      <c r="L3363">
        <v>18.492609999999999</v>
      </c>
      <c r="M3363">
        <v>0.99826040000000005</v>
      </c>
      <c r="N3363">
        <v>0</v>
      </c>
      <c r="O3363">
        <v>-5.745832E-2</v>
      </c>
      <c r="P3363">
        <v>0.99767419999999996</v>
      </c>
      <c r="Q3363">
        <v>5.2928639999999999E-2</v>
      </c>
      <c r="R3363">
        <v>4.2951370000000003E-2</v>
      </c>
      <c r="S3363">
        <v>3.031555</v>
      </c>
      <c r="T3363">
        <v>-0.1921901</v>
      </c>
      <c r="U3363">
        <v>-0.31628420000000002</v>
      </c>
      <c r="V3363">
        <v>-0.1001537</v>
      </c>
      <c r="W3363">
        <v>6.6144129999999995E-2</v>
      </c>
      <c r="X3363">
        <v>0.99277099999999996</v>
      </c>
      <c r="Y3363">
        <v>4.6464579999999998E-2</v>
      </c>
      <c r="Z3363">
        <v>2.157895E-3</v>
      </c>
      <c r="AA3363">
        <v>0.99891759999999996</v>
      </c>
      <c r="AB3363">
        <v>23</v>
      </c>
      <c r="AC3363">
        <v>0.68770000000000597</v>
      </c>
      <c r="AD3363">
        <v>-5.7485000000000001E-2</v>
      </c>
      <c r="AE3363">
        <v>-8.1929999999999795E-2</v>
      </c>
      <c r="AF3363">
        <v>4.1987804637337298E-2</v>
      </c>
      <c r="AG3363">
        <v>-5.7485000000000001E-2</v>
      </c>
      <c r="AH3363">
        <v>0.68654167145124601</v>
      </c>
      <c r="AI3363">
        <v>94.777398483730906</v>
      </c>
      <c r="AJ3363">
        <v>86.500239691942397</v>
      </c>
      <c r="AK3363">
        <v>0.690222404448257</v>
      </c>
      <c r="AL3363">
        <v>86.207451775946197</v>
      </c>
      <c r="AM3363">
        <v>95.7606790471512</v>
      </c>
      <c r="AN3363">
        <v>1.00000003399907</v>
      </c>
    </row>
    <row r="3364" spans="1:40" x14ac:dyDescent="0.3">
      <c r="A3364" t="str">
        <f>"20200111153945361"</f>
        <v>20200111153945361</v>
      </c>
      <c r="B3364" t="str">
        <f>"1578728385354150"</f>
        <v>1578728385354150</v>
      </c>
      <c r="C3364" t="s">
        <v>40</v>
      </c>
      <c r="D3364">
        <v>5.5203470000000001</v>
      </c>
      <c r="E3364">
        <v>0.55538500000000002</v>
      </c>
      <c r="F3364" t="s">
        <v>41</v>
      </c>
      <c r="G3364">
        <v>-394.43189999999998</v>
      </c>
      <c r="H3364">
        <v>1.0484199999999999</v>
      </c>
      <c r="I3364">
        <v>18.39866</v>
      </c>
      <c r="J3364">
        <v>-395.0856</v>
      </c>
      <c r="K3364">
        <v>1.1046100000000001</v>
      </c>
      <c r="L3364">
        <v>18.478149999999999</v>
      </c>
      <c r="M3364">
        <v>0.99823360000000005</v>
      </c>
      <c r="N3364">
        <v>0</v>
      </c>
      <c r="O3364">
        <v>-5.7921279999999999E-2</v>
      </c>
      <c r="P3364">
        <v>0.99767169999999905</v>
      </c>
      <c r="Q3364">
        <v>5.343854E-2</v>
      </c>
      <c r="R3364">
        <v>4.2371730000000003E-2</v>
      </c>
      <c r="S3364">
        <v>3.0307309999999998</v>
      </c>
      <c r="T3364">
        <v>-0.19016559999999999</v>
      </c>
      <c r="U3364">
        <v>-0.316803</v>
      </c>
      <c r="V3364">
        <v>-0.10003769999999999</v>
      </c>
      <c r="W3364">
        <v>6.6647979999999996E-2</v>
      </c>
      <c r="X3364">
        <v>0.99274899999999999</v>
      </c>
      <c r="Y3364">
        <v>4.6199440000000001E-2</v>
      </c>
      <c r="Z3364">
        <v>2.1729150000000001E-3</v>
      </c>
      <c r="AA3364">
        <v>0.99892990000000004</v>
      </c>
      <c r="AB3364">
        <v>23</v>
      </c>
      <c r="AC3364">
        <v>0.65370000000001405</v>
      </c>
      <c r="AD3364">
        <v>-5.61899999999999E-2</v>
      </c>
      <c r="AE3364">
        <v>-7.9489999999999797E-2</v>
      </c>
      <c r="AF3364">
        <v>4.1190172197560097E-2</v>
      </c>
      <c r="AG3364">
        <v>-5.61899999999999E-2</v>
      </c>
      <c r="AH3364">
        <v>0.65245642664519399</v>
      </c>
      <c r="AI3364">
        <v>94.912475647303793</v>
      </c>
      <c r="AJ3364">
        <v>86.387658847762793</v>
      </c>
      <c r="AK3364">
        <v>0.65616563080999601</v>
      </c>
      <c r="AL3364">
        <v>86.178519461535899</v>
      </c>
      <c r="AM3364">
        <v>95.754178369562595</v>
      </c>
      <c r="AN3364">
        <v>1.0000000358301799</v>
      </c>
    </row>
    <row r="3365" spans="1:40" x14ac:dyDescent="0.3">
      <c r="A3365" t="str">
        <f>"20200111153945384"</f>
        <v>20200111153945384</v>
      </c>
      <c r="B3365" t="str">
        <f>"1578728385374645"</f>
        <v>1578728385374645</v>
      </c>
      <c r="C3365" t="s">
        <v>40</v>
      </c>
      <c r="D3365">
        <v>5.4953919999999998</v>
      </c>
      <c r="E3365">
        <v>0.55501319999999998</v>
      </c>
      <c r="F3365" t="s">
        <v>41</v>
      </c>
      <c r="G3365">
        <v>-394.22309999999999</v>
      </c>
      <c r="H3365">
        <v>1.0509919999999999</v>
      </c>
      <c r="I3365">
        <v>18.387270000000001</v>
      </c>
      <c r="J3365">
        <v>-394.8526</v>
      </c>
      <c r="K3365">
        <v>1.1046279999999999</v>
      </c>
      <c r="L3365">
        <v>18.464110000000002</v>
      </c>
      <c r="M3365">
        <v>0.99820929999999997</v>
      </c>
      <c r="N3365">
        <v>0</v>
      </c>
      <c r="O3365">
        <v>-5.8340830000000003E-2</v>
      </c>
      <c r="P3365">
        <v>0.99768610000000002</v>
      </c>
      <c r="Q3365">
        <v>5.2945600000000002E-2</v>
      </c>
      <c r="R3365">
        <v>4.2654860000000003E-2</v>
      </c>
      <c r="S3365">
        <v>3.0305789999999999</v>
      </c>
      <c r="T3365">
        <v>-0.1883842</v>
      </c>
      <c r="U3365">
        <v>-0.31814579999999998</v>
      </c>
      <c r="V3365">
        <v>-0.1007426</v>
      </c>
      <c r="W3365">
        <v>6.6146510000000006E-2</v>
      </c>
      <c r="X3365">
        <v>0.99271120000000002</v>
      </c>
      <c r="Y3365">
        <v>4.6222939999999997E-2</v>
      </c>
      <c r="Z3365">
        <v>2.17783E-3</v>
      </c>
      <c r="AA3365">
        <v>0.99892879999999995</v>
      </c>
      <c r="AB3365">
        <v>23</v>
      </c>
      <c r="AC3365">
        <v>0.62950000000000705</v>
      </c>
      <c r="AD3365">
        <v>-5.3636000000000197E-2</v>
      </c>
      <c r="AE3365">
        <v>-7.6840000000000602E-2</v>
      </c>
      <c r="AF3365">
        <v>3.9696384694604403E-2</v>
      </c>
      <c r="AG3365">
        <v>-5.3636000000000197E-2</v>
      </c>
      <c r="AH3365">
        <v>0.62841574070156803</v>
      </c>
      <c r="AI3365">
        <v>94.868779326254796</v>
      </c>
      <c r="AJ3365">
        <v>86.385486329913903</v>
      </c>
      <c r="AK3365">
        <v>0.63194854744300299</v>
      </c>
      <c r="AL3365">
        <v>86.207314905409305</v>
      </c>
      <c r="AM3365">
        <v>95.794668482115199</v>
      </c>
      <c r="AN3365">
        <v>0.99999997942268903</v>
      </c>
    </row>
    <row r="3366" spans="1:40" x14ac:dyDescent="0.3">
      <c r="A3366" t="str">
        <f>"20200111153945414"</f>
        <v>20200111153945414</v>
      </c>
      <c r="B3366" t="str">
        <f>"1578728385403926"</f>
        <v>1578728385403926</v>
      </c>
      <c r="C3366" t="s">
        <v>40</v>
      </c>
      <c r="D3366">
        <v>5.5047800000000002</v>
      </c>
      <c r="E3366">
        <v>0.55462739999999999</v>
      </c>
      <c r="F3366" t="s">
        <v>41</v>
      </c>
      <c r="G3366">
        <v>-394.01089999999999</v>
      </c>
      <c r="H3366">
        <v>1.05169</v>
      </c>
      <c r="I3366">
        <v>18.376750000000001</v>
      </c>
      <c r="J3366">
        <v>-394.54419999999999</v>
      </c>
      <c r="K3366">
        <v>1.1046590000000001</v>
      </c>
      <c r="L3366">
        <v>18.44547</v>
      </c>
      <c r="M3366">
        <v>0.99818099999999998</v>
      </c>
      <c r="N3366">
        <v>0</v>
      </c>
      <c r="O3366">
        <v>-5.8823050000000002E-2</v>
      </c>
      <c r="P3366">
        <v>0.99779139999999999</v>
      </c>
      <c r="Q3366">
        <v>5.1527150000000001E-2</v>
      </c>
      <c r="R3366">
        <v>4.1918110000000001E-2</v>
      </c>
      <c r="S3366">
        <v>3.0304869999999999</v>
      </c>
      <c r="T3366">
        <v>-0.19053590000000001</v>
      </c>
      <c r="U3366">
        <v>-0.31399539999999998</v>
      </c>
      <c r="V3366">
        <v>-0.1005016</v>
      </c>
      <c r="W3366">
        <v>6.4715729999999999E-2</v>
      </c>
      <c r="X3366">
        <v>0.99282990000000004</v>
      </c>
      <c r="Y3366">
        <v>4.4395089999999998E-2</v>
      </c>
      <c r="Z3366">
        <v>2.2902920000000002E-3</v>
      </c>
      <c r="AA3366">
        <v>0.99901139999999999</v>
      </c>
      <c r="AB3366">
        <v>23</v>
      </c>
      <c r="AC3366">
        <v>0.533299999999997</v>
      </c>
      <c r="AD3366">
        <v>-5.2969000000000002E-2</v>
      </c>
      <c r="AE3366">
        <v>-6.8719999999999004E-2</v>
      </c>
      <c r="AF3366">
        <v>3.6870129015610299E-2</v>
      </c>
      <c r="AG3366">
        <v>-5.2969000000000002E-2</v>
      </c>
      <c r="AH3366">
        <v>0.53126370800361999</v>
      </c>
      <c r="AI3366">
        <v>95.680215345834995</v>
      </c>
      <c r="AJ3366">
        <v>86.029992421185</v>
      </c>
      <c r="AK3366">
        <v>0.53516936460935705</v>
      </c>
      <c r="AL3366">
        <v>86.289468522663796</v>
      </c>
      <c r="AM3366">
        <v>95.780213801319505</v>
      </c>
      <c r="AN3366">
        <v>0.999999953823</v>
      </c>
    </row>
    <row r="3367" spans="1:40" x14ac:dyDescent="0.3">
      <c r="A3367" t="str">
        <f>"20200111153945430"</f>
        <v>20200111153945430</v>
      </c>
      <c r="B3367" t="str">
        <f>"1578728385424422"</f>
        <v>1578728385424422</v>
      </c>
      <c r="C3367" t="s">
        <v>40</v>
      </c>
      <c r="D3367">
        <v>5.505166</v>
      </c>
      <c r="E3367">
        <v>0.55449130000000002</v>
      </c>
      <c r="F3367" t="s">
        <v>72</v>
      </c>
      <c r="G3367">
        <v>-377.36540000000002</v>
      </c>
      <c r="H3367" s="1">
        <v>-1.779077E-6</v>
      </c>
      <c r="I3367">
        <v>16.672940000000001</v>
      </c>
      <c r="J3367">
        <v>-394.38</v>
      </c>
      <c r="K3367">
        <v>1.104676</v>
      </c>
      <c r="L3367">
        <v>18.435490000000001</v>
      </c>
      <c r="M3367">
        <v>0.99816930000000004</v>
      </c>
      <c r="N3367">
        <v>0</v>
      </c>
      <c r="O3367">
        <v>-5.9022350000000001E-2</v>
      </c>
      <c r="P3367">
        <v>0.99789779999999995</v>
      </c>
      <c r="Q3367">
        <v>4.9789529999999999E-2</v>
      </c>
      <c r="R3367">
        <v>4.1487009999999998E-2</v>
      </c>
      <c r="S3367">
        <v>3.029846</v>
      </c>
      <c r="T3367">
        <v>-0.1948309</v>
      </c>
      <c r="U3367">
        <v>-0.31262210000000001</v>
      </c>
      <c r="V3367">
        <v>-0.10028280000000001</v>
      </c>
      <c r="W3367">
        <v>6.2969789999999998E-2</v>
      </c>
      <c r="X3367">
        <v>0.99296430000000002</v>
      </c>
      <c r="Y3367">
        <v>4.3772220000000001E-2</v>
      </c>
      <c r="Z3367">
        <v>2.3750590000000001E-3</v>
      </c>
      <c r="AA3367">
        <v>0.99903869999999895</v>
      </c>
      <c r="AB3367">
        <v>23</v>
      </c>
      <c r="AC3367">
        <v>17.014599999999898</v>
      </c>
      <c r="AD3367">
        <v>-1.1046777790769999</v>
      </c>
      <c r="AE3367">
        <v>-1.7625499999999901</v>
      </c>
      <c r="AF3367">
        <v>0.752011187317702</v>
      </c>
      <c r="AG3367">
        <v>-1.1046777790769999</v>
      </c>
      <c r="AH3367">
        <v>17.017997310865098</v>
      </c>
      <c r="AI3367">
        <v>93.710380992073794</v>
      </c>
      <c r="AJ3367">
        <v>87.469793061985001</v>
      </c>
      <c r="AK3367">
        <v>17.070385651591199</v>
      </c>
      <c r="AL3367">
        <v>86.389708075430406</v>
      </c>
      <c r="AM3367">
        <v>95.766939336809799</v>
      </c>
      <c r="AN3367">
        <v>0.99999996775148603</v>
      </c>
    </row>
    <row r="3368" spans="1:40" x14ac:dyDescent="0.3">
      <c r="A3368" t="str">
        <f>"20200111153945451"</f>
        <v>20200111153945451</v>
      </c>
      <c r="B3368" t="str">
        <f>"1578728385443942"</f>
        <v>1578728385443942</v>
      </c>
      <c r="C3368" t="s">
        <v>40</v>
      </c>
      <c r="D3368">
        <v>5.503126</v>
      </c>
      <c r="E3368">
        <v>0.55432709999999996</v>
      </c>
      <c r="F3368" t="s">
        <v>72</v>
      </c>
      <c r="G3368">
        <v>-377.68799999999999</v>
      </c>
      <c r="H3368" s="1">
        <v>-1.644267E-6</v>
      </c>
      <c r="I3368">
        <v>16.71406</v>
      </c>
      <c r="J3368">
        <v>-394.15899999999999</v>
      </c>
      <c r="K3368">
        <v>1.1047180000000001</v>
      </c>
      <c r="L3368">
        <v>18.422090000000001</v>
      </c>
      <c r="M3368">
        <v>0.99815710000000002</v>
      </c>
      <c r="N3368">
        <v>0</v>
      </c>
      <c r="O3368">
        <v>-5.9229770000000001E-2</v>
      </c>
      <c r="P3368">
        <v>0.99796470000000004</v>
      </c>
      <c r="Q3368">
        <v>4.8515679999999999E-2</v>
      </c>
      <c r="R3368">
        <v>4.1388899999999999E-2</v>
      </c>
      <c r="S3368">
        <v>3.0292970000000001</v>
      </c>
      <c r="T3368">
        <v>-0.20047970000000001</v>
      </c>
      <c r="U3368">
        <v>-0.31240839999999998</v>
      </c>
      <c r="V3368">
        <v>-0.10040399999999999</v>
      </c>
      <c r="W3368">
        <v>6.1681020000000003E-2</v>
      </c>
      <c r="X3368">
        <v>0.99303300000000005</v>
      </c>
      <c r="Y3368">
        <v>4.3516260000000001E-2</v>
      </c>
      <c r="Z3368">
        <v>2.4662999999999998E-3</v>
      </c>
      <c r="AA3368">
        <v>0.99904970000000004</v>
      </c>
      <c r="AB3368">
        <v>23</v>
      </c>
      <c r="AC3368">
        <v>16.470999999999901</v>
      </c>
      <c r="AD3368">
        <v>-1.104719644267</v>
      </c>
      <c r="AE3368">
        <v>-1.7080299999999999</v>
      </c>
      <c r="AF3368">
        <v>0.726140510967208</v>
      </c>
      <c r="AG3368">
        <v>-1.104719644267</v>
      </c>
      <c r="AH3368">
        <v>16.469951879696701</v>
      </c>
      <c r="AI3368">
        <v>93.833645188243395</v>
      </c>
      <c r="AJ3368">
        <v>87.475532359292501</v>
      </c>
      <c r="AK3368">
        <v>16.522923483863998</v>
      </c>
      <c r="AL3368">
        <v>86.463693203836897</v>
      </c>
      <c r="AM3368">
        <v>95.773465345253399</v>
      </c>
      <c r="AN3368">
        <v>1.0000000252666199</v>
      </c>
    </row>
    <row r="3369" spans="1:40" x14ac:dyDescent="0.3">
      <c r="A3369" t="str">
        <f>"20200111153945476"</f>
        <v>20200111153945476</v>
      </c>
      <c r="B3369" t="str">
        <f>"1578728385464438"</f>
        <v>1578728385464438</v>
      </c>
      <c r="C3369" t="s">
        <v>40</v>
      </c>
      <c r="D3369">
        <v>5.4910160000000001</v>
      </c>
      <c r="E3369">
        <v>0.554195199999999</v>
      </c>
      <c r="F3369" t="s">
        <v>72</v>
      </c>
      <c r="G3369">
        <v>-377.73770000000002</v>
      </c>
      <c r="H3369" s="1">
        <v>-1.6200989999999999E-6</v>
      </c>
      <c r="I3369">
        <v>16.73319</v>
      </c>
      <c r="J3369">
        <v>-393.91759999999999</v>
      </c>
      <c r="K3369">
        <v>1.1047800000000001</v>
      </c>
      <c r="L3369">
        <v>18.407530000000001</v>
      </c>
      <c r="M3369">
        <v>0.99814899999999995</v>
      </c>
      <c r="N3369">
        <v>0</v>
      </c>
      <c r="O3369">
        <v>-5.9363890000000002E-2</v>
      </c>
      <c r="P3369">
        <v>0.99803010000000003</v>
      </c>
      <c r="Q3369">
        <v>4.7279410000000001E-2</v>
      </c>
      <c r="R3369">
        <v>4.124096E-2</v>
      </c>
      <c r="S3369">
        <v>3.0289609999999998</v>
      </c>
      <c r="T3369">
        <v>-0.2037696</v>
      </c>
      <c r="U3369">
        <v>-0.31152340000000001</v>
      </c>
      <c r="V3369">
        <v>-0.1004051</v>
      </c>
      <c r="W3369">
        <v>6.042691E-2</v>
      </c>
      <c r="X3369">
        <v>0.99310989999999999</v>
      </c>
      <c r="Y3369">
        <v>4.3106789999999999E-2</v>
      </c>
      <c r="Z3369">
        <v>2.5296889999999999E-3</v>
      </c>
      <c r="AA3369">
        <v>0.99906719999999904</v>
      </c>
      <c r="AB3369">
        <v>23</v>
      </c>
      <c r="AC3369">
        <v>16.1798999999999</v>
      </c>
      <c r="AD3369">
        <v>-1.1047816200989999</v>
      </c>
      <c r="AE3369">
        <v>-1.6743399999999899</v>
      </c>
      <c r="AF3369">
        <v>0.70753720651725804</v>
      </c>
      <c r="AG3369">
        <v>-1.1047816200989999</v>
      </c>
      <c r="AH3369">
        <v>16.176145157777398</v>
      </c>
      <c r="AI3369">
        <v>93.903340095578002</v>
      </c>
      <c r="AJ3369">
        <v>87.495505095697496</v>
      </c>
      <c r="AK3369">
        <v>16.2292582545291</v>
      </c>
      <c r="AL3369">
        <v>86.535682400914794</v>
      </c>
      <c r="AM3369">
        <v>95.773084125731302</v>
      </c>
      <c r="AN3369">
        <v>0.999999934518081</v>
      </c>
    </row>
    <row r="3370" spans="1:40" x14ac:dyDescent="0.3">
      <c r="A3370" t="str">
        <f>"20200111153945497"</f>
        <v>20200111153945497</v>
      </c>
      <c r="B3370" t="str">
        <f>"1578728385483957"</f>
        <v>1578728385483957</v>
      </c>
      <c r="C3370" t="s">
        <v>40</v>
      </c>
      <c r="D3370">
        <v>5.4993210000000001</v>
      </c>
      <c r="E3370">
        <v>0.55406279999999997</v>
      </c>
      <c r="F3370" t="s">
        <v>41</v>
      </c>
      <c r="G3370">
        <v>-392.9966</v>
      </c>
      <c r="H3370">
        <v>1.04182</v>
      </c>
      <c r="I3370">
        <v>18.312840000000001</v>
      </c>
      <c r="J3370">
        <v>-393.6943</v>
      </c>
      <c r="K3370">
        <v>1.1048340000000001</v>
      </c>
      <c r="L3370">
        <v>18.394130000000001</v>
      </c>
      <c r="M3370">
        <v>0.99814650000000005</v>
      </c>
      <c r="N3370">
        <v>0</v>
      </c>
      <c r="O3370">
        <v>-5.9407120000000001E-2</v>
      </c>
      <c r="P3370">
        <v>0.99810540000000003</v>
      </c>
      <c r="Q3370">
        <v>4.6414909999999997E-2</v>
      </c>
      <c r="R3370">
        <v>4.0392020000000001E-2</v>
      </c>
      <c r="S3370">
        <v>3.0285639999999998</v>
      </c>
      <c r="T3370">
        <v>-0.2071289</v>
      </c>
      <c r="U3370">
        <v>-0.31115720000000002</v>
      </c>
      <c r="V3370">
        <v>-9.9614289999999994E-2</v>
      </c>
      <c r="W3370">
        <v>5.9547759999999998E-2</v>
      </c>
      <c r="X3370">
        <v>0.99324270000000003</v>
      </c>
      <c r="Y3370">
        <v>4.2958959999999997E-2</v>
      </c>
      <c r="Z3370">
        <v>2.579624E-3</v>
      </c>
      <c r="AA3370">
        <v>0.99907349999999995</v>
      </c>
      <c r="AB3370">
        <v>23</v>
      </c>
      <c r="AC3370">
        <v>0.69769999999999699</v>
      </c>
      <c r="AD3370">
        <v>-6.3014000000000098E-2</v>
      </c>
      <c r="AE3370">
        <v>-8.1290000000002693E-2</v>
      </c>
      <c r="AF3370">
        <v>3.9377536858461001E-2</v>
      </c>
      <c r="AG3370">
        <v>-6.3014000000000098E-2</v>
      </c>
      <c r="AH3370">
        <v>0.69569827179683696</v>
      </c>
      <c r="AI3370">
        <v>95.167309646650907</v>
      </c>
      <c r="AJ3370">
        <v>86.760431924971101</v>
      </c>
      <c r="AK3370">
        <v>0.69965522937097102</v>
      </c>
      <c r="AL3370">
        <v>86.586145096309593</v>
      </c>
      <c r="AM3370">
        <v>95.727156986302802</v>
      </c>
      <c r="AN3370">
        <v>1.00000000179825</v>
      </c>
    </row>
    <row r="3371" spans="1:40" x14ac:dyDescent="0.3">
      <c r="A3371" t="str">
        <f>"20200111153945518"</f>
        <v>20200111153945518</v>
      </c>
      <c r="B3371" t="str">
        <f>"1578728385504453"</f>
        <v>1578728385504453</v>
      </c>
      <c r="C3371" t="s">
        <v>40</v>
      </c>
      <c r="D3371">
        <v>5.5436829999999997</v>
      </c>
      <c r="E3371">
        <v>0.55408710000000005</v>
      </c>
      <c r="F3371" t="s">
        <v>41</v>
      </c>
      <c r="G3371">
        <v>-392.7912</v>
      </c>
      <c r="H3371">
        <v>1.0426219999999999</v>
      </c>
      <c r="I3371">
        <v>18.300930000000001</v>
      </c>
      <c r="J3371">
        <v>-393.48140000000001</v>
      </c>
      <c r="K3371">
        <v>1.104873</v>
      </c>
      <c r="L3371">
        <v>18.38138</v>
      </c>
      <c r="M3371">
        <v>0.99814720000000001</v>
      </c>
      <c r="N3371">
        <v>0</v>
      </c>
      <c r="O3371">
        <v>-5.9398409999999999E-2</v>
      </c>
      <c r="P3371">
        <v>0.99818300000000004</v>
      </c>
      <c r="Q3371">
        <v>4.6387530000000003E-2</v>
      </c>
      <c r="R3371">
        <v>3.8459640000000003E-2</v>
      </c>
      <c r="S3371">
        <v>3.0280459999999998</v>
      </c>
      <c r="T3371">
        <v>-0.2086586</v>
      </c>
      <c r="U3371">
        <v>-0.31277470000000002</v>
      </c>
      <c r="V3371">
        <v>-9.7687209999999997E-2</v>
      </c>
      <c r="W3371">
        <v>5.9510639999999997E-2</v>
      </c>
      <c r="X3371">
        <v>0.99343630000000005</v>
      </c>
      <c r="Y3371">
        <v>4.35124E-2</v>
      </c>
      <c r="Z3371">
        <v>2.5793930000000001E-3</v>
      </c>
      <c r="AA3371">
        <v>0.99904950000000003</v>
      </c>
      <c r="AB3371">
        <v>23</v>
      </c>
      <c r="AC3371">
        <v>0.69020000000000403</v>
      </c>
      <c r="AD3371">
        <v>-6.2251000000000001E-2</v>
      </c>
      <c r="AE3371">
        <v>-8.0450000000002506E-2</v>
      </c>
      <c r="AF3371">
        <v>3.89946210153988E-2</v>
      </c>
      <c r="AG3371">
        <v>-6.2251000000000001E-2</v>
      </c>
      <c r="AH3371">
        <v>0.68823658911147101</v>
      </c>
      <c r="AI3371">
        <v>95.160108403672993</v>
      </c>
      <c r="AJ3371">
        <v>86.757160174798003</v>
      </c>
      <c r="AK3371">
        <v>0.69214548330602099</v>
      </c>
      <c r="AL3371">
        <v>86.588275669921501</v>
      </c>
      <c r="AM3371">
        <v>95.615990551916695</v>
      </c>
      <c r="AN3371">
        <v>0.99999999471424195</v>
      </c>
    </row>
    <row r="3372" spans="1:40" x14ac:dyDescent="0.3">
      <c r="A3372" t="str">
        <f>"20200111153945541"</f>
        <v>20200111153945541</v>
      </c>
      <c r="B3372" t="str">
        <f>"1578728385534710"</f>
        <v>1578728385534710</v>
      </c>
      <c r="C3372" t="s">
        <v>40</v>
      </c>
      <c r="D3372">
        <v>5.5453530000000004</v>
      </c>
      <c r="E3372">
        <v>0.55401400000000001</v>
      </c>
      <c r="F3372" t="s">
        <v>41</v>
      </c>
      <c r="G3372">
        <v>-392.58640000000003</v>
      </c>
      <c r="H3372">
        <v>1.0428200000000001</v>
      </c>
      <c r="I3372">
        <v>18.28689</v>
      </c>
      <c r="J3372">
        <v>-393.24459999999999</v>
      </c>
      <c r="K3372">
        <v>1.1048979999999999</v>
      </c>
      <c r="L3372">
        <v>18.36731</v>
      </c>
      <c r="M3372">
        <v>0.99815069999999995</v>
      </c>
      <c r="N3372">
        <v>0</v>
      </c>
      <c r="O3372">
        <v>-5.9336899999999998E-2</v>
      </c>
      <c r="P3372">
        <v>0.9982702</v>
      </c>
      <c r="Q3372">
        <v>4.5798560000000002E-2</v>
      </c>
      <c r="R3372">
        <v>3.6867039999999997E-2</v>
      </c>
      <c r="S3372">
        <v>3.0274960000000002</v>
      </c>
      <c r="T3372">
        <v>-0.20992759999999999</v>
      </c>
      <c r="U3372">
        <v>-0.31863399999999997</v>
      </c>
      <c r="V3372">
        <v>-9.6046729999999997E-2</v>
      </c>
      <c r="W3372">
        <v>5.8913739999999999E-2</v>
      </c>
      <c r="X3372">
        <v>0.99363179999999995</v>
      </c>
      <c r="Y3372">
        <v>4.5500739999999998E-2</v>
      </c>
      <c r="Z3372">
        <v>2.5222920000000002E-3</v>
      </c>
      <c r="AA3372">
        <v>0.99896110000000005</v>
      </c>
      <c r="AB3372">
        <v>23</v>
      </c>
      <c r="AC3372">
        <v>0.65819999999996504</v>
      </c>
      <c r="AD3372">
        <v>-6.20779999999998E-2</v>
      </c>
      <c r="AE3372">
        <v>-8.0420000000000103E-2</v>
      </c>
      <c r="AF3372">
        <v>4.0861198772082899E-2</v>
      </c>
      <c r="AG3372">
        <v>-6.20779999999998E-2</v>
      </c>
      <c r="AH3372">
        <v>0.65606232739995596</v>
      </c>
      <c r="AI3372">
        <v>95.394961905242198</v>
      </c>
      <c r="AJ3372">
        <v>86.436079407984494</v>
      </c>
      <c r="AK3372">
        <v>0.66025835328493898</v>
      </c>
      <c r="AL3372">
        <v>86.622535578591396</v>
      </c>
      <c r="AM3372">
        <v>95.5211882455216</v>
      </c>
      <c r="AN3372">
        <v>0.99999997853785905</v>
      </c>
    </row>
    <row r="3373" spans="1:40" x14ac:dyDescent="0.3">
      <c r="A3373" t="str">
        <f>"20200111153945563"</f>
        <v>20200111153945563</v>
      </c>
      <c r="B3373" t="str">
        <f>"1578728385554230"</f>
        <v>1578728385554230</v>
      </c>
      <c r="C3373" t="s">
        <v>40</v>
      </c>
      <c r="D3373">
        <v>5.4300870000000003</v>
      </c>
      <c r="E3373">
        <v>0.55400159999999998</v>
      </c>
      <c r="F3373" t="s">
        <v>41</v>
      </c>
      <c r="G3373">
        <v>-392.3793</v>
      </c>
      <c r="H3373">
        <v>1.0455110000000001</v>
      </c>
      <c r="I3373">
        <v>18.27488</v>
      </c>
      <c r="J3373">
        <v>-393.01510000000002</v>
      </c>
      <c r="K3373">
        <v>1.104922</v>
      </c>
      <c r="L3373">
        <v>18.353729999999999</v>
      </c>
      <c r="M3373">
        <v>0.99815759999999998</v>
      </c>
      <c r="N3373">
        <v>0</v>
      </c>
      <c r="O3373">
        <v>-5.9225050000000001E-2</v>
      </c>
      <c r="P3373">
        <v>0.99833459999999996</v>
      </c>
      <c r="Q3373">
        <v>4.4865769999999999E-2</v>
      </c>
      <c r="R3373">
        <v>3.6265819999999997E-2</v>
      </c>
      <c r="S3373">
        <v>3.026672</v>
      </c>
      <c r="T3373">
        <v>-0.20774919999999999</v>
      </c>
      <c r="U3373">
        <v>-0.32281490000000002</v>
      </c>
      <c r="V3373">
        <v>-9.5343140000000007E-2</v>
      </c>
      <c r="W3373">
        <v>5.7974070000000003E-2</v>
      </c>
      <c r="X3373">
        <v>0.9937549</v>
      </c>
      <c r="Y3373">
        <v>4.7001139999999997E-2</v>
      </c>
      <c r="Z3373">
        <v>2.4377180000000002E-3</v>
      </c>
      <c r="AA3373">
        <v>0.99889190000000005</v>
      </c>
      <c r="AB3373">
        <v>23</v>
      </c>
      <c r="AC3373">
        <v>0.63580000000001702</v>
      </c>
      <c r="AD3373">
        <v>-5.9410999999999797E-2</v>
      </c>
      <c r="AE3373">
        <v>-7.8849999999999199E-2</v>
      </c>
      <c r="AF3373">
        <v>4.0702989681495598E-2</v>
      </c>
      <c r="AG3373">
        <v>-5.9410999999999797E-2</v>
      </c>
      <c r="AH3373">
        <v>0.63390292673656801</v>
      </c>
      <c r="AI3373">
        <v>95.343326191955995</v>
      </c>
      <c r="AJ3373">
        <v>86.326074104620304</v>
      </c>
      <c r="AK3373">
        <v>0.63798065865290898</v>
      </c>
      <c r="AL3373">
        <v>86.676467143772101</v>
      </c>
      <c r="AM3373">
        <v>95.480315178464394</v>
      </c>
      <c r="AN3373">
        <v>1.0000000542057099</v>
      </c>
    </row>
    <row r="3374" spans="1:40" x14ac:dyDescent="0.3">
      <c r="A3374" t="str">
        <f>"20200111153945586"</f>
        <v>20200111153945586</v>
      </c>
      <c r="B3374" t="str">
        <f>"1578728385574728"</f>
        <v>1578728385574728</v>
      </c>
      <c r="C3374" t="s">
        <v>40</v>
      </c>
      <c r="D3374">
        <v>5.5297790000000004</v>
      </c>
      <c r="E3374">
        <v>0.55395109999999903</v>
      </c>
      <c r="F3374" t="s">
        <v>41</v>
      </c>
      <c r="G3374">
        <v>-392.1739</v>
      </c>
      <c r="H3374">
        <v>1.04652099999999</v>
      </c>
      <c r="I3374">
        <v>18.263500000000001</v>
      </c>
      <c r="J3374">
        <v>-392.78480000000002</v>
      </c>
      <c r="K3374">
        <v>1.104957</v>
      </c>
      <c r="L3374">
        <v>18.34018</v>
      </c>
      <c r="M3374">
        <v>0.99816729999999998</v>
      </c>
      <c r="N3374">
        <v>0</v>
      </c>
      <c r="O3374">
        <v>-5.9058769999999997E-2</v>
      </c>
      <c r="P3374">
        <v>0.99839809999999996</v>
      </c>
      <c r="Q3374">
        <v>4.3966070000000003E-2</v>
      </c>
      <c r="R3374">
        <v>3.5610839999999998E-2</v>
      </c>
      <c r="S3374">
        <v>3.0262449999999999</v>
      </c>
      <c r="T3374">
        <v>-0.21010329999999999</v>
      </c>
      <c r="U3374">
        <v>-0.324768099999999</v>
      </c>
      <c r="V3374">
        <v>-9.4532550000000007E-2</v>
      </c>
      <c r="W3374">
        <v>5.7065770000000002E-2</v>
      </c>
      <c r="X3374">
        <v>0.99388489999999996</v>
      </c>
      <c r="Y3374">
        <v>4.7818079999999999E-2</v>
      </c>
      <c r="Z3374">
        <v>2.4258079999999998E-3</v>
      </c>
      <c r="AA3374">
        <v>0.99885310000000005</v>
      </c>
      <c r="AB3374">
        <v>23</v>
      </c>
      <c r="AC3374">
        <v>0.61090000000001499</v>
      </c>
      <c r="AD3374">
        <v>-5.8436000000000099E-2</v>
      </c>
      <c r="AE3374">
        <v>-7.6679999999999596E-2</v>
      </c>
      <c r="AF3374">
        <v>4.0102740361194697E-2</v>
      </c>
      <c r="AG3374">
        <v>-5.8436000000000099E-2</v>
      </c>
      <c r="AH3374">
        <v>0.60887770179008105</v>
      </c>
      <c r="AI3374">
        <v>95.470294335823795</v>
      </c>
      <c r="AJ3374">
        <v>86.231749173712501</v>
      </c>
      <c r="AK3374">
        <v>0.61298862274731403</v>
      </c>
      <c r="AL3374">
        <v>86.7285951901613</v>
      </c>
      <c r="AM3374">
        <v>95.433296102717705</v>
      </c>
      <c r="AN3374">
        <v>1.0000000497816</v>
      </c>
    </row>
    <row r="3375" spans="1:40" x14ac:dyDescent="0.3">
      <c r="A3375" t="str">
        <f>"20200111153945607"</f>
        <v>20200111153945607</v>
      </c>
      <c r="B3375" t="str">
        <f>"1578728385594248"</f>
        <v>1578728385594248</v>
      </c>
      <c r="C3375" t="s">
        <v>40</v>
      </c>
      <c r="D3375">
        <v>5.5854850000000003</v>
      </c>
      <c r="E3375">
        <v>0.55392450000000004</v>
      </c>
      <c r="F3375" t="s">
        <v>41</v>
      </c>
      <c r="G3375">
        <v>-391.96879999999999</v>
      </c>
      <c r="H3375">
        <v>1.0474699999999999</v>
      </c>
      <c r="I3375">
        <v>18.252359999999999</v>
      </c>
      <c r="J3375">
        <v>-392.56650000000002</v>
      </c>
      <c r="K3375">
        <v>1.1049949999999999</v>
      </c>
      <c r="L3375">
        <v>18.327449999999999</v>
      </c>
      <c r="M3375">
        <v>0.9981797</v>
      </c>
      <c r="N3375">
        <v>0</v>
      </c>
      <c r="O3375">
        <v>-5.8848659999999997E-2</v>
      </c>
      <c r="P3375">
        <v>0.99847540000000001</v>
      </c>
      <c r="Q3375">
        <v>4.3287020000000002E-2</v>
      </c>
      <c r="R3375">
        <v>3.4250610000000001E-2</v>
      </c>
      <c r="S3375">
        <v>3.0258180000000001</v>
      </c>
      <c r="T3375">
        <v>-0.2131702</v>
      </c>
      <c r="U3375">
        <v>-0.3260498</v>
      </c>
      <c r="V3375">
        <v>-9.2975450000000001E-2</v>
      </c>
      <c r="W3375">
        <v>5.6378320000000003E-2</v>
      </c>
      <c r="X3375">
        <v>0.99407089999999998</v>
      </c>
      <c r="Y3375">
        <v>4.8460259999999998E-2</v>
      </c>
      <c r="Z3375">
        <v>2.4241800000000002E-3</v>
      </c>
      <c r="AA3375">
        <v>0.99882219999999999</v>
      </c>
      <c r="AB3375">
        <v>23</v>
      </c>
      <c r="AC3375">
        <v>0.59770000000003098</v>
      </c>
      <c r="AD3375">
        <v>-5.7525E-2</v>
      </c>
      <c r="AE3375">
        <v>-7.5089999999999393E-2</v>
      </c>
      <c r="AF3375">
        <v>3.9423432273667701E-2</v>
      </c>
      <c r="AG3375">
        <v>-5.7525E-2</v>
      </c>
      <c r="AH3375">
        <v>0.59565155836972905</v>
      </c>
      <c r="AI3375">
        <v>95.504259835453496</v>
      </c>
      <c r="AJ3375">
        <v>86.213378997331702</v>
      </c>
      <c r="AK3375">
        <v>0.59972002770086297</v>
      </c>
      <c r="AL3375">
        <v>86.768046371996206</v>
      </c>
      <c r="AM3375">
        <v>95.343329464654005</v>
      </c>
      <c r="AN3375">
        <v>0.99999995174776601</v>
      </c>
    </row>
    <row r="3376" spans="1:40" x14ac:dyDescent="0.3">
      <c r="A3376" t="str">
        <f>"20200111153945630"</f>
        <v>20200111153945630</v>
      </c>
      <c r="B3376" t="str">
        <f>"1578728385624502"</f>
        <v>1578728385624502</v>
      </c>
      <c r="C3376" t="s">
        <v>40</v>
      </c>
      <c r="D3376">
        <v>5.5207369999999996</v>
      </c>
      <c r="E3376">
        <v>0.5538611</v>
      </c>
      <c r="F3376" t="s">
        <v>41</v>
      </c>
      <c r="G3376">
        <v>-391.76429999999999</v>
      </c>
      <c r="H3376">
        <v>1.048065</v>
      </c>
      <c r="I3376">
        <v>18.23987</v>
      </c>
      <c r="J3376">
        <v>-392.33339999999998</v>
      </c>
      <c r="K3376">
        <v>1.1050409999999999</v>
      </c>
      <c r="L3376">
        <v>18.314029999999999</v>
      </c>
      <c r="M3376">
        <v>0.99819669999999905</v>
      </c>
      <c r="N3376">
        <v>0</v>
      </c>
      <c r="O3376">
        <v>-5.8558779999999998E-2</v>
      </c>
      <c r="P3376">
        <v>0.99853349999999996</v>
      </c>
      <c r="Q3376">
        <v>4.225135E-2</v>
      </c>
      <c r="R3376">
        <v>3.3842369999999997E-2</v>
      </c>
      <c r="S3376">
        <v>3.0252080000000001</v>
      </c>
      <c r="T3376">
        <v>-0.21469379999999999</v>
      </c>
      <c r="U3376">
        <v>-0.32968140000000001</v>
      </c>
      <c r="V3376">
        <v>-9.2288789999999996E-2</v>
      </c>
      <c r="W3376">
        <v>5.5331869999999998E-2</v>
      </c>
      <c r="X3376">
        <v>0.99419369999999996</v>
      </c>
      <c r="Y3376">
        <v>4.995281E-2</v>
      </c>
      <c r="Z3376">
        <v>2.3685899999999998E-3</v>
      </c>
      <c r="AA3376">
        <v>0.99874879999999999</v>
      </c>
      <c r="AB3376">
        <v>23</v>
      </c>
      <c r="AC3376">
        <v>0.56909999999999095</v>
      </c>
      <c r="AD3376">
        <v>-5.6975999999999902E-2</v>
      </c>
      <c r="AE3376">
        <v>-7.4159999999999102E-2</v>
      </c>
      <c r="AF3376">
        <v>4.03067542303387E-2</v>
      </c>
      <c r="AG3376">
        <v>-5.6975999999999902E-2</v>
      </c>
      <c r="AH3376">
        <v>0.56687925529498295</v>
      </c>
      <c r="AI3376">
        <v>95.725062494062797</v>
      </c>
      <c r="AJ3376">
        <v>85.932949008433297</v>
      </c>
      <c r="AK3376">
        <v>0.57115933774769001</v>
      </c>
      <c r="AL3376">
        <v>86.8280973658741</v>
      </c>
      <c r="AM3376">
        <v>95.303441383997594</v>
      </c>
      <c r="AN3376">
        <v>0.99999997485852499</v>
      </c>
    </row>
    <row r="3377" spans="1:40" x14ac:dyDescent="0.3">
      <c r="A3377" t="str">
        <f>"20200111153945652"</f>
        <v>20200111153945652</v>
      </c>
      <c r="B3377" t="str">
        <f>"1578728385644022"</f>
        <v>1578728385644022</v>
      </c>
      <c r="C3377" t="s">
        <v>40</v>
      </c>
      <c r="D3377">
        <v>5.5680690000000004</v>
      </c>
      <c r="E3377">
        <v>0.55381999999999998</v>
      </c>
      <c r="F3377" t="s">
        <v>41</v>
      </c>
      <c r="G3377">
        <v>-391.55880000000002</v>
      </c>
      <c r="H3377">
        <v>1.0497110000000001</v>
      </c>
      <c r="I3377">
        <v>18.229289999999999</v>
      </c>
      <c r="J3377">
        <v>-392.10180000000003</v>
      </c>
      <c r="K3377">
        <v>1.105086</v>
      </c>
      <c r="L3377">
        <v>18.300840000000001</v>
      </c>
      <c r="M3377">
        <v>0.9982181</v>
      </c>
      <c r="N3377">
        <v>0</v>
      </c>
      <c r="O3377">
        <v>-5.8192710000000002E-2</v>
      </c>
      <c r="P3377">
        <v>0.99855110000000002</v>
      </c>
      <c r="Q3377">
        <v>4.1178800000000002E-2</v>
      </c>
      <c r="R3377">
        <v>3.4643159999999999E-2</v>
      </c>
      <c r="S3377">
        <v>3.02475</v>
      </c>
      <c r="T3377">
        <v>-0.2160618</v>
      </c>
      <c r="U3377">
        <v>-0.33078000000000002</v>
      </c>
      <c r="V3377">
        <v>-9.2730919999999994E-2</v>
      </c>
      <c r="W3377">
        <v>5.4245839999999997E-2</v>
      </c>
      <c r="X3377">
        <v>0.9942124</v>
      </c>
      <c r="Y3377">
        <v>5.0691350000000003E-2</v>
      </c>
      <c r="Z3377">
        <v>2.3317120000000001E-3</v>
      </c>
      <c r="AA3377">
        <v>0.99871160000000003</v>
      </c>
      <c r="AB3377">
        <v>23</v>
      </c>
      <c r="AC3377">
        <v>0.54300000000000603</v>
      </c>
      <c r="AD3377">
        <v>-5.5374999999999903E-2</v>
      </c>
      <c r="AE3377">
        <v>-7.1550000000002001E-2</v>
      </c>
      <c r="AF3377">
        <v>3.9424322939442098E-2</v>
      </c>
      <c r="AG3377">
        <v>-5.5374999999999903E-2</v>
      </c>
      <c r="AH3377">
        <v>0.54071629889830197</v>
      </c>
      <c r="AI3377">
        <v>95.831927749888806</v>
      </c>
      <c r="AJ3377">
        <v>85.8298698997271</v>
      </c>
      <c r="AK3377">
        <v>0.54497227797247705</v>
      </c>
      <c r="AL3377">
        <v>86.890415881608902</v>
      </c>
      <c r="AM3377">
        <v>95.328603140462405</v>
      </c>
      <c r="AN3377">
        <v>0.99999996549755499</v>
      </c>
    </row>
    <row r="3378" spans="1:40" x14ac:dyDescent="0.3">
      <c r="A3378" t="str">
        <f>"20200111153945676"</f>
        <v>20200111153945676</v>
      </c>
      <c r="B3378" t="str">
        <f>"1578728385664517"</f>
        <v>1578728385664517</v>
      </c>
      <c r="C3378" t="s">
        <v>40</v>
      </c>
      <c r="D3378">
        <v>5.5181760000000004</v>
      </c>
      <c r="E3378">
        <v>0.55369639999999998</v>
      </c>
      <c r="F3378" t="s">
        <v>41</v>
      </c>
      <c r="G3378">
        <v>-391.3526</v>
      </c>
      <c r="H3378">
        <v>1.051231</v>
      </c>
      <c r="I3378">
        <v>18.218969999999999</v>
      </c>
      <c r="J3378">
        <v>-391.87380000000002</v>
      </c>
      <c r="K3378">
        <v>1.105137</v>
      </c>
      <c r="L3378">
        <v>18.288060000000002</v>
      </c>
      <c r="M3378">
        <v>0.99824420000000003</v>
      </c>
      <c r="N3378">
        <v>0</v>
      </c>
      <c r="O3378">
        <v>-5.7745249999999998E-2</v>
      </c>
      <c r="P3378">
        <v>0.99856350000000005</v>
      </c>
      <c r="Q3378">
        <v>4.0442350000000002E-2</v>
      </c>
      <c r="R3378">
        <v>3.514979E-2</v>
      </c>
      <c r="S3378">
        <v>3.0247190000000002</v>
      </c>
      <c r="T3378">
        <v>-0.2175164</v>
      </c>
      <c r="U3378">
        <v>-0.32873540000000001</v>
      </c>
      <c r="V3378">
        <v>-9.2798679999999995E-2</v>
      </c>
      <c r="W3378">
        <v>5.3497339999999997E-2</v>
      </c>
      <c r="X3378">
        <v>0.99424670000000004</v>
      </c>
      <c r="Y3378">
        <v>5.0472599999999999E-2</v>
      </c>
      <c r="Z3378">
        <v>2.3233770000000002E-3</v>
      </c>
      <c r="AA3378">
        <v>0.99872269999999996</v>
      </c>
      <c r="AB3378">
        <v>23</v>
      </c>
      <c r="AC3378">
        <v>0.52120000000002098</v>
      </c>
      <c r="AD3378">
        <v>-5.3906000000000003E-2</v>
      </c>
      <c r="AE3378">
        <v>-6.9089999999999194E-2</v>
      </c>
      <c r="AF3378">
        <v>3.8470830595997797E-2</v>
      </c>
      <c r="AG3378">
        <v>-5.3906000000000003E-2</v>
      </c>
      <c r="AH3378">
        <v>0.51886561268970999</v>
      </c>
      <c r="AI3378">
        <v>95.915174791299094</v>
      </c>
      <c r="AJ3378">
        <v>85.759614187907502</v>
      </c>
      <c r="AK3378">
        <v>0.52307493313541098</v>
      </c>
      <c r="AL3378">
        <v>86.933364340771902</v>
      </c>
      <c r="AM3378">
        <v>95.332291498624102</v>
      </c>
      <c r="AN3378">
        <v>1.0000000304288501</v>
      </c>
    </row>
    <row r="3379" spans="1:40" x14ac:dyDescent="0.3">
      <c r="A3379" t="str">
        <f>"20200111153945696"</f>
        <v>20200111153945696</v>
      </c>
      <c r="B3379" t="str">
        <f>"1578728385684037"</f>
        <v>1578728385684037</v>
      </c>
      <c r="C3379" t="s">
        <v>40</v>
      </c>
      <c r="D3379">
        <v>5.6010099999999996</v>
      </c>
      <c r="E3379">
        <v>0.5536913</v>
      </c>
      <c r="F3379" t="s">
        <v>41</v>
      </c>
      <c r="G3379">
        <v>-390.95749999999998</v>
      </c>
      <c r="H3379">
        <v>1.038959</v>
      </c>
      <c r="I3379">
        <v>18.188600000000001</v>
      </c>
      <c r="J3379">
        <v>-391.65449999999998</v>
      </c>
      <c r="K3379">
        <v>1.105178</v>
      </c>
      <c r="L3379">
        <v>18.275939999999999</v>
      </c>
      <c r="M3379">
        <v>0.99827399999999999</v>
      </c>
      <c r="N3379">
        <v>0</v>
      </c>
      <c r="O3379">
        <v>-5.7229929999999998E-2</v>
      </c>
      <c r="P3379">
        <v>0.99858369999999996</v>
      </c>
      <c r="Q3379">
        <v>3.989467E-2</v>
      </c>
      <c r="R3379">
        <v>3.5202410000000003E-2</v>
      </c>
      <c r="S3379">
        <v>3.0246279999999999</v>
      </c>
      <c r="T3379">
        <v>-0.2185687</v>
      </c>
      <c r="U3379">
        <v>-0.32617190000000001</v>
      </c>
      <c r="V3379">
        <v>-9.2344399999999993E-2</v>
      </c>
      <c r="W3379">
        <v>5.2939269999999997E-2</v>
      </c>
      <c r="X3379">
        <v>0.99431879999999995</v>
      </c>
      <c r="Y3379">
        <v>5.0154440000000002E-2</v>
      </c>
      <c r="Z3379">
        <v>2.3092519999999999E-3</v>
      </c>
      <c r="AA3379">
        <v>0.99873880000000004</v>
      </c>
      <c r="AB3379">
        <v>23</v>
      </c>
      <c r="AC3379">
        <v>0.69700000000000195</v>
      </c>
      <c r="AD3379">
        <v>-6.6219E-2</v>
      </c>
      <c r="AE3379">
        <v>-8.7339999999997503E-2</v>
      </c>
      <c r="AF3379">
        <v>4.6887432214948802E-2</v>
      </c>
      <c r="AG3379">
        <v>-6.6219E-2</v>
      </c>
      <c r="AH3379">
        <v>0.69468299524636301</v>
      </c>
      <c r="AI3379">
        <v>95.432844620858404</v>
      </c>
      <c r="AJ3379">
        <v>86.138693907358899</v>
      </c>
      <c r="AK3379">
        <v>0.699405355387824</v>
      </c>
      <c r="AL3379">
        <v>86.965384574082705</v>
      </c>
      <c r="AM3379">
        <v>95.305954973857595</v>
      </c>
      <c r="AN3379">
        <v>0.99999996527646495</v>
      </c>
    </row>
    <row r="3380" spans="1:40" x14ac:dyDescent="0.3">
      <c r="A3380" t="str">
        <f>"20200111153945730"</f>
        <v>20200111153945730</v>
      </c>
      <c r="B3380" t="str">
        <f>"1578728385724054"</f>
        <v>1578728385724054</v>
      </c>
      <c r="C3380" t="s">
        <v>40</v>
      </c>
      <c r="D3380">
        <v>4.760567</v>
      </c>
      <c r="E3380">
        <v>0.55366759999999904</v>
      </c>
      <c r="F3380" t="s">
        <v>41</v>
      </c>
      <c r="G3380">
        <v>-390.75389999999999</v>
      </c>
      <c r="H3380">
        <v>1.039979</v>
      </c>
      <c r="I3380">
        <v>18.178550000000001</v>
      </c>
      <c r="J3380">
        <v>-391.31740000000002</v>
      </c>
      <c r="K3380">
        <v>1.1052329999999999</v>
      </c>
      <c r="L3380">
        <v>18.25769</v>
      </c>
      <c r="M3380">
        <v>0.99832569999999998</v>
      </c>
      <c r="N3380">
        <v>0</v>
      </c>
      <c r="O3380">
        <v>-5.6317989999999998E-2</v>
      </c>
      <c r="P3380">
        <v>0.99846400000000002</v>
      </c>
      <c r="Q3380">
        <v>4.0755939999999997E-2</v>
      </c>
      <c r="R3380">
        <v>3.7528159999999998E-2</v>
      </c>
      <c r="S3380">
        <v>3.0244749999999998</v>
      </c>
      <c r="T3380">
        <v>-0.21905160000000001</v>
      </c>
      <c r="U3380">
        <v>-0.32617190000000001</v>
      </c>
      <c r="V3380">
        <v>-9.3758649999999999E-2</v>
      </c>
      <c r="W3380">
        <v>5.3782070000000001E-2</v>
      </c>
      <c r="X3380">
        <v>0.99414119999999995</v>
      </c>
      <c r="Y3380">
        <v>5.1067500000000002E-2</v>
      </c>
      <c r="Z3380">
        <v>2.2159319999999999E-3</v>
      </c>
      <c r="AA3380">
        <v>0.99869280000000005</v>
      </c>
      <c r="AB3380">
        <v>23</v>
      </c>
      <c r="AC3380">
        <v>0.56350000000003297</v>
      </c>
      <c r="AD3380">
        <v>-6.5253999999999895E-2</v>
      </c>
      <c r="AE3380">
        <v>-7.9139999999998795E-2</v>
      </c>
      <c r="AF3380">
        <v>4.66627828346372E-2</v>
      </c>
      <c r="AG3380">
        <v>-6.5253999999999895E-2</v>
      </c>
      <c r="AH3380">
        <v>0.55970250647964304</v>
      </c>
      <c r="AI3380">
        <v>96.6271320285217</v>
      </c>
      <c r="AJ3380">
        <v>85.234232832478597</v>
      </c>
      <c r="AK3380">
        <v>0.56542231612969396</v>
      </c>
      <c r="AL3380">
        <v>86.917026778194995</v>
      </c>
      <c r="AM3380">
        <v>95.387697650192706</v>
      </c>
      <c r="AN3380">
        <v>0.99999996052037199</v>
      </c>
    </row>
    <row r="3381" spans="1:40" x14ac:dyDescent="0.3">
      <c r="A3381" t="str">
        <f>"20200111153945754"</f>
        <v>20200111153945754</v>
      </c>
      <c r="B3381" t="str">
        <f>"1578728385744550"</f>
        <v>1578728385744550</v>
      </c>
      <c r="C3381" t="s">
        <v>40</v>
      </c>
      <c r="D3381">
        <v>5.3876200000000001</v>
      </c>
      <c r="E3381">
        <v>0.51326240000000001</v>
      </c>
      <c r="F3381" t="s">
        <v>41</v>
      </c>
      <c r="G3381">
        <v>-390.5419</v>
      </c>
      <c r="H3381">
        <v>1.0505850000000001</v>
      </c>
      <c r="I3381">
        <v>18.175249999999998</v>
      </c>
      <c r="J3381">
        <v>-391.07490000000001</v>
      </c>
      <c r="K3381">
        <v>1.1052660000000001</v>
      </c>
      <c r="L3381">
        <v>18.24484</v>
      </c>
      <c r="M3381">
        <v>0.9983668</v>
      </c>
      <c r="N3381">
        <v>0</v>
      </c>
      <c r="O3381">
        <v>-5.5586419999999997E-2</v>
      </c>
      <c r="P3381">
        <v>0.99834849999999997</v>
      </c>
      <c r="Q3381">
        <v>4.1337319999999997E-2</v>
      </c>
      <c r="R3381">
        <v>3.9891410000000002E-2</v>
      </c>
      <c r="S3381">
        <v>3.02536</v>
      </c>
      <c r="T3381">
        <v>-0.21333659999999999</v>
      </c>
      <c r="U3381">
        <v>-0.31994630000000002</v>
      </c>
      <c r="V3381">
        <v>-9.5387730000000004E-2</v>
      </c>
      <c r="W3381">
        <v>5.4351070000000001E-2</v>
      </c>
      <c r="X3381">
        <v>0.99395529999999999</v>
      </c>
      <c r="Y3381">
        <v>4.973698E-2</v>
      </c>
      <c r="Z3381">
        <v>2.1534039999999998E-3</v>
      </c>
      <c r="AA3381">
        <v>0.99875999999999998</v>
      </c>
      <c r="AB3381">
        <v>23</v>
      </c>
      <c r="AC3381">
        <v>0.53300000000001502</v>
      </c>
      <c r="AD3381">
        <v>-5.4680999999999903E-2</v>
      </c>
      <c r="AE3381">
        <v>-6.9590000000001595E-2</v>
      </c>
      <c r="AF3381">
        <v>3.9444061650835797E-2</v>
      </c>
      <c r="AG3381">
        <v>-5.4680999999999903E-2</v>
      </c>
      <c r="AH3381">
        <v>0.53055392994092798</v>
      </c>
      <c r="AI3381">
        <v>95.868273214493698</v>
      </c>
      <c r="AJ3381">
        <v>85.748164113359906</v>
      </c>
      <c r="AK3381">
        <v>0.53482082825585398</v>
      </c>
      <c r="AL3381">
        <v>86.884377840497194</v>
      </c>
      <c r="AM3381">
        <v>95.481763879415197</v>
      </c>
      <c r="AN3381">
        <v>0.99999999812139395</v>
      </c>
    </row>
    <row r="3382" spans="1:40" x14ac:dyDescent="0.3">
      <c r="A3382" t="str">
        <f>"20200111153945777"</f>
        <v>20200111153945777</v>
      </c>
      <c r="B3382" t="str">
        <f>"1578728385774806"</f>
        <v>1578728385774806</v>
      </c>
      <c r="C3382" t="s">
        <v>40</v>
      </c>
      <c r="D3382">
        <v>5.4370909999999997</v>
      </c>
      <c r="E3382">
        <v>0.49623729999999999</v>
      </c>
      <c r="F3382" t="s">
        <v>72</v>
      </c>
      <c r="G3382">
        <v>-374.48450000000003</v>
      </c>
      <c r="H3382" s="1">
        <v>-2.8219390000000001E-6</v>
      </c>
      <c r="I3382">
        <v>18.295760000000001</v>
      </c>
      <c r="J3382">
        <v>-390.84699999999998</v>
      </c>
      <c r="K3382">
        <v>1.105289</v>
      </c>
      <c r="L3382">
        <v>18.233029999999999</v>
      </c>
      <c r="M3382">
        <v>0.99840839999999997</v>
      </c>
      <c r="N3382">
        <v>0</v>
      </c>
      <c r="O3382">
        <v>-5.4834609999999999E-2</v>
      </c>
      <c r="P3382">
        <v>0.99828640000000002</v>
      </c>
      <c r="Q3382">
        <v>4.1478590000000003E-2</v>
      </c>
      <c r="R3382">
        <v>4.1279570000000002E-2</v>
      </c>
      <c r="S3382">
        <v>3.0129090000000001</v>
      </c>
      <c r="T3382">
        <v>-0.20072280000000001</v>
      </c>
      <c r="U3382">
        <v>9.2468259999999997E-3</v>
      </c>
      <c r="V3382">
        <v>-9.6025910000000006E-2</v>
      </c>
      <c r="W3382">
        <v>5.4479619999999999E-2</v>
      </c>
      <c r="X3382">
        <v>0.99388679999999996</v>
      </c>
      <c r="Y3382">
        <v>-5.7654270000000001E-2</v>
      </c>
      <c r="Z3382">
        <v>5.5664590000000002E-3</v>
      </c>
      <c r="AA3382">
        <v>0.99832109999999996</v>
      </c>
      <c r="AB3382">
        <v>23</v>
      </c>
      <c r="AC3382">
        <v>16.362499999999901</v>
      </c>
      <c r="AD3382">
        <v>-1.105291821939</v>
      </c>
      <c r="AE3382">
        <v>6.2730000000001895E-2</v>
      </c>
      <c r="AF3382">
        <v>-0.95558459359117198</v>
      </c>
      <c r="AG3382">
        <v>-1.105291821939</v>
      </c>
      <c r="AH3382">
        <v>16.260242358303199</v>
      </c>
      <c r="AI3382">
        <v>93.882027717117197</v>
      </c>
      <c r="AJ3382">
        <v>93.363299401425195</v>
      </c>
      <c r="AK3382">
        <v>16.325755525485199</v>
      </c>
      <c r="AL3382">
        <v>86.877001506937503</v>
      </c>
      <c r="AM3382">
        <v>95.5185912997255</v>
      </c>
      <c r="AN3382">
        <v>0.99999998780045596</v>
      </c>
    </row>
    <row r="3383" spans="1:40" x14ac:dyDescent="0.3">
      <c r="A3383" t="str">
        <f>"20200111153945820"</f>
        <v>20200111153945820</v>
      </c>
      <c r="B3383" t="str">
        <f>"1578728385813845"</f>
        <v>1578728385813845</v>
      </c>
      <c r="C3383" t="s">
        <v>40</v>
      </c>
      <c r="D3383">
        <v>5.3470129999999996</v>
      </c>
      <c r="E3383">
        <v>0.49170350000000002</v>
      </c>
      <c r="F3383" t="s">
        <v>72</v>
      </c>
      <c r="G3383">
        <v>-374.67700000000002</v>
      </c>
      <c r="H3383" s="1">
        <v>-2.5997150000000001E-6</v>
      </c>
      <c r="I3383">
        <v>19.035550000000001</v>
      </c>
      <c r="J3383">
        <v>-390.40879999999999</v>
      </c>
      <c r="K3383">
        <v>1.105334</v>
      </c>
      <c r="L3383">
        <v>18.210909999999998</v>
      </c>
      <c r="M3383">
        <v>0.99849449999999995</v>
      </c>
      <c r="N3383">
        <v>0</v>
      </c>
      <c r="O3383">
        <v>-5.325792E-2</v>
      </c>
      <c r="P3383">
        <v>0.9982143</v>
      </c>
      <c r="Q3383">
        <v>4.0840649999999999E-2</v>
      </c>
      <c r="R3383">
        <v>4.3595469999999997E-2</v>
      </c>
      <c r="S3383">
        <v>3.0075069999999999</v>
      </c>
      <c r="T3383">
        <v>-0.2055758</v>
      </c>
      <c r="U3383">
        <v>0.14926149999999999</v>
      </c>
      <c r="V3383">
        <v>-9.6771289999999996E-2</v>
      </c>
      <c r="W3383">
        <v>5.377208E-2</v>
      </c>
      <c r="X3383">
        <v>0.99385299999999999</v>
      </c>
      <c r="Y3383">
        <v>-0.10233299999999999</v>
      </c>
      <c r="Z3383">
        <v>7.1253810000000001E-3</v>
      </c>
      <c r="AA3383">
        <v>0.99472470000000002</v>
      </c>
      <c r="AB3383">
        <v>23</v>
      </c>
      <c r="AC3383">
        <v>15.7318</v>
      </c>
      <c r="AD3383">
        <v>-1.105336599715</v>
      </c>
      <c r="AE3383">
        <v>0.82463999999999804</v>
      </c>
      <c r="AF3383">
        <v>-1.6532454786075499</v>
      </c>
      <c r="AG3383">
        <v>-1.105336599715</v>
      </c>
      <c r="AH3383">
        <v>15.588801454527699</v>
      </c>
      <c r="AI3383">
        <v>94.033272643854502</v>
      </c>
      <c r="AJ3383">
        <v>96.053783909271502</v>
      </c>
      <c r="AK3383">
        <v>15.7151430282989</v>
      </c>
      <c r="AL3383">
        <v>86.917599967406801</v>
      </c>
      <c r="AM3383">
        <v>95.561348588141698</v>
      </c>
      <c r="AN3383">
        <v>0.99999995238239403</v>
      </c>
    </row>
    <row r="3384" spans="1:40" x14ac:dyDescent="0.3">
      <c r="A3384" t="str">
        <f>"20200111153945843"</f>
        <v>20200111153945843</v>
      </c>
      <c r="B3384" t="str">
        <f>"1578728385834341"</f>
        <v>1578728385834341</v>
      </c>
      <c r="C3384" t="s">
        <v>40</v>
      </c>
      <c r="D3384">
        <v>5.343737</v>
      </c>
      <c r="E3384">
        <v>0.49024299999999998</v>
      </c>
      <c r="F3384" t="s">
        <v>72</v>
      </c>
      <c r="G3384">
        <v>-374.65390000000002</v>
      </c>
      <c r="H3384" s="1">
        <v>-2.5781220000000001E-6</v>
      </c>
      <c r="I3384">
        <v>19.218869999999999</v>
      </c>
      <c r="J3384">
        <v>-390.17910000000001</v>
      </c>
      <c r="K3384">
        <v>1.105356</v>
      </c>
      <c r="L3384">
        <v>18.199680000000001</v>
      </c>
      <c r="M3384">
        <v>0.99854180000000003</v>
      </c>
      <c r="N3384">
        <v>0</v>
      </c>
      <c r="O3384">
        <v>-5.2374879999999999E-2</v>
      </c>
      <c r="P3384">
        <v>0.99818150000000005</v>
      </c>
      <c r="Q3384">
        <v>4.1272669999999997E-2</v>
      </c>
      <c r="R3384">
        <v>4.3932970000000002E-2</v>
      </c>
      <c r="S3384">
        <v>3.005585</v>
      </c>
      <c r="T3384">
        <v>-0.21086659999999999</v>
      </c>
      <c r="U3384">
        <v>0.1922913</v>
      </c>
      <c r="V3384">
        <v>-9.6230979999999994E-2</v>
      </c>
      <c r="W3384">
        <v>5.4147279999999999E-2</v>
      </c>
      <c r="X3384">
        <v>0.99388520000000002</v>
      </c>
      <c r="Y3384">
        <v>-0.1156208</v>
      </c>
      <c r="Z3384">
        <v>7.713648E-3</v>
      </c>
      <c r="AA3384">
        <v>0.99326349999999997</v>
      </c>
      <c r="AB3384">
        <v>23</v>
      </c>
      <c r="AC3384">
        <v>15.5251999999999</v>
      </c>
      <c r="AD3384">
        <v>-1.1053585781219999</v>
      </c>
      <c r="AE3384">
        <v>1.01919</v>
      </c>
      <c r="AF3384">
        <v>-1.8217957333764401</v>
      </c>
      <c r="AG3384">
        <v>-1.1053585781219999</v>
      </c>
      <c r="AH3384">
        <v>15.3729107707584</v>
      </c>
      <c r="AI3384">
        <v>94.084180130197893</v>
      </c>
      <c r="AJ3384">
        <v>96.758423677387995</v>
      </c>
      <c r="AK3384">
        <v>15.5198950655627</v>
      </c>
      <c r="AL3384">
        <v>86.896071559591505</v>
      </c>
      <c r="AM3384">
        <v>95.530312497105996</v>
      </c>
      <c r="AN3384">
        <v>1.0000000601110901</v>
      </c>
    </row>
    <row r="3385" spans="1:40" x14ac:dyDescent="0.3">
      <c r="A3385" t="str">
        <f>"20200111153945865"</f>
        <v>20200111153945865</v>
      </c>
      <c r="B3385" t="str">
        <f>"1578728385853864"</f>
        <v>1578728385853864</v>
      </c>
      <c r="C3385" t="s">
        <v>40</v>
      </c>
      <c r="D3385">
        <v>5.339067</v>
      </c>
      <c r="E3385">
        <v>0.48918200000000001</v>
      </c>
      <c r="F3385" t="s">
        <v>72</v>
      </c>
      <c r="G3385">
        <v>-374.4402</v>
      </c>
      <c r="H3385" s="1">
        <v>-2.6693340000000001E-6</v>
      </c>
      <c r="I3385">
        <v>19.274049999999999</v>
      </c>
      <c r="J3385">
        <v>-389.95119999999997</v>
      </c>
      <c r="K3385">
        <v>1.1053710000000001</v>
      </c>
      <c r="L3385">
        <v>18.18881</v>
      </c>
      <c r="M3385">
        <v>0.99859109999999995</v>
      </c>
      <c r="N3385">
        <v>0</v>
      </c>
      <c r="O3385">
        <v>-5.144907E-2</v>
      </c>
      <c r="P3385">
        <v>0.99814860000000005</v>
      </c>
      <c r="Q3385">
        <v>4.230689E-2</v>
      </c>
      <c r="R3385">
        <v>4.3699210000000002E-2</v>
      </c>
      <c r="S3385">
        <v>3.0051570000000001</v>
      </c>
      <c r="T3385">
        <v>-0.2110553</v>
      </c>
      <c r="U3385">
        <v>0.20513919999999999</v>
      </c>
      <c r="V3385">
        <v>-9.5078099999999999E-2</v>
      </c>
      <c r="W3385">
        <v>5.5101909999999997E-2</v>
      </c>
      <c r="X3385">
        <v>0.99394360000000004</v>
      </c>
      <c r="Y3385">
        <v>-0.1189296</v>
      </c>
      <c r="Z3385">
        <v>7.771694E-3</v>
      </c>
      <c r="AA3385">
        <v>0.99287230000000004</v>
      </c>
      <c r="AB3385">
        <v>23</v>
      </c>
      <c r="AC3385">
        <v>15.5109999999999</v>
      </c>
      <c r="AD3385">
        <v>-1.1053736693339999</v>
      </c>
      <c r="AE3385">
        <v>1.08523999999999</v>
      </c>
      <c r="AF3385">
        <v>-1.87243347656435</v>
      </c>
      <c r="AG3385">
        <v>-1.1053736693339999</v>
      </c>
      <c r="AH3385">
        <v>15.357003573406599</v>
      </c>
      <c r="AI3385">
        <v>94.086800832158104</v>
      </c>
      <c r="AJ3385">
        <v>96.951590498090397</v>
      </c>
      <c r="AK3385">
        <v>15.510171399009</v>
      </c>
      <c r="AL3385">
        <v>86.841293228963096</v>
      </c>
      <c r="AM3385">
        <v>95.464141786076794</v>
      </c>
      <c r="AN3385">
        <v>0.99999997278310804</v>
      </c>
    </row>
    <row r="3386" spans="1:40" x14ac:dyDescent="0.3">
      <c r="A3386" t="str">
        <f>"20200111153945889"</f>
        <v>20200111153945889</v>
      </c>
      <c r="B3386" t="str">
        <f>"1578728385884118"</f>
        <v>1578728385884118</v>
      </c>
      <c r="C3386" t="s">
        <v>40</v>
      </c>
      <c r="D3386">
        <v>5.3096220000000001</v>
      </c>
      <c r="E3386">
        <v>0.48860749999999997</v>
      </c>
      <c r="F3386" t="s">
        <v>72</v>
      </c>
      <c r="G3386">
        <v>-373.69529999999997</v>
      </c>
      <c r="H3386" s="1">
        <v>-3.0090980000000001E-6</v>
      </c>
      <c r="I3386">
        <v>19.343620000000001</v>
      </c>
      <c r="J3386">
        <v>-389.70100000000002</v>
      </c>
      <c r="K3386">
        <v>1.1053839999999999</v>
      </c>
      <c r="L3386">
        <v>18.177150000000001</v>
      </c>
      <c r="M3386">
        <v>0.99864699999999995</v>
      </c>
      <c r="N3386">
        <v>0</v>
      </c>
      <c r="O3386">
        <v>-5.0375030000000001E-2</v>
      </c>
      <c r="P3386">
        <v>0.99810949999999998</v>
      </c>
      <c r="Q3386">
        <v>4.3112459999999998E-2</v>
      </c>
      <c r="R3386">
        <v>4.3806650000000003E-2</v>
      </c>
      <c r="S3386">
        <v>3.0049440000000001</v>
      </c>
      <c r="T3386">
        <v>-0.20433119999999999</v>
      </c>
      <c r="U3386">
        <v>0.21347050000000001</v>
      </c>
      <c r="V3386">
        <v>-9.4118370000000007E-2</v>
      </c>
      <c r="W3386">
        <v>5.5813689999999999E-2</v>
      </c>
      <c r="X3386">
        <v>0.99399519999999997</v>
      </c>
      <c r="Y3386">
        <v>-0.1206306</v>
      </c>
      <c r="Z3386">
        <v>7.5093740000000001E-3</v>
      </c>
      <c r="AA3386">
        <v>0.99266900000000002</v>
      </c>
      <c r="AB3386">
        <v>23</v>
      </c>
      <c r="AC3386">
        <v>16.005699999999901</v>
      </c>
      <c r="AD3386">
        <v>-1.105387009098</v>
      </c>
      <c r="AE3386">
        <v>1.1664699999999999</v>
      </c>
      <c r="AF3386">
        <v>-1.9620349050252099</v>
      </c>
      <c r="AG3386">
        <v>-1.105387009098</v>
      </c>
      <c r="AH3386">
        <v>15.8514045026677</v>
      </c>
      <c r="AI3386">
        <v>93.958910727992105</v>
      </c>
      <c r="AJ3386">
        <v>97.0559956703718</v>
      </c>
      <c r="AK3386">
        <v>16.010574196936702</v>
      </c>
      <c r="AL3386">
        <v>86.800448294233902</v>
      </c>
      <c r="AM3386">
        <v>95.409035742719198</v>
      </c>
      <c r="AN3386">
        <v>0.99999994659295499</v>
      </c>
    </row>
    <row r="3387" spans="1:40" x14ac:dyDescent="0.3">
      <c r="A3387" t="str">
        <f>"20200111153945908"</f>
        <v>20200111153945908</v>
      </c>
      <c r="B3387" t="str">
        <f>"1578728385904614"</f>
        <v>1578728385904614</v>
      </c>
      <c r="C3387" t="s">
        <v>40</v>
      </c>
      <c r="D3387">
        <v>5.3320049999999997</v>
      </c>
      <c r="E3387">
        <v>0.48820730000000001</v>
      </c>
      <c r="F3387" t="s">
        <v>72</v>
      </c>
      <c r="G3387">
        <v>-373.34440000000001</v>
      </c>
      <c r="H3387" s="1">
        <v>-3.1707739999999999E-6</v>
      </c>
      <c r="I3387">
        <v>19.367419999999999</v>
      </c>
      <c r="J3387">
        <v>-389.51400000000001</v>
      </c>
      <c r="K3387">
        <v>1.1053949999999999</v>
      </c>
      <c r="L3387">
        <v>18.168700000000001</v>
      </c>
      <c r="M3387">
        <v>0.99868950000000001</v>
      </c>
      <c r="N3387">
        <v>0</v>
      </c>
      <c r="O3387">
        <v>-4.9539319999999998E-2</v>
      </c>
      <c r="P3387">
        <v>0.99812409999999996</v>
      </c>
      <c r="Q3387">
        <v>4.3388980000000001E-2</v>
      </c>
      <c r="R3387">
        <v>4.3195699999999997E-2</v>
      </c>
      <c r="S3387">
        <v>3.004791</v>
      </c>
      <c r="T3387">
        <v>-0.20306579999999999</v>
      </c>
      <c r="U3387">
        <v>0.2186584</v>
      </c>
      <c r="V3387">
        <v>-9.2679139999999993E-2</v>
      </c>
      <c r="W3387">
        <v>5.6026970000000002E-2</v>
      </c>
      <c r="X3387">
        <v>0.99411850000000002</v>
      </c>
      <c r="Y3387">
        <v>-0.1215132</v>
      </c>
      <c r="Z3387">
        <v>7.4363349999999996E-3</v>
      </c>
      <c r="AA3387">
        <v>0.9925619</v>
      </c>
      <c r="AB3387">
        <v>23</v>
      </c>
      <c r="AC3387">
        <v>16.169599999999999</v>
      </c>
      <c r="AD3387">
        <v>-1.1053981707739999</v>
      </c>
      <c r="AE3387">
        <v>1.19872</v>
      </c>
      <c r="AF3387">
        <v>-1.9890998976202701</v>
      </c>
      <c r="AG3387">
        <v>-1.1053981707739999</v>
      </c>
      <c r="AH3387">
        <v>16.0159139026517</v>
      </c>
      <c r="AI3387">
        <v>93.918213457303906</v>
      </c>
      <c r="AJ3387">
        <v>97.079610569024496</v>
      </c>
      <c r="AK3387">
        <v>16.1767710515979</v>
      </c>
      <c r="AL3387">
        <v>86.788209328453902</v>
      </c>
      <c r="AM3387">
        <v>95.326144959763894</v>
      </c>
      <c r="AN3387">
        <v>1.0000000182003801</v>
      </c>
    </row>
    <row r="3388" spans="1:40" x14ac:dyDescent="0.3">
      <c r="A3388" t="str">
        <f>"20200111153945931"</f>
        <v>20200111153945931</v>
      </c>
      <c r="B3388" t="str">
        <f>"1578728385924134"</f>
        <v>1578728385924134</v>
      </c>
      <c r="C3388" t="s">
        <v>40</v>
      </c>
      <c r="D3388">
        <v>5.3606669999999896</v>
      </c>
      <c r="E3388">
        <v>0.48812620000000001</v>
      </c>
      <c r="F3388" t="s">
        <v>72</v>
      </c>
      <c r="G3388">
        <v>-373.28769999999997</v>
      </c>
      <c r="H3388" s="1">
        <v>-3.1991439999999999E-6</v>
      </c>
      <c r="I3388">
        <v>19.358650000000001</v>
      </c>
      <c r="J3388">
        <v>-389.28359999999998</v>
      </c>
      <c r="K3388">
        <v>1.1053900000000001</v>
      </c>
      <c r="L3388">
        <v>18.158480000000001</v>
      </c>
      <c r="M3388">
        <v>0.99874240000000003</v>
      </c>
      <c r="N3388">
        <v>0</v>
      </c>
      <c r="O3388">
        <v>-4.8486090000000003E-2</v>
      </c>
      <c r="P3388">
        <v>0.9980985</v>
      </c>
      <c r="Q3388">
        <v>4.3959140000000001E-2</v>
      </c>
      <c r="R3388">
        <v>4.3213889999999998E-2</v>
      </c>
      <c r="S3388">
        <v>3.0049739999999998</v>
      </c>
      <c r="T3388">
        <v>-0.20470959999999999</v>
      </c>
      <c r="U3388">
        <v>0.22036739999999999</v>
      </c>
      <c r="V3388">
        <v>-9.1649820000000007E-2</v>
      </c>
      <c r="W3388">
        <v>5.6512100000000003E-2</v>
      </c>
      <c r="X3388">
        <v>0.99418649999999997</v>
      </c>
      <c r="Y3388">
        <v>-0.1210209</v>
      </c>
      <c r="Z3388">
        <v>7.4074889999999997E-3</v>
      </c>
      <c r="AA3388">
        <v>0.99262229999999996</v>
      </c>
      <c r="AB3388">
        <v>23</v>
      </c>
      <c r="AC3388">
        <v>15.995900000000001</v>
      </c>
      <c r="AD3388">
        <v>-1.10539319914399</v>
      </c>
      <c r="AE3388">
        <v>1.20017</v>
      </c>
      <c r="AF3388">
        <v>-1.9650683594770899</v>
      </c>
      <c r="AG3388">
        <v>-1.10539319914399</v>
      </c>
      <c r="AH3388">
        <v>15.8436498550951</v>
      </c>
      <c r="AI3388">
        <v>93.960742920012805</v>
      </c>
      <c r="AJ3388">
        <v>97.070218390905396</v>
      </c>
      <c r="AK3388">
        <v>16.003269307019298</v>
      </c>
      <c r="AL3388">
        <v>86.760369427048104</v>
      </c>
      <c r="AM3388">
        <v>95.266967664541895</v>
      </c>
      <c r="AN3388">
        <v>1.00000005186734</v>
      </c>
    </row>
    <row r="3389" spans="1:40" x14ac:dyDescent="0.3">
      <c r="A3389" t="str">
        <f>"20200111153945954"</f>
        <v>20200111153945954</v>
      </c>
      <c r="B3389" t="str">
        <f>"1578728385944629"</f>
        <v>1578728385944629</v>
      </c>
      <c r="C3389" t="s">
        <v>40</v>
      </c>
      <c r="D3389">
        <v>5.3370870000000004</v>
      </c>
      <c r="E3389">
        <v>0.4879462</v>
      </c>
      <c r="F3389" t="s">
        <v>72</v>
      </c>
      <c r="G3389">
        <v>-372.91840000000002</v>
      </c>
      <c r="H3389" s="1">
        <v>-3.3728149999999999E-6</v>
      </c>
      <c r="I3389">
        <v>19.363710000000001</v>
      </c>
      <c r="J3389">
        <v>-389.05410000000001</v>
      </c>
      <c r="K3389">
        <v>1.105372</v>
      </c>
      <c r="L3389">
        <v>18.14856</v>
      </c>
      <c r="M3389">
        <v>0.99879470000000004</v>
      </c>
      <c r="N3389">
        <v>0</v>
      </c>
      <c r="O3389">
        <v>-4.7420759999999999E-2</v>
      </c>
      <c r="P3389">
        <v>0.99815969999999998</v>
      </c>
      <c r="Q3389">
        <v>4.2976140000000003E-2</v>
      </c>
      <c r="R3389">
        <v>4.2782590000000002E-2</v>
      </c>
      <c r="S3389">
        <v>3.005096</v>
      </c>
      <c r="T3389">
        <v>-0.20297970000000001</v>
      </c>
      <c r="U3389">
        <v>0.2213135</v>
      </c>
      <c r="V3389">
        <v>-9.0159939999999994E-2</v>
      </c>
      <c r="W3389">
        <v>5.5438510000000003E-2</v>
      </c>
      <c r="X3389">
        <v>0.99438309999999996</v>
      </c>
      <c r="Y3389">
        <v>-0.1202806</v>
      </c>
      <c r="Z3389">
        <v>7.2479299999999997E-3</v>
      </c>
      <c r="AA3389">
        <v>0.99271350000000003</v>
      </c>
      <c r="AB3389">
        <v>23</v>
      </c>
      <c r="AC3389">
        <v>16.1356999999999</v>
      </c>
      <c r="AD3389">
        <v>-1.105375372815</v>
      </c>
      <c r="AE3389">
        <v>1.21515</v>
      </c>
      <c r="AF3389">
        <v>-1.9698191889411001</v>
      </c>
      <c r="AG3389">
        <v>-1.105375372815</v>
      </c>
      <c r="AH3389">
        <v>15.9853215906613</v>
      </c>
      <c r="AI3389">
        <v>93.926069719437507</v>
      </c>
      <c r="AJ3389">
        <v>97.024957809642203</v>
      </c>
      <c r="AK3389">
        <v>16.144118083958901</v>
      </c>
      <c r="AL3389">
        <v>86.821978019299294</v>
      </c>
      <c r="AM3389">
        <v>95.180797671518604</v>
      </c>
      <c r="AN3389">
        <v>0.99999999636871595</v>
      </c>
    </row>
    <row r="3390" spans="1:40" x14ac:dyDescent="0.3">
      <c r="A3390" t="str">
        <f>"20200111153945976"</f>
        <v>20200111153945976</v>
      </c>
      <c r="B3390" t="str">
        <f>"1578728385964151"</f>
        <v>1578728385964151</v>
      </c>
      <c r="C3390" t="s">
        <v>40</v>
      </c>
      <c r="D3390">
        <v>5.3379149999999997</v>
      </c>
      <c r="E3390">
        <v>0.48785889999999998</v>
      </c>
      <c r="F3390" t="s">
        <v>72</v>
      </c>
      <c r="G3390">
        <v>-372.96089999999998</v>
      </c>
      <c r="H3390" s="1">
        <v>-3.3575130000000002E-6</v>
      </c>
      <c r="I3390">
        <v>19.33661</v>
      </c>
      <c r="J3390">
        <v>-388.83300000000003</v>
      </c>
      <c r="K3390">
        <v>1.1053440000000001</v>
      </c>
      <c r="L3390">
        <v>18.139279999999999</v>
      </c>
      <c r="M3390">
        <v>0.99884439999999997</v>
      </c>
      <c r="N3390">
        <v>0</v>
      </c>
      <c r="O3390">
        <v>-4.6385339999999997E-2</v>
      </c>
      <c r="P3390">
        <v>0.99824120000000005</v>
      </c>
      <c r="Q3390">
        <v>4.1083660000000001E-2</v>
      </c>
      <c r="R3390">
        <v>4.2742479999999999E-2</v>
      </c>
      <c r="S3390">
        <v>3.0049130000000002</v>
      </c>
      <c r="T3390">
        <v>-0.20639560000000001</v>
      </c>
      <c r="U3390">
        <v>0.22183230000000001</v>
      </c>
      <c r="V3390">
        <v>-8.9088920000000002E-2</v>
      </c>
      <c r="W3390">
        <v>5.34583E-2</v>
      </c>
      <c r="X3390">
        <v>0.99458800000000003</v>
      </c>
      <c r="Y3390">
        <v>-0.11941789999999899</v>
      </c>
      <c r="Z3390">
        <v>7.2695190000000003E-3</v>
      </c>
      <c r="AA3390">
        <v>0.99281750000000002</v>
      </c>
      <c r="AB3390">
        <v>23</v>
      </c>
      <c r="AC3390">
        <v>15.8721</v>
      </c>
      <c r="AD3390">
        <v>-1.105347357513</v>
      </c>
      <c r="AE3390">
        <v>1.19733</v>
      </c>
      <c r="AF3390">
        <v>-1.9230582560024401</v>
      </c>
      <c r="AG3390">
        <v>-1.105347357513</v>
      </c>
      <c r="AH3390">
        <v>15.723644040594399</v>
      </c>
      <c r="AI3390">
        <v>93.991542445651902</v>
      </c>
      <c r="AJ3390">
        <v>96.972850618622303</v>
      </c>
      <c r="AK3390">
        <v>15.879323907271999</v>
      </c>
      <c r="AL3390">
        <v>86.9356041500251</v>
      </c>
      <c r="AM3390">
        <v>95.118534292957193</v>
      </c>
      <c r="AN3390">
        <v>0.99999995762482696</v>
      </c>
    </row>
    <row r="3391" spans="1:40" x14ac:dyDescent="0.3">
      <c r="A3391" t="str">
        <f>"20200111153945998"</f>
        <v>20200111153945998</v>
      </c>
      <c r="B3391" t="str">
        <f>"1578728385994405"</f>
        <v>1578728385994405</v>
      </c>
      <c r="C3391" t="s">
        <v>40</v>
      </c>
      <c r="D3391">
        <v>5.2679</v>
      </c>
      <c r="E3391">
        <v>0.4874889</v>
      </c>
      <c r="F3391" t="s">
        <v>72</v>
      </c>
      <c r="G3391">
        <v>-373.18450000000001</v>
      </c>
      <c r="H3391" s="1">
        <v>-3.2585199999999999E-6</v>
      </c>
      <c r="I3391">
        <v>19.2988</v>
      </c>
      <c r="J3391">
        <v>-388.61470000000003</v>
      </c>
      <c r="K3391">
        <v>1.105315</v>
      </c>
      <c r="L3391">
        <v>18.130310000000001</v>
      </c>
      <c r="M3391">
        <v>0.99889269999999997</v>
      </c>
      <c r="N3391">
        <v>0</v>
      </c>
      <c r="O3391">
        <v>-4.5362300000000001E-2</v>
      </c>
      <c r="P3391">
        <v>0.99833629999999995</v>
      </c>
      <c r="Q3391">
        <v>3.9016589999999997E-2</v>
      </c>
      <c r="R3391">
        <v>4.2460940000000003E-2</v>
      </c>
      <c r="S3391">
        <v>3.004486</v>
      </c>
      <c r="T3391">
        <v>-0.21222540000000001</v>
      </c>
      <c r="U3391">
        <v>0.22262570000000001</v>
      </c>
      <c r="V3391">
        <v>-8.7788859999999996E-2</v>
      </c>
      <c r="W3391">
        <v>5.1308810000000003E-2</v>
      </c>
      <c r="X3391">
        <v>0.99481679999999995</v>
      </c>
      <c r="Y3391">
        <v>-0.1186542</v>
      </c>
      <c r="Z3391">
        <v>7.3763509999999997E-3</v>
      </c>
      <c r="AA3391">
        <v>0.99290820000000002</v>
      </c>
      <c r="AB3391">
        <v>23</v>
      </c>
      <c r="AC3391">
        <v>15.430199999999999</v>
      </c>
      <c r="AD3391">
        <v>-1.1053182585200001</v>
      </c>
      <c r="AE3391">
        <v>1.16848999999999</v>
      </c>
      <c r="AF3391">
        <v>-1.85781208109675</v>
      </c>
      <c r="AG3391">
        <v>-1.1053182585200001</v>
      </c>
      <c r="AH3391">
        <v>15.283327255130599</v>
      </c>
      <c r="AI3391">
        <v>94.106410797457499</v>
      </c>
      <c r="AJ3391">
        <v>96.930761880023098</v>
      </c>
      <c r="AK3391">
        <v>15.4354554895119</v>
      </c>
      <c r="AL3391">
        <v>87.058930247750098</v>
      </c>
      <c r="AM3391">
        <v>95.043074400088599</v>
      </c>
      <c r="AN3391">
        <v>0.99999997174297695</v>
      </c>
    </row>
    <row r="3392" spans="1:40" x14ac:dyDescent="0.3">
      <c r="A3392" t="str">
        <f>"20200111153946020"</f>
        <v>20200111153946020</v>
      </c>
      <c r="B3392" t="str">
        <f>"1578728386013926"</f>
        <v>1578728386013926</v>
      </c>
      <c r="C3392" t="s">
        <v>40</v>
      </c>
      <c r="D3392">
        <v>5.4130580000000004</v>
      </c>
      <c r="E3392">
        <v>0.45962839999999999</v>
      </c>
      <c r="F3392" t="s">
        <v>72</v>
      </c>
      <c r="G3392">
        <v>-373.90280000000001</v>
      </c>
      <c r="H3392" s="1">
        <v>-2.931317E-6</v>
      </c>
      <c r="I3392">
        <v>19.229330000000001</v>
      </c>
      <c r="J3392">
        <v>-388.3845</v>
      </c>
      <c r="K3392">
        <v>1.1052869999999999</v>
      </c>
      <c r="L3392">
        <v>18.121120000000001</v>
      </c>
      <c r="M3392">
        <v>0.99894179999999999</v>
      </c>
      <c r="N3392">
        <v>0</v>
      </c>
      <c r="O3392">
        <v>-4.4288370000000001E-2</v>
      </c>
      <c r="P3392">
        <v>0.99838579999999999</v>
      </c>
      <c r="Q3392">
        <v>3.7631940000000003E-2</v>
      </c>
      <c r="R3392">
        <v>4.2539349999999997E-2</v>
      </c>
      <c r="S3392">
        <v>3.0042420000000001</v>
      </c>
      <c r="T3392">
        <v>-0.22571179999999999</v>
      </c>
      <c r="U3392">
        <v>0.2244263</v>
      </c>
      <c r="V3392">
        <v>-8.6795800000000006E-2</v>
      </c>
      <c r="W3392">
        <v>4.9839170000000002E-2</v>
      </c>
      <c r="X3392">
        <v>0.99497869999999999</v>
      </c>
      <c r="Y3392">
        <v>-0.11813559999999999</v>
      </c>
      <c r="Z3392">
        <v>7.7443909999999998E-3</v>
      </c>
      <c r="AA3392">
        <v>0.99296719999999905</v>
      </c>
      <c r="AB3392">
        <v>23</v>
      </c>
      <c r="AC3392">
        <v>14.481699999999901</v>
      </c>
      <c r="AD3392">
        <v>-1.1052899313169999</v>
      </c>
      <c r="AE3392">
        <v>1.1082099999999899</v>
      </c>
      <c r="AF3392">
        <v>-1.7384746047150501</v>
      </c>
      <c r="AG3392">
        <v>-1.1052899313169999</v>
      </c>
      <c r="AH3392">
        <v>14.3353828386697</v>
      </c>
      <c r="AI3392">
        <v>94.3769672098081</v>
      </c>
      <c r="AJ3392">
        <v>96.914584811540806</v>
      </c>
      <c r="AK3392">
        <v>14.4826503415202</v>
      </c>
      <c r="AL3392">
        <v>87.143242496804902</v>
      </c>
      <c r="AM3392">
        <v>94.985509546044199</v>
      </c>
      <c r="AN3392">
        <v>1.0000000336088</v>
      </c>
    </row>
    <row r="3393" spans="1:40" x14ac:dyDescent="0.3">
      <c r="A3393" t="str">
        <f>"20200111153946043"</f>
        <v>20200111153946043</v>
      </c>
      <c r="B3393" t="str">
        <f>"1578728386034422"</f>
        <v>1578728386034422</v>
      </c>
      <c r="C3393" t="s">
        <v>40</v>
      </c>
      <c r="D3393">
        <v>5.2890519999999999</v>
      </c>
      <c r="E3393">
        <v>0.45858690000000002</v>
      </c>
      <c r="F3393" t="s">
        <v>72</v>
      </c>
      <c r="G3393">
        <v>-372.5634</v>
      </c>
      <c r="H3393" s="1">
        <v>-3.7265269999999999E-6</v>
      </c>
      <c r="I3393">
        <v>20.483519999999999</v>
      </c>
      <c r="J3393">
        <v>-388.15660000000003</v>
      </c>
      <c r="K3393">
        <v>1.1052740000000001</v>
      </c>
      <c r="L3393">
        <v>18.11224</v>
      </c>
      <c r="M3393">
        <v>0.99898920000000002</v>
      </c>
      <c r="N3393">
        <v>0</v>
      </c>
      <c r="O3393">
        <v>-4.3236360000000001E-2</v>
      </c>
      <c r="P3393">
        <v>0.99838499999999997</v>
      </c>
      <c r="Q3393">
        <v>3.733181E-2</v>
      </c>
      <c r="R3393">
        <v>4.2825330000000002E-2</v>
      </c>
      <c r="S3393">
        <v>2.9937130000000001</v>
      </c>
      <c r="T3393">
        <v>-0.20914730000000001</v>
      </c>
      <c r="U3393">
        <v>0.44702150000000002</v>
      </c>
      <c r="V3393">
        <v>-8.6031209999999997E-2</v>
      </c>
      <c r="W3393">
        <v>4.9449119999999999E-2</v>
      </c>
      <c r="X3393">
        <v>0.99506459999999997</v>
      </c>
      <c r="Y3393">
        <v>-0.1897538</v>
      </c>
      <c r="Z3393">
        <v>9.5861420000000006E-3</v>
      </c>
      <c r="AA3393">
        <v>0.98178489999999996</v>
      </c>
      <c r="AB3393">
        <v>23</v>
      </c>
      <c r="AC3393">
        <v>15.5932</v>
      </c>
      <c r="AD3393">
        <v>-1.105277726527</v>
      </c>
      <c r="AE3393">
        <v>2.3712800000000001</v>
      </c>
      <c r="AF3393">
        <v>-3.0284346628326801</v>
      </c>
      <c r="AG3393">
        <v>-1.105277726527</v>
      </c>
      <c r="AH3393">
        <v>15.400455871461499</v>
      </c>
      <c r="AI3393">
        <v>94.028147952973598</v>
      </c>
      <c r="AJ3393">
        <v>101.12502285202</v>
      </c>
      <c r="AK3393">
        <v>15.7342650418961</v>
      </c>
      <c r="AL3393">
        <v>87.165618412165003</v>
      </c>
      <c r="AM3393">
        <v>94.941385808284096</v>
      </c>
      <c r="AN3393">
        <v>1.00000007136799</v>
      </c>
    </row>
    <row r="3394" spans="1:40" x14ac:dyDescent="0.3">
      <c r="A3394" t="str">
        <f>"20200111153946065"</f>
        <v>20200111153946065</v>
      </c>
      <c r="B3394" t="str">
        <f>"1578728386053944"</f>
        <v>1578728386053944</v>
      </c>
      <c r="C3394" t="s">
        <v>40</v>
      </c>
      <c r="D3394">
        <v>5.2601449999999996</v>
      </c>
      <c r="E3394">
        <v>0.45849519999999999</v>
      </c>
      <c r="F3394" t="s">
        <v>72</v>
      </c>
      <c r="G3394">
        <v>-372.17250000000001</v>
      </c>
      <c r="H3394" s="1">
        <v>-3.9290729999999997E-6</v>
      </c>
      <c r="I3394">
        <v>20.550229999999999</v>
      </c>
      <c r="J3394">
        <v>-387.93009999999998</v>
      </c>
      <c r="K3394">
        <v>1.1052630000000001</v>
      </c>
      <c r="L3394">
        <v>18.103670000000001</v>
      </c>
      <c r="M3394">
        <v>0.99903470000000005</v>
      </c>
      <c r="N3394">
        <v>0</v>
      </c>
      <c r="O3394">
        <v>-4.220136E-2</v>
      </c>
      <c r="P3394">
        <v>0.99834869999999998</v>
      </c>
      <c r="Q3394">
        <v>3.8581850000000001E-2</v>
      </c>
      <c r="R3394">
        <v>4.2564240000000003E-2</v>
      </c>
      <c r="S3394">
        <v>2.9930110000000001</v>
      </c>
      <c r="T3394">
        <v>-0.20696310000000001</v>
      </c>
      <c r="U3394">
        <v>0.45651249999999999</v>
      </c>
      <c r="V3394">
        <v>-8.4737999999999994E-2</v>
      </c>
      <c r="W3394">
        <v>5.0606869999999998E-2</v>
      </c>
      <c r="X3394">
        <v>0.99511729999999998</v>
      </c>
      <c r="Y3394">
        <v>-0.19182299999999999</v>
      </c>
      <c r="Z3394">
        <v>9.4861839999999999E-3</v>
      </c>
      <c r="AA3394">
        <v>0.98138369999999997</v>
      </c>
      <c r="AB3394">
        <v>23</v>
      </c>
      <c r="AC3394">
        <v>15.757599999999901</v>
      </c>
      <c r="AD3394">
        <v>-1.1052669290729999</v>
      </c>
      <c r="AE3394">
        <v>2.4465599999999901</v>
      </c>
      <c r="AF3394">
        <v>-3.0945552471134201</v>
      </c>
      <c r="AG3394">
        <v>-1.1052669290729999</v>
      </c>
      <c r="AH3394">
        <v>15.565526188018</v>
      </c>
      <c r="AI3394">
        <v>93.983895176642903</v>
      </c>
      <c r="AJ3394">
        <v>101.244262245016</v>
      </c>
      <c r="AK3394">
        <v>15.908598073740301</v>
      </c>
      <c r="AL3394">
        <v>87.099200886327097</v>
      </c>
      <c r="AM3394">
        <v>94.867210568647593</v>
      </c>
      <c r="AN3394">
        <v>1.0000000123472399</v>
      </c>
    </row>
    <row r="3395" spans="1:40" x14ac:dyDescent="0.3">
      <c r="A3395" t="str">
        <f>"20200111153946088"</f>
        <v>20200111153946088</v>
      </c>
      <c r="B3395" t="str">
        <f>"1578728386084198"</f>
        <v>1578728386084198</v>
      </c>
      <c r="C3395" t="s">
        <v>40</v>
      </c>
      <c r="D3395">
        <v>5.2604800000000003</v>
      </c>
      <c r="E3395">
        <v>0.45675710000000003</v>
      </c>
      <c r="F3395" t="s">
        <v>72</v>
      </c>
      <c r="G3395">
        <v>-371.6979</v>
      </c>
      <c r="H3395" s="1">
        <v>-4.1615330000000002E-6</v>
      </c>
      <c r="I3395">
        <v>20.580690000000001</v>
      </c>
      <c r="J3395">
        <v>-387.70859999999999</v>
      </c>
      <c r="K3395">
        <v>1.105243</v>
      </c>
      <c r="L3395">
        <v>18.095490000000002</v>
      </c>
      <c r="M3395">
        <v>0.99907769999999996</v>
      </c>
      <c r="N3395">
        <v>0</v>
      </c>
      <c r="O3395">
        <v>-4.1194639999999998E-2</v>
      </c>
      <c r="P3395">
        <v>0.99838959999999999</v>
      </c>
      <c r="Q3395">
        <v>3.8583319999999997E-2</v>
      </c>
      <c r="R3395">
        <v>4.1589139999999997E-2</v>
      </c>
      <c r="S3395">
        <v>2.9933779999999999</v>
      </c>
      <c r="T3395">
        <v>-0.2038218</v>
      </c>
      <c r="U3395">
        <v>0.4567871</v>
      </c>
      <c r="V3395">
        <v>-8.2761360000000006E-2</v>
      </c>
      <c r="W3395">
        <v>5.0525430000000003E-2</v>
      </c>
      <c r="X3395">
        <v>0.99528779999999994</v>
      </c>
      <c r="Y3395">
        <v>-0.19092500000000001</v>
      </c>
      <c r="Z3395">
        <v>9.242831E-3</v>
      </c>
      <c r="AA3395">
        <v>0.98156109999999996</v>
      </c>
      <c r="AB3395">
        <v>23</v>
      </c>
      <c r="AC3395">
        <v>16.0106999999999</v>
      </c>
      <c r="AD3395">
        <v>-1.105247161533</v>
      </c>
      <c r="AE3395">
        <v>2.4851999999999999</v>
      </c>
      <c r="AF3395">
        <v>-3.1281374508699602</v>
      </c>
      <c r="AG3395">
        <v>-1.105247161533</v>
      </c>
      <c r="AH3395">
        <v>15.821102830247</v>
      </c>
      <c r="AI3395">
        <v>93.920482861059298</v>
      </c>
      <c r="AJ3395">
        <v>101.184229257993</v>
      </c>
      <c r="AK3395">
        <v>16.165212957609299</v>
      </c>
      <c r="AL3395">
        <v>87.103873092319105</v>
      </c>
      <c r="AM3395">
        <v>94.753391522838598</v>
      </c>
      <c r="AN3395">
        <v>1.00000003330728</v>
      </c>
    </row>
    <row r="3396" spans="1:40" x14ac:dyDescent="0.3">
      <c r="A3396" t="str">
        <f>"20200111153946109"</f>
        <v>20200111153946109</v>
      </c>
      <c r="B3396" t="str">
        <f>"1578728386104693"</f>
        <v>1578728386104693</v>
      </c>
      <c r="C3396" t="s">
        <v>40</v>
      </c>
      <c r="D3396">
        <v>5.2633089999999996</v>
      </c>
      <c r="E3396">
        <v>0.45610149999999999</v>
      </c>
      <c r="F3396" t="s">
        <v>72</v>
      </c>
      <c r="G3396">
        <v>-372.11309999999997</v>
      </c>
      <c r="H3396" s="1">
        <v>-3.9530780000000001E-6</v>
      </c>
      <c r="I3396">
        <v>20.535</v>
      </c>
      <c r="J3396">
        <v>-387.48809999999997</v>
      </c>
      <c r="K3396">
        <v>1.105221</v>
      </c>
      <c r="L3396">
        <v>18.08755</v>
      </c>
      <c r="M3396">
        <v>0.99911930000000004</v>
      </c>
      <c r="N3396">
        <v>0</v>
      </c>
      <c r="O3396">
        <v>-4.0195809999999998E-2</v>
      </c>
      <c r="P3396">
        <v>0.9984056</v>
      </c>
      <c r="Q3396">
        <v>3.7711439999999999E-2</v>
      </c>
      <c r="R3396">
        <v>4.1998859999999999E-2</v>
      </c>
      <c r="S3396">
        <v>2.9935299999999998</v>
      </c>
      <c r="T3396">
        <v>-0.21215139999999999</v>
      </c>
      <c r="U3396">
        <v>0.4682617</v>
      </c>
      <c r="V3396">
        <v>-8.2173940000000001E-2</v>
      </c>
      <c r="W3396">
        <v>4.9575809999999998E-2</v>
      </c>
      <c r="X3396">
        <v>0.99538419999999905</v>
      </c>
      <c r="Y3396">
        <v>-0.19356290000000001</v>
      </c>
      <c r="Z3396">
        <v>9.6388830000000009E-3</v>
      </c>
      <c r="AA3396">
        <v>0.98104049999999998</v>
      </c>
      <c r="AB3396">
        <v>23</v>
      </c>
      <c r="AC3396">
        <v>15.375</v>
      </c>
      <c r="AD3396">
        <v>-1.1052249530779901</v>
      </c>
      <c r="AE3396">
        <v>2.4474499999999999</v>
      </c>
      <c r="AF3396">
        <v>-3.04816530790416</v>
      </c>
      <c r="AG3396">
        <v>-1.1052249530779901</v>
      </c>
      <c r="AH3396">
        <v>15.1876471286977</v>
      </c>
      <c r="AI3396">
        <v>94.081053078970797</v>
      </c>
      <c r="AJ3396">
        <v>101.34850816933</v>
      </c>
      <c r="AK3396">
        <v>15.529889221982801</v>
      </c>
      <c r="AL3396">
        <v>87.158350526243893</v>
      </c>
      <c r="AM3396">
        <v>94.719351034361907</v>
      </c>
      <c r="AN3396">
        <v>1.00000001148095</v>
      </c>
    </row>
    <row r="3397" spans="1:40" x14ac:dyDescent="0.3">
      <c r="A3397" t="str">
        <f>"20200111153946132"</f>
        <v>20200111153946132</v>
      </c>
      <c r="B3397" t="str">
        <f>"1578728386124213"</f>
        <v>1578728386124213</v>
      </c>
      <c r="C3397" t="s">
        <v>40</v>
      </c>
      <c r="D3397">
        <v>5.2737910000000001</v>
      </c>
      <c r="E3397">
        <v>0.4558623</v>
      </c>
      <c r="F3397" t="s">
        <v>72</v>
      </c>
      <c r="G3397">
        <v>-372.43380000000002</v>
      </c>
      <c r="H3397" s="1">
        <v>-3.785337E-6</v>
      </c>
      <c r="I3397">
        <v>20.4742</v>
      </c>
      <c r="J3397">
        <v>-387.24470000000002</v>
      </c>
      <c r="K3397">
        <v>1.1052040000000001</v>
      </c>
      <c r="L3397">
        <v>18.079070000000002</v>
      </c>
      <c r="M3397">
        <v>0.99916400000000005</v>
      </c>
      <c r="N3397">
        <v>0</v>
      </c>
      <c r="O3397">
        <v>-3.9094909999999997E-2</v>
      </c>
      <c r="P3397">
        <v>0.9984286</v>
      </c>
      <c r="Q3397">
        <v>3.584677E-2</v>
      </c>
      <c r="R3397">
        <v>4.307507E-2</v>
      </c>
      <c r="S3397">
        <v>2.993134</v>
      </c>
      <c r="T3397">
        <v>-0.21974270000000001</v>
      </c>
      <c r="U3397">
        <v>0.47451779999999999</v>
      </c>
      <c r="V3397">
        <v>-8.2149920000000001E-2</v>
      </c>
      <c r="W3397">
        <v>4.7628320000000002E-2</v>
      </c>
      <c r="X3397">
        <v>0.99548130000000001</v>
      </c>
      <c r="Y3397">
        <v>-0.19446160000000001</v>
      </c>
      <c r="Z3397">
        <v>9.9350580000000001E-3</v>
      </c>
      <c r="AA3397">
        <v>0.98085979999999995</v>
      </c>
      <c r="AB3397">
        <v>23</v>
      </c>
      <c r="AC3397">
        <v>14.8109</v>
      </c>
      <c r="AD3397">
        <v>-1.1052077853369999</v>
      </c>
      <c r="AE3397">
        <v>2.3951299999999902</v>
      </c>
      <c r="AF3397">
        <v>-2.95632855644403</v>
      </c>
      <c r="AG3397">
        <v>-1.1052077853369999</v>
      </c>
      <c r="AH3397">
        <v>14.626561504972299</v>
      </c>
      <c r="AI3397">
        <v>94.235819686254104</v>
      </c>
      <c r="AJ3397">
        <v>101.426709859357</v>
      </c>
      <c r="AK3397">
        <v>14.9632103587817</v>
      </c>
      <c r="AL3397">
        <v>87.270065607372501</v>
      </c>
      <c r="AM3397">
        <v>94.717519646371898</v>
      </c>
      <c r="AN3397">
        <v>1.0000000424358499</v>
      </c>
    </row>
    <row r="3398" spans="1:40" x14ac:dyDescent="0.3">
      <c r="A3398" t="str">
        <f>"20200111153946154"</f>
        <v>20200111153946154</v>
      </c>
      <c r="B3398" t="str">
        <f>"1578728386144712"</f>
        <v>1578728386144712</v>
      </c>
      <c r="C3398" t="s">
        <v>40</v>
      </c>
      <c r="D3398">
        <v>5.2925259999999996</v>
      </c>
      <c r="E3398">
        <v>0.45565919999999999</v>
      </c>
      <c r="F3398" t="s">
        <v>72</v>
      </c>
      <c r="G3398">
        <v>-372.82139999999998</v>
      </c>
      <c r="H3398" s="1">
        <v>-3.5792110000000001E-6</v>
      </c>
      <c r="I3398">
        <v>20.38822</v>
      </c>
      <c r="J3398">
        <v>-387.02409999999998</v>
      </c>
      <c r="K3398">
        <v>1.1051879999999901</v>
      </c>
      <c r="L3398">
        <v>18.07159</v>
      </c>
      <c r="M3398">
        <v>0.99920350000000002</v>
      </c>
      <c r="N3398">
        <v>0</v>
      </c>
      <c r="O3398">
        <v>-3.8099880000000003E-2</v>
      </c>
      <c r="P3398">
        <v>0.99843780000000004</v>
      </c>
      <c r="Q3398">
        <v>3.4373880000000002E-2</v>
      </c>
      <c r="R3398">
        <v>4.40522E-2</v>
      </c>
      <c r="S3398">
        <v>2.9923099999999998</v>
      </c>
      <c r="T3398">
        <v>-0.22929099999999999</v>
      </c>
      <c r="U3398">
        <v>0.47906490000000002</v>
      </c>
      <c r="V3398">
        <v>-8.2132179999999999E-2</v>
      </c>
      <c r="W3398">
        <v>4.6076499999999999E-2</v>
      </c>
      <c r="X3398">
        <v>0.99555579999999999</v>
      </c>
      <c r="Y3398">
        <v>-0.19492719999999999</v>
      </c>
      <c r="Z3398">
        <v>1.030911E-2</v>
      </c>
      <c r="AA3398">
        <v>0.98076359999999996</v>
      </c>
      <c r="AB3398">
        <v>23</v>
      </c>
      <c r="AC3398">
        <v>14.202699999999901</v>
      </c>
      <c r="AD3398">
        <v>-1.1051915792110001</v>
      </c>
      <c r="AE3398">
        <v>2.31663</v>
      </c>
      <c r="AF3398">
        <v>-2.8393594921414</v>
      </c>
      <c r="AG3398">
        <v>-1.1051915792110001</v>
      </c>
      <c r="AH3398">
        <v>14.021413890317</v>
      </c>
      <c r="AI3398">
        <v>94.417533320908305</v>
      </c>
      <c r="AJ3398">
        <v>101.447687250537</v>
      </c>
      <c r="AK3398">
        <v>14.3486395953048</v>
      </c>
      <c r="AL3398">
        <v>87.359076104899302</v>
      </c>
      <c r="AM3398">
        <v>94.716154154152207</v>
      </c>
      <c r="AN3398">
        <v>1.0000000448787201</v>
      </c>
    </row>
    <row r="3399" spans="1:40" x14ac:dyDescent="0.3">
      <c r="A3399" t="str">
        <f>"20200111153946176"</f>
        <v>20200111153946176</v>
      </c>
      <c r="B3399" t="str">
        <f>"1578728386164232"</f>
        <v>1578728386164232</v>
      </c>
      <c r="C3399" t="s">
        <v>40</v>
      </c>
      <c r="D3399">
        <v>5.3717579999999998</v>
      </c>
      <c r="E3399">
        <v>0.45518229999999998</v>
      </c>
      <c r="F3399" t="s">
        <v>72</v>
      </c>
      <c r="G3399">
        <v>-373.0915</v>
      </c>
      <c r="H3399" s="1">
        <v>-3.4338690000000001E-6</v>
      </c>
      <c r="I3399">
        <v>20.3218</v>
      </c>
      <c r="J3399">
        <v>-386.80200000000002</v>
      </c>
      <c r="K3399">
        <v>1.105159</v>
      </c>
      <c r="L3399">
        <v>18.064330000000002</v>
      </c>
      <c r="M3399">
        <v>0.99924210000000002</v>
      </c>
      <c r="N3399">
        <v>0</v>
      </c>
      <c r="O3399">
        <v>-3.7101380000000003E-2</v>
      </c>
      <c r="P3399">
        <v>0.99848499999999996</v>
      </c>
      <c r="Q3399">
        <v>3.3025980000000003E-2</v>
      </c>
      <c r="R3399">
        <v>4.401331E-2</v>
      </c>
      <c r="S3399">
        <v>2.9915470000000002</v>
      </c>
      <c r="T3399">
        <v>-0.23730190000000001</v>
      </c>
      <c r="U3399">
        <v>0.48315429999999998</v>
      </c>
      <c r="V3399">
        <v>-8.1097299999999997E-2</v>
      </c>
      <c r="W3399">
        <v>4.4645560000000001E-2</v>
      </c>
      <c r="X3399">
        <v>0.99570579999999997</v>
      </c>
      <c r="Y3399">
        <v>-0.19524759999999999</v>
      </c>
      <c r="Z3399">
        <v>1.0603700000000001E-2</v>
      </c>
      <c r="AA3399">
        <v>0.98069669999999998</v>
      </c>
      <c r="AB3399">
        <v>23</v>
      </c>
      <c r="AC3399">
        <v>13.7104999999999</v>
      </c>
      <c r="AD3399">
        <v>-1.105162433869</v>
      </c>
      <c r="AE3399">
        <v>2.2574700000000001</v>
      </c>
      <c r="AF3399">
        <v>-2.7472502095169702</v>
      </c>
      <c r="AG3399">
        <v>-1.105162433869</v>
      </c>
      <c r="AH3399">
        <v>13.5316966688848</v>
      </c>
      <c r="AI3399">
        <v>94.576154940073494</v>
      </c>
      <c r="AJ3399">
        <v>101.476397178128</v>
      </c>
      <c r="AK3399">
        <v>13.8519162016536</v>
      </c>
      <c r="AL3399">
        <v>87.441147344439401</v>
      </c>
      <c r="AM3399">
        <v>94.656294332539602</v>
      </c>
      <c r="AN3399">
        <v>1.0000000191243199</v>
      </c>
    </row>
    <row r="3400" spans="1:40" x14ac:dyDescent="0.3">
      <c r="A3400" t="str">
        <f>"20200111153946198"</f>
        <v>20200111153946198</v>
      </c>
      <c r="B3400" t="str">
        <f>"1578728386194485"</f>
        <v>1578728386194485</v>
      </c>
      <c r="C3400" t="s">
        <v>40</v>
      </c>
      <c r="D3400">
        <v>5.5186229999999998</v>
      </c>
      <c r="E3400">
        <v>0.50240779999999996</v>
      </c>
      <c r="F3400" t="s">
        <v>72</v>
      </c>
      <c r="G3400">
        <v>-373.0763</v>
      </c>
      <c r="H3400" s="1">
        <v>-3.43524E-6</v>
      </c>
      <c r="I3400">
        <v>20.299939999999999</v>
      </c>
      <c r="J3400">
        <v>-386.58080000000001</v>
      </c>
      <c r="K3400">
        <v>1.1051260000000001</v>
      </c>
      <c r="L3400">
        <v>18.057279999999999</v>
      </c>
      <c r="M3400">
        <v>0.99927940000000004</v>
      </c>
      <c r="N3400">
        <v>0</v>
      </c>
      <c r="O3400">
        <v>-3.6113960000000001E-2</v>
      </c>
      <c r="P3400">
        <v>0.99854960000000004</v>
      </c>
      <c r="Q3400">
        <v>3.1723040000000001E-2</v>
      </c>
      <c r="R3400">
        <v>4.3500909999999997E-2</v>
      </c>
      <c r="S3400">
        <v>2.9910890000000001</v>
      </c>
      <c r="T3400">
        <v>-0.2408363</v>
      </c>
      <c r="U3400">
        <v>0.48718260000000002</v>
      </c>
      <c r="V3400">
        <v>-7.959985E-2</v>
      </c>
      <c r="W3400">
        <v>4.324977E-2</v>
      </c>
      <c r="X3400">
        <v>0.9958882</v>
      </c>
      <c r="Y3400">
        <v>-0.19556979999999999</v>
      </c>
      <c r="Z3400">
        <v>1.069555E-2</v>
      </c>
      <c r="AA3400">
        <v>0.98063149999999999</v>
      </c>
      <c r="AB3400">
        <v>23</v>
      </c>
      <c r="AC3400">
        <v>13.5045</v>
      </c>
      <c r="AD3400">
        <v>-1.1051294352399901</v>
      </c>
      <c r="AE3400">
        <v>2.2426599999999999</v>
      </c>
      <c r="AF3400">
        <v>-2.7112615582261799</v>
      </c>
      <c r="AG3400">
        <v>-1.1051294352399901</v>
      </c>
      <c r="AH3400">
        <v>13.327833850749499</v>
      </c>
      <c r="AI3400">
        <v>94.645343918143794</v>
      </c>
      <c r="AJ3400">
        <v>101.498691865987</v>
      </c>
      <c r="AK3400">
        <v>13.6456368652743</v>
      </c>
      <c r="AL3400">
        <v>87.521197502025402</v>
      </c>
      <c r="AM3400">
        <v>94.569850640713796</v>
      </c>
      <c r="AN3400">
        <v>0.99999999281215701</v>
      </c>
    </row>
    <row r="3401" spans="1:40" x14ac:dyDescent="0.3">
      <c r="A3401" t="str">
        <f>"20200111153946221"</f>
        <v>20200111153946221</v>
      </c>
      <c r="B3401" t="str">
        <f>"1578728386214007"</f>
        <v>1578728386214007</v>
      </c>
      <c r="C3401" t="s">
        <v>40</v>
      </c>
      <c r="D3401">
        <v>5.4768780000000001</v>
      </c>
      <c r="E3401">
        <v>0.56675120000000001</v>
      </c>
      <c r="F3401" t="s">
        <v>41</v>
      </c>
      <c r="G3401">
        <v>-385.7133</v>
      </c>
      <c r="H3401">
        <v>0.98836349999999995</v>
      </c>
      <c r="I3401">
        <v>18.088329999999999</v>
      </c>
      <c r="J3401">
        <v>-386.34780000000001</v>
      </c>
      <c r="K3401">
        <v>1.1050949999999999</v>
      </c>
      <c r="L3401">
        <v>18.050080000000001</v>
      </c>
      <c r="M3401">
        <v>0.99931749999999997</v>
      </c>
      <c r="N3401">
        <v>0</v>
      </c>
      <c r="O3401">
        <v>-3.5079329999999999E-2</v>
      </c>
      <c r="P3401">
        <v>0.99856500000000004</v>
      </c>
      <c r="Q3401">
        <v>3.0702420000000001E-2</v>
      </c>
      <c r="R3401">
        <v>4.3884060000000003E-2</v>
      </c>
      <c r="S3401">
        <v>3.0124819999999999</v>
      </c>
      <c r="T3401">
        <v>-0.40553620000000001</v>
      </c>
      <c r="U3401">
        <v>0.1086121</v>
      </c>
      <c r="V3401">
        <v>-7.8949720000000001E-2</v>
      </c>
      <c r="W3401">
        <v>4.2130699999999903E-2</v>
      </c>
      <c r="X3401">
        <v>0.99598799999999998</v>
      </c>
      <c r="Y3401">
        <v>-7.0119390000000004E-2</v>
      </c>
      <c r="Z3401">
        <v>9.3969410000000007E-3</v>
      </c>
      <c r="AA3401">
        <v>0.99749429999999994</v>
      </c>
      <c r="AB3401">
        <v>23</v>
      </c>
      <c r="AC3401">
        <v>0.63450000000000195</v>
      </c>
      <c r="AD3401">
        <v>-0.1167315</v>
      </c>
      <c r="AE3401">
        <v>3.8250000000001401E-2</v>
      </c>
      <c r="AF3401">
        <v>-5.8512512566386697E-2</v>
      </c>
      <c r="AG3401">
        <v>-0.1167315</v>
      </c>
      <c r="AH3401">
        <v>0.61212435354017403</v>
      </c>
      <c r="AI3401">
        <v>100.748769648459</v>
      </c>
      <c r="AJ3401">
        <v>95.460270640484595</v>
      </c>
      <c r="AK3401">
        <v>0.62589630244638605</v>
      </c>
      <c r="AL3401">
        <v>87.585374198882803</v>
      </c>
      <c r="AM3401">
        <v>94.532230364250907</v>
      </c>
      <c r="AN3401">
        <v>1.00000007515728</v>
      </c>
    </row>
    <row r="3402" spans="1:40" x14ac:dyDescent="0.3">
      <c r="A3402" t="str">
        <f>"20200111153946244"</f>
        <v>20200111153946244</v>
      </c>
      <c r="B3402" t="str">
        <f>"1578728386234501"</f>
        <v>1578728386234501</v>
      </c>
      <c r="C3402" t="s">
        <v>40</v>
      </c>
      <c r="D3402">
        <v>5.4424849999999996</v>
      </c>
      <c r="E3402">
        <v>0.56706880000000004</v>
      </c>
      <c r="F3402" t="s">
        <v>41</v>
      </c>
      <c r="G3402">
        <v>-385.55450000000002</v>
      </c>
      <c r="H3402">
        <v>0.91293679999999999</v>
      </c>
      <c r="I3402">
        <v>17.944289999999999</v>
      </c>
      <c r="J3402">
        <v>-386.11660000000001</v>
      </c>
      <c r="K3402">
        <v>1.1050629999999999</v>
      </c>
      <c r="L3402">
        <v>18.043119999999998</v>
      </c>
      <c r="M3402">
        <v>0.99935399999999996</v>
      </c>
      <c r="N3402">
        <v>0</v>
      </c>
      <c r="O3402">
        <v>-3.4060420000000001E-2</v>
      </c>
      <c r="P3402">
        <v>0.9986003</v>
      </c>
      <c r="Q3402">
        <v>2.859455E-2</v>
      </c>
      <c r="R3402">
        <v>4.4499049999999998E-2</v>
      </c>
      <c r="S3402">
        <v>3.0448300000000001</v>
      </c>
      <c r="T3402">
        <v>-0.73765609999999904</v>
      </c>
      <c r="U3402">
        <v>-0.40554810000000002</v>
      </c>
      <c r="V3402">
        <v>-7.854556E-2</v>
      </c>
      <c r="W3402">
        <v>3.9923380000000001E-2</v>
      </c>
      <c r="X3402">
        <v>0.99611079999999996</v>
      </c>
      <c r="Y3402">
        <v>9.64143999999999E-2</v>
      </c>
      <c r="Z3402">
        <v>-3.3693339999999999E-3</v>
      </c>
      <c r="AA3402">
        <v>0.99533559999999999</v>
      </c>
      <c r="AB3402">
        <v>23</v>
      </c>
      <c r="AC3402">
        <v>0.56209999999998606</v>
      </c>
      <c r="AD3402">
        <v>-0.192126199999999</v>
      </c>
      <c r="AE3402">
        <v>-9.8830000000002999E-2</v>
      </c>
      <c r="AF3402">
        <v>7.1520953528663694E-2</v>
      </c>
      <c r="AG3402">
        <v>-0.192126199999999</v>
      </c>
      <c r="AH3402">
        <v>0.50761501923895902</v>
      </c>
      <c r="AI3402">
        <v>110.54530603252999</v>
      </c>
      <c r="AJ3402">
        <v>81.9800425826474</v>
      </c>
      <c r="AK3402">
        <v>0.54744929562203104</v>
      </c>
      <c r="AL3402">
        <v>87.711950744329499</v>
      </c>
      <c r="AM3402">
        <v>94.508571271346597</v>
      </c>
      <c r="AN3402">
        <v>1.00000000357148</v>
      </c>
    </row>
    <row r="3403" spans="1:40" x14ac:dyDescent="0.3">
      <c r="A3403" t="str">
        <f>"20200111153946266"</f>
        <v>20200111153946266</v>
      </c>
      <c r="B3403" t="str">
        <f>"1578728386254023"</f>
        <v>1578728386254023</v>
      </c>
      <c r="C3403" t="s">
        <v>40</v>
      </c>
      <c r="D3403">
        <v>5.4573039999999997</v>
      </c>
      <c r="E3403">
        <v>0.56663140000000001</v>
      </c>
      <c r="F3403" t="s">
        <v>41</v>
      </c>
      <c r="G3403">
        <v>-385.35199999999998</v>
      </c>
      <c r="H3403">
        <v>0.91046729999999998</v>
      </c>
      <c r="I3403">
        <v>17.940329999999999</v>
      </c>
      <c r="J3403">
        <v>-385.89150000000001</v>
      </c>
      <c r="K3403">
        <v>1.1050390000000001</v>
      </c>
      <c r="L3403">
        <v>18.03659</v>
      </c>
      <c r="M3403">
        <v>0.9993881</v>
      </c>
      <c r="N3403">
        <v>0</v>
      </c>
      <c r="O3403">
        <v>-3.3076399999999999E-2</v>
      </c>
      <c r="P3403">
        <v>0.99859880000000001</v>
      </c>
      <c r="Q3403">
        <v>2.6903409999999999E-2</v>
      </c>
      <c r="R3403">
        <v>4.5573259999999997E-2</v>
      </c>
      <c r="S3403">
        <v>3.0446170000000001</v>
      </c>
      <c r="T3403">
        <v>-0.7750705</v>
      </c>
      <c r="U3403">
        <v>-0.4081726</v>
      </c>
      <c r="V3403">
        <v>-7.8635129999999998E-2</v>
      </c>
      <c r="W3403">
        <v>3.8131829999999999E-2</v>
      </c>
      <c r="X3403">
        <v>0.99617389999999995</v>
      </c>
      <c r="Y3403">
        <v>9.7984840000000004E-2</v>
      </c>
      <c r="Z3403">
        <v>-3.9762959999999998E-3</v>
      </c>
      <c r="AA3403">
        <v>0.99517999999999995</v>
      </c>
      <c r="AB3403">
        <v>23</v>
      </c>
      <c r="AC3403">
        <v>0.53950000000003195</v>
      </c>
      <c r="AD3403">
        <v>-0.19457169999999899</v>
      </c>
      <c r="AE3403">
        <v>-9.62600000000009E-2</v>
      </c>
      <c r="AF3403">
        <v>6.95892553067297E-2</v>
      </c>
      <c r="AG3403">
        <v>-0.19457169999999899</v>
      </c>
      <c r="AH3403">
        <v>0.48167102288108798</v>
      </c>
      <c r="AI3403">
        <v>111.791553883777</v>
      </c>
      <c r="AJ3403">
        <v>81.779095144810995</v>
      </c>
      <c r="AK3403">
        <v>0.52412573413098995</v>
      </c>
      <c r="AL3403">
        <v>87.814677223091806</v>
      </c>
      <c r="AM3403">
        <v>94.513406693315105</v>
      </c>
      <c r="AN3403">
        <v>0.99999997958523701</v>
      </c>
    </row>
    <row r="3404" spans="1:40" x14ac:dyDescent="0.3">
      <c r="A3404" t="str">
        <f>"20200111153946288"</f>
        <v>20200111153946288</v>
      </c>
      <c r="B3404" t="str">
        <f>"1578728386284596"</f>
        <v>1578728386284596</v>
      </c>
      <c r="C3404" t="s">
        <v>40</v>
      </c>
      <c r="D3404">
        <v>5.4245539999999997</v>
      </c>
      <c r="E3404">
        <v>0.56588629999999995</v>
      </c>
      <c r="F3404" t="s">
        <v>41</v>
      </c>
      <c r="G3404">
        <v>-385.14600000000002</v>
      </c>
      <c r="H3404">
        <v>0.91496999999999995</v>
      </c>
      <c r="I3404">
        <v>17.937999999999999</v>
      </c>
      <c r="J3404">
        <v>-385.6694</v>
      </c>
      <c r="K3404">
        <v>1.105029</v>
      </c>
      <c r="L3404">
        <v>18.030329999999999</v>
      </c>
      <c r="M3404">
        <v>0.99942059999999999</v>
      </c>
      <c r="N3404">
        <v>0</v>
      </c>
      <c r="O3404">
        <v>-3.2110850000000003E-2</v>
      </c>
      <c r="P3404">
        <v>0.99855070000000001</v>
      </c>
      <c r="Q3404">
        <v>2.6467089999999999E-2</v>
      </c>
      <c r="R3404">
        <v>4.6862670000000002E-2</v>
      </c>
      <c r="S3404">
        <v>3.043488</v>
      </c>
      <c r="T3404">
        <v>-0.77586339999999998</v>
      </c>
      <c r="U3404">
        <v>-0.40228269999999999</v>
      </c>
      <c r="V3404">
        <v>-7.8958790000000001E-2</v>
      </c>
      <c r="W3404">
        <v>3.7598159999999999E-2</v>
      </c>
      <c r="X3404">
        <v>0.99616859999999996</v>
      </c>
      <c r="Y3404">
        <v>9.7093750000000006E-2</v>
      </c>
      <c r="Z3404">
        <v>-4.1116850000000003E-3</v>
      </c>
      <c r="AA3404">
        <v>0.99526669999999995</v>
      </c>
      <c r="AB3404">
        <v>23</v>
      </c>
      <c r="AC3404">
        <v>0.52340000000003695</v>
      </c>
      <c r="AD3404">
        <v>-0.19005900000000001</v>
      </c>
      <c r="AE3404">
        <v>-9.2330000000000398E-2</v>
      </c>
      <c r="AF3404">
        <v>6.6917159521814304E-2</v>
      </c>
      <c r="AG3404">
        <v>-0.19005900000000001</v>
      </c>
      <c r="AH3404">
        <v>0.46644614625508102</v>
      </c>
      <c r="AI3404">
        <v>111.96581820241801</v>
      </c>
      <c r="AJ3404">
        <v>81.835954429911993</v>
      </c>
      <c r="AK3404">
        <v>0.50810661979124405</v>
      </c>
      <c r="AL3404">
        <v>87.845276241517496</v>
      </c>
      <c r="AM3404">
        <v>94.531930532509804</v>
      </c>
      <c r="AN3404">
        <v>0.99999999588980404</v>
      </c>
    </row>
    <row r="3405" spans="1:40" x14ac:dyDescent="0.3">
      <c r="A3405" t="str">
        <f>"20200111153946310"</f>
        <v>20200111153946310</v>
      </c>
      <c r="B3405" t="str">
        <f>"1578728386304116"</f>
        <v>1578728386304116</v>
      </c>
      <c r="C3405" t="s">
        <v>40</v>
      </c>
      <c r="D3405">
        <v>5.4420679999999999</v>
      </c>
      <c r="E3405">
        <v>0.56587569999999998</v>
      </c>
      <c r="F3405" t="s">
        <v>41</v>
      </c>
      <c r="G3405">
        <v>-384.93920000000003</v>
      </c>
      <c r="H3405">
        <v>0.92043889999999995</v>
      </c>
      <c r="I3405">
        <v>17.9359</v>
      </c>
      <c r="J3405">
        <v>-385.44</v>
      </c>
      <c r="K3405">
        <v>1.1050230000000001</v>
      </c>
      <c r="L3405">
        <v>18.02411</v>
      </c>
      <c r="M3405">
        <v>0.99945309999999998</v>
      </c>
      <c r="N3405">
        <v>0</v>
      </c>
      <c r="O3405">
        <v>-3.1118139999999999E-2</v>
      </c>
      <c r="P3405">
        <v>0.99847019999999997</v>
      </c>
      <c r="Q3405">
        <v>2.7169039999999998E-2</v>
      </c>
      <c r="R3405">
        <v>4.8158109999999997E-2</v>
      </c>
      <c r="S3405">
        <v>3.0431210000000002</v>
      </c>
      <c r="T3405">
        <v>-0.76945010000000003</v>
      </c>
      <c r="U3405">
        <v>-0.39166260000000003</v>
      </c>
      <c r="V3405">
        <v>-7.9261910000000005E-2</v>
      </c>
      <c r="W3405">
        <v>3.8208069999999997E-2</v>
      </c>
      <c r="X3405">
        <v>0.99612129999999999</v>
      </c>
      <c r="Y3405">
        <v>9.4755240000000004E-2</v>
      </c>
      <c r="Z3405">
        <v>-4.035879E-3</v>
      </c>
      <c r="AA3405">
        <v>0.99549240000000006</v>
      </c>
      <c r="AB3405">
        <v>23</v>
      </c>
      <c r="AC3405">
        <v>0.50079999999996905</v>
      </c>
      <c r="AD3405">
        <v>-0.184584099999999</v>
      </c>
      <c r="AE3405">
        <v>-8.8210000000000094E-2</v>
      </c>
      <c r="AF3405">
        <v>6.4132142738545797E-2</v>
      </c>
      <c r="AG3405">
        <v>-0.184584099999999</v>
      </c>
      <c r="AH3405">
        <v>0.44470696718080399</v>
      </c>
      <c r="AI3405">
        <v>112.33379504748</v>
      </c>
      <c r="AJ3405">
        <v>81.793829300263795</v>
      </c>
      <c r="AK3405">
        <v>0.48574531224109202</v>
      </c>
      <c r="AL3405">
        <v>87.810305798537001</v>
      </c>
      <c r="AM3405">
        <v>94.549470674210795</v>
      </c>
      <c r="AN3405">
        <v>0.99999997565183096</v>
      </c>
    </row>
    <row r="3406" spans="1:40" x14ac:dyDescent="0.3">
      <c r="A3406" t="str">
        <f>"20200111153946332"</f>
        <v>20200111153946332</v>
      </c>
      <c r="B3406" t="str">
        <f>"1578728386324612"</f>
        <v>1578728386324612</v>
      </c>
      <c r="C3406" t="s">
        <v>40</v>
      </c>
      <c r="D3406">
        <v>5.4601089999999903</v>
      </c>
      <c r="E3406">
        <v>0.56568109999999905</v>
      </c>
      <c r="F3406" t="s">
        <v>41</v>
      </c>
      <c r="G3406">
        <v>-384.73140000000001</v>
      </c>
      <c r="H3406">
        <v>0.92756629999999995</v>
      </c>
      <c r="I3406">
        <v>17.93385</v>
      </c>
      <c r="J3406">
        <v>-385.21039999999999</v>
      </c>
      <c r="K3406">
        <v>1.1050249999999999</v>
      </c>
      <c r="L3406">
        <v>18.0181</v>
      </c>
      <c r="M3406">
        <v>0.9994845</v>
      </c>
      <c r="N3406">
        <v>0</v>
      </c>
      <c r="O3406">
        <v>-3.0125550000000001E-2</v>
      </c>
      <c r="P3406">
        <v>0.99840119999999999</v>
      </c>
      <c r="Q3406">
        <v>2.842337E-2</v>
      </c>
      <c r="R3406">
        <v>4.8857339999999999E-2</v>
      </c>
      <c r="S3406">
        <v>3.044006</v>
      </c>
      <c r="T3406">
        <v>-0.76234709999999895</v>
      </c>
      <c r="U3406">
        <v>-0.38699339999999999</v>
      </c>
      <c r="V3406">
        <v>-7.8971420000000001E-2</v>
      </c>
      <c r="W3406">
        <v>3.9375439999999998E-2</v>
      </c>
      <c r="X3406">
        <v>0.99609890000000001</v>
      </c>
      <c r="Y3406">
        <v>9.4226790000000005E-2</v>
      </c>
      <c r="Z3406">
        <v>-4.1775930000000003E-3</v>
      </c>
      <c r="AA3406">
        <v>0.99554200000000004</v>
      </c>
      <c r="AB3406">
        <v>23</v>
      </c>
      <c r="AC3406">
        <v>0.47899999999998399</v>
      </c>
      <c r="AD3406">
        <v>-0.177458699999999</v>
      </c>
      <c r="AE3406">
        <v>-8.4250000000000796E-2</v>
      </c>
      <c r="AF3406">
        <v>6.1582016843731803E-2</v>
      </c>
      <c r="AG3406">
        <v>-0.177458699999999</v>
      </c>
      <c r="AH3406">
        <v>0.42476921805046203</v>
      </c>
      <c r="AI3406">
        <v>112.462855500765</v>
      </c>
      <c r="AJ3406">
        <v>81.750870425223596</v>
      </c>
      <c r="AK3406">
        <v>0.46444894617969901</v>
      </c>
      <c r="AL3406">
        <v>87.743370012378193</v>
      </c>
      <c r="AM3406">
        <v>94.532968266796999</v>
      </c>
      <c r="AN3406">
        <v>0.999999964516609</v>
      </c>
    </row>
    <row r="3407" spans="1:40" x14ac:dyDescent="0.3">
      <c r="A3407" t="str">
        <f>"20200111153946356"</f>
        <v>20200111153946356</v>
      </c>
      <c r="B3407" t="str">
        <f>"1578728386344134"</f>
        <v>1578728386344134</v>
      </c>
      <c r="C3407" t="s">
        <v>40</v>
      </c>
      <c r="D3407">
        <v>5.5569319999999998</v>
      </c>
      <c r="E3407">
        <v>0.56558409999999903</v>
      </c>
      <c r="F3407" t="s">
        <v>41</v>
      </c>
      <c r="G3407">
        <v>-384.5231</v>
      </c>
      <c r="H3407">
        <v>0.93487189999999998</v>
      </c>
      <c r="I3407">
        <v>17.931470000000001</v>
      </c>
      <c r="J3407">
        <v>-384.97390000000001</v>
      </c>
      <c r="K3407">
        <v>1.1050199999999999</v>
      </c>
      <c r="L3407">
        <v>18.012149999999998</v>
      </c>
      <c r="M3407">
        <v>0.99951579999999995</v>
      </c>
      <c r="N3407">
        <v>0</v>
      </c>
      <c r="O3407">
        <v>-2.9103520000000001E-2</v>
      </c>
      <c r="P3407">
        <v>0.99839710000000004</v>
      </c>
      <c r="Q3407">
        <v>2.96189E-2</v>
      </c>
      <c r="R3407">
        <v>4.823301E-2</v>
      </c>
      <c r="S3407">
        <v>3.0449519999999999</v>
      </c>
      <c r="T3407">
        <v>-0.75403580000000003</v>
      </c>
      <c r="U3407">
        <v>-0.38195800000000002</v>
      </c>
      <c r="V3407">
        <v>-7.733015E-2</v>
      </c>
      <c r="W3407">
        <v>4.0487490000000001E-2</v>
      </c>
      <c r="X3407">
        <v>0.99618309999999999</v>
      </c>
      <c r="Y3407">
        <v>9.3615420000000005E-2</v>
      </c>
      <c r="Z3407">
        <v>-4.3063149999999998E-3</v>
      </c>
      <c r="AA3407">
        <v>0.99559909999999996</v>
      </c>
      <c r="AB3407">
        <v>23</v>
      </c>
      <c r="AC3407">
        <v>0.45080000000001502</v>
      </c>
      <c r="AD3407">
        <v>-0.1701481</v>
      </c>
      <c r="AE3407">
        <v>-8.0679999999997407E-2</v>
      </c>
      <c r="AF3407">
        <v>5.9334792895262403E-2</v>
      </c>
      <c r="AG3407">
        <v>-0.1701481</v>
      </c>
      <c r="AH3407">
        <v>0.39801644709378198</v>
      </c>
      <c r="AI3407">
        <v>112.919499289188</v>
      </c>
      <c r="AJ3407">
        <v>81.521004627386105</v>
      </c>
      <c r="AK3407">
        <v>0.43690741094503199</v>
      </c>
      <c r="AL3407">
        <v>87.679603409515096</v>
      </c>
      <c r="AM3407">
        <v>94.438766007108896</v>
      </c>
      <c r="AN3407">
        <v>0.99999997883556602</v>
      </c>
    </row>
    <row r="3408" spans="1:40" x14ac:dyDescent="0.3">
      <c r="A3408" t="str">
        <f>"20200111153946377"</f>
        <v>20200111153946377</v>
      </c>
      <c r="B3408" t="str">
        <f>"1578728386374387"</f>
        <v>1578728386374387</v>
      </c>
      <c r="C3408" t="s">
        <v>40</v>
      </c>
      <c r="D3408">
        <v>5.4388940000000003</v>
      </c>
      <c r="E3408">
        <v>0.5944353</v>
      </c>
      <c r="F3408" t="s">
        <v>41</v>
      </c>
      <c r="G3408">
        <v>-384.13049999999998</v>
      </c>
      <c r="H3408">
        <v>0.89791149999999997</v>
      </c>
      <c r="I3408">
        <v>17.906079999999999</v>
      </c>
      <c r="J3408">
        <v>-384.75689999999997</v>
      </c>
      <c r="K3408">
        <v>1.1050139999999999</v>
      </c>
      <c r="L3408">
        <v>18.006930000000001</v>
      </c>
      <c r="M3408">
        <v>0.99954339999999997</v>
      </c>
      <c r="N3408">
        <v>0</v>
      </c>
      <c r="O3408">
        <v>-2.8165249999999999E-2</v>
      </c>
      <c r="P3408">
        <v>0.99846919999999995</v>
      </c>
      <c r="Q3408">
        <v>2.9494329999999999E-2</v>
      </c>
      <c r="R3408">
        <v>4.6792050000000002E-2</v>
      </c>
      <c r="S3408">
        <v>3.045471</v>
      </c>
      <c r="T3408">
        <v>-0.74785459999999904</v>
      </c>
      <c r="U3408">
        <v>-0.38192749999999998</v>
      </c>
      <c r="V3408">
        <v>-7.4955919999999995E-2</v>
      </c>
      <c r="W3408">
        <v>4.0293580000000002E-2</v>
      </c>
      <c r="X3408">
        <v>0.99637249999999999</v>
      </c>
      <c r="Y3408">
        <v>9.4497289999999998E-2</v>
      </c>
      <c r="Z3408">
        <v>-4.6035540000000002E-3</v>
      </c>
      <c r="AA3408">
        <v>0.99551449999999997</v>
      </c>
      <c r="AB3408">
        <v>23</v>
      </c>
      <c r="AC3408">
        <v>0.62639999999998897</v>
      </c>
      <c r="AD3408">
        <v>-0.20710249999999999</v>
      </c>
      <c r="AE3408">
        <v>-0.10085000000000099</v>
      </c>
      <c r="AF3408">
        <v>7.5158121404949596E-2</v>
      </c>
      <c r="AG3408">
        <v>-0.20710249999999999</v>
      </c>
      <c r="AH3408">
        <v>0.56842629338794304</v>
      </c>
      <c r="AI3408">
        <v>109.859718298826</v>
      </c>
      <c r="AJ3408">
        <v>82.467961882105996</v>
      </c>
      <c r="AK3408">
        <v>0.60962992030749796</v>
      </c>
      <c r="AL3408">
        <v>87.690722897082793</v>
      </c>
      <c r="AM3408">
        <v>94.3021897664607</v>
      </c>
      <c r="AN3408">
        <v>1.0000000606442501</v>
      </c>
    </row>
    <row r="3409" spans="1:40" x14ac:dyDescent="0.3">
      <c r="A3409" t="str">
        <f>"20200111153946399"</f>
        <v>20200111153946399</v>
      </c>
      <c r="B3409" t="str">
        <f>"1578728386393909"</f>
        <v>1578728386393909</v>
      </c>
      <c r="C3409" t="s">
        <v>40</v>
      </c>
      <c r="D3409">
        <v>5.4577010000000001</v>
      </c>
      <c r="E3409">
        <v>0.59472400000000003</v>
      </c>
      <c r="F3409" t="s">
        <v>41</v>
      </c>
      <c r="G3409">
        <v>-383.92599999999999</v>
      </c>
      <c r="H3409">
        <v>0.89248189999999905</v>
      </c>
      <c r="I3409">
        <v>17.839220000000001</v>
      </c>
      <c r="J3409">
        <v>-384.52769999999998</v>
      </c>
      <c r="K3409">
        <v>1.1049899999999999</v>
      </c>
      <c r="L3409">
        <v>18.00159</v>
      </c>
      <c r="M3409">
        <v>0.99957169999999895</v>
      </c>
      <c r="N3409">
        <v>0</v>
      </c>
      <c r="O3409">
        <v>-2.7172749999999999E-2</v>
      </c>
      <c r="P3409">
        <v>0.99855550000000004</v>
      </c>
      <c r="Q3409">
        <v>2.78319E-2</v>
      </c>
      <c r="R3409">
        <v>4.596364E-2</v>
      </c>
      <c r="S3409">
        <v>3.0565190000000002</v>
      </c>
      <c r="T3409">
        <v>-0.78189049999999904</v>
      </c>
      <c r="U3409">
        <v>-0.61596680000000004</v>
      </c>
      <c r="V3409">
        <v>-7.3137809999999998E-2</v>
      </c>
      <c r="W3409">
        <v>3.8561619999999998E-2</v>
      </c>
      <c r="X3409">
        <v>0.99657609999999996</v>
      </c>
      <c r="Y3409">
        <v>0.16653299999999999</v>
      </c>
      <c r="Z3409">
        <v>-1.3992630000000001E-2</v>
      </c>
      <c r="AA3409">
        <v>0.98593660000000005</v>
      </c>
      <c r="AB3409">
        <v>23</v>
      </c>
      <c r="AC3409">
        <v>0.60169999999999302</v>
      </c>
      <c r="AD3409">
        <v>-0.21250810000000001</v>
      </c>
      <c r="AE3409">
        <v>-0.16236999999999899</v>
      </c>
      <c r="AF3409">
        <v>0.130756319503815</v>
      </c>
      <c r="AG3409">
        <v>-0.21250810000000001</v>
      </c>
      <c r="AH3409">
        <v>0.54278142962885001</v>
      </c>
      <c r="AI3409">
        <v>110.838232937692</v>
      </c>
      <c r="AJ3409">
        <v>76.455491684427997</v>
      </c>
      <c r="AK3409">
        <v>0.59738479057114602</v>
      </c>
      <c r="AL3409">
        <v>87.790034056480494</v>
      </c>
      <c r="AM3409">
        <v>94.197360132102702</v>
      </c>
      <c r="AN3409">
        <v>1.0000000304399099</v>
      </c>
    </row>
    <row r="3410" spans="1:40" x14ac:dyDescent="0.3">
      <c r="A3410" t="str">
        <f>"20200111153946422"</f>
        <v>20200111153946422</v>
      </c>
      <c r="B3410" t="str">
        <f>"1578728386414404"</f>
        <v>1578728386414404</v>
      </c>
      <c r="C3410" t="s">
        <v>40</v>
      </c>
      <c r="D3410">
        <v>5.4384410000000001</v>
      </c>
      <c r="E3410">
        <v>0.59379599999999999</v>
      </c>
      <c r="F3410" t="s">
        <v>41</v>
      </c>
      <c r="G3410">
        <v>-383.71820000000002</v>
      </c>
      <c r="H3410">
        <v>0.89749990000000002</v>
      </c>
      <c r="I3410">
        <v>17.836569999999998</v>
      </c>
      <c r="J3410">
        <v>-384.2894</v>
      </c>
      <c r="K3410">
        <v>1.104978</v>
      </c>
      <c r="L3410">
        <v>17.996279999999999</v>
      </c>
      <c r="M3410">
        <v>0.99960000000000004</v>
      </c>
      <c r="N3410">
        <v>0</v>
      </c>
      <c r="O3410">
        <v>-2.6140429999999999E-2</v>
      </c>
      <c r="P3410">
        <v>0.99859379999999998</v>
      </c>
      <c r="Q3410">
        <v>2.6260749999999999E-2</v>
      </c>
      <c r="R3410">
        <v>4.6050840000000003E-2</v>
      </c>
      <c r="S3410">
        <v>3.0547490000000002</v>
      </c>
      <c r="T3410">
        <v>-0.78317539999999997</v>
      </c>
      <c r="U3410">
        <v>-0.62121579999999998</v>
      </c>
      <c r="V3410">
        <v>-7.2194229999999998E-2</v>
      </c>
      <c r="W3410">
        <v>3.6917230000000002E-2</v>
      </c>
      <c r="X3410">
        <v>0.99670709999999996</v>
      </c>
      <c r="Y3410">
        <v>0.16915740000000001</v>
      </c>
      <c r="Z3410">
        <v>-1.460583E-2</v>
      </c>
      <c r="AA3410">
        <v>0.98548080000000005</v>
      </c>
      <c r="AB3410">
        <v>23</v>
      </c>
      <c r="AC3410">
        <v>0.57119999999997595</v>
      </c>
      <c r="AD3410">
        <v>-0.2074781</v>
      </c>
      <c r="AE3410">
        <v>-0.15970999999999599</v>
      </c>
      <c r="AF3410">
        <v>0.12894414900451001</v>
      </c>
      <c r="AG3410">
        <v>-0.2074781</v>
      </c>
      <c r="AH3410">
        <v>0.51246876039920697</v>
      </c>
      <c r="AI3410">
        <v>111.436081957185</v>
      </c>
      <c r="AJ3410">
        <v>75.876771400177205</v>
      </c>
      <c r="AK3410">
        <v>0.56771294324439003</v>
      </c>
      <c r="AL3410">
        <v>87.884317701093707</v>
      </c>
      <c r="AM3410">
        <v>94.142855458977706</v>
      </c>
      <c r="AN3410">
        <v>0.999999965953287</v>
      </c>
    </row>
    <row r="3411" spans="1:40" x14ac:dyDescent="0.3">
      <c r="A3411" t="str">
        <f>"20200111153946444"</f>
        <v>20200111153946444</v>
      </c>
      <c r="B3411" t="str">
        <f>"1578728386433923"</f>
        <v>1578728386433923</v>
      </c>
      <c r="C3411" t="s">
        <v>40</v>
      </c>
      <c r="D3411">
        <v>5.4287219999999996</v>
      </c>
      <c r="E3411">
        <v>0.59361459999999999</v>
      </c>
      <c r="F3411" t="s">
        <v>41</v>
      </c>
      <c r="G3411">
        <v>-383.50920000000002</v>
      </c>
      <c r="H3411">
        <v>0.90508999999999995</v>
      </c>
      <c r="I3411">
        <v>17.839449999999999</v>
      </c>
      <c r="J3411">
        <v>-384.06009999999998</v>
      </c>
      <c r="K3411">
        <v>1.10497</v>
      </c>
      <c r="L3411">
        <v>17.991420000000002</v>
      </c>
      <c r="M3411">
        <v>0.99962629999999997</v>
      </c>
      <c r="N3411">
        <v>0</v>
      </c>
      <c r="O3411">
        <v>-2.5147220000000001E-2</v>
      </c>
      <c r="P3411">
        <v>0.99856829999999996</v>
      </c>
      <c r="Q3411">
        <v>2.6341349999999999E-2</v>
      </c>
      <c r="R3411">
        <v>4.655981E-2</v>
      </c>
      <c r="S3411">
        <v>3.05307</v>
      </c>
      <c r="T3411">
        <v>-0.78223089999999995</v>
      </c>
      <c r="U3411">
        <v>-0.61386109999999905</v>
      </c>
      <c r="V3411">
        <v>-7.1711789999999997E-2</v>
      </c>
      <c r="W3411">
        <v>3.6926290000000001E-2</v>
      </c>
      <c r="X3411">
        <v>0.99674169999999995</v>
      </c>
      <c r="Y3411">
        <v>0.16797000000000001</v>
      </c>
      <c r="Z3411">
        <v>-1.469905E-2</v>
      </c>
      <c r="AA3411">
        <v>0.98568250000000002</v>
      </c>
      <c r="AB3411">
        <v>23</v>
      </c>
      <c r="AC3411">
        <v>0.55089999999995598</v>
      </c>
      <c r="AD3411">
        <v>-0.19988</v>
      </c>
      <c r="AE3411">
        <v>-0.15197000000000199</v>
      </c>
      <c r="AF3411">
        <v>0.123018398862463</v>
      </c>
      <c r="AG3411">
        <v>-0.19988</v>
      </c>
      <c r="AH3411">
        <v>0.49410281713232701</v>
      </c>
      <c r="AI3411">
        <v>111.43236787817401</v>
      </c>
      <c r="AJ3411">
        <v>76.019136240049093</v>
      </c>
      <c r="AK3411">
        <v>0.54701292010041802</v>
      </c>
      <c r="AL3411">
        <v>87.883798476132398</v>
      </c>
      <c r="AM3411">
        <v>94.115123780170293</v>
      </c>
      <c r="AN3411">
        <v>1.00000007411852</v>
      </c>
    </row>
    <row r="3412" spans="1:40" x14ac:dyDescent="0.3">
      <c r="A3412" t="str">
        <f>"20200111153946467"</f>
        <v>20200111153946467</v>
      </c>
      <c r="B3412" t="str">
        <f>"1578728386464180"</f>
        <v>1578728386464180</v>
      </c>
      <c r="C3412" t="s">
        <v>40</v>
      </c>
      <c r="D3412">
        <v>5.421354</v>
      </c>
      <c r="E3412">
        <v>0.59334709999999902</v>
      </c>
      <c r="F3412" t="s">
        <v>41</v>
      </c>
      <c r="G3412">
        <v>-383.30020000000002</v>
      </c>
      <c r="H3412">
        <v>0.9117248</v>
      </c>
      <c r="I3412">
        <v>17.839020000000001</v>
      </c>
      <c r="J3412">
        <v>-383.83359999999999</v>
      </c>
      <c r="K3412">
        <v>1.1049719999999901</v>
      </c>
      <c r="L3412">
        <v>17.98685</v>
      </c>
      <c r="M3412">
        <v>0.99965130000000002</v>
      </c>
      <c r="N3412">
        <v>0</v>
      </c>
      <c r="O3412">
        <v>-2.4166920000000001E-2</v>
      </c>
      <c r="P3412">
        <v>0.99852450000000004</v>
      </c>
      <c r="Q3412">
        <v>2.736705E-2</v>
      </c>
      <c r="R3412">
        <v>4.6908129999999999E-2</v>
      </c>
      <c r="S3412">
        <v>3.0533139999999999</v>
      </c>
      <c r="T3412">
        <v>-0.77654190000000001</v>
      </c>
      <c r="U3412">
        <v>-0.61117549999999998</v>
      </c>
      <c r="V3412">
        <v>-7.1082800000000002E-2</v>
      </c>
      <c r="W3412">
        <v>3.7888819999999997E-2</v>
      </c>
      <c r="X3412">
        <v>0.99675049999999998</v>
      </c>
      <c r="Y3412">
        <v>0.1681156</v>
      </c>
      <c r="Z3412">
        <v>-1.485627E-2</v>
      </c>
      <c r="AA3412">
        <v>0.98565530000000001</v>
      </c>
      <c r="AB3412">
        <v>23</v>
      </c>
      <c r="AC3412">
        <v>0.53339999999997101</v>
      </c>
      <c r="AD3412">
        <v>-0.19324719999999901</v>
      </c>
      <c r="AE3412">
        <v>-0.14782999999999899</v>
      </c>
      <c r="AF3412">
        <v>0.120239070591905</v>
      </c>
      <c r="AG3412">
        <v>-0.19324719999999901</v>
      </c>
      <c r="AH3412">
        <v>0.47849185674989603</v>
      </c>
      <c r="AI3412">
        <v>111.389774334405</v>
      </c>
      <c r="AJ3412">
        <v>75.894343167252401</v>
      </c>
      <c r="AK3412">
        <v>0.52986448397737396</v>
      </c>
      <c r="AL3412">
        <v>87.828610660836901</v>
      </c>
      <c r="AM3412">
        <v>94.079116178228503</v>
      </c>
      <c r="AN3412">
        <v>0.99999994319353902</v>
      </c>
    </row>
    <row r="3413" spans="1:40" x14ac:dyDescent="0.3">
      <c r="A3413" t="str">
        <f>"20200111153946488"</f>
        <v>20200111153946488</v>
      </c>
      <c r="B3413" t="str">
        <f>"1578728386484692"</f>
        <v>1578728386484692</v>
      </c>
      <c r="C3413" t="s">
        <v>40</v>
      </c>
      <c r="D3413">
        <v>5.4339779999999998</v>
      </c>
      <c r="E3413">
        <v>0.59292279999999997</v>
      </c>
      <c r="F3413" t="s">
        <v>41</v>
      </c>
      <c r="G3413">
        <v>-383.09160000000003</v>
      </c>
      <c r="H3413">
        <v>0.917014</v>
      </c>
      <c r="I3413">
        <v>17.839179999999999</v>
      </c>
      <c r="J3413">
        <v>-383.61110000000002</v>
      </c>
      <c r="K3413">
        <v>1.104975</v>
      </c>
      <c r="L3413">
        <v>17.982569999999999</v>
      </c>
      <c r="M3413">
        <v>0.99967459999999997</v>
      </c>
      <c r="N3413">
        <v>0</v>
      </c>
      <c r="O3413">
        <v>-2.3203930000000001E-2</v>
      </c>
      <c r="P3413">
        <v>0.99848709999999996</v>
      </c>
      <c r="Q3413">
        <v>2.7778589999999999E-2</v>
      </c>
      <c r="R3413">
        <v>4.7456709999999999E-2</v>
      </c>
      <c r="S3413">
        <v>3.054138</v>
      </c>
      <c r="T3413">
        <v>-0.77365909999999904</v>
      </c>
      <c r="U3413">
        <v>-0.60717769999999904</v>
      </c>
      <c r="V3413">
        <v>-7.0670720000000006E-2</v>
      </c>
      <c r="W3413">
        <v>3.824524E-2</v>
      </c>
      <c r="X3413">
        <v>0.99676629999999999</v>
      </c>
      <c r="Y3413">
        <v>0.16778609999999999</v>
      </c>
      <c r="Z3413">
        <v>-1.499765E-2</v>
      </c>
      <c r="AA3413">
        <v>0.98570930000000001</v>
      </c>
      <c r="AB3413">
        <v>23</v>
      </c>
      <c r="AC3413">
        <v>0.51949999999999297</v>
      </c>
      <c r="AD3413">
        <v>-0.18796099999999999</v>
      </c>
      <c r="AE3413">
        <v>-0.14339000000000299</v>
      </c>
      <c r="AF3413">
        <v>0.117057370510844</v>
      </c>
      <c r="AG3413">
        <v>-0.18796099999999999</v>
      </c>
      <c r="AH3413">
        <v>0.46600276915531103</v>
      </c>
      <c r="AI3413">
        <v>111.365151100501</v>
      </c>
      <c r="AJ3413">
        <v>75.899356335739498</v>
      </c>
      <c r="AK3413">
        <v>0.51593637822151195</v>
      </c>
      <c r="AL3413">
        <v>87.808174726090499</v>
      </c>
      <c r="AM3413">
        <v>94.055483859107099</v>
      </c>
      <c r="AN3413">
        <v>1.00000005293183</v>
      </c>
    </row>
    <row r="3414" spans="1:40" x14ac:dyDescent="0.3">
      <c r="A3414" t="str">
        <f>"20200111153946512"</f>
        <v>20200111153946512</v>
      </c>
      <c r="B3414" t="str">
        <f>"1578728386504212"</f>
        <v>1578728386504212</v>
      </c>
      <c r="C3414" t="s">
        <v>40</v>
      </c>
      <c r="D3414">
        <v>5.364128</v>
      </c>
      <c r="E3414">
        <v>0.59261750000000002</v>
      </c>
      <c r="F3414" t="s">
        <v>41</v>
      </c>
      <c r="G3414">
        <v>-382.88319999999999</v>
      </c>
      <c r="H3414">
        <v>0.92112419999999995</v>
      </c>
      <c r="I3414">
        <v>17.838929999999898</v>
      </c>
      <c r="J3414">
        <v>-383.35820000000001</v>
      </c>
      <c r="K3414">
        <v>1.1049639999999901</v>
      </c>
      <c r="L3414">
        <v>17.97794</v>
      </c>
      <c r="M3414">
        <v>0.99970000000000003</v>
      </c>
      <c r="N3414">
        <v>0</v>
      </c>
      <c r="O3414">
        <v>-2.2110029999999999E-2</v>
      </c>
      <c r="P3414">
        <v>0.99842770000000003</v>
      </c>
      <c r="Q3414">
        <v>2.8289439999999999E-2</v>
      </c>
      <c r="R3414">
        <v>4.8391459999999997E-2</v>
      </c>
      <c r="S3414">
        <v>3.0546259999999998</v>
      </c>
      <c r="T3414">
        <v>-0.77165090000000003</v>
      </c>
      <c r="U3414">
        <v>-0.60211179999999997</v>
      </c>
      <c r="V3414">
        <v>-7.0513599999999996E-2</v>
      </c>
      <c r="W3414">
        <v>3.8693610000000003E-2</v>
      </c>
      <c r="X3414">
        <v>0.99676010000000004</v>
      </c>
      <c r="Y3414">
        <v>0.1672652</v>
      </c>
      <c r="Z3414">
        <v>-1.516492E-2</v>
      </c>
      <c r="AA3414">
        <v>0.98579530000000004</v>
      </c>
      <c r="AB3414">
        <v>23</v>
      </c>
      <c r="AC3414">
        <v>0.47500000000002202</v>
      </c>
      <c r="AD3414">
        <v>-0.183839799999999</v>
      </c>
      <c r="AE3414">
        <v>-0.13901000000000199</v>
      </c>
      <c r="AF3414">
        <v>0.112896192892004</v>
      </c>
      <c r="AG3414">
        <v>-0.183839799999999</v>
      </c>
      <c r="AH3414">
        <v>0.42000668140838998</v>
      </c>
      <c r="AI3414">
        <v>112.91391225080299</v>
      </c>
      <c r="AJ3414">
        <v>74.954731423548694</v>
      </c>
      <c r="AK3414">
        <v>0.47217394555527697</v>
      </c>
      <c r="AL3414">
        <v>87.782465937730095</v>
      </c>
      <c r="AM3414">
        <v>94.046522500010298</v>
      </c>
      <c r="AN3414">
        <v>1.0000000300959</v>
      </c>
    </row>
    <row r="3415" spans="1:40" x14ac:dyDescent="0.3">
      <c r="A3415" t="str">
        <f>"20200111153946536"</f>
        <v>20200111153946536</v>
      </c>
      <c r="B3415" t="str">
        <f>"1578728386524708"</f>
        <v>1578728386524708</v>
      </c>
      <c r="C3415" t="s">
        <v>40</v>
      </c>
      <c r="D3415">
        <v>5.3499860000000004</v>
      </c>
      <c r="E3415">
        <v>0.5922366</v>
      </c>
      <c r="F3415" t="s">
        <v>41</v>
      </c>
      <c r="G3415">
        <v>-382.67219999999998</v>
      </c>
      <c r="H3415">
        <v>0.93069900000000005</v>
      </c>
      <c r="I3415">
        <v>17.84376</v>
      </c>
      <c r="J3415">
        <v>-383.12400000000002</v>
      </c>
      <c r="K3415">
        <v>1.104962</v>
      </c>
      <c r="L3415">
        <v>17.973939999999999</v>
      </c>
      <c r="M3415">
        <v>0.99972249999999996</v>
      </c>
      <c r="N3415">
        <v>0</v>
      </c>
      <c r="O3415">
        <v>-2.1097439999999999E-2</v>
      </c>
      <c r="P3415">
        <v>0.99841990000000003</v>
      </c>
      <c r="Q3415">
        <v>2.80545E-2</v>
      </c>
      <c r="R3415">
        <v>4.869039E-2</v>
      </c>
      <c r="S3415">
        <v>3.0556640000000002</v>
      </c>
      <c r="T3415">
        <v>-0.77626110000000004</v>
      </c>
      <c r="U3415">
        <v>-0.5969238</v>
      </c>
      <c r="V3415">
        <v>-6.9801899999999903E-2</v>
      </c>
      <c r="W3415">
        <v>3.8398189999999999E-2</v>
      </c>
      <c r="X3415">
        <v>0.99682159999999997</v>
      </c>
      <c r="Y3415">
        <v>0.1665285</v>
      </c>
      <c r="Z3415">
        <v>-1.5409600000000001E-2</v>
      </c>
      <c r="AA3415">
        <v>0.98591620000000002</v>
      </c>
      <c r="AB3415">
        <v>23</v>
      </c>
      <c r="AC3415">
        <v>0.451800000000048</v>
      </c>
      <c r="AD3415">
        <v>-0.174263</v>
      </c>
      <c r="AE3415">
        <v>-0.13017999999999899</v>
      </c>
      <c r="AF3415">
        <v>0.10605085427748499</v>
      </c>
      <c r="AG3415">
        <v>-0.174263</v>
      </c>
      <c r="AH3415">
        <v>0.39955994578575499</v>
      </c>
      <c r="AI3415">
        <v>112.857454184456</v>
      </c>
      <c r="AJ3415">
        <v>75.135336499014599</v>
      </c>
      <c r="AK3415">
        <v>0.44862292310837198</v>
      </c>
      <c r="AL3415">
        <v>87.799404810016696</v>
      </c>
      <c r="AM3415">
        <v>94.005567887982394</v>
      </c>
      <c r="AN3415">
        <v>1.0000000142327199</v>
      </c>
    </row>
    <row r="3416" spans="1:40" x14ac:dyDescent="0.3">
      <c r="A3416" t="str">
        <f>"20200111153946556"</f>
        <v>20200111153946556</v>
      </c>
      <c r="B3416" t="str">
        <f>"1578728386553988"</f>
        <v>1578728386553988</v>
      </c>
      <c r="C3416" t="s">
        <v>40</v>
      </c>
      <c r="D3416">
        <v>5.3059699999999896</v>
      </c>
      <c r="E3416">
        <v>0.59199069999999898</v>
      </c>
      <c r="F3416" t="s">
        <v>41</v>
      </c>
      <c r="G3416">
        <v>-382.27519999999998</v>
      </c>
      <c r="H3416">
        <v>0.88774189999999997</v>
      </c>
      <c r="I3416">
        <v>17.809190000000001</v>
      </c>
      <c r="J3416">
        <v>-382.90410000000003</v>
      </c>
      <c r="K3416">
        <v>1.1049530000000001</v>
      </c>
      <c r="L3416">
        <v>17.970369999999999</v>
      </c>
      <c r="M3416">
        <v>0.99974280000000004</v>
      </c>
      <c r="N3416">
        <v>0</v>
      </c>
      <c r="O3416">
        <v>-2.0150049999999999E-2</v>
      </c>
      <c r="P3416">
        <v>0.99838170000000004</v>
      </c>
      <c r="Q3416">
        <v>2.882053E-2</v>
      </c>
      <c r="R3416">
        <v>4.9026699999999999E-2</v>
      </c>
      <c r="S3416">
        <v>3.055634</v>
      </c>
      <c r="T3416">
        <v>-0.78198669999999904</v>
      </c>
      <c r="U3416">
        <v>-0.59265140000000005</v>
      </c>
      <c r="V3416">
        <v>-6.9193499999999894E-2</v>
      </c>
      <c r="W3416">
        <v>3.910052E-2</v>
      </c>
      <c r="X3416">
        <v>0.99683670000000002</v>
      </c>
      <c r="Y3416">
        <v>0.16605449999999999</v>
      </c>
      <c r="Z3416">
        <v>-1.5698989999999999E-2</v>
      </c>
      <c r="AA3416">
        <v>0.98599159999999997</v>
      </c>
      <c r="AB3416">
        <v>23</v>
      </c>
      <c r="AC3416">
        <v>0.62890000000004398</v>
      </c>
      <c r="AD3416">
        <v>-0.21721109999999999</v>
      </c>
      <c r="AE3416">
        <v>-0.16118000000000099</v>
      </c>
      <c r="AF3416">
        <v>0.13352758427862599</v>
      </c>
      <c r="AG3416">
        <v>-0.21721109999999999</v>
      </c>
      <c r="AH3416">
        <v>0.56839590842340204</v>
      </c>
      <c r="AI3416">
        <v>110.406206827332</v>
      </c>
      <c r="AJ3416">
        <v>76.779790993340498</v>
      </c>
      <c r="AK3416">
        <v>0.62296403302194003</v>
      </c>
      <c r="AL3416">
        <v>87.759133985397597</v>
      </c>
      <c r="AM3416">
        <v>93.970707190756499</v>
      </c>
      <c r="AN3416">
        <v>0.99999999878670498</v>
      </c>
    </row>
    <row r="3417" spans="1:40" x14ac:dyDescent="0.3">
      <c r="A3417" t="str">
        <f>"20200111153946578"</f>
        <v>20200111153946578</v>
      </c>
      <c r="B3417" t="str">
        <f>"1578728386574485"</f>
        <v>1578728386574485</v>
      </c>
      <c r="C3417" t="s">
        <v>40</v>
      </c>
      <c r="D3417">
        <v>5.3081959999999997</v>
      </c>
      <c r="E3417">
        <v>0.59186399999999995</v>
      </c>
      <c r="F3417" t="s">
        <v>41</v>
      </c>
      <c r="G3417">
        <v>-382.06650000000002</v>
      </c>
      <c r="H3417">
        <v>0.88955910000000005</v>
      </c>
      <c r="I3417">
        <v>17.80836</v>
      </c>
      <c r="J3417">
        <v>-382.6841</v>
      </c>
      <c r="K3417">
        <v>1.1049469999999999</v>
      </c>
      <c r="L3417">
        <v>17.967009999999998</v>
      </c>
      <c r="M3417">
        <v>0.99976209999999999</v>
      </c>
      <c r="N3417">
        <v>0</v>
      </c>
      <c r="O3417">
        <v>-1.9204840000000001E-2</v>
      </c>
      <c r="P3417">
        <v>0.99837260000000005</v>
      </c>
      <c r="Q3417">
        <v>2.945128E-2</v>
      </c>
      <c r="R3417">
        <v>4.883755E-2</v>
      </c>
      <c r="S3417">
        <v>3.0564580000000001</v>
      </c>
      <c r="T3417">
        <v>-0.78608299999999998</v>
      </c>
      <c r="U3417">
        <v>-0.58956909999999996</v>
      </c>
      <c r="V3417">
        <v>-6.8062079999999997E-2</v>
      </c>
      <c r="W3417">
        <v>3.966894E-2</v>
      </c>
      <c r="X3417">
        <v>0.99689220000000001</v>
      </c>
      <c r="Y3417">
        <v>0.1659072</v>
      </c>
      <c r="Z3417">
        <v>-1.599447E-2</v>
      </c>
      <c r="AA3417">
        <v>0.98601170000000005</v>
      </c>
      <c r="AB3417">
        <v>23</v>
      </c>
      <c r="AC3417">
        <v>0.61759999999998105</v>
      </c>
      <c r="AD3417">
        <v>-0.21538789999999899</v>
      </c>
      <c r="AE3417">
        <v>-0.15865000000000101</v>
      </c>
      <c r="AF3417">
        <v>0.13172923324518801</v>
      </c>
      <c r="AG3417">
        <v>-0.21538789999999899</v>
      </c>
      <c r="AH3417">
        <v>0.55698281428861696</v>
      </c>
      <c r="AI3417">
        <v>110.62248307474999</v>
      </c>
      <c r="AJ3417">
        <v>76.693757690773495</v>
      </c>
      <c r="AK3417">
        <v>0.61153445836734599</v>
      </c>
      <c r="AL3417">
        <v>87.726540779971799</v>
      </c>
      <c r="AM3417">
        <v>93.905765884026096</v>
      </c>
      <c r="AN3417">
        <v>1.0000000649777401</v>
      </c>
    </row>
    <row r="3418" spans="1:40" x14ac:dyDescent="0.3">
      <c r="A3418" t="str">
        <f>"20200111153946601"</f>
        <v>20200111153946601</v>
      </c>
      <c r="B3418" t="str">
        <f>"1578728386594004"</f>
        <v>1578728386594004</v>
      </c>
      <c r="C3418" t="s">
        <v>40</v>
      </c>
      <c r="D3418">
        <v>5.3136669999999997</v>
      </c>
      <c r="E3418">
        <v>0.59189789999999998</v>
      </c>
      <c r="F3418" t="s">
        <v>41</v>
      </c>
      <c r="G3418">
        <v>-381.85730000000001</v>
      </c>
      <c r="H3418">
        <v>0.89175749999999998</v>
      </c>
      <c r="I3418">
        <v>17.80761</v>
      </c>
      <c r="J3418">
        <v>-382.44240000000002</v>
      </c>
      <c r="K3418">
        <v>1.1049310000000001</v>
      </c>
      <c r="L3418">
        <v>17.963529999999999</v>
      </c>
      <c r="M3418">
        <v>0.99978219999999995</v>
      </c>
      <c r="N3418">
        <v>0</v>
      </c>
      <c r="O3418">
        <v>-1.8173740000000001E-2</v>
      </c>
      <c r="P3418">
        <v>0.99835649999999998</v>
      </c>
      <c r="Q3418">
        <v>2.9781289999999998E-2</v>
      </c>
      <c r="R3418">
        <v>4.8963850000000003E-2</v>
      </c>
      <c r="S3418">
        <v>3.0569760000000001</v>
      </c>
      <c r="T3418">
        <v>-0.78834989999999905</v>
      </c>
      <c r="U3418">
        <v>-0.58847050000000001</v>
      </c>
      <c r="V3418">
        <v>-6.7159150000000001E-2</v>
      </c>
      <c r="W3418">
        <v>3.9920509999999999E-2</v>
      </c>
      <c r="X3418">
        <v>0.99694340000000004</v>
      </c>
      <c r="Y3418">
        <v>0.16647490000000001</v>
      </c>
      <c r="Z3418">
        <v>-1.63676E-2</v>
      </c>
      <c r="AA3418">
        <v>0.98590979999999995</v>
      </c>
      <c r="AB3418">
        <v>23</v>
      </c>
      <c r="AC3418">
        <v>0.58510000000001094</v>
      </c>
      <c r="AD3418">
        <v>-0.21317349999999899</v>
      </c>
      <c r="AE3418">
        <v>-0.155919999999998</v>
      </c>
      <c r="AF3418">
        <v>0.12924199228017799</v>
      </c>
      <c r="AG3418">
        <v>-0.21317349999999899</v>
      </c>
      <c r="AH3418">
        <v>0.52301476140547598</v>
      </c>
      <c r="AI3418">
        <v>111.587920067807</v>
      </c>
      <c r="AJ3418">
        <v>76.119725856276801</v>
      </c>
      <c r="AK3418">
        <v>0.57938836225698098</v>
      </c>
      <c r="AL3418">
        <v>87.712115468018993</v>
      </c>
      <c r="AM3418">
        <v>93.853910802289903</v>
      </c>
      <c r="AN3418">
        <v>1.0000000706754599</v>
      </c>
    </row>
    <row r="3419" spans="1:40" x14ac:dyDescent="0.3">
      <c r="A3419" t="str">
        <f>"20200111153946623"</f>
        <v>20200111153946623</v>
      </c>
      <c r="B3419" t="str">
        <f>"1578728386614500"</f>
        <v>1578728386614500</v>
      </c>
      <c r="C3419" t="s">
        <v>40</v>
      </c>
      <c r="D3419">
        <v>5.3138199999999998</v>
      </c>
      <c r="E3419">
        <v>0.59176719999999905</v>
      </c>
      <c r="F3419" t="s">
        <v>41</v>
      </c>
      <c r="G3419">
        <v>-381.64550000000003</v>
      </c>
      <c r="H3419">
        <v>0.89917990000000003</v>
      </c>
      <c r="I3419">
        <v>17.809739999999898</v>
      </c>
      <c r="J3419">
        <v>-382.20499999999998</v>
      </c>
      <c r="K3419">
        <v>1.10491299999999</v>
      </c>
      <c r="L3419">
        <v>17.96039</v>
      </c>
      <c r="M3419">
        <v>0.99980089999999999</v>
      </c>
      <c r="N3419">
        <v>0</v>
      </c>
      <c r="O3419">
        <v>-1.7170060000000001E-2</v>
      </c>
      <c r="P3419">
        <v>0.99834219999999896</v>
      </c>
      <c r="Q3419">
        <v>2.9533509999999999E-2</v>
      </c>
      <c r="R3419">
        <v>4.9406230000000002E-2</v>
      </c>
      <c r="S3419">
        <v>3.0573730000000001</v>
      </c>
      <c r="T3419">
        <v>-0.78948719999999994</v>
      </c>
      <c r="U3419">
        <v>-0.5886536</v>
      </c>
      <c r="V3419">
        <v>-6.6599539999999999E-2</v>
      </c>
      <c r="W3419">
        <v>3.9588419999999999E-2</v>
      </c>
      <c r="X3419">
        <v>0.99699409999999999</v>
      </c>
      <c r="Y3419">
        <v>0.16742309999999999</v>
      </c>
      <c r="Z3419">
        <v>-1.6760339999999999E-2</v>
      </c>
      <c r="AA3419">
        <v>0.98574269999999997</v>
      </c>
      <c r="AB3419">
        <v>23</v>
      </c>
      <c r="AC3419">
        <v>0.55949999999995703</v>
      </c>
      <c r="AD3419">
        <v>-0.205733099999999</v>
      </c>
      <c r="AE3419">
        <v>-0.150650000000002</v>
      </c>
      <c r="AF3419">
        <v>0.125232602903565</v>
      </c>
      <c r="AG3419">
        <v>-0.205733099999999</v>
      </c>
      <c r="AH3419">
        <v>0.49908482221924699</v>
      </c>
      <c r="AI3419">
        <v>111.792800116935</v>
      </c>
      <c r="AJ3419">
        <v>75.9139140276625</v>
      </c>
      <c r="AK3419">
        <v>0.55416150446889501</v>
      </c>
      <c r="AL3419">
        <v>87.731157689247794</v>
      </c>
      <c r="AM3419">
        <v>93.821699517470705</v>
      </c>
      <c r="AN3419">
        <v>0.99999998858055805</v>
      </c>
    </row>
    <row r="3420" spans="1:40" x14ac:dyDescent="0.3">
      <c r="A3420" t="str">
        <f>"20200111153946646"</f>
        <v>20200111153946646</v>
      </c>
      <c r="B3420" t="str">
        <f>"1578728386634022"</f>
        <v>1578728386634022</v>
      </c>
      <c r="C3420" t="s">
        <v>40</v>
      </c>
      <c r="D3420">
        <v>5.3292020000000004</v>
      </c>
      <c r="E3420">
        <v>0.59185149999999997</v>
      </c>
      <c r="F3420" t="s">
        <v>41</v>
      </c>
      <c r="G3420">
        <v>-381.4341</v>
      </c>
      <c r="H3420">
        <v>0.90494129999999995</v>
      </c>
      <c r="I3420">
        <v>17.8125</v>
      </c>
      <c r="J3420">
        <v>-381.97070000000002</v>
      </c>
      <c r="K3420">
        <v>1.1048910000000001</v>
      </c>
      <c r="L3420">
        <v>17.957429999999999</v>
      </c>
      <c r="M3420">
        <v>0.99981799999999998</v>
      </c>
      <c r="N3420">
        <v>0</v>
      </c>
      <c r="O3420">
        <v>-1.619288E-2</v>
      </c>
      <c r="P3420">
        <v>0.99830160000000001</v>
      </c>
      <c r="Q3420">
        <v>2.9674800000000001E-2</v>
      </c>
      <c r="R3420">
        <v>5.0133089999999998E-2</v>
      </c>
      <c r="S3420">
        <v>3.0574650000000001</v>
      </c>
      <c r="T3420">
        <v>-0.79304730000000001</v>
      </c>
      <c r="U3420">
        <v>-0.58703609999999995</v>
      </c>
      <c r="V3420">
        <v>-6.6350259999999994E-2</v>
      </c>
      <c r="W3420">
        <v>3.9648919999999997E-2</v>
      </c>
      <c r="X3420">
        <v>0.99700829999999996</v>
      </c>
      <c r="Y3420">
        <v>0.16779169999999999</v>
      </c>
      <c r="Z3420">
        <v>-1.712748E-2</v>
      </c>
      <c r="AA3420">
        <v>0.98567369999999999</v>
      </c>
      <c r="AB3420">
        <v>23</v>
      </c>
      <c r="AC3420">
        <v>0.53660000000002095</v>
      </c>
      <c r="AD3420">
        <v>-0.19994970000000001</v>
      </c>
      <c r="AE3420">
        <v>-0.144929999999998</v>
      </c>
      <c r="AF3420">
        <v>0.12061314004241599</v>
      </c>
      <c r="AG3420">
        <v>-0.19994970000000001</v>
      </c>
      <c r="AH3420">
        <v>0.47713187377333</v>
      </c>
      <c r="AI3420">
        <v>112.111205849695</v>
      </c>
      <c r="AJ3420">
        <v>75.813519446154402</v>
      </c>
      <c r="AK3420">
        <v>0.53120828029260803</v>
      </c>
      <c r="AL3420">
        <v>87.727688533295705</v>
      </c>
      <c r="AM3420">
        <v>93.807383100174505</v>
      </c>
      <c r="AN3420">
        <v>0.99999997206406099</v>
      </c>
    </row>
    <row r="3421" spans="1:40" x14ac:dyDescent="0.3">
      <c r="A3421" t="str">
        <f>"20200111153946668"</f>
        <v>20200111153946668</v>
      </c>
      <c r="B3421" t="str">
        <f>"1578728386664276"</f>
        <v>1578728386664276</v>
      </c>
      <c r="C3421" t="s">
        <v>40</v>
      </c>
      <c r="D3421">
        <v>5.2784420000000001</v>
      </c>
      <c r="E3421">
        <v>0.5919624</v>
      </c>
      <c r="F3421" t="s">
        <v>41</v>
      </c>
      <c r="G3421">
        <v>-381.22230000000002</v>
      </c>
      <c r="H3421">
        <v>0.91077260000000004</v>
      </c>
      <c r="I3421">
        <v>17.81382</v>
      </c>
      <c r="J3421">
        <v>-381.74590000000001</v>
      </c>
      <c r="K3421">
        <v>1.1048720000000001</v>
      </c>
      <c r="L3421">
        <v>17.95486</v>
      </c>
      <c r="M3421">
        <v>0.99983319999999998</v>
      </c>
      <c r="N3421">
        <v>0</v>
      </c>
      <c r="O3421">
        <v>-1.5271399999999999E-2</v>
      </c>
      <c r="P3421">
        <v>0.99828859999999997</v>
      </c>
      <c r="Q3421">
        <v>2.9924829999999999E-2</v>
      </c>
      <c r="R3421">
        <v>5.0241809999999998E-2</v>
      </c>
      <c r="S3421">
        <v>3.0581049999999999</v>
      </c>
      <c r="T3421">
        <v>-0.79322959999999998</v>
      </c>
      <c r="U3421">
        <v>-0.58538819999999903</v>
      </c>
      <c r="V3421">
        <v>-6.5538739999999998E-2</v>
      </c>
      <c r="W3421">
        <v>3.9822370000000003E-2</v>
      </c>
      <c r="X3421">
        <v>0.99705509999999997</v>
      </c>
      <c r="Y3421">
        <v>0.16810839999999999</v>
      </c>
      <c r="Z3421">
        <v>-1.7401679999999999E-2</v>
      </c>
      <c r="AA3421">
        <v>0.98561489999999996</v>
      </c>
      <c r="AB3421">
        <v>23</v>
      </c>
      <c r="AC3421">
        <v>0.52359999999998696</v>
      </c>
      <c r="AD3421">
        <v>-0.19409939999999901</v>
      </c>
      <c r="AE3421">
        <v>-0.14104</v>
      </c>
      <c r="AF3421">
        <v>0.117918881339724</v>
      </c>
      <c r="AG3421">
        <v>-0.19409939999999901</v>
      </c>
      <c r="AH3421">
        <v>0.46598886172495402</v>
      </c>
      <c r="AI3421">
        <v>111.98905959422299</v>
      </c>
      <c r="AJ3421">
        <v>75.799356132449802</v>
      </c>
      <c r="AK3421">
        <v>0.51838697795034405</v>
      </c>
      <c r="AL3421">
        <v>87.717742811780397</v>
      </c>
      <c r="AM3421">
        <v>93.760774020472198</v>
      </c>
      <c r="AN3421">
        <v>1.0000000100146</v>
      </c>
    </row>
    <row r="3422" spans="1:40" x14ac:dyDescent="0.3">
      <c r="A3422" t="str">
        <f>"20200111153946689"</f>
        <v>20200111153946689</v>
      </c>
      <c r="B3422" t="str">
        <f>"1578728386684773"</f>
        <v>1578728386684773</v>
      </c>
      <c r="C3422" t="s">
        <v>40</v>
      </c>
      <c r="D3422">
        <v>5.3014970000000003</v>
      </c>
      <c r="E3422">
        <v>0.5920455</v>
      </c>
      <c r="F3422" t="s">
        <v>41</v>
      </c>
      <c r="G3422">
        <v>-381.01100000000002</v>
      </c>
      <c r="H3422">
        <v>0.91405650000000005</v>
      </c>
      <c r="I3422">
        <v>17.813849999999999</v>
      </c>
      <c r="J3422">
        <v>-381.51330000000002</v>
      </c>
      <c r="K3422">
        <v>1.104846</v>
      </c>
      <c r="L3422">
        <v>17.952359999999999</v>
      </c>
      <c r="M3422">
        <v>0.99984790000000001</v>
      </c>
      <c r="N3422">
        <v>0</v>
      </c>
      <c r="O3422">
        <v>-1.433861E-2</v>
      </c>
      <c r="P3422">
        <v>0.99831190000000003</v>
      </c>
      <c r="Q3422">
        <v>3.005335E-2</v>
      </c>
      <c r="R3422">
        <v>4.9704480000000002E-2</v>
      </c>
      <c r="S3422">
        <v>3.0584410000000002</v>
      </c>
      <c r="T3422">
        <v>-0.79425059999999903</v>
      </c>
      <c r="U3422">
        <v>-0.5859375</v>
      </c>
      <c r="V3422">
        <v>-6.40709E-2</v>
      </c>
      <c r="W3422">
        <v>3.9871440000000001E-2</v>
      </c>
      <c r="X3422">
        <v>0.99714849999999999</v>
      </c>
      <c r="Y3422">
        <v>0.1691049</v>
      </c>
      <c r="Z3422">
        <v>-1.778354E-2</v>
      </c>
      <c r="AA3422">
        <v>0.98543760000000002</v>
      </c>
      <c r="AB3422">
        <v>23</v>
      </c>
      <c r="AC3422">
        <v>0.50230000000004704</v>
      </c>
      <c r="AD3422">
        <v>-0.190789499999999</v>
      </c>
      <c r="AE3422">
        <v>-0.13851000000000299</v>
      </c>
      <c r="AF3422">
        <v>0.11577089473</v>
      </c>
      <c r="AG3422">
        <v>-0.190789499999999</v>
      </c>
      <c r="AH3422">
        <v>0.44462100142558098</v>
      </c>
      <c r="AI3422">
        <v>112.551147016391</v>
      </c>
      <c r="AJ3422">
        <v>75.405334181222401</v>
      </c>
      <c r="AK3422">
        <v>0.49748504327820903</v>
      </c>
      <c r="AL3422">
        <v>87.714928985179597</v>
      </c>
      <c r="AM3422">
        <v>93.676435984998605</v>
      </c>
      <c r="AN3422">
        <v>0.99999997150336595</v>
      </c>
    </row>
    <row r="3423" spans="1:40" x14ac:dyDescent="0.3">
      <c r="A3423" t="str">
        <f>"20200111153946713"</f>
        <v>20200111153946713</v>
      </c>
      <c r="B3423" t="str">
        <f>"1578728386704292"</f>
        <v>1578728386704292</v>
      </c>
      <c r="C3423" t="s">
        <v>40</v>
      </c>
      <c r="D3423">
        <v>5.3172249999999996</v>
      </c>
      <c r="E3423">
        <v>0.59209000000000001</v>
      </c>
      <c r="F3423" t="s">
        <v>41</v>
      </c>
      <c r="G3423">
        <v>-380.79860000000002</v>
      </c>
      <c r="H3423">
        <v>0.91933109999999996</v>
      </c>
      <c r="I3423">
        <v>17.814399999999999</v>
      </c>
      <c r="J3423">
        <v>-381.26639999999998</v>
      </c>
      <c r="K3423">
        <v>1.104822</v>
      </c>
      <c r="L3423">
        <v>17.949919999999999</v>
      </c>
      <c r="M3423">
        <v>0.99986209999999998</v>
      </c>
      <c r="N3423">
        <v>0</v>
      </c>
      <c r="O3423">
        <v>-1.3373060000000001E-2</v>
      </c>
      <c r="P3423">
        <v>0.99834230000000002</v>
      </c>
      <c r="Q3423">
        <v>2.9773569999999999E-2</v>
      </c>
      <c r="R3423">
        <v>4.925877E-2</v>
      </c>
      <c r="S3423">
        <v>3.0582579999999999</v>
      </c>
      <c r="T3423">
        <v>-0.79388700000000001</v>
      </c>
      <c r="U3423">
        <v>-0.58837890000000004</v>
      </c>
      <c r="V3423">
        <v>-6.2660019999999997E-2</v>
      </c>
      <c r="W3423">
        <v>3.9513140000000002E-2</v>
      </c>
      <c r="X3423">
        <v>0.99725249999999999</v>
      </c>
      <c r="Y3423">
        <v>0.17074639999999999</v>
      </c>
      <c r="Z3423">
        <v>-1.8227440000000001E-2</v>
      </c>
      <c r="AA3423">
        <v>0.98514639999999998</v>
      </c>
      <c r="AB3423">
        <v>24</v>
      </c>
      <c r="AC3423">
        <v>0.46779999999995397</v>
      </c>
      <c r="AD3423">
        <v>-0.18549089999999999</v>
      </c>
      <c r="AE3423">
        <v>-0.135520000000003</v>
      </c>
      <c r="AF3423">
        <v>0.112878346101248</v>
      </c>
      <c r="AG3423">
        <v>-0.18549089999999999</v>
      </c>
      <c r="AH3423">
        <v>0.41008641120272199</v>
      </c>
      <c r="AI3423">
        <v>113.56213052907199</v>
      </c>
      <c r="AJ3423">
        <v>74.610165015469804</v>
      </c>
      <c r="AK3423">
        <v>0.46402506360593399</v>
      </c>
      <c r="AL3423">
        <v>87.735474449314694</v>
      </c>
      <c r="AM3423">
        <v>93.5953194157875</v>
      </c>
      <c r="AN3423">
        <v>1.00000005754765</v>
      </c>
    </row>
    <row r="3424" spans="1:40" x14ac:dyDescent="0.3">
      <c r="A3424" t="str">
        <f>"20200111153946735"</f>
        <v>20200111153946735</v>
      </c>
      <c r="B3424" t="str">
        <f>"1578728386723812"</f>
        <v>1578728386723812</v>
      </c>
      <c r="C3424" t="s">
        <v>40</v>
      </c>
      <c r="D3424">
        <v>5.3333259999999996</v>
      </c>
      <c r="E3424">
        <v>0.59206000000000003</v>
      </c>
      <c r="F3424" t="s">
        <v>41</v>
      </c>
      <c r="G3424">
        <v>-380.58460000000002</v>
      </c>
      <c r="H3424">
        <v>0.92753949999999996</v>
      </c>
      <c r="I3424">
        <v>17.818290000000001</v>
      </c>
      <c r="J3424">
        <v>-381.03460000000001</v>
      </c>
      <c r="K3424">
        <v>1.1048070000000001</v>
      </c>
      <c r="L3424">
        <v>17.94781</v>
      </c>
      <c r="M3424">
        <v>0.99987409999999999</v>
      </c>
      <c r="N3424">
        <v>0</v>
      </c>
      <c r="O3424">
        <v>-1.249306E-2</v>
      </c>
      <c r="P3424">
        <v>0.99840280000000003</v>
      </c>
      <c r="Q3424">
        <v>3.0171400000000001E-2</v>
      </c>
      <c r="R3424">
        <v>4.776644E-2</v>
      </c>
      <c r="S3424">
        <v>3.0578609999999999</v>
      </c>
      <c r="T3424">
        <v>-0.79512700000000003</v>
      </c>
      <c r="U3424">
        <v>-0.59027099999999999</v>
      </c>
      <c r="V3424">
        <v>-6.0289490000000001E-2</v>
      </c>
      <c r="W3424">
        <v>3.9849049999999997E-2</v>
      </c>
      <c r="X3424">
        <v>0.99738519999999997</v>
      </c>
      <c r="Y3424">
        <v>0.17213510000000001</v>
      </c>
      <c r="Z3424">
        <v>-1.8655310000000001E-2</v>
      </c>
      <c r="AA3424">
        <v>0.98489669999999896</v>
      </c>
      <c r="AB3424">
        <v>24</v>
      </c>
      <c r="AC3424">
        <v>0.44999999999998802</v>
      </c>
      <c r="AD3424">
        <v>-0.177267499999999</v>
      </c>
      <c r="AE3424">
        <v>-0.129519999999999</v>
      </c>
      <c r="AF3424">
        <v>0.10835909708547201</v>
      </c>
      <c r="AG3424">
        <v>-0.177267499999999</v>
      </c>
      <c r="AH3424">
        <v>0.39497960225861301</v>
      </c>
      <c r="AI3424">
        <v>113.403434792293</v>
      </c>
      <c r="AJ3424">
        <v>74.658858165345805</v>
      </c>
      <c r="AK3424">
        <v>0.44628953234173102</v>
      </c>
      <c r="AL3424">
        <v>87.716212930678907</v>
      </c>
      <c r="AM3424">
        <v>93.459180320616497</v>
      </c>
      <c r="AN3424">
        <v>1.0000000032847001</v>
      </c>
    </row>
    <row r="3425" spans="1:40" x14ac:dyDescent="0.3">
      <c r="A3425" t="str">
        <f>"20200111153946768"</f>
        <v>20200111153946768</v>
      </c>
      <c r="B3425" t="str">
        <f>"1578728386763829"</f>
        <v>1578728386763829</v>
      </c>
      <c r="C3425" t="s">
        <v>40</v>
      </c>
      <c r="D3425">
        <v>5.3256489999999896</v>
      </c>
      <c r="E3425">
        <v>0.59206190000000003</v>
      </c>
      <c r="F3425" t="s">
        <v>41</v>
      </c>
      <c r="G3425">
        <v>-380.18</v>
      </c>
      <c r="H3425">
        <v>0.88266859999999903</v>
      </c>
      <c r="I3425">
        <v>17.781639999999999</v>
      </c>
      <c r="J3425">
        <v>-380.6798</v>
      </c>
      <c r="K3425">
        <v>1.104779</v>
      </c>
      <c r="L3425">
        <v>17.944949999999999</v>
      </c>
      <c r="M3425">
        <v>0.99989059999999996</v>
      </c>
      <c r="N3425">
        <v>0</v>
      </c>
      <c r="O3425">
        <v>-1.1196640000000001E-2</v>
      </c>
      <c r="P3425">
        <v>0.99845930000000005</v>
      </c>
      <c r="Q3425">
        <v>3.0450339999999999E-2</v>
      </c>
      <c r="R3425">
        <v>4.6392610000000001E-2</v>
      </c>
      <c r="S3425">
        <v>3.0572509999999999</v>
      </c>
      <c r="T3425">
        <v>-0.79471159999999996</v>
      </c>
      <c r="U3425">
        <v>-0.59442139999999999</v>
      </c>
      <c r="V3425">
        <v>-5.7620770000000002E-2</v>
      </c>
      <c r="W3425">
        <v>4.0042010000000003E-2</v>
      </c>
      <c r="X3425">
        <v>0.99753519999999896</v>
      </c>
      <c r="Y3425">
        <v>0.17461940000000001</v>
      </c>
      <c r="Z3425">
        <v>-1.9290310000000001E-2</v>
      </c>
      <c r="AA3425">
        <v>0.98444710000000002</v>
      </c>
      <c r="AB3425">
        <v>24</v>
      </c>
      <c r="AC3425">
        <v>0.49979999999999303</v>
      </c>
      <c r="AD3425">
        <v>-0.22211040000000001</v>
      </c>
      <c r="AE3425">
        <v>-0.16330999999999901</v>
      </c>
      <c r="AF3425">
        <v>0.13382401394701399</v>
      </c>
      <c r="AG3425">
        <v>-0.22211040000000001</v>
      </c>
      <c r="AH3425">
        <v>0.42564556234547402</v>
      </c>
      <c r="AI3425">
        <v>116.463958797308</v>
      </c>
      <c r="AJ3425">
        <v>72.546723808835196</v>
      </c>
      <c r="AK3425">
        <v>0.498413524336414</v>
      </c>
      <c r="AL3425">
        <v>87.705148288006399</v>
      </c>
      <c r="AM3425">
        <v>93.305910849701903</v>
      </c>
      <c r="AN3425">
        <v>0.99999999546963603</v>
      </c>
    </row>
    <row r="3426" spans="1:40" x14ac:dyDescent="0.3">
      <c r="A3426" t="str">
        <f>"20200111153946791"</f>
        <v>20200111153946791</v>
      </c>
      <c r="B3426" t="str">
        <f>"1578728386784325"</f>
        <v>1578728386784325</v>
      </c>
      <c r="C3426" t="s">
        <v>40</v>
      </c>
      <c r="D3426">
        <v>5.3077860000000001</v>
      </c>
      <c r="E3426">
        <v>0.59203669999999997</v>
      </c>
      <c r="F3426" t="s">
        <v>41</v>
      </c>
      <c r="G3426">
        <v>-379.95460000000003</v>
      </c>
      <c r="H3426">
        <v>0.91614519999999999</v>
      </c>
      <c r="I3426">
        <v>17.802810000000001</v>
      </c>
      <c r="J3426">
        <v>-380.44400000000002</v>
      </c>
      <c r="K3426">
        <v>1.1047640000000001</v>
      </c>
      <c r="L3426">
        <v>17.943239999999999</v>
      </c>
      <c r="M3426">
        <v>0.99989989999999995</v>
      </c>
      <c r="N3426">
        <v>0</v>
      </c>
      <c r="O3426">
        <v>-1.036101E-2</v>
      </c>
      <c r="P3426">
        <v>0.99849869999999996</v>
      </c>
      <c r="Q3426">
        <v>3.0570940000000001E-2</v>
      </c>
      <c r="R3426">
        <v>4.5452590000000001E-2</v>
      </c>
      <c r="S3426">
        <v>3.0566710000000001</v>
      </c>
      <c r="T3426">
        <v>-0.79512720000000003</v>
      </c>
      <c r="U3426">
        <v>-0.59796139999999998</v>
      </c>
      <c r="V3426">
        <v>-5.5846310000000003E-2</v>
      </c>
      <c r="W3426">
        <v>4.011253E-2</v>
      </c>
      <c r="X3426">
        <v>0.99763329999999995</v>
      </c>
      <c r="Y3426">
        <v>0.1764819</v>
      </c>
      <c r="Z3426">
        <v>-1.974948E-2</v>
      </c>
      <c r="AA3426">
        <v>0.98410580000000003</v>
      </c>
      <c r="AB3426">
        <v>24</v>
      </c>
      <c r="AC3426">
        <v>0.48939999999998901</v>
      </c>
      <c r="AD3426">
        <v>-0.1886188</v>
      </c>
      <c r="AE3426">
        <v>-0.140429999999998</v>
      </c>
      <c r="AF3426">
        <v>0.11901760704719901</v>
      </c>
      <c r="AG3426">
        <v>-0.1886188</v>
      </c>
      <c r="AH3426">
        <v>0.43159660373499198</v>
      </c>
      <c r="AI3426">
        <v>112.845712450826</v>
      </c>
      <c r="AJ3426">
        <v>74.583208284695203</v>
      </c>
      <c r="AK3426">
        <v>0.485816704999181</v>
      </c>
      <c r="AL3426">
        <v>87.701104581898093</v>
      </c>
      <c r="AM3426">
        <v>93.204004771578099</v>
      </c>
      <c r="AN3426">
        <v>1.0000000133362501</v>
      </c>
    </row>
    <row r="3427" spans="1:40" x14ac:dyDescent="0.3">
      <c r="A3427" t="str">
        <f>"20200111153946813"</f>
        <v>20200111153946813</v>
      </c>
      <c r="B3427" t="str">
        <f>"1578728386804820"</f>
        <v>1578728386804820</v>
      </c>
      <c r="C3427" t="s">
        <v>40</v>
      </c>
      <c r="D3427">
        <v>5.3089209999999998</v>
      </c>
      <c r="E3427">
        <v>0.59189250000000004</v>
      </c>
      <c r="F3427" t="s">
        <v>41</v>
      </c>
      <c r="G3427">
        <v>-379.74009999999998</v>
      </c>
      <c r="H3427">
        <v>0.92157259999999996</v>
      </c>
      <c r="I3427">
        <v>17.804960000000001</v>
      </c>
      <c r="J3427">
        <v>-380.2079</v>
      </c>
      <c r="K3427">
        <v>1.104751</v>
      </c>
      <c r="L3427">
        <v>17.94171</v>
      </c>
      <c r="M3427">
        <v>0.99990860000000004</v>
      </c>
      <c r="N3427">
        <v>0</v>
      </c>
      <c r="O3427">
        <v>-9.5471010000000005E-3</v>
      </c>
      <c r="P3427">
        <v>0.99852870000000005</v>
      </c>
      <c r="Q3427">
        <v>3.0783089999999999E-2</v>
      </c>
      <c r="R3427">
        <v>4.4644059999999999E-2</v>
      </c>
      <c r="S3427">
        <v>3.0561829999999999</v>
      </c>
      <c r="T3427">
        <v>-0.79536600000000002</v>
      </c>
      <c r="U3427">
        <v>-0.60000609999999999</v>
      </c>
      <c r="V3427">
        <v>-5.4224649999999999E-2</v>
      </c>
      <c r="W3427">
        <v>4.028023E-2</v>
      </c>
      <c r="X3427">
        <v>0.99771600000000005</v>
      </c>
      <c r="Y3427">
        <v>0.177870899999999</v>
      </c>
      <c r="Z3427">
        <v>-2.0139589999999999E-2</v>
      </c>
      <c r="AA3427">
        <v>0.98384769999999999</v>
      </c>
      <c r="AB3427">
        <v>24</v>
      </c>
      <c r="AC3427">
        <v>0.46780000000001098</v>
      </c>
      <c r="AD3427">
        <v>-0.18317839999999999</v>
      </c>
      <c r="AE3427">
        <v>-0.13674999999999901</v>
      </c>
      <c r="AF3427">
        <v>0.115904815482543</v>
      </c>
      <c r="AG3427">
        <v>-0.18317839999999999</v>
      </c>
      <c r="AH3427">
        <v>0.41102348522783899</v>
      </c>
      <c r="AI3427">
        <v>113.21623653499</v>
      </c>
      <c r="AJ3427">
        <v>74.252039737609095</v>
      </c>
      <c r="AK3427">
        <v>0.46468113571291197</v>
      </c>
      <c r="AL3427">
        <v>87.691488307422702</v>
      </c>
      <c r="AM3427">
        <v>93.110895297364905</v>
      </c>
      <c r="AN3427">
        <v>1.0000000131262301</v>
      </c>
    </row>
    <row r="3428" spans="1:40" x14ac:dyDescent="0.3">
      <c r="A3428" t="str">
        <f>"20200111153946836"</f>
        <v>20200111153946836</v>
      </c>
      <c r="B3428" t="str">
        <f>"1578728386824340"</f>
        <v>1578728386824340</v>
      </c>
      <c r="C3428" t="s">
        <v>40</v>
      </c>
      <c r="D3428">
        <v>5.3203139999999998</v>
      </c>
      <c r="E3428">
        <v>0.59179720000000002</v>
      </c>
      <c r="F3428" t="s">
        <v>41</v>
      </c>
      <c r="G3428">
        <v>-379.52510000000001</v>
      </c>
      <c r="H3428">
        <v>0.92716089999999995</v>
      </c>
      <c r="I3428">
        <v>17.806999999999999</v>
      </c>
      <c r="J3428">
        <v>-379.96510000000001</v>
      </c>
      <c r="K3428">
        <v>1.1047340000000001</v>
      </c>
      <c r="L3428">
        <v>17.94031</v>
      </c>
      <c r="M3428">
        <v>0.99991640000000004</v>
      </c>
      <c r="N3428">
        <v>0</v>
      </c>
      <c r="O3428">
        <v>-8.7350039999999993E-3</v>
      </c>
      <c r="P3428">
        <v>0.9985638</v>
      </c>
      <c r="Q3428">
        <v>3.1845529999999997E-2</v>
      </c>
      <c r="R3428">
        <v>4.3086230000000003E-2</v>
      </c>
      <c r="S3428">
        <v>3.0557859999999999</v>
      </c>
      <c r="T3428">
        <v>-0.7949678</v>
      </c>
      <c r="U3428">
        <v>-0.60098269999999998</v>
      </c>
      <c r="V3428">
        <v>-5.1856439999999997E-2</v>
      </c>
      <c r="W3428">
        <v>4.1303630000000001E-2</v>
      </c>
      <c r="X3428">
        <v>0.99780009999999997</v>
      </c>
      <c r="Y3428">
        <v>0.17893990000000001</v>
      </c>
      <c r="Z3428">
        <v>-2.0473109999999999E-2</v>
      </c>
      <c r="AA3428">
        <v>0.98364700000000005</v>
      </c>
      <c r="AB3428">
        <v>24</v>
      </c>
      <c r="AC3428">
        <v>0.439999999999997</v>
      </c>
      <c r="AD3428">
        <v>-0.17757310000000001</v>
      </c>
      <c r="AE3428">
        <v>-0.13330999999999801</v>
      </c>
      <c r="AF3428">
        <v>0.11265549813076001</v>
      </c>
      <c r="AG3428">
        <v>-0.17757310000000001</v>
      </c>
      <c r="AH3428">
        <v>0.38388076444359898</v>
      </c>
      <c r="AI3428">
        <v>113.934304550896</v>
      </c>
      <c r="AJ3428">
        <v>73.644892117496994</v>
      </c>
      <c r="AK3428">
        <v>0.437707560378504</v>
      </c>
      <c r="AL3428">
        <v>87.63280306963</v>
      </c>
      <c r="AM3428">
        <v>92.975029254729705</v>
      </c>
      <c r="AN3428">
        <v>1.00000005989032</v>
      </c>
    </row>
    <row r="3429" spans="1:40" x14ac:dyDescent="0.3">
      <c r="A3429" t="str">
        <f>"20200111153946858"</f>
        <v>20200111153946858</v>
      </c>
      <c r="B3429" t="str">
        <f>"1578728386854596"</f>
        <v>1578728386854596</v>
      </c>
      <c r="C3429" t="s">
        <v>40</v>
      </c>
      <c r="D3429">
        <v>5.2746870000000001</v>
      </c>
      <c r="E3429">
        <v>0.59161819999999998</v>
      </c>
      <c r="F3429" t="s">
        <v>41</v>
      </c>
      <c r="G3429">
        <v>-379.11540000000002</v>
      </c>
      <c r="H3429">
        <v>0.884401199999999</v>
      </c>
      <c r="I3429">
        <v>17.772210000000001</v>
      </c>
      <c r="J3429">
        <v>-379.73410000000001</v>
      </c>
      <c r="K3429">
        <v>1.104719</v>
      </c>
      <c r="L3429">
        <v>17.939150000000001</v>
      </c>
      <c r="M3429">
        <v>0.99992320000000001</v>
      </c>
      <c r="N3429">
        <v>0</v>
      </c>
      <c r="O3429">
        <v>-7.9817949999999999E-3</v>
      </c>
      <c r="P3429">
        <v>0.99861390000000005</v>
      </c>
      <c r="Q3429">
        <v>3.2394470000000002E-2</v>
      </c>
      <c r="R3429">
        <v>4.1484640000000003E-2</v>
      </c>
      <c r="S3429">
        <v>3.055634</v>
      </c>
      <c r="T3429">
        <v>-0.7922534</v>
      </c>
      <c r="U3429">
        <v>-0.60406490000000002</v>
      </c>
      <c r="V3429">
        <v>-4.9502940000000002E-2</v>
      </c>
      <c r="W3429">
        <v>4.1814829999999997E-2</v>
      </c>
      <c r="X3429">
        <v>0.99789830000000002</v>
      </c>
      <c r="Y3429">
        <v>0.1806046</v>
      </c>
      <c r="Z3429">
        <v>-2.080512E-2</v>
      </c>
      <c r="AA3429">
        <v>0.98333570000000003</v>
      </c>
      <c r="AB3429">
        <v>24</v>
      </c>
      <c r="AC3429">
        <v>0.61869999999998904</v>
      </c>
      <c r="AD3429">
        <v>-0.22031780000000001</v>
      </c>
      <c r="AE3429">
        <v>-0.16694000000000001</v>
      </c>
      <c r="AF3429">
        <v>0.14487220072231</v>
      </c>
      <c r="AG3429">
        <v>-0.22031780000000001</v>
      </c>
      <c r="AH3429">
        <v>0.55447390633016302</v>
      </c>
      <c r="AI3429">
        <v>111.028760723228</v>
      </c>
      <c r="AJ3429">
        <v>75.357182142454604</v>
      </c>
      <c r="AK3429">
        <v>0.61397817578477198</v>
      </c>
      <c r="AL3429">
        <v>87.603488043923903</v>
      </c>
      <c r="AM3429">
        <v>92.839955098019402</v>
      </c>
      <c r="AN3429">
        <v>1.00000001910973</v>
      </c>
    </row>
    <row r="3430" spans="1:40" x14ac:dyDescent="0.3">
      <c r="A3430" t="str">
        <f>"20200111153946879"</f>
        <v>20200111153946879</v>
      </c>
      <c r="B3430" t="str">
        <f>"1578728386874116"</f>
        <v>1578728386874116</v>
      </c>
      <c r="C3430" t="s">
        <v>40</v>
      </c>
      <c r="D3430">
        <v>5.2847819999999999</v>
      </c>
      <c r="E3430">
        <v>0.59171569999999996</v>
      </c>
      <c r="F3430" t="s">
        <v>41</v>
      </c>
      <c r="G3430">
        <v>-378.8997</v>
      </c>
      <c r="H3430">
        <v>0.888569099999999</v>
      </c>
      <c r="I3430">
        <v>17.773499999999999</v>
      </c>
      <c r="J3430">
        <v>-379.50110000000001</v>
      </c>
      <c r="K3430">
        <v>1.1047009999999999</v>
      </c>
      <c r="L3430">
        <v>17.938110000000002</v>
      </c>
      <c r="M3430">
        <v>0.99992930000000002</v>
      </c>
      <c r="N3430">
        <v>0</v>
      </c>
      <c r="O3430">
        <v>-7.2356030000000002E-3</v>
      </c>
      <c r="P3430">
        <v>0.99871299999999996</v>
      </c>
      <c r="Q3430">
        <v>3.227257E-2</v>
      </c>
      <c r="R3430">
        <v>3.913005E-2</v>
      </c>
      <c r="S3430">
        <v>3.0549930000000001</v>
      </c>
      <c r="T3430">
        <v>-0.79136319999999905</v>
      </c>
      <c r="U3430">
        <v>-0.60644529999999996</v>
      </c>
      <c r="V3430">
        <v>-4.6403430000000002E-2</v>
      </c>
      <c r="W3430">
        <v>4.1657609999999998E-2</v>
      </c>
      <c r="X3430">
        <v>0.99805379999999999</v>
      </c>
      <c r="Y3430">
        <v>0.1820551</v>
      </c>
      <c r="Z3430">
        <v>-2.1156580000000001E-2</v>
      </c>
      <c r="AA3430">
        <v>0.98306070000000001</v>
      </c>
      <c r="AB3430">
        <v>24</v>
      </c>
      <c r="AC3430">
        <v>0.60140000000001204</v>
      </c>
      <c r="AD3430">
        <v>-0.21613189999999999</v>
      </c>
      <c r="AE3430">
        <v>-0.164610000000003</v>
      </c>
      <c r="AF3430">
        <v>0.14306435487216401</v>
      </c>
      <c r="AG3430">
        <v>-0.21613189999999999</v>
      </c>
      <c r="AH3430">
        <v>0.53794009837603596</v>
      </c>
      <c r="AI3430">
        <v>111.220205786639</v>
      </c>
      <c r="AJ3430">
        <v>75.107006527138097</v>
      </c>
      <c r="AK3430">
        <v>0.59712641649270404</v>
      </c>
      <c r="AL3430">
        <v>87.612503923290802</v>
      </c>
      <c r="AM3430">
        <v>92.661988164676998</v>
      </c>
      <c r="AN3430">
        <v>1.00000001124055</v>
      </c>
    </row>
    <row r="3431" spans="1:40" x14ac:dyDescent="0.3">
      <c r="A3431" t="str">
        <f>"20200111153946903"</f>
        <v>20200111153946903</v>
      </c>
      <c r="B3431" t="str">
        <f>"1578728386894613"</f>
        <v>1578728386894613</v>
      </c>
      <c r="C3431" t="s">
        <v>40</v>
      </c>
      <c r="D3431">
        <v>5.2864199999999997</v>
      </c>
      <c r="E3431">
        <v>0.60262289999999996</v>
      </c>
      <c r="F3431" t="s">
        <v>41</v>
      </c>
      <c r="G3431">
        <v>-378.68290000000002</v>
      </c>
      <c r="H3431">
        <v>0.89385289999999995</v>
      </c>
      <c r="I3431">
        <v>17.773039999999899</v>
      </c>
      <c r="J3431">
        <v>-379.24619999999999</v>
      </c>
      <c r="K3431">
        <v>1.1046830000000001</v>
      </c>
      <c r="L3431">
        <v>17.937190000000001</v>
      </c>
      <c r="M3431">
        <v>0.99993520000000002</v>
      </c>
      <c r="N3431">
        <v>0</v>
      </c>
      <c r="O3431">
        <v>-6.4335859999999998E-3</v>
      </c>
      <c r="P3431">
        <v>0.99879790000000002</v>
      </c>
      <c r="Q3431">
        <v>3.2510129999999998E-2</v>
      </c>
      <c r="R3431">
        <v>3.6693990000000003E-2</v>
      </c>
      <c r="S3431">
        <v>3.0534059999999998</v>
      </c>
      <c r="T3431">
        <v>-0.78699200000000002</v>
      </c>
      <c r="U3431">
        <v>-0.61441040000000002</v>
      </c>
      <c r="V3431">
        <v>-4.3166650000000001E-2</v>
      </c>
      <c r="W3431">
        <v>4.1853420000000002E-2</v>
      </c>
      <c r="X3431">
        <v>0.99819080000000004</v>
      </c>
      <c r="Y3431">
        <v>0.1853349</v>
      </c>
      <c r="Z3431">
        <v>-2.1661989999999999E-2</v>
      </c>
      <c r="AA3431">
        <v>0.98243659999999999</v>
      </c>
      <c r="AB3431">
        <v>24</v>
      </c>
      <c r="AC3431">
        <v>0.56329999999996905</v>
      </c>
      <c r="AD3431">
        <v>-0.21083009999999999</v>
      </c>
      <c r="AE3431">
        <v>-0.16415000000000199</v>
      </c>
      <c r="AF3431">
        <v>0.142166121272192</v>
      </c>
      <c r="AG3431">
        <v>-0.21083009999999999</v>
      </c>
      <c r="AH3431">
        <v>0.499809753783308</v>
      </c>
      <c r="AI3431">
        <v>112.083720021487</v>
      </c>
      <c r="AJ3431">
        <v>74.122102798220297</v>
      </c>
      <c r="AK3431">
        <v>0.56077653934568295</v>
      </c>
      <c r="AL3431">
        <v>87.601274946625594</v>
      </c>
      <c r="AM3431">
        <v>92.476206772747702</v>
      </c>
      <c r="AN3431">
        <v>0.99999997082127901</v>
      </c>
    </row>
    <row r="3432" spans="1:40" x14ac:dyDescent="0.3">
      <c r="A3432" t="str">
        <f>"20200111153946926"</f>
        <v>20200111153946926</v>
      </c>
      <c r="B3432" t="str">
        <f>"1578728386914132"</f>
        <v>1578728386914132</v>
      </c>
      <c r="C3432" t="s">
        <v>40</v>
      </c>
      <c r="D3432">
        <v>5.3617119999999998</v>
      </c>
      <c r="E3432">
        <v>0.603475599999999</v>
      </c>
      <c r="F3432" t="s">
        <v>41</v>
      </c>
      <c r="G3432">
        <v>-378.41030000000001</v>
      </c>
      <c r="H3432">
        <v>1.012022</v>
      </c>
      <c r="I3432">
        <v>17.742260000000002</v>
      </c>
      <c r="J3432">
        <v>-378.99369999999999</v>
      </c>
      <c r="K3432">
        <v>1.104663</v>
      </c>
      <c r="L3432">
        <v>17.93646</v>
      </c>
      <c r="M3432">
        <v>0.99994050000000001</v>
      </c>
      <c r="N3432">
        <v>0</v>
      </c>
      <c r="O3432">
        <v>-5.6554960000000003E-3</v>
      </c>
      <c r="P3432">
        <v>0.99890880000000004</v>
      </c>
      <c r="Q3432">
        <v>3.2548819999999999E-2</v>
      </c>
      <c r="R3432">
        <v>3.3498130000000001E-2</v>
      </c>
      <c r="S3432">
        <v>3.040619</v>
      </c>
      <c r="T3432">
        <v>-0.33717409999999998</v>
      </c>
      <c r="U3432">
        <v>-0.70849609999999996</v>
      </c>
      <c r="V3432">
        <v>-3.9192900000000003E-2</v>
      </c>
      <c r="W3432">
        <v>4.1846750000000002E-2</v>
      </c>
      <c r="X3432">
        <v>0.99835499999999999</v>
      </c>
      <c r="Y3432">
        <v>0.2201727</v>
      </c>
      <c r="Z3432">
        <v>-1.1393779999999999E-2</v>
      </c>
      <c r="AA3432">
        <v>0.97539439999999999</v>
      </c>
      <c r="AB3432">
        <v>24</v>
      </c>
      <c r="AC3432">
        <v>0.58339999999998304</v>
      </c>
      <c r="AD3432">
        <v>-9.2640999999999904E-2</v>
      </c>
      <c r="AE3432">
        <v>-0.19419999999999801</v>
      </c>
      <c r="AF3432">
        <v>0.186660059853684</v>
      </c>
      <c r="AG3432">
        <v>-9.2640999999999904E-2</v>
      </c>
      <c r="AH3432">
        <v>0.57151533792431297</v>
      </c>
      <c r="AI3432">
        <v>98.759643134837404</v>
      </c>
      <c r="AJ3432">
        <v>71.912676713157893</v>
      </c>
      <c r="AK3432">
        <v>0.60832073309095902</v>
      </c>
      <c r="AL3432">
        <v>87.601657442526303</v>
      </c>
      <c r="AM3432">
        <v>92.248133406302301</v>
      </c>
      <c r="AN3432">
        <v>0.99999996996048501</v>
      </c>
    </row>
    <row r="3433" spans="1:40" x14ac:dyDescent="0.3">
      <c r="A3433" t="str">
        <f>"20200111153946948"</f>
        <v>20200111153946948</v>
      </c>
      <c r="B3433" t="str">
        <f>"1578728386944388"</f>
        <v>1578728386944388</v>
      </c>
      <c r="C3433" t="s">
        <v>40</v>
      </c>
      <c r="D3433">
        <v>5.3504050000000003</v>
      </c>
      <c r="E3433">
        <v>0.59989630000000005</v>
      </c>
      <c r="F3433" t="s">
        <v>73</v>
      </c>
      <c r="G3433">
        <v>-361.93299999999999</v>
      </c>
      <c r="H3433" s="1">
        <v>-4.8345479999999997E-6</v>
      </c>
      <c r="I3433">
        <v>13.8616299999999</v>
      </c>
      <c r="J3433">
        <v>-378.77140000000003</v>
      </c>
      <c r="K3433">
        <v>1.1046419999999999</v>
      </c>
      <c r="L3433">
        <v>17.935939999999999</v>
      </c>
      <c r="M3433">
        <v>0.99994430000000001</v>
      </c>
      <c r="N3433">
        <v>0</v>
      </c>
      <c r="O3433">
        <v>-4.9824159999999999E-3</v>
      </c>
      <c r="P3433">
        <v>0.99902380000000002</v>
      </c>
      <c r="Q3433">
        <v>3.196247E-2</v>
      </c>
      <c r="R3433">
        <v>3.0492769999999999E-2</v>
      </c>
      <c r="S3433">
        <v>3.0339659999999999</v>
      </c>
      <c r="T3433">
        <v>-0.1964465</v>
      </c>
      <c r="U3433">
        <v>-0.7246399</v>
      </c>
      <c r="V3433">
        <v>-3.5515110000000003E-2</v>
      </c>
      <c r="W3433">
        <v>4.1214050000000002E-2</v>
      </c>
      <c r="X3433">
        <v>0.99851889999999999</v>
      </c>
      <c r="Y3433">
        <v>0.22701930000000001</v>
      </c>
      <c r="Z3433">
        <v>-6.9226629999999999E-3</v>
      </c>
      <c r="AA3433">
        <v>0.9738656</v>
      </c>
      <c r="AB3433">
        <v>24</v>
      </c>
      <c r="AC3433">
        <v>16.838399999999901</v>
      </c>
      <c r="AD3433">
        <v>-1.1046468345479901</v>
      </c>
      <c r="AE3433">
        <v>-4.0743099999999997</v>
      </c>
      <c r="AF3433">
        <v>3.9742019774856598</v>
      </c>
      <c r="AG3433">
        <v>-1.1046468345479901</v>
      </c>
      <c r="AH3433">
        <v>16.7902277852621</v>
      </c>
      <c r="AI3433">
        <v>93.663194298216894</v>
      </c>
      <c r="AJ3433">
        <v>76.683323770584394</v>
      </c>
      <c r="AK3433">
        <v>17.289484522909198</v>
      </c>
      <c r="AL3433">
        <v>87.637939756945201</v>
      </c>
      <c r="AM3433">
        <v>92.037025520160995</v>
      </c>
      <c r="AN3433">
        <v>0.99999995730646096</v>
      </c>
    </row>
    <row r="3434" spans="1:40" x14ac:dyDescent="0.3">
      <c r="A3434" t="str">
        <f>"20200111153946968"</f>
        <v>20200111153946968</v>
      </c>
      <c r="B3434" t="str">
        <f>"1578728386964884"</f>
        <v>1578728386964884</v>
      </c>
      <c r="C3434" t="s">
        <v>40</v>
      </c>
      <c r="D3434">
        <v>5.3047009999999997</v>
      </c>
      <c r="E3434">
        <v>0.59963230000000001</v>
      </c>
      <c r="F3434" t="s">
        <v>42</v>
      </c>
      <c r="G3434">
        <v>-359.59829999999999</v>
      </c>
      <c r="H3434" s="1">
        <v>-1.75715E-6</v>
      </c>
      <c r="I3434">
        <v>13.473579999999901</v>
      </c>
      <c r="J3434">
        <v>-378.53789999999998</v>
      </c>
      <c r="K3434">
        <v>1.104622</v>
      </c>
      <c r="L3434">
        <v>17.935549999999999</v>
      </c>
      <c r="M3434">
        <v>0.99994810000000001</v>
      </c>
      <c r="N3434">
        <v>0</v>
      </c>
      <c r="O3434">
        <v>-4.2907029999999999E-3</v>
      </c>
      <c r="P3434">
        <v>0.99913280000000004</v>
      </c>
      <c r="Q3434">
        <v>3.1433900000000001E-2</v>
      </c>
      <c r="R3434">
        <v>2.7307399999999999E-2</v>
      </c>
      <c r="S3434">
        <v>3.0300289999999999</v>
      </c>
      <c r="T3434">
        <v>-0.17457339999999999</v>
      </c>
      <c r="U3434">
        <v>-0.70520019999999894</v>
      </c>
      <c r="V3434">
        <v>-3.1638010000000001E-2</v>
      </c>
      <c r="W3434">
        <v>4.0625670000000003E-2</v>
      </c>
      <c r="X3434">
        <v>0.99867340000000004</v>
      </c>
      <c r="Y3434">
        <v>0.22215489999999999</v>
      </c>
      <c r="Z3434">
        <v>-6.0665129999999999E-3</v>
      </c>
      <c r="AA3434">
        <v>0.97499250000000004</v>
      </c>
      <c r="AB3434">
        <v>24</v>
      </c>
      <c r="AC3434">
        <v>18.939599999999899</v>
      </c>
      <c r="AD3434">
        <v>-1.1046237571499999</v>
      </c>
      <c r="AE3434">
        <v>-4.46197</v>
      </c>
      <c r="AF3434">
        <v>4.3665887887123702</v>
      </c>
      <c r="AG3434">
        <v>-1.1046237571499999</v>
      </c>
      <c r="AH3434">
        <v>18.8976688029298</v>
      </c>
      <c r="AI3434">
        <v>93.259605781105904</v>
      </c>
      <c r="AJ3434">
        <v>76.989297790752403</v>
      </c>
      <c r="AK3434">
        <v>19.427021837631099</v>
      </c>
      <c r="AL3434">
        <v>87.671679772031098</v>
      </c>
      <c r="AM3434">
        <v>91.8145255279819</v>
      </c>
      <c r="AN3434">
        <v>0.99999998430363402</v>
      </c>
    </row>
    <row r="3435" spans="1:40" x14ac:dyDescent="0.3">
      <c r="A3435" t="str">
        <f>"20200111153946991"</f>
        <v>20200111153946991</v>
      </c>
      <c r="B3435" t="str">
        <f>"1578728386984405"</f>
        <v>1578728386984405</v>
      </c>
      <c r="C3435" t="s">
        <v>40</v>
      </c>
      <c r="D3435">
        <v>5.3042290000000003</v>
      </c>
      <c r="E3435">
        <v>0.59917129999999996</v>
      </c>
      <c r="F3435" t="s">
        <v>42</v>
      </c>
      <c r="G3435">
        <v>-357.70010000000002</v>
      </c>
      <c r="H3435" s="1">
        <v>-2.521359E-6</v>
      </c>
      <c r="I3435">
        <v>13.029210000000001</v>
      </c>
      <c r="J3435">
        <v>-378.29730000000001</v>
      </c>
      <c r="K3435">
        <v>1.1045969999999901</v>
      </c>
      <c r="L3435">
        <v>17.935269999999999</v>
      </c>
      <c r="M3435">
        <v>0.9999517</v>
      </c>
      <c r="N3435">
        <v>0</v>
      </c>
      <c r="O3435">
        <v>-3.5971919999999999E-3</v>
      </c>
      <c r="P3435">
        <v>0.99920140000000002</v>
      </c>
      <c r="Q3435">
        <v>3.1319649999999997E-2</v>
      </c>
      <c r="R3435">
        <v>2.480657E-2</v>
      </c>
      <c r="S3435">
        <v>3.0271300000000001</v>
      </c>
      <c r="T3435">
        <v>-0.16047040000000001</v>
      </c>
      <c r="U3435">
        <v>-0.71273799999999998</v>
      </c>
      <c r="V3435">
        <v>-2.844321E-2</v>
      </c>
      <c r="W3435">
        <v>4.0440799999999999E-2</v>
      </c>
      <c r="X3435">
        <v>0.99877700000000003</v>
      </c>
      <c r="Y3435">
        <v>0.2253851</v>
      </c>
      <c r="Z3435">
        <v>-5.7013899999999998E-3</v>
      </c>
      <c r="AA3435">
        <v>0.97425309999999998</v>
      </c>
      <c r="AB3435">
        <v>24</v>
      </c>
      <c r="AC3435">
        <v>20.597199999999901</v>
      </c>
      <c r="AD3435">
        <v>-1.1045995213590001</v>
      </c>
      <c r="AE3435">
        <v>-4.9060600000000001</v>
      </c>
      <c r="AF3435">
        <v>4.8188180861860701</v>
      </c>
      <c r="AG3435">
        <v>-1.1045995213590001</v>
      </c>
      <c r="AH3435">
        <v>20.558762386180199</v>
      </c>
      <c r="AI3435">
        <v>92.994477144287501</v>
      </c>
      <c r="AJ3435">
        <v>76.808443122625206</v>
      </c>
      <c r="AK3435">
        <v>21.144830543226401</v>
      </c>
      <c r="AL3435">
        <v>87.6822807568374</v>
      </c>
      <c r="AM3435">
        <v>91.631230543007106</v>
      </c>
      <c r="AN3435">
        <v>0.99999998511437205</v>
      </c>
    </row>
    <row r="3436" spans="1:40" x14ac:dyDescent="0.3">
      <c r="A3436" t="str">
        <f>"20200111153947014"</f>
        <v>20200111153947014</v>
      </c>
      <c r="B3436" t="str">
        <f>"1578728387004903"</f>
        <v>1578728387004903</v>
      </c>
      <c r="C3436" t="s">
        <v>40</v>
      </c>
      <c r="D3436">
        <v>5.519622</v>
      </c>
      <c r="E3436">
        <v>0.59605019999999997</v>
      </c>
      <c r="F3436" t="s">
        <v>42</v>
      </c>
      <c r="G3436">
        <v>-355.86529999999999</v>
      </c>
      <c r="H3436" s="1">
        <v>-3.254417E-6</v>
      </c>
      <c r="I3436">
        <v>12.62083</v>
      </c>
      <c r="J3436">
        <v>-378.04239999999999</v>
      </c>
      <c r="K3436">
        <v>1.1045670000000001</v>
      </c>
      <c r="L3436">
        <v>17.935179999999999</v>
      </c>
      <c r="M3436">
        <v>0.99995480000000003</v>
      </c>
      <c r="N3436">
        <v>0</v>
      </c>
      <c r="O3436">
        <v>-2.8865269999999998E-3</v>
      </c>
      <c r="P3436">
        <v>0.99923340000000005</v>
      </c>
      <c r="Q3436">
        <v>3.1905349999999999E-2</v>
      </c>
      <c r="R3436">
        <v>2.2698929999999999E-2</v>
      </c>
      <c r="S3436">
        <v>3.0248409999999999</v>
      </c>
      <c r="T3436">
        <v>-0.14894959999999999</v>
      </c>
      <c r="U3436">
        <v>-0.71661379999999997</v>
      </c>
      <c r="V3436">
        <v>-2.562505E-2</v>
      </c>
      <c r="W3436">
        <v>4.0948690000000003E-2</v>
      </c>
      <c r="X3436">
        <v>0.99883259999999996</v>
      </c>
      <c r="Y3436">
        <v>0.2274611</v>
      </c>
      <c r="Z3436">
        <v>-5.3805629999999997E-3</v>
      </c>
      <c r="AA3436">
        <v>0.97377230000000004</v>
      </c>
      <c r="AB3436">
        <v>24</v>
      </c>
      <c r="AC3436">
        <v>22.177099999999999</v>
      </c>
      <c r="AD3436">
        <v>-1.104570254417</v>
      </c>
      <c r="AE3436">
        <v>-5.3143499999999904</v>
      </c>
      <c r="AF3436">
        <v>5.2380220297065501</v>
      </c>
      <c r="AG3436">
        <v>-1.104570254417</v>
      </c>
      <c r="AH3436">
        <v>22.1404068338326</v>
      </c>
      <c r="AI3436">
        <v>92.779479707584699</v>
      </c>
      <c r="AJ3436">
        <v>76.689580193600804</v>
      </c>
      <c r="AK3436">
        <v>22.778379332126701</v>
      </c>
      <c r="AL3436">
        <v>87.653156713384007</v>
      </c>
      <c r="AM3436">
        <v>91.469600839588594</v>
      </c>
      <c r="AN3436">
        <v>1.00000000061148</v>
      </c>
    </row>
    <row r="3437" spans="1:40" x14ac:dyDescent="0.3">
      <c r="A3437" t="str">
        <f>"20200111153947037"</f>
        <v>20200111153947037</v>
      </c>
      <c r="B3437" t="str">
        <f>"1578728387034180"</f>
        <v>1578728387034180</v>
      </c>
      <c r="C3437" t="s">
        <v>40</v>
      </c>
      <c r="D3437">
        <v>5.5429729999999999</v>
      </c>
      <c r="E3437">
        <v>0.59244549999999996</v>
      </c>
      <c r="F3437" t="s">
        <v>42</v>
      </c>
      <c r="G3437">
        <v>-357.78910000000002</v>
      </c>
      <c r="H3437" s="1">
        <v>-2.4298250000000001E-6</v>
      </c>
      <c r="I3437">
        <v>13.25942</v>
      </c>
      <c r="J3437">
        <v>-377.80399999999997</v>
      </c>
      <c r="K3437">
        <v>1.10454599999999</v>
      </c>
      <c r="L3437">
        <v>17.935210000000001</v>
      </c>
      <c r="M3437">
        <v>0.99995710000000004</v>
      </c>
      <c r="N3437">
        <v>0</v>
      </c>
      <c r="O3437">
        <v>-2.254102E-3</v>
      </c>
      <c r="P3437">
        <v>0.99924650000000004</v>
      </c>
      <c r="Q3437">
        <v>3.2378230000000001E-2</v>
      </c>
      <c r="R3437">
        <v>2.1407300000000001E-2</v>
      </c>
      <c r="S3437">
        <v>3.0234679999999998</v>
      </c>
      <c r="T3437">
        <v>-0.1648935</v>
      </c>
      <c r="U3437">
        <v>-0.69799800000000001</v>
      </c>
      <c r="V3437">
        <v>-2.3699970000000001E-2</v>
      </c>
      <c r="W3437">
        <v>4.1345069999999998E-2</v>
      </c>
      <c r="X3437">
        <v>0.99886379999999997</v>
      </c>
      <c r="Y3437">
        <v>0.22243599999999999</v>
      </c>
      <c r="Z3437">
        <v>-5.8613329999999998E-3</v>
      </c>
      <c r="AA3437">
        <v>0.97492970000000001</v>
      </c>
      <c r="AB3437">
        <v>24</v>
      </c>
      <c r="AC3437">
        <v>20.014900000000001</v>
      </c>
      <c r="AD3437">
        <v>-1.1045484298249999</v>
      </c>
      <c r="AE3437">
        <v>-4.6757900000000001</v>
      </c>
      <c r="AF3437">
        <v>4.6173262180000103</v>
      </c>
      <c r="AG3437">
        <v>-1.1045484298249999</v>
      </c>
      <c r="AH3437">
        <v>19.967724149773002</v>
      </c>
      <c r="AI3437">
        <v>93.084945042248194</v>
      </c>
      <c r="AJ3437">
        <v>76.979804662970196</v>
      </c>
      <c r="AK3437">
        <v>20.524369329133702</v>
      </c>
      <c r="AL3437">
        <v>87.630426554036006</v>
      </c>
      <c r="AM3437">
        <v>91.359197842972804</v>
      </c>
      <c r="AN3437">
        <v>0.99999999717087196</v>
      </c>
    </row>
    <row r="3438" spans="1:40" x14ac:dyDescent="0.3">
      <c r="A3438" t="str">
        <f>"20200111153947058"</f>
        <v>20200111153947058</v>
      </c>
      <c r="B3438" t="str">
        <f>"1578728387054676"</f>
        <v>1578728387054676</v>
      </c>
      <c r="C3438" t="s">
        <v>40</v>
      </c>
      <c r="D3438">
        <v>5.4802200000000001</v>
      </c>
      <c r="E3438">
        <v>0.59047559999999999</v>
      </c>
      <c r="F3438" t="s">
        <v>73</v>
      </c>
      <c r="G3438">
        <v>-360.18740000000003</v>
      </c>
      <c r="H3438" s="1">
        <v>-5.6330199999999998E-6</v>
      </c>
      <c r="I3438">
        <v>14.01201</v>
      </c>
      <c r="J3438">
        <v>-377.5686</v>
      </c>
      <c r="K3438">
        <v>1.1045160000000001</v>
      </c>
      <c r="L3438">
        <v>17.93533</v>
      </c>
      <c r="M3438">
        <v>0.99995889999999998</v>
      </c>
      <c r="N3438">
        <v>0</v>
      </c>
      <c r="O3438">
        <v>-1.663882E-3</v>
      </c>
      <c r="P3438">
        <v>0.99924950000000001</v>
      </c>
      <c r="Q3438">
        <v>3.2794660000000003E-2</v>
      </c>
      <c r="R3438">
        <v>2.0625350000000001E-2</v>
      </c>
      <c r="S3438">
        <v>3.0228579999999998</v>
      </c>
      <c r="T3438">
        <v>-0.18953159999999999</v>
      </c>
      <c r="U3438">
        <v>-0.67318730000000004</v>
      </c>
      <c r="V3438">
        <v>-2.2326479999999999E-2</v>
      </c>
      <c r="W3438">
        <v>4.1677150000000003E-2</v>
      </c>
      <c r="X3438">
        <v>0.99888160000000004</v>
      </c>
      <c r="Y3438">
        <v>0.2153496</v>
      </c>
      <c r="Z3438">
        <v>-6.5601909999999999E-3</v>
      </c>
      <c r="AA3438">
        <v>0.97651500000000002</v>
      </c>
      <c r="AB3438">
        <v>24</v>
      </c>
      <c r="AC3438">
        <v>17.3811999999999</v>
      </c>
      <c r="AD3438">
        <v>-1.1045216330200001</v>
      </c>
      <c r="AE3438">
        <v>-3.9233199999999999</v>
      </c>
      <c r="AF3438">
        <v>3.8794864737238899</v>
      </c>
      <c r="AG3438">
        <v>-1.1045216330200001</v>
      </c>
      <c r="AH3438">
        <v>17.3211487243974</v>
      </c>
      <c r="AI3438">
        <v>93.560671760640901</v>
      </c>
      <c r="AJ3438">
        <v>77.375583189370701</v>
      </c>
      <c r="AK3438">
        <v>17.784616286844901</v>
      </c>
      <c r="AL3438">
        <v>87.611383253061305</v>
      </c>
      <c r="AM3438">
        <v>91.280432147788801</v>
      </c>
      <c r="AN3438">
        <v>0.99999995367993499</v>
      </c>
    </row>
    <row r="3439" spans="1:40" x14ac:dyDescent="0.3">
      <c r="A3439" t="str">
        <f>"20200111153947081"</f>
        <v>20200111153947081</v>
      </c>
      <c r="B3439" t="str">
        <f>"1578728387074197"</f>
        <v>1578728387074197</v>
      </c>
      <c r="C3439" t="s">
        <v>40</v>
      </c>
      <c r="D3439">
        <v>5.4637669999999998</v>
      </c>
      <c r="E3439">
        <v>0.5888755</v>
      </c>
      <c r="F3439" t="s">
        <v>73</v>
      </c>
      <c r="G3439">
        <v>-361.17860000000002</v>
      </c>
      <c r="H3439" s="1">
        <v>-5.1033739999999998E-6</v>
      </c>
      <c r="I3439">
        <v>14.356579999999999</v>
      </c>
      <c r="J3439">
        <v>-377.32060000000001</v>
      </c>
      <c r="K3439">
        <v>1.104473</v>
      </c>
      <c r="L3439">
        <v>17.93561</v>
      </c>
      <c r="M3439">
        <v>0.99996059999999998</v>
      </c>
      <c r="N3439">
        <v>0</v>
      </c>
      <c r="O3439">
        <v>-1.07664E-3</v>
      </c>
      <c r="P3439">
        <v>0.99924469999999999</v>
      </c>
      <c r="Q3439">
        <v>3.284699E-2</v>
      </c>
      <c r="R3439">
        <v>2.0767330000000001E-2</v>
      </c>
      <c r="S3439">
        <v>3.0225520000000001</v>
      </c>
      <c r="T3439">
        <v>-0.2036896</v>
      </c>
      <c r="U3439">
        <v>-0.65997309999999998</v>
      </c>
      <c r="V3439">
        <v>-2.187973E-2</v>
      </c>
      <c r="W3439">
        <v>4.1641409999999997E-2</v>
      </c>
      <c r="X3439">
        <v>0.99889300000000003</v>
      </c>
      <c r="Y3439">
        <v>0.21181530000000001</v>
      </c>
      <c r="Z3439">
        <v>-6.9746610000000001E-3</v>
      </c>
      <c r="AA3439">
        <v>0.97728479999999995</v>
      </c>
      <c r="AB3439">
        <v>24</v>
      </c>
      <c r="AC3439">
        <v>16.1419999999999</v>
      </c>
      <c r="AD3439">
        <v>-1.1044781033740001</v>
      </c>
      <c r="AE3439">
        <v>-3.5790299999999999</v>
      </c>
      <c r="AF3439">
        <v>3.5458256320252399</v>
      </c>
      <c r="AG3439">
        <v>-1.1044781033740001</v>
      </c>
      <c r="AH3439">
        <v>16.074116778376201</v>
      </c>
      <c r="AI3439">
        <v>93.838703642947095</v>
      </c>
      <c r="AJ3439">
        <v>77.560218475764003</v>
      </c>
      <c r="AK3439">
        <v>16.497575018724199</v>
      </c>
      <c r="AL3439">
        <v>87.613432840517603</v>
      </c>
      <c r="AM3439">
        <v>91.254804824091593</v>
      </c>
      <c r="AN3439">
        <v>0.99999997753032999</v>
      </c>
    </row>
    <row r="3440" spans="1:40" x14ac:dyDescent="0.3">
      <c r="A3440" t="str">
        <f>"20200111153947104"</f>
        <v>20200111153947104</v>
      </c>
      <c r="B3440" t="str">
        <f>"1578728387094693"</f>
        <v>1578728387094693</v>
      </c>
      <c r="C3440" t="s">
        <v>40</v>
      </c>
      <c r="D3440">
        <v>5.470942</v>
      </c>
      <c r="E3440">
        <v>0.58767380000000002</v>
      </c>
      <c r="F3440" t="s">
        <v>73</v>
      </c>
      <c r="G3440">
        <v>-361.7835</v>
      </c>
      <c r="H3440" s="1">
        <v>-4.7724019999999999E-6</v>
      </c>
      <c r="I3440">
        <v>14.61031</v>
      </c>
      <c r="J3440">
        <v>-377.06279999999998</v>
      </c>
      <c r="K3440">
        <v>1.1044389999999999</v>
      </c>
      <c r="L3440">
        <v>17.935970000000001</v>
      </c>
      <c r="M3440">
        <v>0.99996189999999996</v>
      </c>
      <c r="N3440">
        <v>0</v>
      </c>
      <c r="O3440">
        <v>-5.0799660000000002E-4</v>
      </c>
      <c r="P3440">
        <v>0.99924100000000005</v>
      </c>
      <c r="Q3440">
        <v>3.281572E-2</v>
      </c>
      <c r="R3440">
        <v>2.100024E-2</v>
      </c>
      <c r="S3440">
        <v>3.0227659999999998</v>
      </c>
      <c r="T3440">
        <v>-0.21487790000000001</v>
      </c>
      <c r="U3440">
        <v>-0.64694209999999996</v>
      </c>
      <c r="V3440">
        <v>-2.1541660000000001E-2</v>
      </c>
      <c r="W3440">
        <v>4.1518020000000003E-2</v>
      </c>
      <c r="X3440">
        <v>0.9989055</v>
      </c>
      <c r="Y3440">
        <v>0.20828550000000001</v>
      </c>
      <c r="Z3440">
        <v>-7.2756729999999999E-3</v>
      </c>
      <c r="AA3440">
        <v>0.97804100000000005</v>
      </c>
      <c r="AB3440">
        <v>25</v>
      </c>
      <c r="AC3440">
        <v>15.2792999999999</v>
      </c>
      <c r="AD3440">
        <v>-1.104443772402</v>
      </c>
      <c r="AE3440">
        <v>-3.3256600000000001</v>
      </c>
      <c r="AF3440">
        <v>3.3014279613966702</v>
      </c>
      <c r="AG3440">
        <v>-1.104443772402</v>
      </c>
      <c r="AH3440">
        <v>15.205135276530299</v>
      </c>
      <c r="AI3440">
        <v>94.060177474991406</v>
      </c>
      <c r="AJ3440">
        <v>77.749749996151095</v>
      </c>
      <c r="AK3440">
        <v>15.598569210292199</v>
      </c>
      <c r="AL3440">
        <v>87.620508724237496</v>
      </c>
      <c r="AM3440">
        <v>91.235407075037401</v>
      </c>
      <c r="AN3440">
        <v>0.99999999351526303</v>
      </c>
    </row>
    <row r="3441" spans="1:40" x14ac:dyDescent="0.3">
      <c r="A3441" t="str">
        <f>"20200111153947127"</f>
        <v>20200111153947127</v>
      </c>
      <c r="B3441" t="str">
        <f>"1578728387123973"</f>
        <v>1578728387123973</v>
      </c>
      <c r="C3441" t="s">
        <v>40</v>
      </c>
      <c r="D3441">
        <v>5.2326350000000001</v>
      </c>
      <c r="E3441">
        <v>0.58683280000000004</v>
      </c>
      <c r="F3441" t="s">
        <v>73</v>
      </c>
      <c r="G3441">
        <v>-362.11360000000002</v>
      </c>
      <c r="H3441" s="1">
        <v>-4.5852060000000003E-6</v>
      </c>
      <c r="I3441">
        <v>14.78609</v>
      </c>
      <c r="J3441">
        <v>-376.8064</v>
      </c>
      <c r="K3441">
        <v>1.1043989999999999</v>
      </c>
      <c r="L3441">
        <v>17.936429999999898</v>
      </c>
      <c r="M3441">
        <v>0.99996289999999999</v>
      </c>
      <c r="N3441">
        <v>0</v>
      </c>
      <c r="O3441" s="1">
        <v>8.263349E-6</v>
      </c>
      <c r="P3441">
        <v>0.99921020000000005</v>
      </c>
      <c r="Q3441">
        <v>3.3151519999999997E-2</v>
      </c>
      <c r="R3441">
        <v>2.191746E-2</v>
      </c>
      <c r="S3441">
        <v>3.0230100000000002</v>
      </c>
      <c r="T3441">
        <v>-0.22333890000000001</v>
      </c>
      <c r="U3441">
        <v>-0.6369629</v>
      </c>
      <c r="V3441">
        <v>-2.1940600000000001E-2</v>
      </c>
      <c r="W3441">
        <v>4.1750990000000002E-2</v>
      </c>
      <c r="X3441">
        <v>0.99888710000000003</v>
      </c>
      <c r="Y3441">
        <v>0.2056492</v>
      </c>
      <c r="Z3441">
        <v>-7.5048529999999997E-3</v>
      </c>
      <c r="AA3441">
        <v>0.97859700000000005</v>
      </c>
      <c r="AB3441">
        <v>25</v>
      </c>
      <c r="AC3441">
        <v>14.692799999999901</v>
      </c>
      <c r="AD3441">
        <v>-1.1044035852059999</v>
      </c>
      <c r="AE3441">
        <v>-3.1503399999999901</v>
      </c>
      <c r="AF3441">
        <v>3.13353517764447</v>
      </c>
      <c r="AG3441">
        <v>-1.1044035852059999</v>
      </c>
      <c r="AH3441">
        <v>14.613835244718601</v>
      </c>
      <c r="AI3441">
        <v>94.226069052975404</v>
      </c>
      <c r="AJ3441">
        <v>77.897749626109402</v>
      </c>
      <c r="AK3441">
        <v>14.9867585070398</v>
      </c>
      <c r="AL3441">
        <v>87.607148926178894</v>
      </c>
      <c r="AM3441">
        <v>91.258302034051894</v>
      </c>
      <c r="AN3441">
        <v>0.99999998682037405</v>
      </c>
    </row>
    <row r="3442" spans="1:40" x14ac:dyDescent="0.3">
      <c r="A3442" t="str">
        <f>"20200111153947148"</f>
        <v>20200111153947148</v>
      </c>
      <c r="B3442" t="str">
        <f>"1578728387144469"</f>
        <v>1578728387144469</v>
      </c>
      <c r="C3442" t="s">
        <v>40</v>
      </c>
      <c r="D3442">
        <v>5.2546439999999999</v>
      </c>
      <c r="E3442">
        <v>0.58722180000000002</v>
      </c>
      <c r="F3442" t="s">
        <v>73</v>
      </c>
      <c r="G3442">
        <v>-361.95830000000001</v>
      </c>
      <c r="H3442" s="1">
        <v>-4.6464479999999997E-6</v>
      </c>
      <c r="I3442">
        <v>14.854749999999999</v>
      </c>
      <c r="J3442">
        <v>-376.57859999999999</v>
      </c>
      <c r="K3442">
        <v>1.1043540000000001</v>
      </c>
      <c r="L3442">
        <v>17.936920000000001</v>
      </c>
      <c r="M3442">
        <v>0.99996359999999995</v>
      </c>
      <c r="N3442">
        <v>0</v>
      </c>
      <c r="O3442">
        <v>4.1990620000000002E-4</v>
      </c>
      <c r="P3442">
        <v>0.99918050000000003</v>
      </c>
      <c r="Q3442">
        <v>3.3368889999999998E-2</v>
      </c>
      <c r="R3442">
        <v>2.2915390000000001E-2</v>
      </c>
      <c r="S3442">
        <v>3.02359</v>
      </c>
      <c r="T3442">
        <v>-0.2248938</v>
      </c>
      <c r="U3442">
        <v>-0.62753300000000001</v>
      </c>
      <c r="V3442">
        <v>-2.2523970000000001E-2</v>
      </c>
      <c r="W3442">
        <v>4.1864869999999998E-2</v>
      </c>
      <c r="X3442">
        <v>0.99886940000000002</v>
      </c>
      <c r="Y3442">
        <v>0.2030872</v>
      </c>
      <c r="Z3442">
        <v>-7.4940319999999899E-3</v>
      </c>
      <c r="AA3442">
        <v>0.979132</v>
      </c>
      <c r="AB3442">
        <v>25</v>
      </c>
      <c r="AC3442">
        <v>14.620299999999901</v>
      </c>
      <c r="AD3442">
        <v>-1.104358646448</v>
      </c>
      <c r="AE3442">
        <v>-3.0821700000000001</v>
      </c>
      <c r="AF3442">
        <v>3.0715296531709</v>
      </c>
      <c r="AG3442">
        <v>-1.104358646448</v>
      </c>
      <c r="AH3442">
        <v>14.539576222503699</v>
      </c>
      <c r="AI3442">
        <v>94.250134047592894</v>
      </c>
      <c r="AJ3442">
        <v>78.071476807810299</v>
      </c>
      <c r="AK3442">
        <v>14.901448894664099</v>
      </c>
      <c r="AL3442">
        <v>87.600618494291197</v>
      </c>
      <c r="AM3442">
        <v>91.291770225753595</v>
      </c>
      <c r="AN3442">
        <v>1.00000003741051</v>
      </c>
    </row>
    <row r="3443" spans="1:40" x14ac:dyDescent="0.3">
      <c r="A3443" t="str">
        <f>"20200111153947170"</f>
        <v>20200111153947170</v>
      </c>
      <c r="B3443" t="str">
        <f>"1578728387164965"</f>
        <v>1578728387164965</v>
      </c>
      <c r="C3443" t="s">
        <v>40</v>
      </c>
      <c r="D3443">
        <v>5.2728229999999998</v>
      </c>
      <c r="E3443">
        <v>0.58768350000000003</v>
      </c>
      <c r="F3443" t="s">
        <v>73</v>
      </c>
      <c r="G3443">
        <v>-361.1361</v>
      </c>
      <c r="H3443" s="1">
        <v>-5.0566839999999998E-6</v>
      </c>
      <c r="I3443">
        <v>14.73301</v>
      </c>
      <c r="J3443">
        <v>-376.33260000000001</v>
      </c>
      <c r="K3443">
        <v>1.104295</v>
      </c>
      <c r="L3443">
        <v>17.9375</v>
      </c>
      <c r="M3443">
        <v>0.99996439999999998</v>
      </c>
      <c r="N3443">
        <v>0</v>
      </c>
      <c r="O3443">
        <v>8.1205199999999996E-4</v>
      </c>
      <c r="P3443">
        <v>0.9991776</v>
      </c>
      <c r="Q3443">
        <v>3.3276779999999999E-2</v>
      </c>
      <c r="R3443">
        <v>2.317075E-2</v>
      </c>
      <c r="S3443">
        <v>3.0240480000000001</v>
      </c>
      <c r="T3443">
        <v>-0.21626310000000001</v>
      </c>
      <c r="U3443">
        <v>-0.62741089999999999</v>
      </c>
      <c r="V3443">
        <v>-2.238414E-2</v>
      </c>
      <c r="W3443">
        <v>4.1655240000000003E-2</v>
      </c>
      <c r="X3443">
        <v>0.99888129999999997</v>
      </c>
      <c r="Y3443">
        <v>0.2034425</v>
      </c>
      <c r="Z3443">
        <v>-7.2463959999999996E-3</v>
      </c>
      <c r="AA3443">
        <v>0.97906009999999999</v>
      </c>
      <c r="AB3443">
        <v>25</v>
      </c>
      <c r="AC3443">
        <v>15.1965</v>
      </c>
      <c r="AD3443">
        <v>-1.104300056684</v>
      </c>
      <c r="AE3443">
        <v>-3.2044899999999998</v>
      </c>
      <c r="AF3443">
        <v>3.2006477898211498</v>
      </c>
      <c r="AG3443">
        <v>-1.104300056684</v>
      </c>
      <c r="AH3443">
        <v>15.1174613423822</v>
      </c>
      <c r="AI3443">
        <v>94.087628662608793</v>
      </c>
      <c r="AJ3443">
        <v>78.0459439324855</v>
      </c>
      <c r="AK3443">
        <v>15.491974126240301</v>
      </c>
      <c r="AL3443">
        <v>87.612639877345899</v>
      </c>
      <c r="AM3443">
        <v>91.283738251058196</v>
      </c>
      <c r="AN3443">
        <v>1.0000000301163401</v>
      </c>
    </row>
    <row r="3444" spans="1:40" x14ac:dyDescent="0.3">
      <c r="A3444" t="str">
        <f>"20200111153947193"</f>
        <v>20200111153947193</v>
      </c>
      <c r="B3444" t="str">
        <f>"1578728387184485"</f>
        <v>1578728387184485</v>
      </c>
      <c r="C3444" t="s">
        <v>40</v>
      </c>
      <c r="D3444">
        <v>5.2376740000000002</v>
      </c>
      <c r="E3444">
        <v>0.58807450000000006</v>
      </c>
      <c r="F3444" t="s">
        <v>73</v>
      </c>
      <c r="G3444">
        <v>-360.45859999999999</v>
      </c>
      <c r="H3444" s="1">
        <v>-5.3950229999999996E-6</v>
      </c>
      <c r="I3444">
        <v>14.631119999999999</v>
      </c>
      <c r="J3444">
        <v>-376.0763</v>
      </c>
      <c r="K3444">
        <v>1.1042339999999999</v>
      </c>
      <c r="L3444">
        <v>17.938079999999999</v>
      </c>
      <c r="M3444">
        <v>0.99996510000000005</v>
      </c>
      <c r="N3444">
        <v>0</v>
      </c>
      <c r="O3444">
        <v>1.1641220000000001E-3</v>
      </c>
      <c r="P3444">
        <v>0.99915750000000003</v>
      </c>
      <c r="Q3444">
        <v>3.333183E-2</v>
      </c>
      <c r="R3444">
        <v>2.3942959999999999E-2</v>
      </c>
      <c r="S3444">
        <v>3.0240779999999998</v>
      </c>
      <c r="T3444">
        <v>-0.2103749</v>
      </c>
      <c r="U3444">
        <v>-0.62988279999999996</v>
      </c>
      <c r="V3444">
        <v>-2.2800480000000001E-2</v>
      </c>
      <c r="W3444">
        <v>4.1588529999999999E-2</v>
      </c>
      <c r="X3444">
        <v>0.99887459999999995</v>
      </c>
      <c r="Y3444">
        <v>0.2045758</v>
      </c>
      <c r="Z3444">
        <v>-7.1120769999999996E-3</v>
      </c>
      <c r="AA3444">
        <v>0.9788249</v>
      </c>
      <c r="AB3444">
        <v>25</v>
      </c>
      <c r="AC3444">
        <v>15.617699999999999</v>
      </c>
      <c r="AD3444">
        <v>-1.1042393950229901</v>
      </c>
      <c r="AE3444">
        <v>-3.3069599999999899</v>
      </c>
      <c r="AF3444">
        <v>3.30930563340769</v>
      </c>
      <c r="AG3444">
        <v>-1.1042393950229901</v>
      </c>
      <c r="AH3444">
        <v>15.539489562382901</v>
      </c>
      <c r="AI3444">
        <v>93.9757579517605</v>
      </c>
      <c r="AJ3444">
        <v>77.977829504537894</v>
      </c>
      <c r="AK3444">
        <v>15.9262859536124</v>
      </c>
      <c r="AL3444">
        <v>87.616465243505999</v>
      </c>
      <c r="AM3444">
        <v>91.307616048939394</v>
      </c>
      <c r="AN3444">
        <v>0.99999996712047501</v>
      </c>
    </row>
    <row r="3445" spans="1:40" x14ac:dyDescent="0.3">
      <c r="A3445" t="str">
        <f>"20200111153947214"</f>
        <v>20200111153947214</v>
      </c>
      <c r="B3445" t="str">
        <f>"1578728387204988"</f>
        <v>1578728387204988</v>
      </c>
      <c r="C3445" t="s">
        <v>40</v>
      </c>
      <c r="D3445">
        <v>5.2591029999999996</v>
      </c>
      <c r="E3445">
        <v>0.58849289999999999</v>
      </c>
      <c r="F3445" t="s">
        <v>42</v>
      </c>
      <c r="G3445">
        <v>-359.77069999999998</v>
      </c>
      <c r="H3445" s="1">
        <v>-1.4148870000000001E-6</v>
      </c>
      <c r="I3445">
        <v>14.53952</v>
      </c>
      <c r="J3445">
        <v>-375.83479999999997</v>
      </c>
      <c r="K3445">
        <v>1.1041879999999999</v>
      </c>
      <c r="L3445">
        <v>17.938690000000001</v>
      </c>
      <c r="M3445">
        <v>0.99996569999999996</v>
      </c>
      <c r="N3445">
        <v>0</v>
      </c>
      <c r="O3445">
        <v>1.443752E-3</v>
      </c>
      <c r="P3445">
        <v>0.99914409999999998</v>
      </c>
      <c r="Q3445">
        <v>3.3256109999999998E-2</v>
      </c>
      <c r="R3445">
        <v>2.4603090000000001E-2</v>
      </c>
      <c r="S3445">
        <v>3.0244749999999998</v>
      </c>
      <c r="T3445">
        <v>-0.2048208</v>
      </c>
      <c r="U3445">
        <v>-0.63037109999999996</v>
      </c>
      <c r="V3445">
        <v>-2.3177409999999999E-2</v>
      </c>
      <c r="W3445">
        <v>4.1406060000000001E-2</v>
      </c>
      <c r="X3445">
        <v>0.99887349999999997</v>
      </c>
      <c r="Y3445">
        <v>0.20499870000000001</v>
      </c>
      <c r="Z3445">
        <v>-6.9566019999999897E-3</v>
      </c>
      <c r="AA3445">
        <v>0.97873750000000004</v>
      </c>
      <c r="AB3445">
        <v>25</v>
      </c>
      <c r="AC3445">
        <v>16.0640999999999</v>
      </c>
      <c r="AD3445">
        <v>-1.104189414887</v>
      </c>
      <c r="AE3445">
        <v>-3.3991699999999998</v>
      </c>
      <c r="AF3445">
        <v>3.4069528142836298</v>
      </c>
      <c r="AG3445">
        <v>-1.104189414887</v>
      </c>
      <c r="AH3445">
        <v>15.986879346970801</v>
      </c>
      <c r="AI3445">
        <v>93.864548310645404</v>
      </c>
      <c r="AJ3445">
        <v>77.969702318723506</v>
      </c>
      <c r="AK3445">
        <v>16.383127692760802</v>
      </c>
      <c r="AL3445">
        <v>87.626929004900205</v>
      </c>
      <c r="AM3445">
        <v>91.329226896083398</v>
      </c>
      <c r="AN3445">
        <v>0.99999996157063997</v>
      </c>
    </row>
    <row r="3446" spans="1:40" x14ac:dyDescent="0.3">
      <c r="A3446" t="str">
        <f>"20200111153947237"</f>
        <v>20200111153947237</v>
      </c>
      <c r="B3446" t="str">
        <f>"1578728387224500"</f>
        <v>1578728387224500</v>
      </c>
      <c r="C3446" t="s">
        <v>40</v>
      </c>
      <c r="D3446">
        <v>5.287839</v>
      </c>
      <c r="E3446">
        <v>0.58887599999999996</v>
      </c>
      <c r="F3446" t="s">
        <v>42</v>
      </c>
      <c r="G3446">
        <v>-359.09280000000001</v>
      </c>
      <c r="H3446" s="1">
        <v>-1.6711509999999999E-6</v>
      </c>
      <c r="I3446">
        <v>14.44337</v>
      </c>
      <c r="J3446">
        <v>-375.59350000000001</v>
      </c>
      <c r="K3446">
        <v>1.1041459999999901</v>
      </c>
      <c r="L3446">
        <v>17.939299999999999</v>
      </c>
      <c r="M3446">
        <v>0.99996620000000003</v>
      </c>
      <c r="N3446">
        <v>0</v>
      </c>
      <c r="O3446">
        <v>1.675792E-3</v>
      </c>
      <c r="P3446">
        <v>0.99912310000000004</v>
      </c>
      <c r="Q3446">
        <v>3.3873630000000002E-2</v>
      </c>
      <c r="R3446">
        <v>2.4610659999999999E-2</v>
      </c>
      <c r="S3446">
        <v>3.0247190000000002</v>
      </c>
      <c r="T3446">
        <v>-0.19948949999999999</v>
      </c>
      <c r="U3446">
        <v>-0.63146969999999902</v>
      </c>
      <c r="V3446">
        <v>-2.29502E-2</v>
      </c>
      <c r="W3446">
        <v>4.1919159999999997E-2</v>
      </c>
      <c r="X3446">
        <v>0.99885740000000001</v>
      </c>
      <c r="Y3446">
        <v>0.20557230000000001</v>
      </c>
      <c r="Z3446">
        <v>-6.8089550000000002E-3</v>
      </c>
      <c r="AA3446">
        <v>0.97861830000000005</v>
      </c>
      <c r="AB3446">
        <v>25</v>
      </c>
      <c r="AC3446">
        <v>16.500699999999899</v>
      </c>
      <c r="AD3446">
        <v>-1.1041476711510001</v>
      </c>
      <c r="AE3446">
        <v>-3.4959299999999902</v>
      </c>
      <c r="AF3446">
        <v>3.5085426040287802</v>
      </c>
      <c r="AG3446">
        <v>-1.1041476711510001</v>
      </c>
      <c r="AH3446">
        <v>16.424434716296901</v>
      </c>
      <c r="AI3446">
        <v>93.761363810255304</v>
      </c>
      <c r="AJ3446">
        <v>77.941866554153094</v>
      </c>
      <c r="AK3446">
        <v>16.831252747014801</v>
      </c>
      <c r="AL3446">
        <v>87.597505123452294</v>
      </c>
      <c r="AM3446">
        <v>91.316222192806407</v>
      </c>
      <c r="AN3446">
        <v>1.0000000165949501</v>
      </c>
    </row>
    <row r="3447" spans="1:40" x14ac:dyDescent="0.3">
      <c r="A3447" t="str">
        <f>"20200111153947260"</f>
        <v>20200111153947260</v>
      </c>
      <c r="B3447" t="str">
        <f>"1578728387254757"</f>
        <v>1578728387254757</v>
      </c>
      <c r="C3447" t="s">
        <v>40</v>
      </c>
      <c r="D3447">
        <v>5.2322959999999998</v>
      </c>
      <c r="E3447">
        <v>0.58931919999999904</v>
      </c>
      <c r="F3447" t="s">
        <v>42</v>
      </c>
      <c r="G3447">
        <v>-358.39139999999998</v>
      </c>
      <c r="H3447" s="1">
        <v>-1.939237E-6</v>
      </c>
      <c r="I3447">
        <v>14.33282</v>
      </c>
      <c r="J3447">
        <v>-375.31959999999998</v>
      </c>
      <c r="K3447">
        <v>1.1041069999999999</v>
      </c>
      <c r="L3447">
        <v>17.940059999999999</v>
      </c>
      <c r="M3447">
        <v>0.99996680000000004</v>
      </c>
      <c r="N3447">
        <v>0</v>
      </c>
      <c r="O3447">
        <v>1.895285E-3</v>
      </c>
      <c r="P3447">
        <v>0.99908859999999999</v>
      </c>
      <c r="Q3447">
        <v>3.4965870000000003E-2</v>
      </c>
      <c r="R3447">
        <v>2.4484200000000001E-2</v>
      </c>
      <c r="S3447">
        <v>3.0248409999999999</v>
      </c>
      <c r="T3447">
        <v>-0.19415560000000001</v>
      </c>
      <c r="U3447">
        <v>-0.63415529999999998</v>
      </c>
      <c r="V3447">
        <v>-2.260204E-2</v>
      </c>
      <c r="W3447">
        <v>4.2894380000000003E-2</v>
      </c>
      <c r="X3447">
        <v>0.99882389999999999</v>
      </c>
      <c r="Y3447">
        <v>0.2066318</v>
      </c>
      <c r="Z3447">
        <v>-6.6739399999999997E-3</v>
      </c>
      <c r="AA3447">
        <v>0.97839600000000004</v>
      </c>
      <c r="AB3447">
        <v>25</v>
      </c>
      <c r="AC3447">
        <v>16.9282</v>
      </c>
      <c r="AD3447">
        <v>-1.104108939237</v>
      </c>
      <c r="AE3447">
        <v>-3.6072399999999898</v>
      </c>
      <c r="AF3447">
        <v>3.62456893782208</v>
      </c>
      <c r="AG3447">
        <v>-1.104108939237</v>
      </c>
      <c r="AH3447">
        <v>16.8527542037451</v>
      </c>
      <c r="AI3447">
        <v>93.664812744734903</v>
      </c>
      <c r="AJ3447">
        <v>77.862133361534205</v>
      </c>
      <c r="AK3447">
        <v>17.273444381089</v>
      </c>
      <c r="AL3447">
        <v>87.541578736324695</v>
      </c>
      <c r="AM3447">
        <v>91.296305114970593</v>
      </c>
      <c r="AN3447">
        <v>0.99999998162947701</v>
      </c>
    </row>
    <row r="3448" spans="1:40" x14ac:dyDescent="0.3">
      <c r="A3448" t="str">
        <f>"20200111153947282"</f>
        <v>20200111153947282</v>
      </c>
      <c r="B3448" t="str">
        <f>"1578728387274276"</f>
        <v>1578728387274276</v>
      </c>
      <c r="C3448" t="s">
        <v>40</v>
      </c>
      <c r="D3448">
        <v>5.2813569999999999</v>
      </c>
      <c r="E3448">
        <v>0.58969530000000003</v>
      </c>
      <c r="F3448" t="s">
        <v>42</v>
      </c>
      <c r="G3448">
        <v>-357.16730000000001</v>
      </c>
      <c r="H3448" s="1">
        <v>-2.4146659999999998E-6</v>
      </c>
      <c r="I3448">
        <v>14.1116299999999</v>
      </c>
      <c r="J3448">
        <v>-375.07530000000003</v>
      </c>
      <c r="K3448">
        <v>1.104082</v>
      </c>
      <c r="L3448">
        <v>17.9407</v>
      </c>
      <c r="M3448">
        <v>0.99996719999999895</v>
      </c>
      <c r="N3448">
        <v>0</v>
      </c>
      <c r="O3448">
        <v>2.0664609999999999E-3</v>
      </c>
      <c r="P3448">
        <v>0.99906300000000003</v>
      </c>
      <c r="Q3448">
        <v>3.565728E-2</v>
      </c>
      <c r="R3448">
        <v>2.4536430000000001E-2</v>
      </c>
      <c r="S3448">
        <v>3.0248110000000001</v>
      </c>
      <c r="T3448">
        <v>-0.18398390000000001</v>
      </c>
      <c r="U3448">
        <v>-0.63793949999999999</v>
      </c>
      <c r="V3448">
        <v>-2.24824E-2</v>
      </c>
      <c r="W3448">
        <v>4.3487970000000001E-2</v>
      </c>
      <c r="X3448">
        <v>0.99880089999999999</v>
      </c>
      <c r="Y3448">
        <v>0.20801249999999999</v>
      </c>
      <c r="Z3448">
        <v>-6.375983E-3</v>
      </c>
      <c r="AA3448">
        <v>0.97810540000000001</v>
      </c>
      <c r="AB3448">
        <v>25</v>
      </c>
      <c r="AC3448">
        <v>17.908000000000001</v>
      </c>
      <c r="AD3448">
        <v>-1.104084414666</v>
      </c>
      <c r="AE3448">
        <v>-3.8290700000000002</v>
      </c>
      <c r="AF3448">
        <v>3.8520671631935901</v>
      </c>
      <c r="AG3448">
        <v>-1.104084414666</v>
      </c>
      <c r="AH3448">
        <v>17.835219193005301</v>
      </c>
      <c r="AI3448">
        <v>93.462716876558702</v>
      </c>
      <c r="AJ3448">
        <v>77.812410926413904</v>
      </c>
      <c r="AK3448">
        <v>18.279837731418901</v>
      </c>
      <c r="AL3448">
        <v>87.507536687068693</v>
      </c>
      <c r="AM3448">
        <v>91.289475353097501</v>
      </c>
      <c r="AN3448">
        <v>0.99999994984264395</v>
      </c>
    </row>
    <row r="3449" spans="1:40" x14ac:dyDescent="0.3">
      <c r="A3449" t="str">
        <f>"20200111153947304"</f>
        <v>20200111153947304</v>
      </c>
      <c r="B3449" t="str">
        <f>"1578728387294775"</f>
        <v>1578728387294775</v>
      </c>
      <c r="C3449" t="s">
        <v>40</v>
      </c>
      <c r="D3449">
        <v>5.2961499999999999</v>
      </c>
      <c r="E3449">
        <v>0.59007929999999997</v>
      </c>
      <c r="F3449" t="s">
        <v>42</v>
      </c>
      <c r="G3449">
        <v>-356.46499999999997</v>
      </c>
      <c r="H3449" s="1">
        <v>-2.683232E-6</v>
      </c>
      <c r="I3449">
        <v>14.00048</v>
      </c>
      <c r="J3449">
        <v>-374.81560000000002</v>
      </c>
      <c r="K3449">
        <v>1.1040639999999999</v>
      </c>
      <c r="L3449">
        <v>17.941469999999999</v>
      </c>
      <c r="M3449">
        <v>0.99996750000000001</v>
      </c>
      <c r="N3449">
        <v>0</v>
      </c>
      <c r="O3449">
        <v>2.2335219999999999E-3</v>
      </c>
      <c r="P3449">
        <v>0.99904709999999997</v>
      </c>
      <c r="Q3449">
        <v>3.6296839999999997E-2</v>
      </c>
      <c r="R3449">
        <v>2.424113E-2</v>
      </c>
      <c r="S3449">
        <v>3.0249630000000001</v>
      </c>
      <c r="T3449">
        <v>-0.17946129999999999</v>
      </c>
      <c r="U3449">
        <v>-0.64044190000000001</v>
      </c>
      <c r="V3449">
        <v>-2.2018940000000001E-2</v>
      </c>
      <c r="W3449">
        <v>4.4032460000000002E-2</v>
      </c>
      <c r="X3449">
        <v>0.99878739999999999</v>
      </c>
      <c r="Y3449">
        <v>0.2089567</v>
      </c>
      <c r="Z3449">
        <v>-6.2561630000000003E-3</v>
      </c>
      <c r="AA3449">
        <v>0.97790489999999997</v>
      </c>
      <c r="AB3449">
        <v>25</v>
      </c>
      <c r="AC3449">
        <v>18.3506</v>
      </c>
      <c r="AD3449">
        <v>-1.1040666832320001</v>
      </c>
      <c r="AE3449">
        <v>-3.9409900000000002</v>
      </c>
      <c r="AF3449">
        <v>3.9682367713245998</v>
      </c>
      <c r="AG3449">
        <v>-1.1040666832320001</v>
      </c>
      <c r="AH3449">
        <v>18.278503456619099</v>
      </c>
      <c r="AI3449">
        <v>93.378103839934496</v>
      </c>
      <c r="AJ3449">
        <v>77.751243379725494</v>
      </c>
      <c r="AK3449">
        <v>18.736850186943101</v>
      </c>
      <c r="AL3449">
        <v>87.476309870969004</v>
      </c>
      <c r="AM3449">
        <v>91.262919424154902</v>
      </c>
      <c r="AN3449">
        <v>0.99999998082556696</v>
      </c>
    </row>
    <row r="3450" spans="1:40" x14ac:dyDescent="0.3">
      <c r="A3450" t="str">
        <f>"20200111153947326"</f>
        <v>20200111153947326</v>
      </c>
      <c r="B3450" t="str">
        <f>"1578728387314292"</f>
        <v>1578728387314292</v>
      </c>
      <c r="C3450" t="s">
        <v>40</v>
      </c>
      <c r="D3450">
        <v>5.5229689999999998</v>
      </c>
      <c r="E3450">
        <v>0.59000240000000004</v>
      </c>
      <c r="F3450" t="s">
        <v>42</v>
      </c>
      <c r="G3450">
        <v>-355.74119999999999</v>
      </c>
      <c r="H3450" s="1">
        <v>-2.961847E-6</v>
      </c>
      <c r="I3450">
        <v>13.8791299999999</v>
      </c>
      <c r="J3450">
        <v>-374.56810000000002</v>
      </c>
      <c r="K3450">
        <v>1.104055</v>
      </c>
      <c r="L3450">
        <v>17.9422</v>
      </c>
      <c r="M3450">
        <v>0.99996790000000002</v>
      </c>
      <c r="N3450">
        <v>0</v>
      </c>
      <c r="O3450">
        <v>2.3875630000000001E-3</v>
      </c>
      <c r="P3450">
        <v>0.99902389999999996</v>
      </c>
      <c r="Q3450">
        <v>3.7177290000000002E-2</v>
      </c>
      <c r="R3450">
        <v>2.3858219999999999E-2</v>
      </c>
      <c r="S3450">
        <v>3.0248409999999999</v>
      </c>
      <c r="T3450">
        <v>-0.17508389999999999</v>
      </c>
      <c r="U3450">
        <v>-0.64419559999999998</v>
      </c>
      <c r="V3450">
        <v>-2.1482390000000001E-2</v>
      </c>
      <c r="W3450">
        <v>4.482324E-2</v>
      </c>
      <c r="X3450">
        <v>0.99876390000000004</v>
      </c>
      <c r="Y3450">
        <v>0.21029120000000001</v>
      </c>
      <c r="Z3450">
        <v>-6.1502509999999998E-3</v>
      </c>
      <c r="AA3450">
        <v>0.97761949999999997</v>
      </c>
      <c r="AB3450">
        <v>25</v>
      </c>
      <c r="AC3450">
        <v>18.826899999999998</v>
      </c>
      <c r="AD3450">
        <v>-1.1040579618469999</v>
      </c>
      <c r="AE3450">
        <v>-4.0630699999999997</v>
      </c>
      <c r="AF3450">
        <v>4.0945557958907397</v>
      </c>
      <c r="AG3450">
        <v>-1.1040579618469999</v>
      </c>
      <c r="AH3450">
        <v>18.755516252538499</v>
      </c>
      <c r="AI3450">
        <v>93.291524842982994</v>
      </c>
      <c r="AJ3450">
        <v>77.684859972911198</v>
      </c>
      <c r="AK3450">
        <v>19.228981279517001</v>
      </c>
      <c r="AL3450">
        <v>87.430956707635403</v>
      </c>
      <c r="AM3450">
        <v>91.232183623776805</v>
      </c>
      <c r="AN3450">
        <v>0.99999997193370904</v>
      </c>
    </row>
    <row r="3451" spans="1:40" x14ac:dyDescent="0.3">
      <c r="A3451" t="str">
        <f>"20200111153947348"</f>
        <v>20200111153947348</v>
      </c>
      <c r="B3451" t="str">
        <f>"1578728387344548"</f>
        <v>1578728387344548</v>
      </c>
      <c r="C3451" t="s">
        <v>40</v>
      </c>
      <c r="D3451">
        <v>5.1063130000000001</v>
      </c>
      <c r="E3451">
        <v>0.52936499999999997</v>
      </c>
      <c r="F3451" t="s">
        <v>42</v>
      </c>
      <c r="G3451">
        <v>-355.26280000000003</v>
      </c>
      <c r="H3451" s="1">
        <v>-3.1381070000000001E-6</v>
      </c>
      <c r="I3451">
        <v>13.82845</v>
      </c>
      <c r="J3451">
        <v>-374.32380000000001</v>
      </c>
      <c r="K3451">
        <v>1.1040540000000001</v>
      </c>
      <c r="L3451">
        <v>17.94293</v>
      </c>
      <c r="M3451">
        <v>0.99996810000000003</v>
      </c>
      <c r="N3451">
        <v>0</v>
      </c>
      <c r="O3451">
        <v>2.5404360000000001E-3</v>
      </c>
      <c r="P3451">
        <v>0.99900560000000005</v>
      </c>
      <c r="Q3451">
        <v>3.7846709999999999E-2</v>
      </c>
      <c r="R3451">
        <v>2.3567970000000001E-2</v>
      </c>
      <c r="S3451">
        <v>3.02475</v>
      </c>
      <c r="T3451">
        <v>-0.17298450000000001</v>
      </c>
      <c r="U3451">
        <v>-0.64453130000000003</v>
      </c>
      <c r="V3451">
        <v>-2.103988E-2</v>
      </c>
      <c r="W3451">
        <v>4.5403909999999999E-2</v>
      </c>
      <c r="X3451">
        <v>0.9987471</v>
      </c>
      <c r="Y3451">
        <v>0.21055779999999999</v>
      </c>
      <c r="Z3451">
        <v>-6.0929060000000004E-3</v>
      </c>
      <c r="AA3451">
        <v>0.97756240000000005</v>
      </c>
      <c r="AB3451">
        <v>25</v>
      </c>
      <c r="AC3451">
        <v>19.0609999999999</v>
      </c>
      <c r="AD3451">
        <v>-1.1040571381069999</v>
      </c>
      <c r="AE3451">
        <v>-4.1144800000000004</v>
      </c>
      <c r="AF3451">
        <v>4.1495893217448501</v>
      </c>
      <c r="AG3451">
        <v>-1.1040571381069999</v>
      </c>
      <c r="AH3451">
        <v>18.989611984566899</v>
      </c>
      <c r="AI3451">
        <v>93.250893630968505</v>
      </c>
      <c r="AJ3451">
        <v>77.673549140705504</v>
      </c>
      <c r="AK3451">
        <v>19.469036879818901</v>
      </c>
      <c r="AL3451">
        <v>87.397652880869302</v>
      </c>
      <c r="AM3451">
        <v>91.206830082113896</v>
      </c>
      <c r="AN3451">
        <v>0.999999980676056</v>
      </c>
    </row>
    <row r="3452" spans="1:40" x14ac:dyDescent="0.3">
      <c r="A3452" t="str">
        <f>"20200111153947370"</f>
        <v>20200111153947370</v>
      </c>
      <c r="B3452" t="str">
        <f>"1578728387364069"</f>
        <v>1578728387364069</v>
      </c>
      <c r="C3452" t="s">
        <v>40</v>
      </c>
      <c r="D3452">
        <v>5.2135429999999996</v>
      </c>
      <c r="E3452">
        <v>0.51363549999999902</v>
      </c>
      <c r="F3452" t="s">
        <v>41</v>
      </c>
      <c r="G3452">
        <v>-373.51490000000001</v>
      </c>
      <c r="H3452">
        <v>1.0552509999999999</v>
      </c>
      <c r="I3452">
        <v>17.89959</v>
      </c>
      <c r="J3452">
        <v>-374.0616</v>
      </c>
      <c r="K3452">
        <v>1.1040399999999999</v>
      </c>
      <c r="L3452">
        <v>17.94379</v>
      </c>
      <c r="M3452">
        <v>0.99996850000000004</v>
      </c>
      <c r="N3452">
        <v>0</v>
      </c>
      <c r="O3452">
        <v>2.7091789999999999E-3</v>
      </c>
      <c r="P3452">
        <v>0.99900199999999995</v>
      </c>
      <c r="Q3452">
        <v>3.8011219999999998E-2</v>
      </c>
      <c r="R3452">
        <v>2.3456390000000001E-2</v>
      </c>
      <c r="S3452">
        <v>3.0137019999999999</v>
      </c>
      <c r="T3452">
        <v>-0.1818034</v>
      </c>
      <c r="U3452">
        <v>-0.1616821</v>
      </c>
      <c r="V3452">
        <v>-2.075977E-2</v>
      </c>
      <c r="W3452">
        <v>4.547822E-2</v>
      </c>
      <c r="X3452">
        <v>0.99874960000000002</v>
      </c>
      <c r="Y3452">
        <v>5.6170409999999997E-2</v>
      </c>
      <c r="Z3452">
        <v>-1.85468E-3</v>
      </c>
      <c r="AA3452">
        <v>0.99841950000000002</v>
      </c>
      <c r="AB3452">
        <v>26</v>
      </c>
      <c r="AC3452">
        <v>0.54669999999998697</v>
      </c>
      <c r="AD3452">
        <v>-4.8788999999999902E-2</v>
      </c>
      <c r="AE3452">
        <v>-4.4200000000000003E-2</v>
      </c>
      <c r="AF3452">
        <v>4.5322371892498999E-2</v>
      </c>
      <c r="AG3452">
        <v>-4.8788999999999902E-2</v>
      </c>
      <c r="AH3452">
        <v>0.54228737173876596</v>
      </c>
      <c r="AI3452">
        <v>95.123230956661402</v>
      </c>
      <c r="AJ3452">
        <v>85.2225336478853</v>
      </c>
      <c r="AK3452">
        <v>0.54636075761560698</v>
      </c>
      <c r="AL3452">
        <v>87.393390879264601</v>
      </c>
      <c r="AM3452">
        <v>91.190764882097596</v>
      </c>
      <c r="AN3452">
        <v>1.00000000002249</v>
      </c>
    </row>
    <row r="3453" spans="1:40" x14ac:dyDescent="0.3">
      <c r="A3453" t="str">
        <f>"20200111153947394"</f>
        <v>20200111153947394</v>
      </c>
      <c r="B3453" t="str">
        <f>"1578728387384564"</f>
        <v>1578728387384564</v>
      </c>
      <c r="C3453" t="s">
        <v>40</v>
      </c>
      <c r="D3453">
        <v>5.0754349999999997</v>
      </c>
      <c r="E3453">
        <v>0.50868150000000001</v>
      </c>
      <c r="F3453" t="s">
        <v>42</v>
      </c>
      <c r="G3453">
        <v>-355.18939999999998</v>
      </c>
      <c r="H3453" s="1">
        <v>-2.3833519999999999E-6</v>
      </c>
      <c r="I3453">
        <v>17.71471</v>
      </c>
      <c r="J3453">
        <v>-373.79250000000002</v>
      </c>
      <c r="K3453">
        <v>1.104034</v>
      </c>
      <c r="L3453">
        <v>17.944700000000001</v>
      </c>
      <c r="M3453">
        <v>0.99996859999999999</v>
      </c>
      <c r="N3453">
        <v>0</v>
      </c>
      <c r="O3453">
        <v>2.8893550000000001E-3</v>
      </c>
      <c r="P3453">
        <v>0.99899950000000004</v>
      </c>
      <c r="Q3453">
        <v>3.814041E-2</v>
      </c>
      <c r="R3453">
        <v>2.3359020000000001E-2</v>
      </c>
      <c r="S3453">
        <v>3.0105900000000001</v>
      </c>
      <c r="T3453">
        <v>-0.1761218</v>
      </c>
      <c r="U3453">
        <v>-3.6529539999999999E-2</v>
      </c>
      <c r="V3453">
        <v>-2.0483040000000001E-2</v>
      </c>
      <c r="W3453">
        <v>4.5519650000000002E-2</v>
      </c>
      <c r="X3453">
        <v>0.99875340000000001</v>
      </c>
      <c r="Y3453">
        <v>1.49913999999999E-2</v>
      </c>
      <c r="Z3453">
        <v>-6.0699780000000002E-4</v>
      </c>
      <c r="AA3453">
        <v>0.99988750000000004</v>
      </c>
      <c r="AB3453">
        <v>26</v>
      </c>
      <c r="AC3453">
        <v>18.603100000000001</v>
      </c>
      <c r="AD3453">
        <v>-1.1040363833519999</v>
      </c>
      <c r="AE3453">
        <v>-0.22999</v>
      </c>
      <c r="AF3453">
        <v>0.28274576941416901</v>
      </c>
      <c r="AG3453">
        <v>-1.1040363833519999</v>
      </c>
      <c r="AH3453">
        <v>18.537079167508502</v>
      </c>
      <c r="AI3453">
        <v>93.408015787290495</v>
      </c>
      <c r="AJ3453">
        <v>89.126136164614294</v>
      </c>
      <c r="AK3453">
        <v>18.572079731908399</v>
      </c>
      <c r="AL3453">
        <v>87.391014585646104</v>
      </c>
      <c r="AM3453">
        <v>91.174891866604099</v>
      </c>
      <c r="AN3453">
        <v>0.99999997373766103</v>
      </c>
    </row>
    <row r="3454" spans="1:40" x14ac:dyDescent="0.3">
      <c r="A3454" t="str">
        <f>"20200111153947416"</f>
        <v>20200111153947416</v>
      </c>
      <c r="B3454" t="str">
        <f>"1578728387404087"</f>
        <v>1578728387404087</v>
      </c>
      <c r="C3454" t="s">
        <v>40</v>
      </c>
      <c r="D3454">
        <v>5.0995739999999996</v>
      </c>
      <c r="E3454">
        <v>0.50644089999999997</v>
      </c>
      <c r="F3454" t="s">
        <v>42</v>
      </c>
      <c r="G3454">
        <v>-355.0351</v>
      </c>
      <c r="H3454" s="1">
        <v>-2.405781E-6</v>
      </c>
      <c r="I3454">
        <v>17.961359999999999</v>
      </c>
      <c r="J3454">
        <v>-373.54079999999999</v>
      </c>
      <c r="K3454">
        <v>1.104033</v>
      </c>
      <c r="L3454">
        <v>17.945620000000002</v>
      </c>
      <c r="M3454">
        <v>0.99996859999999999</v>
      </c>
      <c r="N3454">
        <v>0</v>
      </c>
      <c r="O3454">
        <v>3.064181E-3</v>
      </c>
      <c r="P3454">
        <v>0.99900040000000001</v>
      </c>
      <c r="Q3454">
        <v>3.8173550000000001E-2</v>
      </c>
      <c r="R3454">
        <v>2.3271500000000001E-2</v>
      </c>
      <c r="S3454">
        <v>3.009735</v>
      </c>
      <c r="T3454">
        <v>-0.1771488</v>
      </c>
      <c r="U3454">
        <v>2.6855469999999999E-3</v>
      </c>
      <c r="V3454">
        <v>-2.0221619999999999E-2</v>
      </c>
      <c r="W3454">
        <v>4.5475830000000002E-2</v>
      </c>
      <c r="X3454">
        <v>0.9987608</v>
      </c>
      <c r="Y3454">
        <v>2.1629330000000001E-3</v>
      </c>
      <c r="Z3454">
        <v>-2.438005E-4</v>
      </c>
      <c r="AA3454">
        <v>0.99999760000000004</v>
      </c>
      <c r="AB3454">
        <v>26</v>
      </c>
      <c r="AC3454">
        <v>18.505699999999901</v>
      </c>
      <c r="AD3454">
        <v>-1.104035405781</v>
      </c>
      <c r="AE3454">
        <v>1.5739999999997398E-2</v>
      </c>
      <c r="AF3454">
        <v>4.0821111330467098E-2</v>
      </c>
      <c r="AG3454">
        <v>-1.104035405781</v>
      </c>
      <c r="AH3454">
        <v>18.440029255993</v>
      </c>
      <c r="AI3454">
        <v>93.426295722351497</v>
      </c>
      <c r="AJ3454">
        <v>89.873163239537007</v>
      </c>
      <c r="AK3454">
        <v>18.473095016867799</v>
      </c>
      <c r="AL3454">
        <v>87.393528089198995</v>
      </c>
      <c r="AM3454">
        <v>91.159892542163107</v>
      </c>
      <c r="AN3454">
        <v>1.0000000503231199</v>
      </c>
    </row>
    <row r="3455" spans="1:40" x14ac:dyDescent="0.3">
      <c r="A3455" t="str">
        <f>"20200111153947437"</f>
        <v>20200111153947437</v>
      </c>
      <c r="B3455" t="str">
        <f>"1578728387424580"</f>
        <v>1578728387424580</v>
      </c>
      <c r="C3455" t="s">
        <v>40</v>
      </c>
      <c r="D3455">
        <v>5.067304</v>
      </c>
      <c r="E3455">
        <v>0.50542749999999903</v>
      </c>
      <c r="F3455" t="s">
        <v>42</v>
      </c>
      <c r="G3455">
        <v>-354.88850000000002</v>
      </c>
      <c r="H3455" s="1">
        <v>-2.4491369999999999E-6</v>
      </c>
      <c r="I3455">
        <v>18.07151</v>
      </c>
      <c r="J3455">
        <v>-373.29469999999998</v>
      </c>
      <c r="K3455">
        <v>1.1040289999999999</v>
      </c>
      <c r="L3455">
        <v>17.946560000000002</v>
      </c>
      <c r="M3455">
        <v>0.99996850000000004</v>
      </c>
      <c r="N3455">
        <v>0</v>
      </c>
      <c r="O3455">
        <v>3.239525E-3</v>
      </c>
      <c r="P3455">
        <v>0.99899329999999997</v>
      </c>
      <c r="Q3455">
        <v>3.8540570000000003E-2</v>
      </c>
      <c r="R3455">
        <v>2.2955759999999999E-2</v>
      </c>
      <c r="S3455">
        <v>3.0093380000000001</v>
      </c>
      <c r="T3455">
        <v>-0.178124</v>
      </c>
      <c r="U3455">
        <v>2.0324709999999999E-2</v>
      </c>
      <c r="V3455">
        <v>-1.973082E-2</v>
      </c>
      <c r="W3455">
        <v>4.5770209999999999E-2</v>
      </c>
      <c r="X3455">
        <v>0.99875709999999995</v>
      </c>
      <c r="Y3455">
        <v>-3.5136740000000001E-3</v>
      </c>
      <c r="Z3455" s="1">
        <v>-8.7687469999999995E-5</v>
      </c>
      <c r="AA3455">
        <v>0.99999380000000004</v>
      </c>
      <c r="AB3455">
        <v>26</v>
      </c>
      <c r="AC3455">
        <v>18.406199999999899</v>
      </c>
      <c r="AD3455">
        <v>-1.104031449137</v>
      </c>
      <c r="AE3455">
        <v>0.12494999999999799</v>
      </c>
      <c r="AF3455">
        <v>-6.5086278522981794E-2</v>
      </c>
      <c r="AG3455">
        <v>-1.104031449137</v>
      </c>
      <c r="AH3455">
        <v>18.340526062680599</v>
      </c>
      <c r="AI3455">
        <v>93.444814288257703</v>
      </c>
      <c r="AJ3455">
        <v>90.203328595712193</v>
      </c>
      <c r="AK3455">
        <v>18.373840587101</v>
      </c>
      <c r="AL3455">
        <v>87.376643595504206</v>
      </c>
      <c r="AM3455">
        <v>91.131752334131093</v>
      </c>
      <c r="AN3455">
        <v>0.99999998109086297</v>
      </c>
    </row>
    <row r="3456" spans="1:40" x14ac:dyDescent="0.3">
      <c r="A3456" t="str">
        <f>"20200111153947461"</f>
        <v>20200111153947461</v>
      </c>
      <c r="B3456" t="str">
        <f>"1578728387454836"</f>
        <v>1578728387454836</v>
      </c>
      <c r="C3456" t="s">
        <v>40</v>
      </c>
      <c r="D3456">
        <v>5.1261539999999997</v>
      </c>
      <c r="E3456">
        <v>0.50427409999999995</v>
      </c>
      <c r="F3456" t="s">
        <v>42</v>
      </c>
      <c r="G3456">
        <v>-354.2201</v>
      </c>
      <c r="H3456" s="1">
        <v>-2.726935E-6</v>
      </c>
      <c r="I3456">
        <v>18.121939999999999</v>
      </c>
      <c r="J3456">
        <v>-373.01560000000001</v>
      </c>
      <c r="K3456">
        <v>1.10402</v>
      </c>
      <c r="L3456">
        <v>17.947659999999999</v>
      </c>
      <c r="M3456">
        <v>0.99996839999999998</v>
      </c>
      <c r="N3456">
        <v>0</v>
      </c>
      <c r="O3456">
        <v>3.441291E-3</v>
      </c>
      <c r="P3456">
        <v>0.99898679999999995</v>
      </c>
      <c r="Q3456">
        <v>3.8674119999999999E-2</v>
      </c>
      <c r="R3456">
        <v>2.3010989999999999E-2</v>
      </c>
      <c r="S3456">
        <v>3.0090940000000002</v>
      </c>
      <c r="T3456">
        <v>-0.17416519999999999</v>
      </c>
      <c r="U3456">
        <v>2.767944E-2</v>
      </c>
      <c r="V3456">
        <v>-1.9585040000000001E-2</v>
      </c>
      <c r="W3456">
        <v>4.582642E-2</v>
      </c>
      <c r="X3456">
        <v>0.99875740000000002</v>
      </c>
      <c r="Y3456">
        <v>-5.75305E-3</v>
      </c>
      <c r="Z3456" s="1">
        <v>-3.2664469999999997E-5</v>
      </c>
      <c r="AA3456">
        <v>0.99998339999999997</v>
      </c>
      <c r="AB3456">
        <v>26</v>
      </c>
      <c r="AC3456">
        <v>18.795500000000001</v>
      </c>
      <c r="AD3456">
        <v>-1.104022726935</v>
      </c>
      <c r="AE3456">
        <v>0.17427999999999899</v>
      </c>
      <c r="AF3456">
        <v>-0.109219721098434</v>
      </c>
      <c r="AG3456">
        <v>-1.104022726935</v>
      </c>
      <c r="AH3456">
        <v>18.7313664666117</v>
      </c>
      <c r="AI3456">
        <v>93.373041441771704</v>
      </c>
      <c r="AJ3456">
        <v>90.334079104780699</v>
      </c>
      <c r="AK3456">
        <v>18.7641915582732</v>
      </c>
      <c r="AL3456">
        <v>87.373419638375793</v>
      </c>
      <c r="AM3456">
        <v>91.1233922622514</v>
      </c>
      <c r="AN3456">
        <v>0.99999998930828804</v>
      </c>
    </row>
    <row r="3457" spans="1:40" x14ac:dyDescent="0.3">
      <c r="A3457" t="str">
        <f>"20200111153947484"</f>
        <v>20200111153947484</v>
      </c>
      <c r="B3457" t="str">
        <f>"1578728387474356"</f>
        <v>1578728387474356</v>
      </c>
      <c r="C3457" t="s">
        <v>40</v>
      </c>
      <c r="D3457">
        <v>5.0927930000000003</v>
      </c>
      <c r="E3457">
        <v>0.50378369999999995</v>
      </c>
      <c r="F3457" t="s">
        <v>42</v>
      </c>
      <c r="G3457">
        <v>-352.6968</v>
      </c>
      <c r="H3457" s="1">
        <v>-3.3669209999999998E-6</v>
      </c>
      <c r="I3457">
        <v>18.198</v>
      </c>
      <c r="J3457">
        <v>-372.75020000000001</v>
      </c>
      <c r="K3457">
        <v>1.1040129999999999</v>
      </c>
      <c r="L3457">
        <v>17.948789999999999</v>
      </c>
      <c r="M3457">
        <v>0.99996819999999997</v>
      </c>
      <c r="N3457">
        <v>0</v>
      </c>
      <c r="O3457">
        <v>3.6377850000000002E-3</v>
      </c>
      <c r="P3457">
        <v>0.99898609999999999</v>
      </c>
      <c r="Q3457">
        <v>3.8393389999999999E-2</v>
      </c>
      <c r="R3457">
        <v>2.351806E-2</v>
      </c>
      <c r="S3457">
        <v>3.0085139999999999</v>
      </c>
      <c r="T3457">
        <v>-0.1634678</v>
      </c>
      <c r="U3457">
        <v>3.7078859999999998E-2</v>
      </c>
      <c r="V3457">
        <v>-1.989635E-2</v>
      </c>
      <c r="W3457">
        <v>4.547822E-2</v>
      </c>
      <c r="X3457">
        <v>0.99876719999999997</v>
      </c>
      <c r="Y3457">
        <v>-8.6785899999999999E-3</v>
      </c>
      <c r="Z3457" s="1">
        <v>3.808347E-5</v>
      </c>
      <c r="AA3457">
        <v>0.99996229999999997</v>
      </c>
      <c r="AB3457">
        <v>26</v>
      </c>
      <c r="AC3457">
        <v>20.0534</v>
      </c>
      <c r="AD3457">
        <v>-1.1040163669209999</v>
      </c>
      <c r="AE3457">
        <v>0.24921000000000099</v>
      </c>
      <c r="AF3457">
        <v>-0.175724032209021</v>
      </c>
      <c r="AG3457">
        <v>-1.1040163669209999</v>
      </c>
      <c r="AH3457">
        <v>19.9935842309092</v>
      </c>
      <c r="AI3457">
        <v>93.160457320812498</v>
      </c>
      <c r="AJ3457">
        <v>90.503560844991696</v>
      </c>
      <c r="AK3457">
        <v>20.024813144506101</v>
      </c>
      <c r="AL3457">
        <v>87.393390948372499</v>
      </c>
      <c r="AM3457">
        <v>91.141233033566095</v>
      </c>
      <c r="AN3457">
        <v>1.0000000265167599</v>
      </c>
    </row>
    <row r="3458" spans="1:40" x14ac:dyDescent="0.3">
      <c r="A3458" t="str">
        <f>"20200111153947505"</f>
        <v>20200111153947505</v>
      </c>
      <c r="B3458" t="str">
        <f>"1578728387494854"</f>
        <v>1578728387494854</v>
      </c>
      <c r="C3458" t="s">
        <v>40</v>
      </c>
      <c r="D3458">
        <v>5.1369509999999998</v>
      </c>
      <c r="E3458">
        <v>0.50334269999999903</v>
      </c>
      <c r="F3458" t="s">
        <v>42</v>
      </c>
      <c r="G3458">
        <v>-351.8229</v>
      </c>
      <c r="H3458" s="1">
        <v>-3.7337349999999998E-6</v>
      </c>
      <c r="I3458">
        <v>18.243600000000001</v>
      </c>
      <c r="J3458">
        <v>-372.4966</v>
      </c>
      <c r="K3458">
        <v>1.1040129999999999</v>
      </c>
      <c r="L3458">
        <v>17.949919999999999</v>
      </c>
      <c r="M3458">
        <v>0.99996790000000002</v>
      </c>
      <c r="N3458">
        <v>0</v>
      </c>
      <c r="O3458">
        <v>3.8302200000000001E-3</v>
      </c>
      <c r="P3458">
        <v>0.9989576</v>
      </c>
      <c r="Q3458">
        <v>3.8655870000000002E-2</v>
      </c>
      <c r="R3458">
        <v>2.4285480000000002E-2</v>
      </c>
      <c r="S3458">
        <v>3.0081479999999998</v>
      </c>
      <c r="T3458">
        <v>-0.15869440000000001</v>
      </c>
      <c r="U3458">
        <v>4.2388919999999997E-2</v>
      </c>
      <c r="V3458">
        <v>-2.0472420000000002E-2</v>
      </c>
      <c r="W3458">
        <v>4.5674939999999997E-2</v>
      </c>
      <c r="X3458">
        <v>0.99874660000000004</v>
      </c>
      <c r="Y3458">
        <v>-1.0251E-2</v>
      </c>
      <c r="Z3458" s="1">
        <v>6.8278280000000005E-5</v>
      </c>
      <c r="AA3458">
        <v>0.99994740000000004</v>
      </c>
      <c r="AB3458">
        <v>26</v>
      </c>
      <c r="AC3458">
        <v>20.6737</v>
      </c>
      <c r="AD3458">
        <v>-1.104016733735</v>
      </c>
      <c r="AE3458">
        <v>0.293679999999998</v>
      </c>
      <c r="AF3458">
        <v>-0.21388124779755499</v>
      </c>
      <c r="AG3458">
        <v>-1.104016733735</v>
      </c>
      <c r="AH3458">
        <v>20.615893253142499</v>
      </c>
      <c r="AI3458">
        <v>93.065195404476</v>
      </c>
      <c r="AJ3458">
        <v>90.594398362248995</v>
      </c>
      <c r="AK3458">
        <v>20.646540939379999</v>
      </c>
      <c r="AL3458">
        <v>87.382108048114006</v>
      </c>
      <c r="AM3458">
        <v>91.174290874860205</v>
      </c>
      <c r="AN3458">
        <v>1.0000000455681</v>
      </c>
    </row>
    <row r="3459" spans="1:40" x14ac:dyDescent="0.3">
      <c r="A3459" t="str">
        <f>"20200111153947528"</f>
        <v>20200111153947528</v>
      </c>
      <c r="B3459" t="str">
        <f>"1578728387514372"</f>
        <v>1578728387514372</v>
      </c>
      <c r="C3459" t="s">
        <v>40</v>
      </c>
      <c r="D3459">
        <v>5.0969369999999996</v>
      </c>
      <c r="E3459">
        <v>0.50277129999999903</v>
      </c>
      <c r="F3459" t="s">
        <v>42</v>
      </c>
      <c r="G3459">
        <v>-350.93329999999997</v>
      </c>
      <c r="H3459" s="1">
        <v>-4.1063860000000002E-6</v>
      </c>
      <c r="I3459">
        <v>18.2944</v>
      </c>
      <c r="J3459">
        <v>-372.23860000000002</v>
      </c>
      <c r="K3459">
        <v>1.104012</v>
      </c>
      <c r="L3459">
        <v>17.95111</v>
      </c>
      <c r="M3459">
        <v>0.99996759999999996</v>
      </c>
      <c r="N3459">
        <v>0</v>
      </c>
      <c r="O3459">
        <v>4.0317319999999997E-3</v>
      </c>
      <c r="P3459">
        <v>0.99890840000000003</v>
      </c>
      <c r="Q3459">
        <v>3.9196460000000002E-2</v>
      </c>
      <c r="R3459">
        <v>2.5413069999999999E-2</v>
      </c>
      <c r="S3459">
        <v>3.007965</v>
      </c>
      <c r="T3459">
        <v>-0.1540041</v>
      </c>
      <c r="U3459">
        <v>4.8065190000000001E-2</v>
      </c>
      <c r="V3459">
        <v>-2.1399660000000001E-2</v>
      </c>
      <c r="W3459">
        <v>4.6146039999999999E-2</v>
      </c>
      <c r="X3459">
        <v>0.99870539999999997</v>
      </c>
      <c r="Y3459">
        <v>-1.193547E-2</v>
      </c>
      <c r="Z3459" s="1">
        <v>9.9046939999999998E-5</v>
      </c>
      <c r="AA3459">
        <v>0.99992879999999995</v>
      </c>
      <c r="AB3459">
        <v>26</v>
      </c>
      <c r="AC3459">
        <v>21.305299999999999</v>
      </c>
      <c r="AD3459">
        <v>-1.1040161063859999</v>
      </c>
      <c r="AE3459">
        <v>0.34328999999999898</v>
      </c>
      <c r="AF3459">
        <v>-0.25669875822340699</v>
      </c>
      <c r="AG3459">
        <v>-1.1040161063859999</v>
      </c>
      <c r="AH3459">
        <v>21.249466810364801</v>
      </c>
      <c r="AI3459">
        <v>92.973911664200401</v>
      </c>
      <c r="AJ3459">
        <v>90.692113369278999</v>
      </c>
      <c r="AK3459">
        <v>21.279675409658601</v>
      </c>
      <c r="AL3459">
        <v>87.355087234294501</v>
      </c>
      <c r="AM3459">
        <v>91.227511739980997</v>
      </c>
      <c r="AN3459">
        <v>0.99999993922247599</v>
      </c>
    </row>
    <row r="3460" spans="1:40" x14ac:dyDescent="0.3">
      <c r="A3460" t="str">
        <f>"20200111153947550"</f>
        <v>20200111153947550</v>
      </c>
      <c r="B3460" t="str">
        <f>"1578728387544629"</f>
        <v>1578728387544629</v>
      </c>
      <c r="C3460" t="s">
        <v>40</v>
      </c>
      <c r="D3460">
        <v>5.1084649999999998</v>
      </c>
      <c r="E3460">
        <v>0.50233479999999997</v>
      </c>
      <c r="F3460" t="s">
        <v>42</v>
      </c>
      <c r="G3460">
        <v>-350.3492</v>
      </c>
      <c r="H3460" s="1">
        <v>-4.3456969999999999E-6</v>
      </c>
      <c r="I3460">
        <v>18.357679999999998</v>
      </c>
      <c r="J3460">
        <v>-371.97059999999999</v>
      </c>
      <c r="K3460">
        <v>1.104007</v>
      </c>
      <c r="L3460">
        <v>17.95242</v>
      </c>
      <c r="M3460">
        <v>0.9999673</v>
      </c>
      <c r="N3460">
        <v>0</v>
      </c>
      <c r="O3460">
        <v>4.2482090000000002E-3</v>
      </c>
      <c r="P3460">
        <v>0.99887239999999999</v>
      </c>
      <c r="Q3460">
        <v>3.9517419999999998E-2</v>
      </c>
      <c r="R3460">
        <v>2.6309539999999999E-2</v>
      </c>
      <c r="S3460">
        <v>3.0078130000000001</v>
      </c>
      <c r="T3460">
        <v>-0.151702799999999</v>
      </c>
      <c r="U3460">
        <v>5.5877690000000001E-2</v>
      </c>
      <c r="V3460">
        <v>-2.2080869999999999E-2</v>
      </c>
      <c r="W3460">
        <v>4.6396590000000001E-2</v>
      </c>
      <c r="X3460">
        <v>0.99867899999999998</v>
      </c>
      <c r="Y3460">
        <v>-1.431378E-2</v>
      </c>
      <c r="Z3460">
        <v>1.4659459999999999E-4</v>
      </c>
      <c r="AA3460">
        <v>0.99989749999999999</v>
      </c>
      <c r="AB3460">
        <v>26</v>
      </c>
      <c r="AC3460">
        <v>21.621399999999898</v>
      </c>
      <c r="AD3460">
        <v>-1.104011345697</v>
      </c>
      <c r="AE3460">
        <v>0.40525999999999801</v>
      </c>
      <c r="AF3460">
        <v>-0.31258724125028198</v>
      </c>
      <c r="AG3460">
        <v>-1.104011345697</v>
      </c>
      <c r="AH3460">
        <v>21.566716898551402</v>
      </c>
      <c r="AI3460">
        <v>92.930135316313894</v>
      </c>
      <c r="AJ3460">
        <v>90.830384882066696</v>
      </c>
      <c r="AK3460">
        <v>21.5972180990304</v>
      </c>
      <c r="AL3460">
        <v>87.340716483105098</v>
      </c>
      <c r="AM3460">
        <v>91.266607751264303</v>
      </c>
      <c r="AN3460">
        <v>0.99999997671229202</v>
      </c>
    </row>
    <row r="3461" spans="1:40" x14ac:dyDescent="0.3">
      <c r="A3461" t="str">
        <f>"20200111153947573"</f>
        <v>20200111153947573</v>
      </c>
      <c r="B3461" t="str">
        <f>"1578728387564148"</f>
        <v>1578728387564148</v>
      </c>
      <c r="C3461" t="s">
        <v>40</v>
      </c>
      <c r="D3461">
        <v>5.0903619999999998</v>
      </c>
      <c r="E3461">
        <v>0.50210080000000001</v>
      </c>
      <c r="F3461" t="s">
        <v>42</v>
      </c>
      <c r="G3461">
        <v>-349.81610000000001</v>
      </c>
      <c r="H3461" s="1">
        <v>-3.69837E-7</v>
      </c>
      <c r="I3461">
        <v>18.409120000000001</v>
      </c>
      <c r="J3461">
        <v>-371.68650000000002</v>
      </c>
      <c r="K3461">
        <v>1.104004</v>
      </c>
      <c r="L3461">
        <v>17.953889999999902</v>
      </c>
      <c r="M3461">
        <v>0.99996660000000004</v>
      </c>
      <c r="N3461">
        <v>0</v>
      </c>
      <c r="O3461">
        <v>4.4868499999999997E-3</v>
      </c>
      <c r="P3461">
        <v>0.99882349999999998</v>
      </c>
      <c r="Q3461">
        <v>3.9769110000000003E-2</v>
      </c>
      <c r="R3461">
        <v>2.7749619999999999E-2</v>
      </c>
      <c r="S3461">
        <v>3.0076900000000002</v>
      </c>
      <c r="T3461">
        <v>-0.14987919999999999</v>
      </c>
      <c r="U3461">
        <v>6.2011719999999999E-2</v>
      </c>
      <c r="V3461">
        <v>-2.3284030000000001E-2</v>
      </c>
      <c r="W3461">
        <v>4.6580919999999998E-2</v>
      </c>
      <c r="X3461">
        <v>0.99864310000000001</v>
      </c>
      <c r="Y3461">
        <v>-1.6112709999999999E-2</v>
      </c>
      <c r="Z3461">
        <v>1.7774419999999901E-4</v>
      </c>
      <c r="AA3461">
        <v>0.99987020000000004</v>
      </c>
      <c r="AB3461">
        <v>26</v>
      </c>
      <c r="AC3461">
        <v>21.8704</v>
      </c>
      <c r="AD3461">
        <v>-1.1040043698369999</v>
      </c>
      <c r="AE3461">
        <v>0.45523000000000302</v>
      </c>
      <c r="AF3461">
        <v>-0.35618669281440901</v>
      </c>
      <c r="AG3461">
        <v>-1.1040043698369999</v>
      </c>
      <c r="AH3461">
        <v>21.816654005857099</v>
      </c>
      <c r="AI3461">
        <v>92.896524538719305</v>
      </c>
      <c r="AJ3461">
        <v>90.935348805067406</v>
      </c>
      <c r="AK3461">
        <v>21.847473231933201</v>
      </c>
      <c r="AL3461">
        <v>87.3301437419358</v>
      </c>
      <c r="AM3461">
        <v>91.335647324000405</v>
      </c>
      <c r="AN3461">
        <v>0.99999998466934803</v>
      </c>
    </row>
    <row r="3462" spans="1:40" x14ac:dyDescent="0.3">
      <c r="A3462" t="str">
        <f>"20200111153947596"</f>
        <v>20200111153947596</v>
      </c>
      <c r="B3462" t="str">
        <f>"1578728387584647"</f>
        <v>1578728387584647</v>
      </c>
      <c r="C3462" t="s">
        <v>40</v>
      </c>
      <c r="D3462">
        <v>5.1572879999999897</v>
      </c>
      <c r="E3462">
        <v>0.50190159999999995</v>
      </c>
      <c r="F3462" t="s">
        <v>42</v>
      </c>
      <c r="G3462">
        <v>-349.3614</v>
      </c>
      <c r="H3462" s="1">
        <v>-5.1111599999999998E-7</v>
      </c>
      <c r="I3462">
        <v>18.45965</v>
      </c>
      <c r="J3462">
        <v>-371.42779999999999</v>
      </c>
      <c r="K3462">
        <v>1.1040030000000001</v>
      </c>
      <c r="L3462">
        <v>17.955259999999999</v>
      </c>
      <c r="M3462">
        <v>0.99996600000000002</v>
      </c>
      <c r="N3462">
        <v>0</v>
      </c>
      <c r="O3462">
        <v>4.7129820000000001E-3</v>
      </c>
      <c r="P3462">
        <v>0.99876120000000002</v>
      </c>
      <c r="Q3462">
        <v>4.0257550000000003E-2</v>
      </c>
      <c r="R3462">
        <v>2.925063E-2</v>
      </c>
      <c r="S3462">
        <v>3.007568</v>
      </c>
      <c r="T3462">
        <v>-0.14872829999999901</v>
      </c>
      <c r="U3462">
        <v>6.8145750000000005E-2</v>
      </c>
      <c r="V3462">
        <v>-2.456065E-2</v>
      </c>
      <c r="W3462">
        <v>4.701437E-2</v>
      </c>
      <c r="X3462">
        <v>0.99859219999999904</v>
      </c>
      <c r="Y3462">
        <v>-1.7924010000000001E-2</v>
      </c>
      <c r="Z3462">
        <v>2.0996289999999999E-4</v>
      </c>
      <c r="AA3462">
        <v>0.99983929999999999</v>
      </c>
      <c r="AB3462">
        <v>27</v>
      </c>
      <c r="AC3462">
        <v>22.066399999999899</v>
      </c>
      <c r="AD3462">
        <v>-1.104003511116</v>
      </c>
      <c r="AE3462">
        <v>0.50439000000000001</v>
      </c>
      <c r="AF3462">
        <v>-0.399384294776988</v>
      </c>
      <c r="AG3462">
        <v>-1.104003511116</v>
      </c>
      <c r="AH3462">
        <v>22.0134590698752</v>
      </c>
      <c r="AI3462">
        <v>92.870580580586903</v>
      </c>
      <c r="AJ3462">
        <v>91.039387958100704</v>
      </c>
      <c r="AK3462">
        <v>22.044743404915</v>
      </c>
      <c r="AL3462">
        <v>87.3052816318407</v>
      </c>
      <c r="AM3462">
        <v>91.408921413902306</v>
      </c>
      <c r="AN3462">
        <v>0.99999997920787898</v>
      </c>
    </row>
    <row r="3463" spans="1:40" x14ac:dyDescent="0.3">
      <c r="A3463" t="str">
        <f>"20200111153947616"</f>
        <v>20200111153947616</v>
      </c>
      <c r="B3463" t="str">
        <f>"1578728387604168"</f>
        <v>1578728387604168</v>
      </c>
      <c r="C3463" t="s">
        <v>40</v>
      </c>
      <c r="D3463">
        <v>5.0978770000000004</v>
      </c>
      <c r="E3463">
        <v>0.50182479999999996</v>
      </c>
      <c r="F3463" t="s">
        <v>42</v>
      </c>
      <c r="G3463">
        <v>-348.83850000000001</v>
      </c>
      <c r="H3463" s="1">
        <v>-6.7632199999999996E-7</v>
      </c>
      <c r="I3463">
        <v>18.51286</v>
      </c>
      <c r="J3463">
        <v>-371.17509999999999</v>
      </c>
      <c r="K3463">
        <v>1.1040049999999999</v>
      </c>
      <c r="L3463">
        <v>17.95673</v>
      </c>
      <c r="M3463">
        <v>0.99996529999999995</v>
      </c>
      <c r="N3463">
        <v>0</v>
      </c>
      <c r="O3463">
        <v>4.9429060000000004E-3</v>
      </c>
      <c r="P3463">
        <v>0.99871980000000005</v>
      </c>
      <c r="Q3463">
        <v>4.0308240000000002E-2</v>
      </c>
      <c r="R3463">
        <v>3.0566690000000001E-2</v>
      </c>
      <c r="S3463">
        <v>3.0075069999999999</v>
      </c>
      <c r="T3463">
        <v>-0.14698510000000001</v>
      </c>
      <c r="U3463">
        <v>7.4249270000000006E-2</v>
      </c>
      <c r="V3463">
        <v>-2.5647719999999999E-2</v>
      </c>
      <c r="W3463">
        <v>4.7015800000000003E-2</v>
      </c>
      <c r="X3463">
        <v>0.99856480000000003</v>
      </c>
      <c r="Y3463">
        <v>-1.9721019999999999E-2</v>
      </c>
      <c r="Z3463">
        <v>2.4015589999999999E-4</v>
      </c>
      <c r="AA3463">
        <v>0.99980550000000001</v>
      </c>
      <c r="AB3463">
        <v>27</v>
      </c>
      <c r="AC3463">
        <v>22.336599999999901</v>
      </c>
      <c r="AD3463">
        <v>-1.1040056763220001</v>
      </c>
      <c r="AE3463">
        <v>0.55612999999999901</v>
      </c>
      <c r="AF3463">
        <v>-0.444627494736684</v>
      </c>
      <c r="AG3463">
        <v>-1.1040056763220001</v>
      </c>
      <c r="AH3463">
        <v>22.284670234103999</v>
      </c>
      <c r="AI3463">
        <v>92.8356101367078</v>
      </c>
      <c r="AJ3463">
        <v>91.143023386354002</v>
      </c>
      <c r="AK3463">
        <v>22.316430036750699</v>
      </c>
      <c r="AL3463">
        <v>87.305199597888105</v>
      </c>
      <c r="AM3463">
        <v>91.471294696822397</v>
      </c>
      <c r="AN3463">
        <v>0.99999997539493801</v>
      </c>
    </row>
    <row r="3464" spans="1:40" x14ac:dyDescent="0.3">
      <c r="A3464" t="str">
        <f>"20200111153947639"</f>
        <v>20200111153947639</v>
      </c>
      <c r="B3464" t="str">
        <f>"1578728387634420"</f>
        <v>1578728387634420</v>
      </c>
      <c r="C3464" t="s">
        <v>40</v>
      </c>
      <c r="D3464">
        <v>5.1422309999999998</v>
      </c>
      <c r="E3464">
        <v>0.4813672</v>
      </c>
      <c r="F3464" t="s">
        <v>42</v>
      </c>
      <c r="G3464">
        <v>-348.64409999999998</v>
      </c>
      <c r="H3464" s="1">
        <v>-7.5354999999999997E-7</v>
      </c>
      <c r="I3464">
        <v>18.54766</v>
      </c>
      <c r="J3464">
        <v>-370.9074</v>
      </c>
      <c r="K3464">
        <v>1.1040019999999999</v>
      </c>
      <c r="L3464">
        <v>17.958310000000001</v>
      </c>
      <c r="M3464">
        <v>0.99996430000000003</v>
      </c>
      <c r="N3464">
        <v>0</v>
      </c>
      <c r="O3464">
        <v>5.1942159999999998E-3</v>
      </c>
      <c r="P3464">
        <v>0.99871430000000005</v>
      </c>
      <c r="Q3464">
        <v>3.9657999999999999E-2</v>
      </c>
      <c r="R3464">
        <v>3.1583960000000001E-2</v>
      </c>
      <c r="S3464">
        <v>3.0073850000000002</v>
      </c>
      <c r="T3464">
        <v>-0.14735970000000001</v>
      </c>
      <c r="U3464">
        <v>7.8887940000000004E-2</v>
      </c>
      <c r="V3464">
        <v>-2.641423E-2</v>
      </c>
      <c r="W3464">
        <v>4.631942E-2</v>
      </c>
      <c r="X3464">
        <v>0.99857739999999995</v>
      </c>
      <c r="Y3464">
        <v>-2.1010529999999999E-2</v>
      </c>
      <c r="Z3464">
        <v>2.6003650000000001E-4</v>
      </c>
      <c r="AA3464">
        <v>0.99977919999999998</v>
      </c>
      <c r="AB3464">
        <v>27</v>
      </c>
      <c r="AC3464">
        <v>22.263300000000001</v>
      </c>
      <c r="AD3464">
        <v>-1.1040027535500001</v>
      </c>
      <c r="AE3464">
        <v>0.58934999999999904</v>
      </c>
      <c r="AF3464">
        <v>-0.47253792751895202</v>
      </c>
      <c r="AG3464">
        <v>-1.1040027535500001</v>
      </c>
      <c r="AH3464">
        <v>22.2114808088483</v>
      </c>
      <c r="AI3464">
        <v>92.844853574928806</v>
      </c>
      <c r="AJ3464">
        <v>91.218754642441993</v>
      </c>
      <c r="AK3464">
        <v>22.2439203805136</v>
      </c>
      <c r="AL3464">
        <v>87.3451428510065</v>
      </c>
      <c r="AM3464">
        <v>91.515226626236696</v>
      </c>
      <c r="AN3464">
        <v>1.00000001200319</v>
      </c>
    </row>
    <row r="3465" spans="1:40" x14ac:dyDescent="0.3">
      <c r="A3465" t="str">
        <f>"20200111153947662"</f>
        <v>20200111153947662</v>
      </c>
      <c r="B3465" t="str">
        <f>"1578728387654917"</f>
        <v>1578728387654917</v>
      </c>
      <c r="C3465" t="s">
        <v>40</v>
      </c>
      <c r="D3465">
        <v>5.1363260000000004</v>
      </c>
      <c r="E3465">
        <v>0.48074820000000001</v>
      </c>
      <c r="F3465" t="s">
        <v>42</v>
      </c>
      <c r="G3465">
        <v>-349.71429999999998</v>
      </c>
      <c r="H3465" s="1">
        <v>-1.2374509999999999E-7</v>
      </c>
      <c r="I3465">
        <v>19.687190000000001</v>
      </c>
      <c r="J3465">
        <v>-370.62439999999998</v>
      </c>
      <c r="K3465">
        <v>1.103993</v>
      </c>
      <c r="L3465">
        <v>17.960079999999898</v>
      </c>
      <c r="M3465">
        <v>0.99996300000000005</v>
      </c>
      <c r="N3465">
        <v>0</v>
      </c>
      <c r="O3465">
        <v>5.4677459999999999E-3</v>
      </c>
      <c r="P3465">
        <v>0.99873049999999997</v>
      </c>
      <c r="Q3465">
        <v>3.8921610000000002E-2</v>
      </c>
      <c r="R3465">
        <v>3.197759E-2</v>
      </c>
      <c r="S3465">
        <v>3.002319</v>
      </c>
      <c r="T3465">
        <v>-0.15639810000000001</v>
      </c>
      <c r="U3465">
        <v>0.24493409999999999</v>
      </c>
      <c r="V3465">
        <v>-2.6534700000000001E-2</v>
      </c>
      <c r="W3465">
        <v>4.553919E-2</v>
      </c>
      <c r="X3465">
        <v>0.99861009999999995</v>
      </c>
      <c r="Y3465">
        <v>-7.5765840000000001E-2</v>
      </c>
      <c r="Z3465">
        <v>1.684659E-3</v>
      </c>
      <c r="AA3465">
        <v>0.99712420000000002</v>
      </c>
      <c r="AB3465">
        <v>27</v>
      </c>
      <c r="AC3465">
        <v>20.9101</v>
      </c>
      <c r="AD3465">
        <v>-1.1039931237450999</v>
      </c>
      <c r="AE3465">
        <v>1.7271099999999999</v>
      </c>
      <c r="AF3465">
        <v>-1.6082977347847001</v>
      </c>
      <c r="AG3465">
        <v>-1.1039931237450999</v>
      </c>
      <c r="AH3465">
        <v>20.861472953099</v>
      </c>
      <c r="AI3465">
        <v>93.020332079245705</v>
      </c>
      <c r="AJ3465">
        <v>94.408449907866796</v>
      </c>
      <c r="AK3465">
        <v>20.9524813851217</v>
      </c>
      <c r="AL3465">
        <v>87.389893984664994</v>
      </c>
      <c r="AM3465">
        <v>91.522084207366603</v>
      </c>
      <c r="AN3465">
        <v>1.00000001997597</v>
      </c>
    </row>
    <row r="3466" spans="1:40" x14ac:dyDescent="0.3">
      <c r="A3466" t="str">
        <f>"20200111153947684"</f>
        <v>20200111153947684</v>
      </c>
      <c r="B3466" t="str">
        <f>"1578728387674435"</f>
        <v>1578728387674435</v>
      </c>
      <c r="C3466" t="s">
        <v>40</v>
      </c>
      <c r="D3466">
        <v>5.1110049999999996</v>
      </c>
      <c r="E3466">
        <v>0.48077710000000001</v>
      </c>
      <c r="F3466" t="s">
        <v>42</v>
      </c>
      <c r="G3466">
        <v>-348.18520000000001</v>
      </c>
      <c r="H3466" s="1">
        <v>-8.1916019999999902E-7</v>
      </c>
      <c r="I3466">
        <v>19.83539</v>
      </c>
      <c r="J3466">
        <v>-370.35770000000002</v>
      </c>
      <c r="K3466">
        <v>1.1039840000000001</v>
      </c>
      <c r="L3466">
        <v>17.961819999999999</v>
      </c>
      <c r="M3466">
        <v>0.99996180000000001</v>
      </c>
      <c r="N3466">
        <v>0</v>
      </c>
      <c r="O3466">
        <v>5.7325469999999898E-3</v>
      </c>
      <c r="P3466">
        <v>0.99873469999999998</v>
      </c>
      <c r="Q3466">
        <v>3.8389810000000003E-2</v>
      </c>
      <c r="R3466">
        <v>3.2488639999999999E-2</v>
      </c>
      <c r="S3466">
        <v>3.0014949999999998</v>
      </c>
      <c r="T3466">
        <v>-0.14767149999999901</v>
      </c>
      <c r="U3466">
        <v>0.25085449999999998</v>
      </c>
      <c r="V3466">
        <v>-2.6782050000000002E-2</v>
      </c>
      <c r="W3466">
        <v>4.4970910000000003E-2</v>
      </c>
      <c r="X3466">
        <v>0.99862919999999999</v>
      </c>
      <c r="Y3466">
        <v>-7.7485830000000006E-2</v>
      </c>
      <c r="Z3466">
        <v>1.6202979999999901E-3</v>
      </c>
      <c r="AA3466">
        <v>0.99699210000000005</v>
      </c>
      <c r="AB3466">
        <v>27</v>
      </c>
      <c r="AC3466">
        <v>22.172499999999999</v>
      </c>
      <c r="AD3466">
        <v>-1.1039848191602</v>
      </c>
      <c r="AE3466">
        <v>1.87357</v>
      </c>
      <c r="AF3466">
        <v>-1.74214319278279</v>
      </c>
      <c r="AG3466">
        <v>-1.1039848191602</v>
      </c>
      <c r="AH3466">
        <v>22.128406262689499</v>
      </c>
      <c r="AI3466">
        <v>92.847318870138096</v>
      </c>
      <c r="AJ3466">
        <v>94.501543593595002</v>
      </c>
      <c r="AK3466">
        <v>22.2243157175139</v>
      </c>
      <c r="AL3466">
        <v>87.422487294294697</v>
      </c>
      <c r="AM3466">
        <v>91.5362365681233</v>
      </c>
      <c r="AN3466">
        <v>0.99999997002053398</v>
      </c>
    </row>
    <row r="3467" spans="1:40" x14ac:dyDescent="0.3">
      <c r="A3467" t="str">
        <f>"20200111153947706"</f>
        <v>20200111153947706</v>
      </c>
      <c r="B3467" t="str">
        <f>"1578728387694935"</f>
        <v>1578728387694935</v>
      </c>
      <c r="C3467" t="s">
        <v>40</v>
      </c>
      <c r="D3467">
        <v>5.1344409999999998</v>
      </c>
      <c r="E3467">
        <v>0.4810778</v>
      </c>
      <c r="F3467" t="s">
        <v>42</v>
      </c>
      <c r="G3467">
        <v>-347.52140000000003</v>
      </c>
      <c r="H3467" s="1">
        <v>-1.115646E-6</v>
      </c>
      <c r="I3467">
        <v>19.879339999999999</v>
      </c>
      <c r="J3467">
        <v>-370.09059999999999</v>
      </c>
      <c r="K3467">
        <v>1.1039870000000001</v>
      </c>
      <c r="L3467">
        <v>17.963619999999999</v>
      </c>
      <c r="M3467">
        <v>0.99996059999999998</v>
      </c>
      <c r="N3467">
        <v>0</v>
      </c>
      <c r="O3467">
        <v>6.0038289999999996E-3</v>
      </c>
      <c r="P3467">
        <v>0.99874419999999997</v>
      </c>
      <c r="Q3467">
        <v>3.7840869999999999E-2</v>
      </c>
      <c r="R3467">
        <v>3.2840679999999997E-2</v>
      </c>
      <c r="S3467">
        <v>3.0011899999999998</v>
      </c>
      <c r="T3467">
        <v>-0.1450871</v>
      </c>
      <c r="U3467">
        <v>0.25201420000000002</v>
      </c>
      <c r="V3467">
        <v>-2.686322E-2</v>
      </c>
      <c r="W3467">
        <v>4.4389749999999999E-2</v>
      </c>
      <c r="X3467">
        <v>0.99865309999999896</v>
      </c>
      <c r="Y3467">
        <v>-7.7609490000000003E-2</v>
      </c>
      <c r="Z3467">
        <v>1.58201E-3</v>
      </c>
      <c r="AA3467">
        <v>0.99698260000000005</v>
      </c>
      <c r="AB3467">
        <v>27</v>
      </c>
      <c r="AC3467">
        <v>22.569199999999899</v>
      </c>
      <c r="AD3467">
        <v>-1.1039881156460001</v>
      </c>
      <c r="AE3467">
        <v>1.9157199999999901</v>
      </c>
      <c r="AF3467">
        <v>-1.7759619305725101</v>
      </c>
      <c r="AG3467">
        <v>-1.1039881156460001</v>
      </c>
      <c r="AH3467">
        <v>22.5267798454474</v>
      </c>
      <c r="AI3467">
        <v>92.797030805155202</v>
      </c>
      <c r="AJ3467">
        <v>94.507749902352003</v>
      </c>
      <c r="AK3467">
        <v>22.623630140708698</v>
      </c>
      <c r="AL3467">
        <v>87.455818797113096</v>
      </c>
      <c r="AM3467">
        <v>91.540853433964699</v>
      </c>
      <c r="AN3467">
        <v>1.00000004831671</v>
      </c>
    </row>
    <row r="3468" spans="1:40" x14ac:dyDescent="0.3">
      <c r="A3468" t="str">
        <f>"20200111153947728"</f>
        <v>20200111153947728</v>
      </c>
      <c r="B3468" t="str">
        <f>"1578728387724212"</f>
        <v>1578728387724212</v>
      </c>
      <c r="C3468" t="s">
        <v>40</v>
      </c>
      <c r="D3468">
        <v>5.1440089999999996</v>
      </c>
      <c r="E3468">
        <v>0.48151539999999998</v>
      </c>
      <c r="F3468" t="s">
        <v>42</v>
      </c>
      <c r="G3468">
        <v>-347.52679999999998</v>
      </c>
      <c r="H3468" s="1">
        <v>-1.104776E-6</v>
      </c>
      <c r="I3468">
        <v>19.84731</v>
      </c>
      <c r="J3468">
        <v>-369.82569999999998</v>
      </c>
      <c r="K3468">
        <v>1.1039890000000001</v>
      </c>
      <c r="L3468">
        <v>17.965520000000001</v>
      </c>
      <c r="M3468">
        <v>0.99995900000000004</v>
      </c>
      <c r="N3468">
        <v>0</v>
      </c>
      <c r="O3468">
        <v>6.2780149999999996E-3</v>
      </c>
      <c r="P3468">
        <v>0.99872969999999905</v>
      </c>
      <c r="Q3468">
        <v>3.7733599999999999E-2</v>
      </c>
      <c r="R3468">
        <v>3.3396250000000002E-2</v>
      </c>
      <c r="S3468">
        <v>3.0010680000000001</v>
      </c>
      <c r="T3468">
        <v>-0.146834299999999</v>
      </c>
      <c r="U3468">
        <v>0.25054929999999997</v>
      </c>
      <c r="V3468">
        <v>-2.7145289999999999E-2</v>
      </c>
      <c r="W3468">
        <v>4.4254460000000002E-2</v>
      </c>
      <c r="X3468">
        <v>0.99865139999999997</v>
      </c>
      <c r="Y3468">
        <v>-7.6855439999999997E-2</v>
      </c>
      <c r="Z3468">
        <v>1.569349E-3</v>
      </c>
      <c r="AA3468">
        <v>0.99704099999999996</v>
      </c>
      <c r="AB3468">
        <v>27</v>
      </c>
      <c r="AC3468">
        <v>22.2989</v>
      </c>
      <c r="AD3468">
        <v>-1.1039901047759999</v>
      </c>
      <c r="AE3468">
        <v>1.8817899999999901</v>
      </c>
      <c r="AF3468">
        <v>-1.7375283402130699</v>
      </c>
      <c r="AG3468">
        <v>-1.1039901047759999</v>
      </c>
      <c r="AH3468">
        <v>22.256108191340601</v>
      </c>
      <c r="AI3468">
        <v>92.831166761510502</v>
      </c>
      <c r="AJ3468">
        <v>94.464011477282298</v>
      </c>
      <c r="AK3468">
        <v>22.3511107265197</v>
      </c>
      <c r="AL3468">
        <v>87.463577772427101</v>
      </c>
      <c r="AM3468">
        <v>91.5570274762797</v>
      </c>
      <c r="AN3468">
        <v>0.99999997136051699</v>
      </c>
    </row>
    <row r="3469" spans="1:40" x14ac:dyDescent="0.3">
      <c r="A3469" t="str">
        <f>"20200111153947752"</f>
        <v>20200111153947752</v>
      </c>
      <c r="B3469" t="str">
        <f>"1578728387744708"</f>
        <v>1578728387744708</v>
      </c>
      <c r="C3469" t="s">
        <v>40</v>
      </c>
      <c r="D3469">
        <v>5.1563840000000001</v>
      </c>
      <c r="E3469">
        <v>0.48176930000000001</v>
      </c>
      <c r="F3469" t="s">
        <v>42</v>
      </c>
      <c r="G3469">
        <v>-347.30340000000001</v>
      </c>
      <c r="H3469" s="1">
        <v>-1.196496E-6</v>
      </c>
      <c r="I3469">
        <v>19.831790000000002</v>
      </c>
      <c r="J3469">
        <v>-369.53230000000002</v>
      </c>
      <c r="K3469">
        <v>1.103988</v>
      </c>
      <c r="L3469">
        <v>17.967679999999898</v>
      </c>
      <c r="M3469">
        <v>0.99995730000000005</v>
      </c>
      <c r="N3469">
        <v>0</v>
      </c>
      <c r="O3469">
        <v>6.585334E-3</v>
      </c>
      <c r="P3469">
        <v>0.99873000000000001</v>
      </c>
      <c r="Q3469">
        <v>3.75208E-2</v>
      </c>
      <c r="R3469">
        <v>3.362743E-2</v>
      </c>
      <c r="S3469">
        <v>3.0010379999999999</v>
      </c>
      <c r="T3469">
        <v>-0.14710379999999901</v>
      </c>
      <c r="U3469">
        <v>0.24868770000000001</v>
      </c>
      <c r="V3469">
        <v>-2.7070339999999998E-2</v>
      </c>
      <c r="W3469">
        <v>4.4014360000000002E-2</v>
      </c>
      <c r="X3469">
        <v>0.99866410000000005</v>
      </c>
      <c r="Y3469">
        <v>-7.5936740000000003E-2</v>
      </c>
      <c r="Z3469">
        <v>1.534791E-3</v>
      </c>
      <c r="AA3469">
        <v>0.99711139999999998</v>
      </c>
      <c r="AB3469">
        <v>27</v>
      </c>
      <c r="AC3469">
        <v>22.228899999999999</v>
      </c>
      <c r="AD3469">
        <v>-1.103989196496</v>
      </c>
      <c r="AE3469">
        <v>1.8641099999999999</v>
      </c>
      <c r="AF3469">
        <v>-1.71348485215602</v>
      </c>
      <c r="AG3469">
        <v>-1.103989196496</v>
      </c>
      <c r="AH3469">
        <v>22.186351958946101</v>
      </c>
      <c r="AI3469">
        <v>92.840234822179298</v>
      </c>
      <c r="AJ3469">
        <v>94.4162713326306</v>
      </c>
      <c r="AK3469">
        <v>22.279789849340599</v>
      </c>
      <c r="AL3469">
        <v>87.477348044807002</v>
      </c>
      <c r="AM3469">
        <v>91.552710788156702</v>
      </c>
      <c r="AN3469">
        <v>1.0000000259113599</v>
      </c>
    </row>
    <row r="3470" spans="1:40" x14ac:dyDescent="0.3">
      <c r="A3470" t="str">
        <f>"20200111153947774"</f>
        <v>20200111153947774</v>
      </c>
      <c r="B3470" t="str">
        <f>"1578728387764228"</f>
        <v>1578728387764228</v>
      </c>
      <c r="C3470" t="s">
        <v>40</v>
      </c>
      <c r="D3470">
        <v>5.1391790000000004</v>
      </c>
      <c r="E3470">
        <v>0.4819985</v>
      </c>
      <c r="F3470" t="s">
        <v>42</v>
      </c>
      <c r="G3470">
        <v>-347.09750000000003</v>
      </c>
      <c r="H3470" s="1">
        <v>-1.2806629999999999E-6</v>
      </c>
      <c r="I3470">
        <v>19.816210000000002</v>
      </c>
      <c r="J3470">
        <v>-369.25459999999998</v>
      </c>
      <c r="K3470">
        <v>1.1039840000000001</v>
      </c>
      <c r="L3470">
        <v>17.969819999999999</v>
      </c>
      <c r="M3470">
        <v>0.99995529999999999</v>
      </c>
      <c r="N3470">
        <v>0</v>
      </c>
      <c r="O3470">
        <v>6.8786189999999999E-3</v>
      </c>
      <c r="P3470">
        <v>0.99871310000000002</v>
      </c>
      <c r="Q3470">
        <v>3.7196380000000001E-2</v>
      </c>
      <c r="R3470">
        <v>3.4479919999999997E-2</v>
      </c>
      <c r="S3470">
        <v>3.0010379999999999</v>
      </c>
      <c r="T3470">
        <v>-0.14767729999999901</v>
      </c>
      <c r="U3470">
        <v>0.2472839</v>
      </c>
      <c r="V3470">
        <v>-2.7630289999999998E-2</v>
      </c>
      <c r="W3470">
        <v>4.3667560000000001E-2</v>
      </c>
      <c r="X3470">
        <v>0.998664</v>
      </c>
      <c r="Y3470">
        <v>-7.5181629999999999E-2</v>
      </c>
      <c r="Z3470">
        <v>1.5078629999999999E-3</v>
      </c>
      <c r="AA3470">
        <v>0.99716870000000002</v>
      </c>
      <c r="AB3470">
        <v>27</v>
      </c>
      <c r="AC3470">
        <v>22.1570999999999</v>
      </c>
      <c r="AD3470">
        <v>-1.1039852806629999</v>
      </c>
      <c r="AE3470">
        <v>1.84638999999999</v>
      </c>
      <c r="AF3470">
        <v>-1.6897668329123401</v>
      </c>
      <c r="AG3470">
        <v>-1.1039852806629999</v>
      </c>
      <c r="AH3470">
        <v>22.114753954814098</v>
      </c>
      <c r="AI3470">
        <v>92.849583736910802</v>
      </c>
      <c r="AJ3470">
        <v>94.369424570042696</v>
      </c>
      <c r="AK3470">
        <v>22.206675526325299</v>
      </c>
      <c r="AL3470">
        <v>87.497237371123603</v>
      </c>
      <c r="AM3470">
        <v>91.584812556808899</v>
      </c>
      <c r="AN3470">
        <v>1.0000000368089099</v>
      </c>
    </row>
    <row r="3471" spans="1:40" x14ac:dyDescent="0.3">
      <c r="A3471" t="str">
        <f>"20200111153947807"</f>
        <v>20200111153947807</v>
      </c>
      <c r="B3471" t="str">
        <f>"1578728387804244"</f>
        <v>1578728387804244</v>
      </c>
      <c r="C3471" t="s">
        <v>40</v>
      </c>
      <c r="D3471">
        <v>5.1518969999999999</v>
      </c>
      <c r="E3471">
        <v>0.4821531</v>
      </c>
      <c r="F3471" t="s">
        <v>42</v>
      </c>
      <c r="G3471">
        <v>-347.0761</v>
      </c>
      <c r="H3471" s="1">
        <v>-1.2858020000000001E-6</v>
      </c>
      <c r="I3471">
        <v>19.800940000000001</v>
      </c>
      <c r="J3471">
        <v>-368.85210000000001</v>
      </c>
      <c r="K3471">
        <v>1.1039779999999999</v>
      </c>
      <c r="L3471">
        <v>17.97308</v>
      </c>
      <c r="M3471">
        <v>0.99995239999999996</v>
      </c>
      <c r="N3471">
        <v>0</v>
      </c>
      <c r="O3471">
        <v>7.3054280000000001E-3</v>
      </c>
      <c r="P3471">
        <v>0.99871189999999999</v>
      </c>
      <c r="Q3471">
        <v>3.703559E-2</v>
      </c>
      <c r="R3471">
        <v>3.468239E-2</v>
      </c>
      <c r="S3471">
        <v>3.0008849999999998</v>
      </c>
      <c r="T3471">
        <v>-0.1493756</v>
      </c>
      <c r="U3471">
        <v>0.2477722</v>
      </c>
      <c r="V3471">
        <v>-2.7406699999999999E-2</v>
      </c>
      <c r="W3471">
        <v>4.3479379999999998E-2</v>
      </c>
      <c r="X3471">
        <v>0.99867830000000002</v>
      </c>
      <c r="Y3471">
        <v>-7.4920249999999994E-2</v>
      </c>
      <c r="Z3471">
        <v>1.4975660000000001E-3</v>
      </c>
      <c r="AA3471">
        <v>0.99718839999999997</v>
      </c>
      <c r="AB3471">
        <v>27</v>
      </c>
      <c r="AC3471">
        <v>21.776</v>
      </c>
      <c r="AD3471">
        <v>-1.1039792858020001</v>
      </c>
      <c r="AE3471">
        <v>1.82786</v>
      </c>
      <c r="AF3471">
        <v>-1.6644767997640899</v>
      </c>
      <c r="AG3471">
        <v>-1.1039792858020001</v>
      </c>
      <c r="AH3471">
        <v>21.733304503794901</v>
      </c>
      <c r="AI3471">
        <v>92.899458470245705</v>
      </c>
      <c r="AJ3471">
        <v>94.379531436979704</v>
      </c>
      <c r="AK3471">
        <v>21.824888955848198</v>
      </c>
      <c r="AL3471">
        <v>87.5080293623258</v>
      </c>
      <c r="AM3471">
        <v>91.571971890240405</v>
      </c>
      <c r="AN3471">
        <v>0.99999996529048096</v>
      </c>
    </row>
    <row r="3472" spans="1:40" x14ac:dyDescent="0.3">
      <c r="A3472" t="str">
        <f>"20200111153947828"</f>
        <v>20200111153947828</v>
      </c>
      <c r="B3472" t="str">
        <f>"1578728387824740"</f>
        <v>1578728387824740</v>
      </c>
      <c r="C3472" t="s">
        <v>40</v>
      </c>
      <c r="D3472">
        <v>5.0902599999999998</v>
      </c>
      <c r="E3472">
        <v>0.46524130000000002</v>
      </c>
      <c r="F3472" t="s">
        <v>42</v>
      </c>
      <c r="G3472">
        <v>-346.77940000000001</v>
      </c>
      <c r="H3472" s="1">
        <v>-1.410582E-6</v>
      </c>
      <c r="I3472">
        <v>19.79166</v>
      </c>
      <c r="J3472">
        <v>-368.58800000000002</v>
      </c>
      <c r="K3472">
        <v>1.1039760000000001</v>
      </c>
      <c r="L3472">
        <v>17.975279999999898</v>
      </c>
      <c r="M3472">
        <v>0.99995040000000002</v>
      </c>
      <c r="N3472">
        <v>0</v>
      </c>
      <c r="O3472">
        <v>7.5851460000000001E-3</v>
      </c>
      <c r="P3472">
        <v>0.99872090000000002</v>
      </c>
      <c r="Q3472">
        <v>3.6398689999999997E-2</v>
      </c>
      <c r="R3472">
        <v>3.509396E-2</v>
      </c>
      <c r="S3472">
        <v>3.0008539999999999</v>
      </c>
      <c r="T3472">
        <v>-0.15009</v>
      </c>
      <c r="U3472">
        <v>0.24725340000000001</v>
      </c>
      <c r="V3472">
        <v>-2.753796E-2</v>
      </c>
      <c r="W3472">
        <v>4.282768E-2</v>
      </c>
      <c r="X3472">
        <v>0.99870289999999995</v>
      </c>
      <c r="Y3472">
        <v>-7.4470990000000001E-2</v>
      </c>
      <c r="Z3472">
        <v>1.479581E-3</v>
      </c>
      <c r="AA3472">
        <v>0.9972221</v>
      </c>
      <c r="AB3472">
        <v>28</v>
      </c>
      <c r="AC3472">
        <v>21.808599999999998</v>
      </c>
      <c r="AD3472">
        <v>-1.1039774105819999</v>
      </c>
      <c r="AE3472">
        <v>1.8163800000000001</v>
      </c>
      <c r="AF3472">
        <v>-1.64671224413805</v>
      </c>
      <c r="AG3472">
        <v>-1.1039774105819999</v>
      </c>
      <c r="AH3472">
        <v>21.7663582179187</v>
      </c>
      <c r="AI3472">
        <v>92.895261991732298</v>
      </c>
      <c r="AJ3472">
        <v>94.3264138179876</v>
      </c>
      <c r="AK3472">
        <v>21.8564584827649</v>
      </c>
      <c r="AL3472">
        <v>87.545403964303205</v>
      </c>
      <c r="AM3472">
        <v>91.579457906756204</v>
      </c>
      <c r="AN3472">
        <v>1.0000000159417699</v>
      </c>
    </row>
    <row r="3473" spans="1:40" x14ac:dyDescent="0.3">
      <c r="A3473" t="str">
        <f>"20200111153947852"</f>
        <v>20200111153947852</v>
      </c>
      <c r="B3473" t="str">
        <f>"1578728387844260"</f>
        <v>1578728387844260</v>
      </c>
      <c r="C3473" t="s">
        <v>40</v>
      </c>
      <c r="D3473">
        <v>4.9107849999999997</v>
      </c>
      <c r="E3473">
        <v>0.40858359999999999</v>
      </c>
      <c r="F3473" t="s">
        <v>42</v>
      </c>
      <c r="G3473">
        <v>-351.71120000000002</v>
      </c>
      <c r="H3473" s="1">
        <v>-3.6760009999999999E-6</v>
      </c>
      <c r="I3473">
        <v>20.1343</v>
      </c>
      <c r="J3473">
        <v>-368.2962</v>
      </c>
      <c r="K3473">
        <v>1.1039639999999999</v>
      </c>
      <c r="L3473">
        <v>17.977810000000002</v>
      </c>
      <c r="M3473">
        <v>0.99994810000000001</v>
      </c>
      <c r="N3473">
        <v>0</v>
      </c>
      <c r="O3473">
        <v>7.8936500000000003E-3</v>
      </c>
      <c r="P3473">
        <v>0.99870020000000004</v>
      </c>
      <c r="Q3473">
        <v>3.5997969999999997E-2</v>
      </c>
      <c r="R3473">
        <v>3.6083799999999999E-2</v>
      </c>
      <c r="S3473">
        <v>2.997528</v>
      </c>
      <c r="T3473">
        <v>-0.19608120000000001</v>
      </c>
      <c r="U3473">
        <v>0.38348389999999999</v>
      </c>
      <c r="V3473">
        <v>-2.8219919999999999E-2</v>
      </c>
      <c r="W3473">
        <v>4.2411780000000003E-2</v>
      </c>
      <c r="X3473">
        <v>0.99870159999999997</v>
      </c>
      <c r="Y3473">
        <v>-0.11883199999999999</v>
      </c>
      <c r="Z3473">
        <v>3.3531360000000001E-3</v>
      </c>
      <c r="AA3473">
        <v>0.99290869999999998</v>
      </c>
      <c r="AB3473">
        <v>28</v>
      </c>
      <c r="AC3473">
        <v>16.584999999999901</v>
      </c>
      <c r="AD3473">
        <v>-1.103967676001</v>
      </c>
      <c r="AE3473">
        <v>2.15648999999999</v>
      </c>
      <c r="AF3473">
        <v>-2.0167168116256899</v>
      </c>
      <c r="AG3473">
        <v>-1.103967676001</v>
      </c>
      <c r="AH3473">
        <v>16.529485073732801</v>
      </c>
      <c r="AI3473">
        <v>93.792940459053796</v>
      </c>
      <c r="AJ3473">
        <v>96.956120008893194</v>
      </c>
      <c r="AK3473">
        <v>16.6886119294177</v>
      </c>
      <c r="AL3473">
        <v>87.569254922540594</v>
      </c>
      <c r="AM3473">
        <v>91.6185537247502</v>
      </c>
      <c r="AN3473">
        <v>1.0000000044050601</v>
      </c>
    </row>
    <row r="3474" spans="1:40" x14ac:dyDescent="0.3">
      <c r="A3474" t="str">
        <f>"20200111153947873"</f>
        <v>20200111153947873</v>
      </c>
      <c r="B3474" t="str">
        <f>"1578728387864759"</f>
        <v>1578728387864759</v>
      </c>
      <c r="C3474" t="s">
        <v>40</v>
      </c>
      <c r="D3474">
        <v>5.0276230000000002</v>
      </c>
      <c r="E3474">
        <v>0.4003118</v>
      </c>
      <c r="F3474" t="s">
        <v>42</v>
      </c>
      <c r="G3474">
        <v>-348.30250000000001</v>
      </c>
      <c r="H3474" s="1">
        <v>-1.7703720000000001E-6</v>
      </c>
      <c r="I3474">
        <v>23.59947</v>
      </c>
      <c r="J3474">
        <v>-368.0181</v>
      </c>
      <c r="K3474">
        <v>1.1039570000000001</v>
      </c>
      <c r="L3474">
        <v>17.980319999999999</v>
      </c>
      <c r="M3474">
        <v>0.99994590000000005</v>
      </c>
      <c r="N3474">
        <v>0</v>
      </c>
      <c r="O3474">
        <v>8.1868870000000003E-3</v>
      </c>
      <c r="P3474">
        <v>0.99868380000000001</v>
      </c>
      <c r="Q3474">
        <v>3.546117E-2</v>
      </c>
      <c r="R3474">
        <v>3.70534E-2</v>
      </c>
      <c r="S3474">
        <v>2.9795229999999999</v>
      </c>
      <c r="T3474">
        <v>-0.1645162</v>
      </c>
      <c r="U3474">
        <v>0.83776859999999997</v>
      </c>
      <c r="V3474">
        <v>-2.889634E-2</v>
      </c>
      <c r="W3474">
        <v>4.1862950000000003E-2</v>
      </c>
      <c r="X3474">
        <v>0.99870539999999997</v>
      </c>
      <c r="Y3474">
        <v>-0.26242979999999999</v>
      </c>
      <c r="Z3474">
        <v>6.6591940000000002E-3</v>
      </c>
      <c r="AA3474">
        <v>0.96492809999999996</v>
      </c>
      <c r="AB3474">
        <v>28</v>
      </c>
      <c r="AC3474">
        <v>19.715599999999899</v>
      </c>
      <c r="AD3474">
        <v>-1.103958770372</v>
      </c>
      <c r="AE3474">
        <v>5.6191499999999897</v>
      </c>
      <c r="AF3474">
        <v>-5.44176895159283</v>
      </c>
      <c r="AG3474">
        <v>-1.103958770372</v>
      </c>
      <c r="AH3474">
        <v>19.703806539333101</v>
      </c>
      <c r="AI3474">
        <v>93.091306825920199</v>
      </c>
      <c r="AJ3474">
        <v>105.439011270196</v>
      </c>
      <c r="AK3474">
        <v>20.471237540233499</v>
      </c>
      <c r="AL3474">
        <v>87.600728486137598</v>
      </c>
      <c r="AM3474">
        <v>91.657322112553103</v>
      </c>
      <c r="AN3474">
        <v>0.99999999051862898</v>
      </c>
    </row>
    <row r="3475" spans="1:40" x14ac:dyDescent="0.3">
      <c r="A3475" t="str">
        <f>"20200111153947896"</f>
        <v>20200111153947896</v>
      </c>
      <c r="B3475" t="str">
        <f>"1578728387884279"</f>
        <v>1578728387884279</v>
      </c>
      <c r="C3475" t="s">
        <v>40</v>
      </c>
      <c r="D3475">
        <v>4.9146729999999996</v>
      </c>
      <c r="E3475">
        <v>0.39926410000000001</v>
      </c>
      <c r="F3475" t="s">
        <v>42</v>
      </c>
      <c r="G3475">
        <v>-351.13119999999998</v>
      </c>
      <c r="H3475" s="1">
        <v>-4.5129730000000001E-6</v>
      </c>
      <c r="I3475">
        <v>23.122260000000001</v>
      </c>
      <c r="J3475">
        <v>-367.74299999999999</v>
      </c>
      <c r="K3475">
        <v>1.1039540000000001</v>
      </c>
      <c r="L3475">
        <v>17.982879999999899</v>
      </c>
      <c r="M3475">
        <v>0.99994349999999999</v>
      </c>
      <c r="N3475">
        <v>0</v>
      </c>
      <c r="O3475">
        <v>8.4760059999999995E-3</v>
      </c>
      <c r="P3475">
        <v>0.99865060000000005</v>
      </c>
      <c r="Q3475">
        <v>3.5433630000000001E-2</v>
      </c>
      <c r="R3475">
        <v>3.7968399999999999E-2</v>
      </c>
      <c r="S3475">
        <v>2.9772029999999998</v>
      </c>
      <c r="T3475">
        <v>-0.19463150000000001</v>
      </c>
      <c r="U3475">
        <v>0.90655520000000001</v>
      </c>
      <c r="V3475">
        <v>-2.952308E-2</v>
      </c>
      <c r="W3475">
        <v>4.1824359999999998E-2</v>
      </c>
      <c r="X3475">
        <v>0.99868869999999998</v>
      </c>
      <c r="Y3475">
        <v>-0.28263949999999999</v>
      </c>
      <c r="Z3475">
        <v>8.4837309999999996E-3</v>
      </c>
      <c r="AA3475">
        <v>0.95918870000000001</v>
      </c>
      <c r="AB3475">
        <v>28</v>
      </c>
      <c r="AC3475">
        <v>16.611799999999999</v>
      </c>
      <c r="AD3475">
        <v>-1.1039585129729901</v>
      </c>
      <c r="AE3475">
        <v>5.1393800000000001</v>
      </c>
      <c r="AF3475">
        <v>-4.9783249356479002</v>
      </c>
      <c r="AG3475">
        <v>-1.1039585129729901</v>
      </c>
      <c r="AH3475">
        <v>16.5879057138951</v>
      </c>
      <c r="AI3475">
        <v>93.647281857548904</v>
      </c>
      <c r="AJ3475">
        <v>106.705433540519</v>
      </c>
      <c r="AK3475">
        <v>17.353992610818199</v>
      </c>
      <c r="AL3475">
        <v>87.602941501838501</v>
      </c>
      <c r="AM3475">
        <v>91.693275783579196</v>
      </c>
      <c r="AN3475">
        <v>1.00000000442489</v>
      </c>
    </row>
    <row r="3476" spans="1:40" x14ac:dyDescent="0.3">
      <c r="A3476" t="str">
        <f>"20200111153947919"</f>
        <v>20200111153947919</v>
      </c>
      <c r="B3476" t="str">
        <f>"1578728387914532"</f>
        <v>1578728387914532</v>
      </c>
      <c r="C3476" t="s">
        <v>40</v>
      </c>
      <c r="D3476">
        <v>4.8839370000000004</v>
      </c>
      <c r="E3476">
        <v>0.40054459999999997</v>
      </c>
      <c r="F3476" t="s">
        <v>42</v>
      </c>
      <c r="G3476">
        <v>-351.67329999999998</v>
      </c>
      <c r="H3476" s="1">
        <v>-4.295607E-6</v>
      </c>
      <c r="I3476">
        <v>22.936779999999999</v>
      </c>
      <c r="J3476">
        <v>-367.4615</v>
      </c>
      <c r="K3476">
        <v>1.103952</v>
      </c>
      <c r="L3476">
        <v>17.985600000000002</v>
      </c>
      <c r="M3476">
        <v>0.99994110000000003</v>
      </c>
      <c r="N3476">
        <v>0</v>
      </c>
      <c r="O3476">
        <v>8.770946E-3</v>
      </c>
      <c r="P3476">
        <v>0.99860230000000005</v>
      </c>
      <c r="Q3476">
        <v>3.5451249999999997E-2</v>
      </c>
      <c r="R3476">
        <v>3.9204629999999997E-2</v>
      </c>
      <c r="S3476">
        <v>2.97641</v>
      </c>
      <c r="T3476">
        <v>-0.20447389999999999</v>
      </c>
      <c r="U3476">
        <v>0.91757200000000005</v>
      </c>
      <c r="V3476">
        <v>-3.0465470000000001E-2</v>
      </c>
      <c r="W3476">
        <v>4.1838180000000003E-2</v>
      </c>
      <c r="X3476">
        <v>0.99865979999999999</v>
      </c>
      <c r="Y3476">
        <v>-0.28561140000000002</v>
      </c>
      <c r="Z3476">
        <v>8.9892749999999997E-3</v>
      </c>
      <c r="AA3476">
        <v>0.95830329999999997</v>
      </c>
      <c r="AB3476">
        <v>28</v>
      </c>
      <c r="AC3476">
        <v>15.7882</v>
      </c>
      <c r="AD3476">
        <v>-1.1039562956069999</v>
      </c>
      <c r="AE3476">
        <v>4.9511799999999901</v>
      </c>
      <c r="AF3476">
        <v>-4.7911816435888701</v>
      </c>
      <c r="AG3476">
        <v>-1.1039562956069999</v>
      </c>
      <c r="AH3476">
        <v>15.760861688511399</v>
      </c>
      <c r="AI3476">
        <v>93.834003920151403</v>
      </c>
      <c r="AJ3476">
        <v>106.908871445401</v>
      </c>
      <c r="AK3476">
        <v>16.509963725243601</v>
      </c>
      <c r="AL3476">
        <v>87.602148939024801</v>
      </c>
      <c r="AM3476">
        <v>91.747343454425405</v>
      </c>
      <c r="AN3476">
        <v>0.99999998715203597</v>
      </c>
    </row>
    <row r="3477" spans="1:40" x14ac:dyDescent="0.3">
      <c r="A3477" t="str">
        <f>"20200111153947940"</f>
        <v>20200111153947940</v>
      </c>
      <c r="B3477" t="str">
        <f>"1578728387934052"</f>
        <v>1578728387934052</v>
      </c>
      <c r="C3477" t="s">
        <v>40</v>
      </c>
      <c r="D3477">
        <v>4.8609669999999996</v>
      </c>
      <c r="E3477">
        <v>0.40115519999999999</v>
      </c>
      <c r="F3477" t="s">
        <v>42</v>
      </c>
      <c r="G3477">
        <v>-351.70330000000001</v>
      </c>
      <c r="H3477" s="1">
        <v>-4.2626590000000002E-6</v>
      </c>
      <c r="I3477">
        <v>22.808620000000001</v>
      </c>
      <c r="J3477">
        <v>-367.17840000000001</v>
      </c>
      <c r="K3477">
        <v>1.1039460000000001</v>
      </c>
      <c r="L3477">
        <v>17.98837</v>
      </c>
      <c r="M3477">
        <v>0.99993840000000001</v>
      </c>
      <c r="N3477">
        <v>0</v>
      </c>
      <c r="O3477">
        <v>9.0676609999999994E-3</v>
      </c>
      <c r="P3477">
        <v>0.99854529999999997</v>
      </c>
      <c r="Q3477">
        <v>3.5734759999999997E-2</v>
      </c>
      <c r="R3477">
        <v>4.037512E-2</v>
      </c>
      <c r="S3477">
        <v>2.9758909999999998</v>
      </c>
      <c r="T3477">
        <v>-0.20847830000000001</v>
      </c>
      <c r="U3477">
        <v>0.91082759999999996</v>
      </c>
      <c r="V3477">
        <v>-3.1340340000000001E-2</v>
      </c>
      <c r="W3477">
        <v>4.2122600000000003E-2</v>
      </c>
      <c r="X3477">
        <v>0.99862079999999998</v>
      </c>
      <c r="Y3477">
        <v>-0.28337030000000002</v>
      </c>
      <c r="Z3477">
        <v>9.0724770000000007E-3</v>
      </c>
      <c r="AA3477">
        <v>0.95896769999999998</v>
      </c>
      <c r="AB3477">
        <v>28</v>
      </c>
      <c r="AC3477">
        <v>15.4750999999999</v>
      </c>
      <c r="AD3477">
        <v>-1.1039502626590001</v>
      </c>
      <c r="AE3477">
        <v>4.8202499999999997</v>
      </c>
      <c r="AF3477">
        <v>-4.65811736730035</v>
      </c>
      <c r="AG3477">
        <v>-1.1039502626590001</v>
      </c>
      <c r="AH3477">
        <v>15.446517938694299</v>
      </c>
      <c r="AI3477">
        <v>93.914393586661006</v>
      </c>
      <c r="AJ3477">
        <v>106.781432710952</v>
      </c>
      <c r="AK3477">
        <v>16.171322766563499</v>
      </c>
      <c r="AL3477">
        <v>87.585838564761801</v>
      </c>
      <c r="AM3477">
        <v>91.797559215041801</v>
      </c>
      <c r="AN3477">
        <v>1.0000000162673499</v>
      </c>
    </row>
    <row r="3478" spans="1:40" x14ac:dyDescent="0.3">
      <c r="A3478" t="str">
        <f>"20200111153947963"</f>
        <v>20200111153947963</v>
      </c>
      <c r="B3478" t="str">
        <f>"1578728387954548"</f>
        <v>1578728387954548</v>
      </c>
      <c r="C3478" t="s">
        <v>40</v>
      </c>
      <c r="D3478">
        <v>4.8990609999999997</v>
      </c>
      <c r="E3478">
        <v>0.4015165</v>
      </c>
      <c r="F3478" t="s">
        <v>42</v>
      </c>
      <c r="G3478">
        <v>-351.44220000000001</v>
      </c>
      <c r="H3478" s="1">
        <v>-4.3495840000000002E-6</v>
      </c>
      <c r="I3478">
        <v>22.797740000000001</v>
      </c>
      <c r="J3478">
        <v>-366.88420000000002</v>
      </c>
      <c r="K3478">
        <v>1.103944</v>
      </c>
      <c r="L3478">
        <v>17.991389999999999</v>
      </c>
      <c r="M3478">
        <v>0.99993540000000003</v>
      </c>
      <c r="N3478">
        <v>0</v>
      </c>
      <c r="O3478">
        <v>9.3757440000000001E-3</v>
      </c>
      <c r="P3478">
        <v>0.99848579999999998</v>
      </c>
      <c r="Q3478">
        <v>3.5595349999999998E-2</v>
      </c>
      <c r="R3478">
        <v>4.1942170000000001E-2</v>
      </c>
      <c r="S3478">
        <v>2.9750670000000001</v>
      </c>
      <c r="T3478">
        <v>-0.20871190000000001</v>
      </c>
      <c r="U3478">
        <v>0.90927119999999995</v>
      </c>
      <c r="V3478">
        <v>-3.2599999999999997E-2</v>
      </c>
      <c r="W3478">
        <v>4.1988730000000002E-2</v>
      </c>
      <c r="X3478">
        <v>0.99858610000000003</v>
      </c>
      <c r="Y3478">
        <v>-0.28269080000000002</v>
      </c>
      <c r="Z3478">
        <v>9.041327E-3</v>
      </c>
      <c r="AA3478">
        <v>0.95916849999999998</v>
      </c>
      <c r="AB3478">
        <v>28</v>
      </c>
      <c r="AC3478">
        <v>15.442</v>
      </c>
      <c r="AD3478">
        <v>-1.1039483495839999</v>
      </c>
      <c r="AE3478">
        <v>4.8063500000000001</v>
      </c>
      <c r="AF3478">
        <v>-4.6397370073285797</v>
      </c>
      <c r="AG3478">
        <v>-1.1039483495839999</v>
      </c>
      <c r="AH3478">
        <v>15.4145623043557</v>
      </c>
      <c r="AI3478">
        <v>93.923089044886595</v>
      </c>
      <c r="AJ3478">
        <v>106.751637074277</v>
      </c>
      <c r="AK3478">
        <v>16.135507196570799</v>
      </c>
      <c r="AL3478">
        <v>87.593515518656901</v>
      </c>
      <c r="AM3478">
        <v>91.869823014386895</v>
      </c>
      <c r="AN3478">
        <v>1.00000000628011</v>
      </c>
    </row>
    <row r="3479" spans="1:40" x14ac:dyDescent="0.3">
      <c r="A3479" t="str">
        <f>"20200111153947985"</f>
        <v>20200111153947985</v>
      </c>
      <c r="B3479" t="str">
        <f>"1578728387974071"</f>
        <v>1578728387974071</v>
      </c>
      <c r="C3479" t="s">
        <v>40</v>
      </c>
      <c r="D3479">
        <v>4.8820880000000004</v>
      </c>
      <c r="E3479">
        <v>0.40249800000000002</v>
      </c>
      <c r="F3479" t="s">
        <v>42</v>
      </c>
      <c r="G3479">
        <v>-351.31450000000001</v>
      </c>
      <c r="H3479" s="1">
        <v>-4.386513E-6</v>
      </c>
      <c r="I3479">
        <v>22.76088</v>
      </c>
      <c r="J3479">
        <v>-366.6044</v>
      </c>
      <c r="K3479">
        <v>1.103947</v>
      </c>
      <c r="L3479">
        <v>17.994319999999998</v>
      </c>
      <c r="M3479">
        <v>0.99993279999999995</v>
      </c>
      <c r="N3479">
        <v>0</v>
      </c>
      <c r="O3479">
        <v>9.6685039999999996E-3</v>
      </c>
      <c r="P3479">
        <v>0.99842149999999996</v>
      </c>
      <c r="Q3479">
        <v>3.5532029999999999E-2</v>
      </c>
      <c r="R3479">
        <v>4.3501430000000001E-2</v>
      </c>
      <c r="S3479">
        <v>2.9737849999999999</v>
      </c>
      <c r="T3479">
        <v>-0.21085229999999999</v>
      </c>
      <c r="U3479">
        <v>0.91098020000000002</v>
      </c>
      <c r="V3479">
        <v>-3.3867590000000003E-2</v>
      </c>
      <c r="W3479">
        <v>4.1932990000000003E-2</v>
      </c>
      <c r="X3479">
        <v>0.99854620000000005</v>
      </c>
      <c r="Y3479">
        <v>-0.2830165</v>
      </c>
      <c r="Z3479">
        <v>9.1278629999999999E-3</v>
      </c>
      <c r="AA3479">
        <v>0.95907160000000002</v>
      </c>
      <c r="AB3479">
        <v>28</v>
      </c>
      <c r="AC3479">
        <v>15.2898999999999</v>
      </c>
      <c r="AD3479">
        <v>-1.103951386513</v>
      </c>
      <c r="AE3479">
        <v>4.7665599999999904</v>
      </c>
      <c r="AF3479">
        <v>-4.59666367783616</v>
      </c>
      <c r="AG3479">
        <v>-1.103951386513</v>
      </c>
      <c r="AH3479">
        <v>15.2627541364118</v>
      </c>
      <c r="AI3479">
        <v>93.9618093475341</v>
      </c>
      <c r="AJ3479">
        <v>106.760656601207</v>
      </c>
      <c r="AK3479">
        <v>15.978100308218099</v>
      </c>
      <c r="AL3479">
        <v>87.596711868746596</v>
      </c>
      <c r="AM3479">
        <v>91.942550485237206</v>
      </c>
      <c r="AN3479">
        <v>0.99999995141859299</v>
      </c>
    </row>
    <row r="3480" spans="1:40" x14ac:dyDescent="0.3">
      <c r="A3480" t="str">
        <f>"20200111153948007"</f>
        <v>20200111153948007</v>
      </c>
      <c r="B3480" t="str">
        <f>"1578728388004325"</f>
        <v>1578728388004325</v>
      </c>
      <c r="C3480" t="s">
        <v>40</v>
      </c>
      <c r="D3480">
        <v>4.9645299999999999</v>
      </c>
      <c r="E3480">
        <v>0.40314270000000002</v>
      </c>
      <c r="F3480" t="s">
        <v>42</v>
      </c>
      <c r="G3480">
        <v>-350.98989999999998</v>
      </c>
      <c r="H3480" s="1">
        <v>-4.4973589999999998E-6</v>
      </c>
      <c r="I3480">
        <v>22.763159999999999</v>
      </c>
      <c r="J3480">
        <v>-366.32650000000001</v>
      </c>
      <c r="K3480">
        <v>1.103947</v>
      </c>
      <c r="L3480">
        <v>17.997309999999999</v>
      </c>
      <c r="M3480">
        <v>0.99992970000000003</v>
      </c>
      <c r="N3480">
        <v>0</v>
      </c>
      <c r="O3480">
        <v>9.9595359999999997E-3</v>
      </c>
      <c r="P3480">
        <v>0.99833179999999999</v>
      </c>
      <c r="Q3480">
        <v>3.5645990000000002E-2</v>
      </c>
      <c r="R3480">
        <v>4.541833E-2</v>
      </c>
      <c r="S3480">
        <v>2.9726560000000002</v>
      </c>
      <c r="T3480">
        <v>-0.21016789999999999</v>
      </c>
      <c r="U3480">
        <v>0.90789790000000004</v>
      </c>
      <c r="V3480">
        <v>-3.5494820000000003E-2</v>
      </c>
      <c r="W3480">
        <v>4.2053989999999999E-2</v>
      </c>
      <c r="X3480">
        <v>0.9984847</v>
      </c>
      <c r="Y3480">
        <v>-0.28193629999999997</v>
      </c>
      <c r="Z3480">
        <v>9.0455780000000003E-3</v>
      </c>
      <c r="AA3480">
        <v>0.95939050000000003</v>
      </c>
      <c r="AB3480">
        <v>28</v>
      </c>
      <c r="AC3480">
        <v>15.336600000000001</v>
      </c>
      <c r="AD3480">
        <v>-1.1039514973589999</v>
      </c>
      <c r="AE3480">
        <v>4.7658500000000004</v>
      </c>
      <c r="AF3480">
        <v>-4.5911714812748698</v>
      </c>
      <c r="AG3480">
        <v>-1.1039514973589999</v>
      </c>
      <c r="AH3480">
        <v>15.310960767041401</v>
      </c>
      <c r="AI3480">
        <v>93.950793913990196</v>
      </c>
      <c r="AJ3480">
        <v>106.69197682597201</v>
      </c>
      <c r="AK3480">
        <v>16.022580444138001</v>
      </c>
      <c r="AL3480">
        <v>87.589773215748806</v>
      </c>
      <c r="AM3480">
        <v>92.035932408066202</v>
      </c>
      <c r="AN3480">
        <v>1.00000005822791</v>
      </c>
    </row>
    <row r="3481" spans="1:40" x14ac:dyDescent="0.3">
      <c r="A3481" t="str">
        <f>"20200111153948029"</f>
        <v>20200111153948029</v>
      </c>
      <c r="B3481" t="str">
        <f>"1578728388024820"</f>
        <v>1578728388024820</v>
      </c>
      <c r="C3481" t="s">
        <v>40</v>
      </c>
      <c r="D3481">
        <v>4.9558269999999904</v>
      </c>
      <c r="E3481">
        <v>0.40361780000000003</v>
      </c>
      <c r="F3481" t="s">
        <v>42</v>
      </c>
      <c r="G3481">
        <v>-350.5641</v>
      </c>
      <c r="H3481" s="1">
        <v>-4.6516449999999901E-6</v>
      </c>
      <c r="I3481">
        <v>22.81606</v>
      </c>
      <c r="J3481">
        <v>-366.04079999999999</v>
      </c>
      <c r="K3481">
        <v>1.1039490000000001</v>
      </c>
      <c r="L3481">
        <v>18.00046</v>
      </c>
      <c r="M3481">
        <v>0.9999266</v>
      </c>
      <c r="N3481">
        <v>0</v>
      </c>
      <c r="O3481">
        <v>1.0258430000000001E-2</v>
      </c>
      <c r="P3481">
        <v>0.99820909999999996</v>
      </c>
      <c r="Q3481">
        <v>3.6365439999999999E-2</v>
      </c>
      <c r="R3481">
        <v>4.7497860000000003E-2</v>
      </c>
      <c r="S3481">
        <v>2.97113</v>
      </c>
      <c r="T3481">
        <v>-0.20808940000000001</v>
      </c>
      <c r="U3481">
        <v>0.90832520000000005</v>
      </c>
      <c r="V3481">
        <v>-3.727714E-2</v>
      </c>
      <c r="W3481">
        <v>4.2781E-2</v>
      </c>
      <c r="X3481">
        <v>0.99838879999999997</v>
      </c>
      <c r="Y3481">
        <v>-0.2819258</v>
      </c>
      <c r="Z3481">
        <v>8.939743E-3</v>
      </c>
      <c r="AA3481">
        <v>0.95939459999999999</v>
      </c>
      <c r="AB3481">
        <v>29</v>
      </c>
      <c r="AC3481">
        <v>15.4766999999999</v>
      </c>
      <c r="AD3481">
        <v>-1.1039536516449999</v>
      </c>
      <c r="AE3481">
        <v>4.8155999999999999</v>
      </c>
      <c r="AF3481">
        <v>-4.6350751805517296</v>
      </c>
      <c r="AG3481">
        <v>-1.1039536516449999</v>
      </c>
      <c r="AH3481">
        <v>15.453600002154401</v>
      </c>
      <c r="AI3481">
        <v>93.914370327570097</v>
      </c>
      <c r="AJ3481">
        <v>106.69582630881899</v>
      </c>
      <c r="AK3481">
        <v>16.1714683508002</v>
      </c>
      <c r="AL3481">
        <v>87.548080939675401</v>
      </c>
      <c r="AM3481">
        <v>92.138276316255201</v>
      </c>
      <c r="AN3481">
        <v>0.99999999754650903</v>
      </c>
    </row>
    <row r="3482" spans="1:40" x14ac:dyDescent="0.3">
      <c r="A3482" t="str">
        <f>"20200111153948053"</f>
        <v>20200111153948053</v>
      </c>
      <c r="B3482" t="str">
        <f>"1578728388044341"</f>
        <v>1578728388044341</v>
      </c>
      <c r="C3482" t="s">
        <v>40</v>
      </c>
      <c r="D3482">
        <v>4.9410699999999999</v>
      </c>
      <c r="E3482">
        <v>0.40470699999999998</v>
      </c>
      <c r="F3482" t="s">
        <v>42</v>
      </c>
      <c r="G3482">
        <v>-349.96550000000002</v>
      </c>
      <c r="H3482" s="1">
        <v>-4.8757760000000002E-6</v>
      </c>
      <c r="I3482">
        <v>22.931090000000001</v>
      </c>
      <c r="J3482">
        <v>-365.73790000000002</v>
      </c>
      <c r="K3482">
        <v>1.1039559999999999</v>
      </c>
      <c r="L3482">
        <v>18.00394</v>
      </c>
      <c r="M3482">
        <v>0.99992320000000001</v>
      </c>
      <c r="N3482">
        <v>0</v>
      </c>
      <c r="O3482">
        <v>1.0575029999999999E-2</v>
      </c>
      <c r="P3482">
        <v>0.99809769999999998</v>
      </c>
      <c r="Q3482">
        <v>3.6627750000000001E-2</v>
      </c>
      <c r="R3482">
        <v>4.9590240000000001E-2</v>
      </c>
      <c r="S3482">
        <v>2.9695130000000001</v>
      </c>
      <c r="T3482">
        <v>-0.203928</v>
      </c>
      <c r="U3482">
        <v>0.91082759999999996</v>
      </c>
      <c r="V3482">
        <v>-3.9054739999999998E-2</v>
      </c>
      <c r="W3482">
        <v>4.3050640000000001E-2</v>
      </c>
      <c r="X3482">
        <v>0.99830929999999996</v>
      </c>
      <c r="Y3482">
        <v>-0.28253020000000001</v>
      </c>
      <c r="Z3482">
        <v>8.7639139999999994E-3</v>
      </c>
      <c r="AA3482">
        <v>0.95921840000000003</v>
      </c>
      <c r="AB3482">
        <v>29</v>
      </c>
      <c r="AC3482">
        <v>15.772399999999999</v>
      </c>
      <c r="AD3482">
        <v>-1.103960875776</v>
      </c>
      <c r="AE3482">
        <v>4.9271500000000001</v>
      </c>
      <c r="AF3482">
        <v>-4.73892534533997</v>
      </c>
      <c r="AG3482">
        <v>-1.103960875776</v>
      </c>
      <c r="AH3482">
        <v>15.7533094594648</v>
      </c>
      <c r="AI3482">
        <v>93.839214316426904</v>
      </c>
      <c r="AJ3482">
        <v>106.742387087932</v>
      </c>
      <c r="AK3482">
        <v>16.487659080949399</v>
      </c>
      <c r="AL3482">
        <v>87.532617574632098</v>
      </c>
      <c r="AM3482">
        <v>92.240318983062394</v>
      </c>
      <c r="AN3482">
        <v>1.0000000443936801</v>
      </c>
    </row>
    <row r="3483" spans="1:40" x14ac:dyDescent="0.3">
      <c r="A3483" t="str">
        <f>"20200111153948076"</f>
        <v>20200111153948076</v>
      </c>
      <c r="B3483" t="str">
        <f>"1578728388064836"</f>
        <v>1578728388064836</v>
      </c>
      <c r="C3483" t="s">
        <v>40</v>
      </c>
      <c r="D3483">
        <v>4.9501660000000003</v>
      </c>
      <c r="E3483">
        <v>0.40567639999999999</v>
      </c>
      <c r="F3483" t="s">
        <v>42</v>
      </c>
      <c r="G3483">
        <v>-349.28930000000003</v>
      </c>
      <c r="H3483" s="1">
        <v>-1.1977289999999999E-6</v>
      </c>
      <c r="I3483">
        <v>23.03829</v>
      </c>
      <c r="J3483">
        <v>-365.44740000000002</v>
      </c>
      <c r="K3483">
        <v>1.1039540000000001</v>
      </c>
      <c r="L3483">
        <v>18.007290000000001</v>
      </c>
      <c r="M3483">
        <v>0.99992009999999998</v>
      </c>
      <c r="N3483">
        <v>0</v>
      </c>
      <c r="O3483">
        <v>1.087834E-2</v>
      </c>
      <c r="P3483">
        <v>0.99797990000000003</v>
      </c>
      <c r="Q3483">
        <v>3.735662E-2</v>
      </c>
      <c r="R3483">
        <v>5.1387040000000002E-2</v>
      </c>
      <c r="S3483">
        <v>2.9678960000000001</v>
      </c>
      <c r="T3483">
        <v>-0.1991918</v>
      </c>
      <c r="U3483">
        <v>0.90838620000000003</v>
      </c>
      <c r="V3483">
        <v>-4.055052E-2</v>
      </c>
      <c r="W3483">
        <v>4.3786650000000003E-2</v>
      </c>
      <c r="X3483">
        <v>0.99821760000000004</v>
      </c>
      <c r="Y3483">
        <v>-0.28169290000000002</v>
      </c>
      <c r="Z3483">
        <v>8.5189559999999994E-3</v>
      </c>
      <c r="AA3483">
        <v>0.95946679999999995</v>
      </c>
      <c r="AB3483">
        <v>29</v>
      </c>
      <c r="AC3483">
        <v>16.158099999999902</v>
      </c>
      <c r="AD3483">
        <v>-1.1039551977290001</v>
      </c>
      <c r="AE3483">
        <v>5.0309999999999899</v>
      </c>
      <c r="AF3483">
        <v>-4.8343533921818098</v>
      </c>
      <c r="AG3483">
        <v>-1.1039551977290001</v>
      </c>
      <c r="AH3483">
        <v>16.143178751326499</v>
      </c>
      <c r="AI3483">
        <v>93.748135470005096</v>
      </c>
      <c r="AJ3483">
        <v>106.67123630757401</v>
      </c>
      <c r="AK3483">
        <v>16.887625943168299</v>
      </c>
      <c r="AL3483">
        <v>87.490407382236896</v>
      </c>
      <c r="AM3483">
        <v>92.326243185293805</v>
      </c>
      <c r="AN3483">
        <v>0.99999999617012603</v>
      </c>
    </row>
    <row r="3484" spans="1:40" x14ac:dyDescent="0.3">
      <c r="A3484" t="str">
        <f>"20200111153948097"</f>
        <v>20200111153948097</v>
      </c>
      <c r="B3484" t="str">
        <f>"1578728388084359"</f>
        <v>1578728388084359</v>
      </c>
      <c r="C3484" t="s">
        <v>40</v>
      </c>
      <c r="D3484">
        <v>4.9523260000000002</v>
      </c>
      <c r="E3484">
        <v>0.40584009999999998</v>
      </c>
      <c r="F3484" t="s">
        <v>42</v>
      </c>
      <c r="G3484">
        <v>-348.54489999999998</v>
      </c>
      <c r="H3484" s="1">
        <v>-1.5519609999999999E-6</v>
      </c>
      <c r="I3484">
        <v>23.169339999999998</v>
      </c>
      <c r="J3484">
        <v>-365.1703</v>
      </c>
      <c r="K3484">
        <v>1.1039540000000001</v>
      </c>
      <c r="L3484">
        <v>18.010619999999999</v>
      </c>
      <c r="M3484">
        <v>0.99991669999999999</v>
      </c>
      <c r="N3484">
        <v>0</v>
      </c>
      <c r="O3484">
        <v>1.116789E-2</v>
      </c>
      <c r="P3484">
        <v>0.99790599999999996</v>
      </c>
      <c r="Q3484">
        <v>3.754656E-2</v>
      </c>
      <c r="R3484">
        <v>5.266945E-2</v>
      </c>
      <c r="S3484">
        <v>2.966675</v>
      </c>
      <c r="T3484">
        <v>-0.19376170000000001</v>
      </c>
      <c r="U3484">
        <v>0.90603639999999996</v>
      </c>
      <c r="V3484">
        <v>-4.1544959999999999E-2</v>
      </c>
      <c r="W3484">
        <v>4.3982920000000002E-2</v>
      </c>
      <c r="X3484">
        <v>0.9981681</v>
      </c>
      <c r="Y3484">
        <v>-0.280862</v>
      </c>
      <c r="Z3484">
        <v>8.2464259999999994E-3</v>
      </c>
      <c r="AA3484">
        <v>0.95971269999999997</v>
      </c>
      <c r="AB3484">
        <v>29</v>
      </c>
      <c r="AC3484">
        <v>16.625399999999999</v>
      </c>
      <c r="AD3484">
        <v>-1.103955551961</v>
      </c>
      <c r="AE3484">
        <v>5.15871999999999</v>
      </c>
      <c r="AF3484">
        <v>-4.9528037966496301</v>
      </c>
      <c r="AG3484">
        <v>-1.103955551961</v>
      </c>
      <c r="AH3484">
        <v>16.615150990903501</v>
      </c>
      <c r="AI3484">
        <v>93.643330086707195</v>
      </c>
      <c r="AJ3484">
        <v>106.598771721557</v>
      </c>
      <c r="AK3484">
        <v>17.372743760250799</v>
      </c>
      <c r="AL3484">
        <v>87.479151151297501</v>
      </c>
      <c r="AM3484">
        <v>92.383343828899399</v>
      </c>
      <c r="AN3484">
        <v>1.0000000184053599</v>
      </c>
    </row>
    <row r="3485" spans="1:40" x14ac:dyDescent="0.3">
      <c r="A3485" t="str">
        <f>"20200111153948120"</f>
        <v>20200111153948120</v>
      </c>
      <c r="B3485" t="str">
        <f>"1578728388114614"</f>
        <v>1578728388114614</v>
      </c>
      <c r="C3485" t="s">
        <v>40</v>
      </c>
      <c r="D3485">
        <v>4.8557119999999996</v>
      </c>
      <c r="E3485">
        <v>0.40601500000000001</v>
      </c>
      <c r="F3485" t="s">
        <v>42</v>
      </c>
      <c r="G3485">
        <v>-348.15699999999998</v>
      </c>
      <c r="H3485" s="1">
        <v>-1.7326829999999999E-6</v>
      </c>
      <c r="I3485">
        <v>23.223289999999999</v>
      </c>
      <c r="J3485">
        <v>-364.86599999999999</v>
      </c>
      <c r="K3485">
        <v>1.103953</v>
      </c>
      <c r="L3485">
        <v>18.014340000000001</v>
      </c>
      <c r="M3485">
        <v>0.9999131</v>
      </c>
      <c r="N3485">
        <v>0</v>
      </c>
      <c r="O3485">
        <v>1.1485499999999999E-2</v>
      </c>
      <c r="P3485">
        <v>0.99785360000000001</v>
      </c>
      <c r="Q3485">
        <v>3.7646720000000002E-2</v>
      </c>
      <c r="R3485">
        <v>5.3580599999999999E-2</v>
      </c>
      <c r="S3485">
        <v>2.965576</v>
      </c>
      <c r="T3485">
        <v>-0.19242960000000001</v>
      </c>
      <c r="U3485">
        <v>0.90863039999999995</v>
      </c>
      <c r="V3485">
        <v>-4.2139709999999997E-2</v>
      </c>
      <c r="W3485">
        <v>4.4089629999999998E-2</v>
      </c>
      <c r="X3485">
        <v>0.99813839999999998</v>
      </c>
      <c r="Y3485">
        <v>-0.28143059999999998</v>
      </c>
      <c r="Z3485">
        <v>8.1896219999999902E-3</v>
      </c>
      <c r="AA3485">
        <v>0.95954660000000003</v>
      </c>
      <c r="AB3485">
        <v>29</v>
      </c>
      <c r="AC3485">
        <v>16.709</v>
      </c>
      <c r="AD3485">
        <v>-1.1039547326829999</v>
      </c>
      <c r="AE3485">
        <v>5.20894999999999</v>
      </c>
      <c r="AF3485">
        <v>-4.99681124067056</v>
      </c>
      <c r="AG3485">
        <v>-1.1039547326829999</v>
      </c>
      <c r="AH3485">
        <v>16.7012800619671</v>
      </c>
      <c r="AI3485">
        <v>93.623500994483507</v>
      </c>
      <c r="AJ3485">
        <v>106.656516270959</v>
      </c>
      <c r="AK3485">
        <v>17.4676728368425</v>
      </c>
      <c r="AL3485">
        <v>87.473031029488396</v>
      </c>
      <c r="AM3485">
        <v>92.417494993779201</v>
      </c>
      <c r="AN3485">
        <v>0.99999995809348896</v>
      </c>
    </row>
    <row r="3486" spans="1:40" x14ac:dyDescent="0.3">
      <c r="A3486" t="str">
        <f>"20200111153948143"</f>
        <v>20200111153948143</v>
      </c>
      <c r="B3486" t="str">
        <f>"1578728388134132"</f>
        <v>1578728388134132</v>
      </c>
      <c r="C3486" t="s">
        <v>40</v>
      </c>
      <c r="D3486">
        <v>4.8099089999999904</v>
      </c>
      <c r="E3486">
        <v>0.36493510000000001</v>
      </c>
      <c r="F3486" t="s">
        <v>42</v>
      </c>
      <c r="G3486">
        <v>-347.8125</v>
      </c>
      <c r="H3486" s="1">
        <v>-1.886935E-6</v>
      </c>
      <c r="I3486">
        <v>23.24747</v>
      </c>
      <c r="J3486">
        <v>-364.56569999999999</v>
      </c>
      <c r="K3486">
        <v>1.10395</v>
      </c>
      <c r="L3486">
        <v>18.018129999999999</v>
      </c>
      <c r="M3486">
        <v>0.99990950000000001</v>
      </c>
      <c r="N3486">
        <v>0</v>
      </c>
      <c r="O3486">
        <v>1.179877E-2</v>
      </c>
      <c r="P3486">
        <v>0.99783440000000001</v>
      </c>
      <c r="Q3486">
        <v>3.7209260000000001E-2</v>
      </c>
      <c r="R3486">
        <v>5.4240980000000001E-2</v>
      </c>
      <c r="S3486">
        <v>2.9648439999999998</v>
      </c>
      <c r="T3486">
        <v>-0.1919283</v>
      </c>
      <c r="U3486">
        <v>0.90982059999999998</v>
      </c>
      <c r="V3486">
        <v>-4.2486999999999997E-2</v>
      </c>
      <c r="W3486">
        <v>4.365898E-2</v>
      </c>
      <c r="X3486">
        <v>0.99814270000000005</v>
      </c>
      <c r="Y3486">
        <v>-0.28155150000000001</v>
      </c>
      <c r="Z3486">
        <v>8.1538189999999997E-3</v>
      </c>
      <c r="AA3486">
        <v>0.95951149999999996</v>
      </c>
      <c r="AB3486">
        <v>29</v>
      </c>
      <c r="AC3486">
        <v>16.7531999999999</v>
      </c>
      <c r="AD3486">
        <v>-1.103951886935</v>
      </c>
      <c r="AE3486">
        <v>5.2293399999999997</v>
      </c>
      <c r="AF3486">
        <v>-5.0114760510215302</v>
      </c>
      <c r="AG3486">
        <v>-1.103951886935</v>
      </c>
      <c r="AH3486">
        <v>16.747471015206798</v>
      </c>
      <c r="AI3486">
        <v>93.613474355061001</v>
      </c>
      <c r="AJ3486">
        <v>106.65916980047101</v>
      </c>
      <c r="AK3486">
        <v>17.5160322956947</v>
      </c>
      <c r="AL3486">
        <v>87.497729472790496</v>
      </c>
      <c r="AM3486">
        <v>92.437384107215294</v>
      </c>
      <c r="AN3486">
        <v>1.0000000506334601</v>
      </c>
    </row>
    <row r="3487" spans="1:40" x14ac:dyDescent="0.3">
      <c r="A3487" t="str">
        <f>"20200111153948166"</f>
        <v>20200111153948166</v>
      </c>
      <c r="B3487" t="str">
        <f>"1578728388154628"</f>
        <v>1578728388154628</v>
      </c>
      <c r="C3487" t="s">
        <v>40</v>
      </c>
      <c r="D3487">
        <v>4.7947509999999998</v>
      </c>
      <c r="E3487">
        <v>0.35685529999999999</v>
      </c>
      <c r="F3487" t="s">
        <v>42</v>
      </c>
      <c r="G3487">
        <v>-346.85329999999999</v>
      </c>
      <c r="H3487" s="1">
        <v>-2.8887899999999999E-6</v>
      </c>
      <c r="I3487">
        <v>25.4663</v>
      </c>
      <c r="J3487">
        <v>-364.2663</v>
      </c>
      <c r="K3487">
        <v>1.103947</v>
      </c>
      <c r="L3487">
        <v>18.02197</v>
      </c>
      <c r="M3487">
        <v>0.99990570000000001</v>
      </c>
      <c r="N3487">
        <v>0</v>
      </c>
      <c r="O3487">
        <v>1.211079E-2</v>
      </c>
      <c r="P3487">
        <v>0.99782760000000004</v>
      </c>
      <c r="Q3487">
        <v>3.661702E-2</v>
      </c>
      <c r="R3487">
        <v>5.4766860000000001E-2</v>
      </c>
      <c r="S3487">
        <v>2.9460139999999999</v>
      </c>
      <c r="T3487">
        <v>-0.183615</v>
      </c>
      <c r="U3487">
        <v>1.238831</v>
      </c>
      <c r="V3487">
        <v>-4.2701790000000003E-2</v>
      </c>
      <c r="W3487">
        <v>4.3072550000000001E-2</v>
      </c>
      <c r="X3487">
        <v>0.99815900000000002</v>
      </c>
      <c r="Y3487">
        <v>-0.37584109999999998</v>
      </c>
      <c r="Z3487">
        <v>1.050325E-2</v>
      </c>
      <c r="AA3487">
        <v>0.92662469999999997</v>
      </c>
      <c r="AB3487">
        <v>29</v>
      </c>
      <c r="AC3487">
        <v>17.413</v>
      </c>
      <c r="AD3487">
        <v>-1.1039498887899999</v>
      </c>
      <c r="AE3487">
        <v>7.4443299999999999</v>
      </c>
      <c r="AF3487">
        <v>-7.2083986990637197</v>
      </c>
      <c r="AG3487">
        <v>-1.1039498887899999</v>
      </c>
      <c r="AH3487">
        <v>17.442607713797099</v>
      </c>
      <c r="AI3487">
        <v>93.347550034447394</v>
      </c>
      <c r="AJ3487">
        <v>112.453537264044</v>
      </c>
      <c r="AK3487">
        <v>18.905667960139301</v>
      </c>
      <c r="AL3487">
        <v>87.531361043726804</v>
      </c>
      <c r="AM3487">
        <v>92.449651200640403</v>
      </c>
      <c r="AN3487">
        <v>1.0000000383568499</v>
      </c>
    </row>
    <row r="3488" spans="1:40" x14ac:dyDescent="0.3">
      <c r="A3488" t="str">
        <f>"20200111153948186"</f>
        <v>20200111153948186</v>
      </c>
      <c r="B3488" t="str">
        <f>"1578728388174148"</f>
        <v>1578728388174148</v>
      </c>
      <c r="C3488" t="s">
        <v>40</v>
      </c>
      <c r="D3488">
        <v>4.7352379999999998</v>
      </c>
      <c r="E3488">
        <v>0.35584260000000001</v>
      </c>
      <c r="F3488" t="s">
        <v>42</v>
      </c>
      <c r="G3488">
        <v>-346.75670000000002</v>
      </c>
      <c r="H3488" s="1">
        <v>-3.015386E-6</v>
      </c>
      <c r="I3488">
        <v>25.786290000000001</v>
      </c>
      <c r="J3488">
        <v>-363.99829999999997</v>
      </c>
      <c r="K3488">
        <v>1.103939</v>
      </c>
      <c r="L3488">
        <v>18.025510000000001</v>
      </c>
      <c r="M3488">
        <v>0.99990230000000002</v>
      </c>
      <c r="N3488">
        <v>0</v>
      </c>
      <c r="O3488">
        <v>1.238992E-2</v>
      </c>
      <c r="P3488">
        <v>0.99782159999999998</v>
      </c>
      <c r="Q3488">
        <v>3.6529369999999999E-2</v>
      </c>
      <c r="R3488">
        <v>5.4934589999999998E-2</v>
      </c>
      <c r="S3488">
        <v>2.9417420000000001</v>
      </c>
      <c r="T3488">
        <v>-0.1854712</v>
      </c>
      <c r="U3488">
        <v>1.3044739999999999</v>
      </c>
      <c r="V3488">
        <v>-4.259056E-2</v>
      </c>
      <c r="W3488">
        <v>4.2990130000000001E-2</v>
      </c>
      <c r="X3488">
        <v>0.99816729999999998</v>
      </c>
      <c r="Y3488">
        <v>-0.39337939999999999</v>
      </c>
      <c r="Z3488">
        <v>1.10895E-2</v>
      </c>
      <c r="AA3488">
        <v>0.91930940000000005</v>
      </c>
      <c r="AB3488">
        <v>29</v>
      </c>
      <c r="AC3488">
        <v>17.241599999999899</v>
      </c>
      <c r="AD3488">
        <v>-1.103942015386</v>
      </c>
      <c r="AE3488">
        <v>7.7607799999999996</v>
      </c>
      <c r="AF3488">
        <v>-7.5209197383689697</v>
      </c>
      <c r="AG3488">
        <v>-1.103942015386</v>
      </c>
      <c r="AH3488">
        <v>17.277536683144401</v>
      </c>
      <c r="AI3488">
        <v>93.352827369001901</v>
      </c>
      <c r="AJ3488">
        <v>113.523514725</v>
      </c>
      <c r="AK3488">
        <v>18.875809797773599</v>
      </c>
      <c r="AL3488">
        <v>87.536087726554697</v>
      </c>
      <c r="AM3488">
        <v>92.443257778503295</v>
      </c>
      <c r="AN3488">
        <v>1.0000000329339001</v>
      </c>
    </row>
    <row r="3489" spans="1:40" x14ac:dyDescent="0.3">
      <c r="A3489" t="str">
        <f>"20200111153948208"</f>
        <v>20200111153948208</v>
      </c>
      <c r="B3489" t="str">
        <f>"1578728388204912"</f>
        <v>1578728388204912</v>
      </c>
      <c r="C3489" t="s">
        <v>40</v>
      </c>
      <c r="D3489">
        <v>4.8132219999999997</v>
      </c>
      <c r="E3489">
        <v>0.35417270000000001</v>
      </c>
      <c r="F3489" t="s">
        <v>42</v>
      </c>
      <c r="G3489">
        <v>-347.72289999999998</v>
      </c>
      <c r="H3489" s="1">
        <v>-2.4686980000000001E-6</v>
      </c>
      <c r="I3489">
        <v>25.289439999999999</v>
      </c>
      <c r="J3489">
        <v>-363.71230000000003</v>
      </c>
      <c r="K3489">
        <v>1.1039350000000001</v>
      </c>
      <c r="L3489">
        <v>18.029330000000002</v>
      </c>
      <c r="M3489">
        <v>0.99989850000000002</v>
      </c>
      <c r="N3489">
        <v>0</v>
      </c>
      <c r="O3489">
        <v>1.2687749999999999E-2</v>
      </c>
      <c r="P3489">
        <v>0.99782380000000004</v>
      </c>
      <c r="Q3489">
        <v>3.6394820000000001E-2</v>
      </c>
      <c r="R3489">
        <v>5.4985600000000003E-2</v>
      </c>
      <c r="S3489">
        <v>2.9416199999999999</v>
      </c>
      <c r="T3489">
        <v>-0.19952629999999999</v>
      </c>
      <c r="U3489">
        <v>1.312897</v>
      </c>
      <c r="V3489">
        <v>-4.234425E-2</v>
      </c>
      <c r="W3489">
        <v>4.2860549999999997E-2</v>
      </c>
      <c r="X3489">
        <v>0.9981833</v>
      </c>
      <c r="Y3489">
        <v>-0.39521509999999999</v>
      </c>
      <c r="Z3489">
        <v>1.1962209999999999E-2</v>
      </c>
      <c r="AA3489">
        <v>0.91851070000000001</v>
      </c>
      <c r="AB3489">
        <v>29</v>
      </c>
      <c r="AC3489">
        <v>15.9894</v>
      </c>
      <c r="AD3489">
        <v>-1.1039374686979999</v>
      </c>
      <c r="AE3489">
        <v>7.2601100000000001</v>
      </c>
      <c r="AF3489">
        <v>-7.0288737258374301</v>
      </c>
      <c r="AG3489">
        <v>-1.1039374686979999</v>
      </c>
      <c r="AH3489">
        <v>16.016930440170999</v>
      </c>
      <c r="AI3489">
        <v>93.611339089761202</v>
      </c>
      <c r="AJ3489">
        <v>113.693799706428</v>
      </c>
      <c r="AK3489">
        <v>17.526146310978898</v>
      </c>
      <c r="AL3489">
        <v>87.543518836072494</v>
      </c>
      <c r="AM3489">
        <v>92.429105999068497</v>
      </c>
      <c r="AN3489">
        <v>0.99999998132662704</v>
      </c>
    </row>
    <row r="3490" spans="1:40" x14ac:dyDescent="0.3">
      <c r="A3490" t="str">
        <f>"20200111153948231"</f>
        <v>20200111153948231</v>
      </c>
      <c r="B3490" t="str">
        <f>"1578728388224432"</f>
        <v>1578728388224432</v>
      </c>
      <c r="C3490" t="s">
        <v>40</v>
      </c>
      <c r="D3490">
        <v>4.7483570000000004</v>
      </c>
      <c r="E3490">
        <v>0.3535257</v>
      </c>
      <c r="F3490" t="s">
        <v>42</v>
      </c>
      <c r="G3490">
        <v>-346.6277</v>
      </c>
      <c r="H3490" s="1">
        <v>-3.0573380000000001E-6</v>
      </c>
      <c r="I3490">
        <v>25.73602</v>
      </c>
      <c r="J3490">
        <v>-363.40039999999999</v>
      </c>
      <c r="K3490">
        <v>1.103934</v>
      </c>
      <c r="L3490">
        <v>18.033629999999999</v>
      </c>
      <c r="M3490">
        <v>0.99989430000000001</v>
      </c>
      <c r="N3490">
        <v>0</v>
      </c>
      <c r="O3490">
        <v>1.3012350000000001E-2</v>
      </c>
      <c r="P3490">
        <v>0.99782910000000002</v>
      </c>
      <c r="Q3490">
        <v>3.605241E-2</v>
      </c>
      <c r="R3490">
        <v>5.5115270000000001E-2</v>
      </c>
      <c r="S3490">
        <v>2.940369</v>
      </c>
      <c r="T3490">
        <v>-0.18999479999999999</v>
      </c>
      <c r="U3490">
        <v>1.3263849999999999</v>
      </c>
      <c r="V3490">
        <v>-4.2149720000000002E-2</v>
      </c>
      <c r="W3490">
        <v>4.252326E-2</v>
      </c>
      <c r="X3490">
        <v>0.99820600000000004</v>
      </c>
      <c r="Y3490">
        <v>-0.3986307</v>
      </c>
      <c r="Z3490">
        <v>1.147128E-2</v>
      </c>
      <c r="AA3490">
        <v>0.91703979999999996</v>
      </c>
      <c r="AB3490">
        <v>29</v>
      </c>
      <c r="AC3490">
        <v>16.772699999999901</v>
      </c>
      <c r="AD3490">
        <v>-1.1039370573379901</v>
      </c>
      <c r="AE3490">
        <v>7.7023900000000003</v>
      </c>
      <c r="AF3490">
        <v>-7.4568042903281002</v>
      </c>
      <c r="AG3490">
        <v>-1.1039370573379901</v>
      </c>
      <c r="AH3490">
        <v>16.811365502889601</v>
      </c>
      <c r="AI3490">
        <v>93.435126162697799</v>
      </c>
      <c r="AJ3490">
        <v>113.92003077444799</v>
      </c>
      <c r="AK3490">
        <v>18.4240228322309</v>
      </c>
      <c r="AL3490">
        <v>87.562861865609705</v>
      </c>
      <c r="AM3490">
        <v>92.417905010772003</v>
      </c>
      <c r="AN3490">
        <v>1.00000002248655</v>
      </c>
    </row>
    <row r="3491" spans="1:40" x14ac:dyDescent="0.3">
      <c r="A3491" t="str">
        <f>"20200111153948253"</f>
        <v>20200111153948253</v>
      </c>
      <c r="B3491" t="str">
        <f>"1578728388244927"</f>
        <v>1578728388244927</v>
      </c>
      <c r="C3491" t="s">
        <v>40</v>
      </c>
      <c r="D3491">
        <v>4.7308879999999904</v>
      </c>
      <c r="E3491">
        <v>0.35412690000000002</v>
      </c>
      <c r="F3491" t="s">
        <v>42</v>
      </c>
      <c r="G3491">
        <v>-345.57589999999999</v>
      </c>
      <c r="H3491" s="1">
        <v>-3.5304449999999999E-6</v>
      </c>
      <c r="I3491">
        <v>26.110299999999999</v>
      </c>
      <c r="J3491">
        <v>-363.10250000000002</v>
      </c>
      <c r="K3491">
        <v>1.1039209999999999</v>
      </c>
      <c r="L3491">
        <v>18.03781</v>
      </c>
      <c r="M3491">
        <v>0.99988999999999995</v>
      </c>
      <c r="N3491">
        <v>0</v>
      </c>
      <c r="O3491">
        <v>1.3322530000000001E-2</v>
      </c>
      <c r="P3491">
        <v>0.99779370000000001</v>
      </c>
      <c r="Q3491">
        <v>3.5886729999999999E-2</v>
      </c>
      <c r="R3491">
        <v>5.5855509999999997E-2</v>
      </c>
      <c r="S3491">
        <v>2.939514</v>
      </c>
      <c r="T3491">
        <v>-0.18205489999999999</v>
      </c>
      <c r="U3491">
        <v>1.3319700000000001</v>
      </c>
      <c r="V3491">
        <v>-4.2580760000000002E-2</v>
      </c>
      <c r="W3491">
        <v>4.2361280000000001E-2</v>
      </c>
      <c r="X3491">
        <v>0.99819460000000004</v>
      </c>
      <c r="Y3491">
        <v>-0.39994570000000002</v>
      </c>
      <c r="Z3491">
        <v>1.1012030000000001E-2</v>
      </c>
      <c r="AA3491">
        <v>0.91647270000000003</v>
      </c>
      <c r="AB3491">
        <v>30</v>
      </c>
      <c r="AC3491">
        <v>17.526599999999998</v>
      </c>
      <c r="AD3491">
        <v>-1.1039245304449901</v>
      </c>
      <c r="AE3491">
        <v>8.0724899999999895</v>
      </c>
      <c r="AF3491">
        <v>-7.8126998380511701</v>
      </c>
      <c r="AG3491">
        <v>-1.1039245304449901</v>
      </c>
      <c r="AH3491">
        <v>17.575071503935199</v>
      </c>
      <c r="AI3491">
        <v>93.2849673110168</v>
      </c>
      <c r="AJ3491">
        <v>113.966727340814</v>
      </c>
      <c r="AK3491">
        <v>19.264995886239898</v>
      </c>
      <c r="AL3491">
        <v>87.572151022620702</v>
      </c>
      <c r="AM3491">
        <v>92.442629545672006</v>
      </c>
      <c r="AN3491">
        <v>1.0000000293172799</v>
      </c>
    </row>
    <row r="3492" spans="1:40" x14ac:dyDescent="0.3">
      <c r="A3492" t="str">
        <f>"20200111153948278"</f>
        <v>20200111153948278</v>
      </c>
      <c r="B3492" t="str">
        <f>"1578728388274208"</f>
        <v>1578728388274208</v>
      </c>
      <c r="C3492" t="s">
        <v>40</v>
      </c>
      <c r="D3492">
        <v>4.8930769999999999</v>
      </c>
      <c r="E3492">
        <v>0.35380109999999998</v>
      </c>
      <c r="F3492" t="s">
        <v>42</v>
      </c>
      <c r="G3492">
        <v>-346.27069999999998</v>
      </c>
      <c r="H3492" s="1">
        <v>-3.1882190000000001E-6</v>
      </c>
      <c r="I3492">
        <v>25.652339999999999</v>
      </c>
      <c r="J3492">
        <v>-362.79759999999999</v>
      </c>
      <c r="K3492">
        <v>1.1039209999999999</v>
      </c>
      <c r="L3492">
        <v>18.042210000000001</v>
      </c>
      <c r="M3492">
        <v>0.99988569999999999</v>
      </c>
      <c r="N3492">
        <v>0</v>
      </c>
      <c r="O3492">
        <v>1.3639500000000001E-2</v>
      </c>
      <c r="P3492">
        <v>0.99777249999999995</v>
      </c>
      <c r="Q3492">
        <v>3.6006129999999997E-2</v>
      </c>
      <c r="R3492">
        <v>5.6157029999999997E-2</v>
      </c>
      <c r="S3492">
        <v>2.9391479999999999</v>
      </c>
      <c r="T3492">
        <v>-0.1927653</v>
      </c>
      <c r="U3492">
        <v>1.3296509999999999</v>
      </c>
      <c r="V3492">
        <v>-4.256625E-2</v>
      </c>
      <c r="W3492">
        <v>4.2485139999999998E-2</v>
      </c>
      <c r="X3492">
        <v>0.99818989999999996</v>
      </c>
      <c r="Y3492">
        <v>-0.39902530000000003</v>
      </c>
      <c r="Z3492">
        <v>1.161331E-2</v>
      </c>
      <c r="AA3492">
        <v>0.91686639999999997</v>
      </c>
      <c r="AB3492">
        <v>30</v>
      </c>
      <c r="AC3492">
        <v>16.526900000000001</v>
      </c>
      <c r="AD3492">
        <v>-1.1039241882189901</v>
      </c>
      <c r="AE3492">
        <v>7.6101299999999901</v>
      </c>
      <c r="AF3492">
        <v>-7.3569168130043696</v>
      </c>
      <c r="AG3492">
        <v>-1.1039241882189901</v>
      </c>
      <c r="AH3492">
        <v>16.568173474508701</v>
      </c>
      <c r="AI3492">
        <v>93.484762917267901</v>
      </c>
      <c r="AJ3492">
        <v>113.943092308103</v>
      </c>
      <c r="AK3492">
        <v>18.161697219373899</v>
      </c>
      <c r="AL3492">
        <v>87.5650478396267</v>
      </c>
      <c r="AM3492">
        <v>92.441809675888393</v>
      </c>
      <c r="AN3492">
        <v>0.99999997461094503</v>
      </c>
    </row>
    <row r="3493" spans="1:40" x14ac:dyDescent="0.3">
      <c r="A3493" t="str">
        <f>"20200111153948298"</f>
        <v>20200111153948298</v>
      </c>
      <c r="B3493" t="str">
        <f>"1578728388294704"</f>
        <v>1578728388294704</v>
      </c>
      <c r="C3493" t="s">
        <v>40</v>
      </c>
      <c r="D3493">
        <v>4.8789009999999999</v>
      </c>
      <c r="E3493">
        <v>0.40733360000000002</v>
      </c>
      <c r="F3493" t="s">
        <v>41</v>
      </c>
      <c r="G3493">
        <v>-361.83640000000003</v>
      </c>
      <c r="H3493">
        <v>1.039776</v>
      </c>
      <c r="I3493">
        <v>18.478069999999999</v>
      </c>
      <c r="J3493">
        <v>-362.512</v>
      </c>
      <c r="K3493">
        <v>1.1039219999999901</v>
      </c>
      <c r="L3493">
        <v>18.046420000000001</v>
      </c>
      <c r="M3493">
        <v>0.99988180000000004</v>
      </c>
      <c r="N3493">
        <v>0</v>
      </c>
      <c r="O3493">
        <v>1.393615E-2</v>
      </c>
      <c r="P3493">
        <v>0.99776480000000001</v>
      </c>
      <c r="Q3493">
        <v>3.5835730000000003E-2</v>
      </c>
      <c r="R3493">
        <v>5.6403290000000002E-2</v>
      </c>
      <c r="S3493">
        <v>2.9387509999999999</v>
      </c>
      <c r="T3493">
        <v>-0.19612350000000001</v>
      </c>
      <c r="U3493">
        <v>1.332886</v>
      </c>
      <c r="V3493">
        <v>-4.2516579999999998E-2</v>
      </c>
      <c r="W3493">
        <v>4.2318399999999999E-2</v>
      </c>
      <c r="X3493">
        <v>0.99819910000000001</v>
      </c>
      <c r="Y3493">
        <v>-0.39961279999999999</v>
      </c>
      <c r="Z3493">
        <v>1.181398E-2</v>
      </c>
      <c r="AA3493">
        <v>0.91660790000000003</v>
      </c>
      <c r="AB3493">
        <v>30</v>
      </c>
      <c r="AC3493">
        <v>0.67559999999991704</v>
      </c>
      <c r="AD3493">
        <v>-6.41459999999998E-2</v>
      </c>
      <c r="AE3493">
        <v>0.43165000000000098</v>
      </c>
      <c r="AF3493">
        <v>-0.41950707827082001</v>
      </c>
      <c r="AG3493">
        <v>-6.41459999999998E-2</v>
      </c>
      <c r="AH3493">
        <v>0.67721475829665301</v>
      </c>
      <c r="AI3493">
        <v>94.6036691883603</v>
      </c>
      <c r="AJ3493">
        <v>121.77653560506801</v>
      </c>
      <c r="AK3493">
        <v>0.79920005436067998</v>
      </c>
      <c r="AL3493">
        <v>87.574609938614998</v>
      </c>
      <c r="AM3493">
        <v>92.438941351122196</v>
      </c>
      <c r="AN3493">
        <v>0.99999997489713199</v>
      </c>
    </row>
    <row r="3494" spans="1:40" x14ac:dyDescent="0.3">
      <c r="A3494" t="str">
        <f>"20200111153948321"</f>
        <v>20200111153948321</v>
      </c>
      <c r="B3494" t="str">
        <f>"1578728388314225"</f>
        <v>1578728388314225</v>
      </c>
      <c r="C3494" t="s">
        <v>40</v>
      </c>
      <c r="D3494">
        <v>4.9697339999999999</v>
      </c>
      <c r="E3494">
        <v>0.42673240000000001</v>
      </c>
      <c r="F3494" t="s">
        <v>42</v>
      </c>
      <c r="G3494">
        <v>-343.8107</v>
      </c>
      <c r="H3494" s="1">
        <v>-3.7169899999999999E-6</v>
      </c>
      <c r="I3494">
        <v>23.775469999999999</v>
      </c>
      <c r="J3494">
        <v>-362.20859999999999</v>
      </c>
      <c r="K3494">
        <v>1.103925</v>
      </c>
      <c r="L3494">
        <v>18.05096</v>
      </c>
      <c r="M3494">
        <v>0.99987720000000002</v>
      </c>
      <c r="N3494">
        <v>0</v>
      </c>
      <c r="O3494">
        <v>1.425121E-2</v>
      </c>
      <c r="P3494">
        <v>0.99775340000000001</v>
      </c>
      <c r="Q3494">
        <v>3.5768080000000001E-2</v>
      </c>
      <c r="R3494">
        <v>5.6648560000000001E-2</v>
      </c>
      <c r="S3494">
        <v>2.9617</v>
      </c>
      <c r="T3494">
        <v>-0.1748277</v>
      </c>
      <c r="U3494">
        <v>0.90731810000000002</v>
      </c>
      <c r="V3494">
        <v>-4.2447680000000002E-2</v>
      </c>
      <c r="W3494">
        <v>4.225599E-2</v>
      </c>
      <c r="X3494">
        <v>0.99820469999999895</v>
      </c>
      <c r="Y3494">
        <v>-0.2788368</v>
      </c>
      <c r="Z3494">
        <v>7.2174580000000004E-3</v>
      </c>
      <c r="AA3494">
        <v>0.96031140000000004</v>
      </c>
      <c r="AB3494">
        <v>30</v>
      </c>
      <c r="AC3494">
        <v>18.3979</v>
      </c>
      <c r="AD3494">
        <v>-1.1039287169900001</v>
      </c>
      <c r="AE3494">
        <v>5.7245100000000004</v>
      </c>
      <c r="AF3494">
        <v>-5.44386093504718</v>
      </c>
      <c r="AG3494">
        <v>-1.1039287169900001</v>
      </c>
      <c r="AH3494">
        <v>18.417159082972699</v>
      </c>
      <c r="AI3494">
        <v>93.289837539122701</v>
      </c>
      <c r="AJ3494">
        <v>106.46696040587599</v>
      </c>
      <c r="AK3494">
        <v>19.236580496019801</v>
      </c>
      <c r="AL3494">
        <v>87.578189027356899</v>
      </c>
      <c r="AM3494">
        <v>92.434980055846793</v>
      </c>
      <c r="AN3494">
        <v>0.99999999866517597</v>
      </c>
    </row>
    <row r="3495" spans="1:40" x14ac:dyDescent="0.3">
      <c r="A3495" t="str">
        <f>"20200111153948343"</f>
        <v>20200111153948343</v>
      </c>
      <c r="B3495" t="str">
        <f>"1578728388334720"</f>
        <v>1578728388334720</v>
      </c>
      <c r="C3495" t="s">
        <v>40</v>
      </c>
      <c r="D3495">
        <v>5.1400119999999996</v>
      </c>
      <c r="E3495">
        <v>0.43174109999999999</v>
      </c>
      <c r="F3495" t="s">
        <v>42</v>
      </c>
      <c r="G3495">
        <v>-345.04289999999997</v>
      </c>
      <c r="H3495" s="1">
        <v>-2.8506509999999998E-6</v>
      </c>
      <c r="I3495">
        <v>22.404019999999999</v>
      </c>
      <c r="J3495">
        <v>-361.90010000000001</v>
      </c>
      <c r="K3495">
        <v>1.1039270000000001</v>
      </c>
      <c r="L3495">
        <v>18.055689999999998</v>
      </c>
      <c r="M3495">
        <v>0.9998726</v>
      </c>
      <c r="N3495">
        <v>0</v>
      </c>
      <c r="O3495">
        <v>1.457133E-2</v>
      </c>
      <c r="P3495">
        <v>0.99773449999999997</v>
      </c>
      <c r="Q3495">
        <v>3.5759600000000002E-2</v>
      </c>
      <c r="R3495">
        <v>5.6985000000000001E-2</v>
      </c>
      <c r="S3495">
        <v>2.970825</v>
      </c>
      <c r="T3495">
        <v>-0.19105420000000001</v>
      </c>
      <c r="U3495">
        <v>0.75338749999999999</v>
      </c>
      <c r="V3495">
        <v>-4.2464330000000002E-2</v>
      </c>
      <c r="W3495">
        <v>4.2257889999999999E-2</v>
      </c>
      <c r="X3495">
        <v>0.99820390000000003</v>
      </c>
      <c r="Y3495">
        <v>-0.23124349999999999</v>
      </c>
      <c r="Z3495">
        <v>6.3914380000000002E-3</v>
      </c>
      <c r="AA3495">
        <v>0.97287489999999999</v>
      </c>
      <c r="AB3495">
        <v>30</v>
      </c>
      <c r="AC3495">
        <v>16.857199999999999</v>
      </c>
      <c r="AD3495">
        <v>-1.103929850651</v>
      </c>
      <c r="AE3495">
        <v>4.3483299999999998</v>
      </c>
      <c r="AF3495">
        <v>-4.0858022266568597</v>
      </c>
      <c r="AG3495">
        <v>-1.103929850651</v>
      </c>
      <c r="AH3495">
        <v>16.8510143877999</v>
      </c>
      <c r="AI3495">
        <v>93.642901303408493</v>
      </c>
      <c r="AJ3495">
        <v>103.62926796599</v>
      </c>
      <c r="AK3495">
        <v>17.374381337139798</v>
      </c>
      <c r="AL3495">
        <v>87.578080040466006</v>
      </c>
      <c r="AM3495">
        <v>92.435935970504701</v>
      </c>
      <c r="AN3495">
        <v>0.99999998728240502</v>
      </c>
    </row>
    <row r="3496" spans="1:40" x14ac:dyDescent="0.3">
      <c r="A3496" t="str">
        <f>"20200111153948366"</f>
        <v>20200111153948366</v>
      </c>
      <c r="B3496" t="str">
        <f>"1578728388354243"</f>
        <v>1578728388354243</v>
      </c>
      <c r="C3496" t="s">
        <v>40</v>
      </c>
      <c r="D3496">
        <v>5.1344209999999997</v>
      </c>
      <c r="E3496">
        <v>0.43374200000000002</v>
      </c>
      <c r="F3496" t="s">
        <v>42</v>
      </c>
      <c r="G3496">
        <v>-343.65789999999998</v>
      </c>
      <c r="H3496" s="1">
        <v>-3.4544060000000001E-6</v>
      </c>
      <c r="I3496">
        <v>22.440069999999999</v>
      </c>
      <c r="J3496">
        <v>-361.59379999999999</v>
      </c>
      <c r="K3496">
        <v>1.1039300000000001</v>
      </c>
      <c r="L3496">
        <v>18.060490000000001</v>
      </c>
      <c r="M3496">
        <v>0.99986770000000003</v>
      </c>
      <c r="N3496">
        <v>0</v>
      </c>
      <c r="O3496">
        <v>1.488928E-2</v>
      </c>
      <c r="P3496">
        <v>0.9976912</v>
      </c>
      <c r="Q3496">
        <v>3.6130799999999998E-2</v>
      </c>
      <c r="R3496">
        <v>5.7506939999999999E-2</v>
      </c>
      <c r="S3496">
        <v>2.9724430000000002</v>
      </c>
      <c r="T3496">
        <v>-0.1798776</v>
      </c>
      <c r="U3496">
        <v>0.71441650000000001</v>
      </c>
      <c r="V3496">
        <v>-4.267021E-2</v>
      </c>
      <c r="W3496">
        <v>4.2642359999999997E-2</v>
      </c>
      <c r="X3496">
        <v>0.99817880000000003</v>
      </c>
      <c r="Y3496">
        <v>-0.2188359</v>
      </c>
      <c r="Z3496">
        <v>5.6355569999999898E-3</v>
      </c>
      <c r="AA3496">
        <v>0.97574539999999998</v>
      </c>
      <c r="AB3496">
        <v>30</v>
      </c>
      <c r="AC3496">
        <v>17.9359</v>
      </c>
      <c r="AD3496">
        <v>-1.10393345440599</v>
      </c>
      <c r="AE3496">
        <v>4.3795799999999998</v>
      </c>
      <c r="AF3496">
        <v>-4.0973875748061497</v>
      </c>
      <c r="AG3496">
        <v>-1.10393345440599</v>
      </c>
      <c r="AH3496">
        <v>17.935002516214901</v>
      </c>
      <c r="AI3496">
        <v>93.433965781744604</v>
      </c>
      <c r="AJ3496">
        <v>102.868803157484</v>
      </c>
      <c r="AK3496">
        <v>18.4301809341788</v>
      </c>
      <c r="AL3496">
        <v>87.556031730235702</v>
      </c>
      <c r="AM3496">
        <v>92.447793275160393</v>
      </c>
      <c r="AN3496">
        <v>1.0000000172286201</v>
      </c>
    </row>
    <row r="3497" spans="1:40" x14ac:dyDescent="0.3">
      <c r="A3497" t="str">
        <f>"20200111153948386"</f>
        <v>20200111153948386</v>
      </c>
      <c r="B3497" t="str">
        <f>"1578728388384497"</f>
        <v>1578728388384497</v>
      </c>
      <c r="C3497" t="s">
        <v>40</v>
      </c>
      <c r="D3497">
        <v>4.9367010000000002</v>
      </c>
      <c r="E3497">
        <v>0.4337123</v>
      </c>
      <c r="F3497" t="s">
        <v>42</v>
      </c>
      <c r="G3497">
        <v>-342.02280000000002</v>
      </c>
      <c r="H3497" s="1">
        <v>-4.1294959999999999E-6</v>
      </c>
      <c r="I3497">
        <v>22.670860000000001</v>
      </c>
      <c r="J3497">
        <v>-361.31549999999999</v>
      </c>
      <c r="K3497">
        <v>1.103934</v>
      </c>
      <c r="L3497">
        <v>18.064910000000001</v>
      </c>
      <c r="M3497">
        <v>0.99986319999999995</v>
      </c>
      <c r="N3497">
        <v>0</v>
      </c>
      <c r="O3497">
        <v>1.5177660000000001E-2</v>
      </c>
      <c r="P3497">
        <v>0.99764560000000002</v>
      </c>
      <c r="Q3497">
        <v>3.6410909999999998E-2</v>
      </c>
      <c r="R3497">
        <v>5.8116370000000001E-2</v>
      </c>
      <c r="S3497">
        <v>2.9726560000000002</v>
      </c>
      <c r="T3497">
        <v>-0.16767750000000001</v>
      </c>
      <c r="U3497">
        <v>0.70028690000000005</v>
      </c>
      <c r="V3497">
        <v>-4.2992370000000002E-2</v>
      </c>
      <c r="W3497">
        <v>4.294154E-2</v>
      </c>
      <c r="X3497">
        <v>0.99815209999999999</v>
      </c>
      <c r="Y3497">
        <v>-0.2142</v>
      </c>
      <c r="Z3497">
        <v>5.1114979999999999E-3</v>
      </c>
      <c r="AA3497">
        <v>0.97677650000000005</v>
      </c>
      <c r="AB3497">
        <v>30</v>
      </c>
      <c r="AC3497">
        <v>19.2926999999999</v>
      </c>
      <c r="AD3497">
        <v>-1.103938129496</v>
      </c>
      <c r="AE3497">
        <v>4.60595</v>
      </c>
      <c r="AF3497">
        <v>-4.29927748617391</v>
      </c>
      <c r="AG3497">
        <v>-1.103938129496</v>
      </c>
      <c r="AH3497">
        <v>19.300600546736899</v>
      </c>
      <c r="AI3497">
        <v>93.195435598644096</v>
      </c>
      <c r="AJ3497">
        <v>102.55781523581101</v>
      </c>
      <c r="AK3497">
        <v>19.804435052825301</v>
      </c>
      <c r="AL3497">
        <v>87.538874139881798</v>
      </c>
      <c r="AM3497">
        <v>92.466317265056006</v>
      </c>
      <c r="AN3497">
        <v>0.99999996723509799</v>
      </c>
    </row>
    <row r="3498" spans="1:40" x14ac:dyDescent="0.3">
      <c r="A3498" t="str">
        <f>"20200111153948409"</f>
        <v>20200111153948409</v>
      </c>
      <c r="B3498" t="str">
        <f>"1578728388404837"</f>
        <v>1578728388404837</v>
      </c>
      <c r="C3498" t="s">
        <v>40</v>
      </c>
      <c r="D3498">
        <v>4.9426709999999998</v>
      </c>
      <c r="E3498">
        <v>0.433058</v>
      </c>
      <c r="F3498" t="s">
        <v>42</v>
      </c>
      <c r="G3498">
        <v>-340.92</v>
      </c>
      <c r="H3498" s="1">
        <v>-4.5425729999999998E-6</v>
      </c>
      <c r="I3498">
        <v>22.884049999999998</v>
      </c>
      <c r="J3498">
        <v>-361.00540000000001</v>
      </c>
      <c r="K3498">
        <v>1.103936</v>
      </c>
      <c r="L3498">
        <v>18.069949999999999</v>
      </c>
      <c r="M3498">
        <v>0.99985820000000003</v>
      </c>
      <c r="N3498">
        <v>0</v>
      </c>
      <c r="O3498">
        <v>1.5498970000000001E-2</v>
      </c>
      <c r="P3498">
        <v>0.997618</v>
      </c>
      <c r="Q3498">
        <v>3.6306360000000003E-2</v>
      </c>
      <c r="R3498">
        <v>5.8655289999999999E-2</v>
      </c>
      <c r="S3498">
        <v>2.9720759999999999</v>
      </c>
      <c r="T3498">
        <v>-0.16086879999999901</v>
      </c>
      <c r="U3498">
        <v>0.70227050000000002</v>
      </c>
      <c r="V3498">
        <v>-4.321096E-2</v>
      </c>
      <c r="W3498">
        <v>4.2865790000000001E-2</v>
      </c>
      <c r="X3498">
        <v>0.99814590000000003</v>
      </c>
      <c r="Y3498">
        <v>-0.2145698</v>
      </c>
      <c r="Z3498">
        <v>4.8975390000000002E-3</v>
      </c>
      <c r="AA3498">
        <v>0.97669640000000002</v>
      </c>
      <c r="AB3498">
        <v>30</v>
      </c>
      <c r="AC3498">
        <v>20.0854</v>
      </c>
      <c r="AD3498">
        <v>-1.103940542573</v>
      </c>
      <c r="AE3498">
        <v>4.8140999999999998</v>
      </c>
      <c r="AF3498">
        <v>-4.4893869219065596</v>
      </c>
      <c r="AG3498">
        <v>-1.103940542573</v>
      </c>
      <c r="AH3498">
        <v>20.100181401436</v>
      </c>
      <c r="AI3498">
        <v>93.068188015122104</v>
      </c>
      <c r="AJ3498">
        <v>102.59040006221301</v>
      </c>
      <c r="AK3498">
        <v>20.6249987158001</v>
      </c>
      <c r="AL3498">
        <v>87.543218253857304</v>
      </c>
      <c r="AM3498">
        <v>92.478856761127602</v>
      </c>
      <c r="AN3498">
        <v>0.99999995035162603</v>
      </c>
    </row>
    <row r="3499" spans="1:40" x14ac:dyDescent="0.3">
      <c r="A3499" t="str">
        <f>"20200111153948432"</f>
        <v>20200111153948432</v>
      </c>
      <c r="B3499" t="str">
        <f>"1578728388424356"</f>
        <v>1578728388424356</v>
      </c>
      <c r="C3499" t="s">
        <v>40</v>
      </c>
      <c r="D3499">
        <v>4.9766680000000001</v>
      </c>
      <c r="E3499">
        <v>0.43248140000000002</v>
      </c>
      <c r="F3499" t="s">
        <v>42</v>
      </c>
      <c r="G3499">
        <v>-340.63389999999998</v>
      </c>
      <c r="H3499" s="1">
        <v>-4.6483269999999997E-6</v>
      </c>
      <c r="I3499">
        <v>22.931329999999999</v>
      </c>
      <c r="J3499">
        <v>-360.6909</v>
      </c>
      <c r="K3499">
        <v>1.1039350000000001</v>
      </c>
      <c r="L3499">
        <v>18.075130000000001</v>
      </c>
      <c r="M3499">
        <v>0.99985279999999999</v>
      </c>
      <c r="N3499">
        <v>0</v>
      </c>
      <c r="O3499">
        <v>1.582484E-2</v>
      </c>
      <c r="P3499">
        <v>0.9976102</v>
      </c>
      <c r="Q3499">
        <v>3.5902160000000002E-2</v>
      </c>
      <c r="R3499">
        <v>5.9035190000000001E-2</v>
      </c>
      <c r="S3499">
        <v>2.9713129999999999</v>
      </c>
      <c r="T3499">
        <v>-0.16101689999999999</v>
      </c>
      <c r="U3499">
        <v>0.70907589999999998</v>
      </c>
      <c r="V3499">
        <v>-4.3265419999999999E-2</v>
      </c>
      <c r="W3499">
        <v>4.2498960000000002E-2</v>
      </c>
      <c r="X3499">
        <v>0.99815929999999997</v>
      </c>
      <c r="Y3499">
        <v>-0.21642230000000001</v>
      </c>
      <c r="Z3499">
        <v>4.9340670000000003E-3</v>
      </c>
      <c r="AA3499">
        <v>0.97628740000000003</v>
      </c>
      <c r="AB3499">
        <v>30</v>
      </c>
      <c r="AC3499">
        <v>20.056999999999999</v>
      </c>
      <c r="AD3499">
        <v>-1.1039396483270001</v>
      </c>
      <c r="AE3499">
        <v>4.8562000000000003</v>
      </c>
      <c r="AF3499">
        <v>-4.52523640538391</v>
      </c>
      <c r="AG3499">
        <v>-1.1039396483270001</v>
      </c>
      <c r="AH3499">
        <v>20.073893992059201</v>
      </c>
      <c r="AI3499">
        <v>93.070834569511206</v>
      </c>
      <c r="AJ3499">
        <v>102.703772913433</v>
      </c>
      <c r="AK3499">
        <v>20.607223667349999</v>
      </c>
      <c r="AL3499">
        <v>87.564255414467596</v>
      </c>
      <c r="AM3499">
        <v>92.481943752105707</v>
      </c>
      <c r="AN3499">
        <v>1.00000002317267</v>
      </c>
    </row>
    <row r="3500" spans="1:40" x14ac:dyDescent="0.3">
      <c r="A3500" t="str">
        <f>"20200111153948455"</f>
        <v>20200111153948455</v>
      </c>
      <c r="B3500" t="str">
        <f>"1578728388444854"</f>
        <v>1578728388444854</v>
      </c>
      <c r="C3500" t="s">
        <v>40</v>
      </c>
      <c r="D3500">
        <v>4.9160589999999997</v>
      </c>
      <c r="E3500">
        <v>0.43211630000000001</v>
      </c>
      <c r="F3500" t="s">
        <v>42</v>
      </c>
      <c r="G3500">
        <v>-340.48579999999998</v>
      </c>
      <c r="H3500" s="1">
        <v>-4.6992319999999999E-6</v>
      </c>
      <c r="I3500">
        <v>22.93412</v>
      </c>
      <c r="J3500">
        <v>-360.38569999999999</v>
      </c>
      <c r="K3500">
        <v>1.1039350000000001</v>
      </c>
      <c r="L3500">
        <v>18.080290000000002</v>
      </c>
      <c r="M3500">
        <v>0.9998475</v>
      </c>
      <c r="N3500">
        <v>0</v>
      </c>
      <c r="O3500">
        <v>1.6140789999999999E-2</v>
      </c>
      <c r="P3500">
        <v>0.9976254</v>
      </c>
      <c r="Q3500">
        <v>3.5560630000000003E-2</v>
      </c>
      <c r="R3500">
        <v>5.8985009999999997E-2</v>
      </c>
      <c r="S3500">
        <v>2.9707029999999999</v>
      </c>
      <c r="T3500">
        <v>-0.1623096</v>
      </c>
      <c r="U3500">
        <v>0.71441650000000001</v>
      </c>
      <c r="V3500">
        <v>-4.2899489999999998E-2</v>
      </c>
      <c r="W3500">
        <v>4.220074E-2</v>
      </c>
      <c r="X3500">
        <v>0.99818770000000001</v>
      </c>
      <c r="Y3500">
        <v>-0.2178127</v>
      </c>
      <c r="Z3500">
        <v>4.9940269999999998E-3</v>
      </c>
      <c r="AA3500">
        <v>0.97597780000000001</v>
      </c>
      <c r="AB3500">
        <v>30</v>
      </c>
      <c r="AC3500">
        <v>19.899899999999999</v>
      </c>
      <c r="AD3500">
        <v>-1.1039396992319901</v>
      </c>
      <c r="AE3500">
        <v>4.8538300000000003</v>
      </c>
      <c r="AF3500">
        <v>-4.5188647844605203</v>
      </c>
      <c r="AG3500">
        <v>-1.1039396992319901</v>
      </c>
      <c r="AH3500">
        <v>19.917800066959799</v>
      </c>
      <c r="AI3500">
        <v>93.093892637038607</v>
      </c>
      <c r="AJ3500">
        <v>102.782633379454</v>
      </c>
      <c r="AK3500">
        <v>20.453791367547499</v>
      </c>
      <c r="AL3500">
        <v>87.581357391972801</v>
      </c>
      <c r="AM3500">
        <v>92.460907969749201</v>
      </c>
      <c r="AN3500">
        <v>0.99999997656504802</v>
      </c>
    </row>
    <row r="3501" spans="1:40" x14ac:dyDescent="0.3">
      <c r="A3501" t="str">
        <f>"20200111153948477"</f>
        <v>20200111153948477</v>
      </c>
      <c r="B3501" t="str">
        <f>"1578728388464371"</f>
        <v>1578728388464371</v>
      </c>
      <c r="C3501" t="s">
        <v>40</v>
      </c>
      <c r="D3501">
        <v>4.9768689999999998</v>
      </c>
      <c r="E3501">
        <v>0.43175010000000003</v>
      </c>
      <c r="F3501" t="s">
        <v>42</v>
      </c>
      <c r="G3501">
        <v>-340.09820000000002</v>
      </c>
      <c r="H3501" s="1">
        <v>-4.839146E-6</v>
      </c>
      <c r="I3501">
        <v>22.97926</v>
      </c>
      <c r="J3501">
        <v>-360.08510000000001</v>
      </c>
      <c r="K3501">
        <v>1.103945</v>
      </c>
      <c r="L3501">
        <v>18.085450000000002</v>
      </c>
      <c r="M3501">
        <v>0.99984209999999996</v>
      </c>
      <c r="N3501">
        <v>0</v>
      </c>
      <c r="O3501">
        <v>1.6451799999999999E-2</v>
      </c>
      <c r="P3501">
        <v>0.99767150000000004</v>
      </c>
      <c r="Q3501">
        <v>3.5391980000000003E-2</v>
      </c>
      <c r="R3501">
        <v>5.8303279999999999E-2</v>
      </c>
      <c r="S3501">
        <v>2.9704899999999999</v>
      </c>
      <c r="T3501">
        <v>-0.16163820000000001</v>
      </c>
      <c r="U3501">
        <v>0.717315699999999</v>
      </c>
      <c r="V3501">
        <v>-4.1906800000000001E-2</v>
      </c>
      <c r="W3501">
        <v>4.2076389999999998E-2</v>
      </c>
      <c r="X3501">
        <v>0.99823519999999999</v>
      </c>
      <c r="Y3501">
        <v>-0.21842729999999999</v>
      </c>
      <c r="Z3501">
        <v>4.9730060000000003E-3</v>
      </c>
      <c r="AA3501">
        <v>0.97584059999999995</v>
      </c>
      <c r="AB3501">
        <v>31</v>
      </c>
      <c r="AC3501">
        <v>19.986899999999899</v>
      </c>
      <c r="AD3501">
        <v>-1.1039498391460001</v>
      </c>
      <c r="AE3501">
        <v>4.8938099999999896</v>
      </c>
      <c r="AF3501">
        <v>-4.5512204007220198</v>
      </c>
      <c r="AG3501">
        <v>-1.1039498391460001</v>
      </c>
      <c r="AH3501">
        <v>20.0071240588222</v>
      </c>
      <c r="AI3501">
        <v>93.079733213735693</v>
      </c>
      <c r="AJ3501">
        <v>102.815557627861</v>
      </c>
      <c r="AK3501">
        <v>20.547927522949902</v>
      </c>
      <c r="AL3501">
        <v>87.588488654012906</v>
      </c>
      <c r="AM3501">
        <v>92.403916141752205</v>
      </c>
      <c r="AN3501">
        <v>1.0000000585003499</v>
      </c>
    </row>
    <row r="3502" spans="1:40" x14ac:dyDescent="0.3">
      <c r="A3502" t="str">
        <f>"20200111153948499"</f>
        <v>20200111153948499</v>
      </c>
      <c r="B3502" t="str">
        <f>"1578728388494629"</f>
        <v>1578728388494629</v>
      </c>
      <c r="C3502" t="s">
        <v>40</v>
      </c>
      <c r="D3502">
        <v>4.9982480000000002</v>
      </c>
      <c r="E3502">
        <v>0.4312685</v>
      </c>
      <c r="F3502" t="s">
        <v>42</v>
      </c>
      <c r="G3502">
        <v>-339.70429999999999</v>
      </c>
      <c r="H3502" s="1">
        <v>-1.0128409999999999E-6</v>
      </c>
      <c r="I3502">
        <v>23.012599999999999</v>
      </c>
      <c r="J3502">
        <v>-359.7758</v>
      </c>
      <c r="K3502">
        <v>1.1039490000000001</v>
      </c>
      <c r="L3502">
        <v>18.090879999999999</v>
      </c>
      <c r="M3502">
        <v>0.99983650000000002</v>
      </c>
      <c r="N3502">
        <v>0</v>
      </c>
      <c r="O3502">
        <v>1.6771689999999999E-2</v>
      </c>
      <c r="P3502">
        <v>0.99773339999999999</v>
      </c>
      <c r="Q3502">
        <v>3.4798790000000003E-2</v>
      </c>
      <c r="R3502">
        <v>5.7595830000000001E-2</v>
      </c>
      <c r="S3502">
        <v>2.9707340000000002</v>
      </c>
      <c r="T3502">
        <v>-0.160913</v>
      </c>
      <c r="U3502">
        <v>0.71820069999999903</v>
      </c>
      <c r="V3502">
        <v>-4.0878610000000003E-2</v>
      </c>
      <c r="W3502">
        <v>4.1527069999999999E-2</v>
      </c>
      <c r="X3502">
        <v>0.99830079999999999</v>
      </c>
      <c r="Y3502">
        <v>-0.2183746</v>
      </c>
      <c r="Z3502">
        <v>4.9317040000000003E-3</v>
      </c>
      <c r="AA3502">
        <v>0.97585250000000001</v>
      </c>
      <c r="AB3502">
        <v>31</v>
      </c>
      <c r="AC3502">
        <v>20.0715</v>
      </c>
      <c r="AD3502">
        <v>-1.103950012841</v>
      </c>
      <c r="AE3502">
        <v>4.9217199999999997</v>
      </c>
      <c r="AF3502">
        <v>-4.5713426199747103</v>
      </c>
      <c r="AG3502">
        <v>-1.103950012841</v>
      </c>
      <c r="AH3502">
        <v>20.093885852407301</v>
      </c>
      <c r="AI3502">
        <v>93.066448688112601</v>
      </c>
      <c r="AJ3502">
        <v>102.816603156111</v>
      </c>
      <c r="AK3502">
        <v>20.6368633185769</v>
      </c>
      <c r="AL3502">
        <v>87.619989819561994</v>
      </c>
      <c r="AM3502">
        <v>92.344848425090106</v>
      </c>
      <c r="AN3502">
        <v>1.0000000227894701</v>
      </c>
    </row>
    <row r="3503" spans="1:40" x14ac:dyDescent="0.3">
      <c r="A3503" t="str">
        <f>"20200111153948521"</f>
        <v>20200111153948521</v>
      </c>
      <c r="B3503" t="str">
        <f>"1578728388514148"</f>
        <v>1578728388514148</v>
      </c>
      <c r="C3503" t="s">
        <v>40</v>
      </c>
      <c r="D3503">
        <v>4.9768339999999904</v>
      </c>
      <c r="E3503">
        <v>0.43094060000000001</v>
      </c>
      <c r="F3503" t="s">
        <v>42</v>
      </c>
      <c r="G3503">
        <v>-339.41120000000001</v>
      </c>
      <c r="H3503" s="1">
        <v>-1.142389E-6</v>
      </c>
      <c r="I3503">
        <v>23.02694</v>
      </c>
      <c r="J3503">
        <v>-359.46589999999998</v>
      </c>
      <c r="K3503">
        <v>1.10395</v>
      </c>
      <c r="L3503">
        <v>18.09637</v>
      </c>
      <c r="M3503">
        <v>0.99983069999999996</v>
      </c>
      <c r="N3503">
        <v>0</v>
      </c>
      <c r="O3503">
        <v>1.7092099999999999E-2</v>
      </c>
      <c r="P3503">
        <v>0.99775119999999895</v>
      </c>
      <c r="Q3503">
        <v>3.438459E-2</v>
      </c>
      <c r="R3503">
        <v>5.7535000000000003E-2</v>
      </c>
      <c r="S3503">
        <v>2.970825</v>
      </c>
      <c r="T3503">
        <v>-0.16104640000000001</v>
      </c>
      <c r="U3503">
        <v>0.72009279999999998</v>
      </c>
      <c r="V3503">
        <v>-4.049697E-2</v>
      </c>
      <c r="W3503">
        <v>4.1163079999999998E-2</v>
      </c>
      <c r="X3503">
        <v>0.99833139999999998</v>
      </c>
      <c r="Y3503">
        <v>-0.2186418</v>
      </c>
      <c r="Z3503">
        <v>4.9253200000000004E-3</v>
      </c>
      <c r="AA3503">
        <v>0.97579280000000002</v>
      </c>
      <c r="AB3503">
        <v>31</v>
      </c>
      <c r="AC3503">
        <v>20.054699999999901</v>
      </c>
      <c r="AD3503">
        <v>-1.1039511423890001</v>
      </c>
      <c r="AE3503">
        <v>4.9305700000000003</v>
      </c>
      <c r="AF3503">
        <v>-4.5739948336012004</v>
      </c>
      <c r="AG3503">
        <v>-1.1039511423890001</v>
      </c>
      <c r="AH3503">
        <v>20.078672146593998</v>
      </c>
      <c r="AI3503">
        <v>93.068569014397596</v>
      </c>
      <c r="AJ3503">
        <v>102.83318837321499</v>
      </c>
      <c r="AK3503">
        <v>20.622638338316602</v>
      </c>
      <c r="AL3503">
        <v>87.640862689873003</v>
      </c>
      <c r="AM3503">
        <v>92.322910045964306</v>
      </c>
      <c r="AN3503">
        <v>0.99999999398011297</v>
      </c>
    </row>
    <row r="3504" spans="1:40" x14ac:dyDescent="0.3">
      <c r="A3504" t="str">
        <f>"20200111153948544"</f>
        <v>20200111153948544</v>
      </c>
      <c r="B3504" t="str">
        <f>"1578728388534647"</f>
        <v>1578728388534647</v>
      </c>
      <c r="C3504" t="s">
        <v>40</v>
      </c>
      <c r="D3504">
        <v>5.0108579999999998</v>
      </c>
      <c r="E3504">
        <v>0.43065949999999997</v>
      </c>
      <c r="F3504" t="s">
        <v>42</v>
      </c>
      <c r="G3504">
        <v>-339.16669999999999</v>
      </c>
      <c r="H3504" s="1">
        <v>-1.2486959999999999E-6</v>
      </c>
      <c r="I3504">
        <v>23.032260000000001</v>
      </c>
      <c r="J3504">
        <v>-359.15350000000001</v>
      </c>
      <c r="K3504">
        <v>1.103958</v>
      </c>
      <c r="L3504">
        <v>18.102049999999998</v>
      </c>
      <c r="M3504">
        <v>0.99982490000000002</v>
      </c>
      <c r="N3504">
        <v>0</v>
      </c>
      <c r="O3504">
        <v>1.741467E-2</v>
      </c>
      <c r="P3504">
        <v>0.99779209999999996</v>
      </c>
      <c r="Q3504">
        <v>3.389677E-2</v>
      </c>
      <c r="R3504">
        <v>5.7117729999999999E-2</v>
      </c>
      <c r="S3504">
        <v>2.9706730000000001</v>
      </c>
      <c r="T3504">
        <v>-0.16155710000000001</v>
      </c>
      <c r="U3504">
        <v>0.72235109999999902</v>
      </c>
      <c r="V3504">
        <v>-3.9756939999999998E-2</v>
      </c>
      <c r="W3504">
        <v>4.0736660000000001E-2</v>
      </c>
      <c r="X3504">
        <v>0.9983786</v>
      </c>
      <c r="Y3504">
        <v>-0.21903710000000001</v>
      </c>
      <c r="Z3504">
        <v>4.9340579999999998E-3</v>
      </c>
      <c r="AA3504">
        <v>0.97570409999999996</v>
      </c>
      <c r="AB3504">
        <v>31</v>
      </c>
      <c r="AC3504">
        <v>19.986799999999999</v>
      </c>
      <c r="AD3504">
        <v>-1.1039592486959999</v>
      </c>
      <c r="AE3504">
        <v>4.9302099999999998</v>
      </c>
      <c r="AF3504">
        <v>-4.5682530068568497</v>
      </c>
      <c r="AG3504">
        <v>-1.1039592486959999</v>
      </c>
      <c r="AH3504">
        <v>20.012077147478699</v>
      </c>
      <c r="AI3504">
        <v>93.078469550400101</v>
      </c>
      <c r="AJ3504">
        <v>102.85884906685401</v>
      </c>
      <c r="AK3504">
        <v>20.556529213709101</v>
      </c>
      <c r="AL3504">
        <v>87.665315186358995</v>
      </c>
      <c r="AM3504">
        <v>92.280399387874098</v>
      </c>
      <c r="AN3504">
        <v>0.999999959342038</v>
      </c>
    </row>
    <row r="3505" spans="1:40" x14ac:dyDescent="0.3">
      <c r="A3505" t="str">
        <f>"20200111153948566"</f>
        <v>20200111153948566</v>
      </c>
      <c r="B3505" t="str">
        <f>"1578728388554164"</f>
        <v>1578728388554164</v>
      </c>
      <c r="C3505" t="s">
        <v>40</v>
      </c>
      <c r="D3505">
        <v>5.0087619999999999</v>
      </c>
      <c r="E3505">
        <v>0.43049749999999998</v>
      </c>
      <c r="F3505" t="s">
        <v>42</v>
      </c>
      <c r="G3505">
        <v>-338.9692</v>
      </c>
      <c r="H3505" s="1">
        <v>-1.328804E-6</v>
      </c>
      <c r="I3505">
        <v>23.01493</v>
      </c>
      <c r="J3505">
        <v>-358.84249999999997</v>
      </c>
      <c r="K3505">
        <v>1.103966</v>
      </c>
      <c r="L3505">
        <v>18.107790000000001</v>
      </c>
      <c r="M3505">
        <v>0.99981869999999995</v>
      </c>
      <c r="N3505">
        <v>0</v>
      </c>
      <c r="O3505">
        <v>1.7735790000000001E-2</v>
      </c>
      <c r="P3505">
        <v>0.99781620000000004</v>
      </c>
      <c r="Q3505">
        <v>3.3559159999999998E-2</v>
      </c>
      <c r="R3505">
        <v>5.6893819999999998E-2</v>
      </c>
      <c r="S3505">
        <v>2.970825</v>
      </c>
      <c r="T3505">
        <v>-0.16248599999999999</v>
      </c>
      <c r="U3505">
        <v>0.72311400000000003</v>
      </c>
      <c r="V3505">
        <v>-3.9212259999999999E-2</v>
      </c>
      <c r="W3505">
        <v>4.0466040000000002E-2</v>
      </c>
      <c r="X3505">
        <v>0.99841120000000005</v>
      </c>
      <c r="Y3505">
        <v>-0.21894620000000001</v>
      </c>
      <c r="Z3505">
        <v>4.9422629999999997E-3</v>
      </c>
      <c r="AA3505">
        <v>0.97572440000000005</v>
      </c>
      <c r="AB3505">
        <v>31</v>
      </c>
      <c r="AC3505">
        <v>19.873299999999901</v>
      </c>
      <c r="AD3505">
        <v>-1.1039673288039999</v>
      </c>
      <c r="AE3505">
        <v>4.9071400000000001</v>
      </c>
      <c r="AF3505">
        <v>-4.5406843868611997</v>
      </c>
      <c r="AG3505">
        <v>-1.1039673288039999</v>
      </c>
      <c r="AH3505">
        <v>19.899330805538</v>
      </c>
      <c r="AI3505">
        <v>93.095962126222901</v>
      </c>
      <c r="AJ3505">
        <v>102.853836826001</v>
      </c>
      <c r="AK3505">
        <v>20.440643949552602</v>
      </c>
      <c r="AL3505">
        <v>87.6808334913149</v>
      </c>
      <c r="AM3505">
        <v>92.249116291196898</v>
      </c>
      <c r="AN3505">
        <v>1.0000000130065101</v>
      </c>
    </row>
    <row r="3506" spans="1:40" x14ac:dyDescent="0.3">
      <c r="A3506" t="str">
        <f>"20200111153948589"</f>
        <v>20200111153948589</v>
      </c>
      <c r="B3506" t="str">
        <f>"1578728388584420"</f>
        <v>1578728388584420</v>
      </c>
      <c r="C3506" t="s">
        <v>40</v>
      </c>
      <c r="D3506">
        <v>4.9320769999999996</v>
      </c>
      <c r="E3506">
        <v>0.43015680000000001</v>
      </c>
      <c r="F3506" t="s">
        <v>42</v>
      </c>
      <c r="G3506">
        <v>-338.74790000000002</v>
      </c>
      <c r="H3506" s="1">
        <v>-1.4205950000000001E-6</v>
      </c>
      <c r="I3506">
        <v>23.003029999999999</v>
      </c>
      <c r="J3506">
        <v>-358.53280000000001</v>
      </c>
      <c r="K3506">
        <v>1.10397099999999</v>
      </c>
      <c r="L3506">
        <v>18.113620000000001</v>
      </c>
      <c r="M3506">
        <v>0.99981240000000005</v>
      </c>
      <c r="N3506">
        <v>0</v>
      </c>
      <c r="O3506">
        <v>1.8055470000000001E-2</v>
      </c>
      <c r="P3506">
        <v>0.99783270000000002</v>
      </c>
      <c r="Q3506">
        <v>3.3575399999999998E-2</v>
      </c>
      <c r="R3506">
        <v>5.6590750000000002E-2</v>
      </c>
      <c r="S3506">
        <v>2.9707949999999999</v>
      </c>
      <c r="T3506">
        <v>-0.16321050000000001</v>
      </c>
      <c r="U3506">
        <v>0.72372440000000005</v>
      </c>
      <c r="V3506">
        <v>-3.8589409999999998E-2</v>
      </c>
      <c r="W3506">
        <v>4.0552770000000002E-2</v>
      </c>
      <c r="X3506">
        <v>0.99843190000000004</v>
      </c>
      <c r="Y3506">
        <v>-0.21882389999999999</v>
      </c>
      <c r="Z3506">
        <v>4.943612E-3</v>
      </c>
      <c r="AA3506">
        <v>0.97575190000000001</v>
      </c>
      <c r="AB3506">
        <v>31</v>
      </c>
      <c r="AC3506">
        <v>19.7849</v>
      </c>
      <c r="AD3506">
        <v>-1.1039724205949999</v>
      </c>
      <c r="AE3506">
        <v>4.88940999999999</v>
      </c>
      <c r="AF3506">
        <v>-4.5181209743228896</v>
      </c>
      <c r="AG3506">
        <v>-1.1039724205949999</v>
      </c>
      <c r="AH3506">
        <v>19.811823680491599</v>
      </c>
      <c r="AI3506">
        <v>93.109712433875998</v>
      </c>
      <c r="AJ3506">
        <v>102.84670111463799</v>
      </c>
      <c r="AK3506">
        <v>20.350442987584699</v>
      </c>
      <c r="AL3506">
        <v>87.675860032888806</v>
      </c>
      <c r="AM3506">
        <v>92.213381162328602</v>
      </c>
      <c r="AN3506">
        <v>0.99999996432821403</v>
      </c>
    </row>
    <row r="3507" spans="1:40" x14ac:dyDescent="0.3">
      <c r="A3507" t="str">
        <f>"20200111153948611"</f>
        <v>20200111153948611</v>
      </c>
      <c r="B3507" t="str">
        <f>"1578728388604916"</f>
        <v>1578728388604916</v>
      </c>
      <c r="C3507" t="s">
        <v>40</v>
      </c>
      <c r="D3507">
        <v>4.9917249999999997</v>
      </c>
      <c r="E3507">
        <v>0.42998579999999997</v>
      </c>
      <c r="F3507" t="s">
        <v>42</v>
      </c>
      <c r="G3507">
        <v>-338.28960000000001</v>
      </c>
      <c r="H3507" s="1">
        <v>-1.631846E-6</v>
      </c>
      <c r="I3507">
        <v>23.058109999999999</v>
      </c>
      <c r="J3507">
        <v>-358.22519999999997</v>
      </c>
      <c r="K3507">
        <v>1.1039810000000001</v>
      </c>
      <c r="L3507">
        <v>18.119479999999999</v>
      </c>
      <c r="M3507">
        <v>0.99980619999999998</v>
      </c>
      <c r="N3507">
        <v>0</v>
      </c>
      <c r="O3507">
        <v>1.8373E-2</v>
      </c>
      <c r="P3507">
        <v>0.99786450000000004</v>
      </c>
      <c r="Q3507">
        <v>3.326407E-2</v>
      </c>
      <c r="R3507">
        <v>5.6216349999999998E-2</v>
      </c>
      <c r="S3507">
        <v>2.970825</v>
      </c>
      <c r="T3507">
        <v>-0.16201499999999999</v>
      </c>
      <c r="U3507">
        <v>0.72564700000000004</v>
      </c>
      <c r="V3507">
        <v>-3.789754E-2</v>
      </c>
      <c r="W3507">
        <v>4.0311689999999997E-2</v>
      </c>
      <c r="X3507">
        <v>0.99846820000000003</v>
      </c>
      <c r="Y3507">
        <v>-0.219112</v>
      </c>
      <c r="Z3507">
        <v>4.8977379999999996E-3</v>
      </c>
      <c r="AA3507">
        <v>0.97568739999999998</v>
      </c>
      <c r="AB3507">
        <v>31</v>
      </c>
      <c r="AC3507">
        <v>19.935599999999901</v>
      </c>
      <c r="AD3507">
        <v>-1.103982631846</v>
      </c>
      <c r="AE3507">
        <v>4.9386299999999999</v>
      </c>
      <c r="AF3507">
        <v>-4.5583397844265496</v>
      </c>
      <c r="AG3507">
        <v>-1.103982631846</v>
      </c>
      <c r="AH3507">
        <v>19.965287891554802</v>
      </c>
      <c r="AI3507">
        <v>93.085709651210706</v>
      </c>
      <c r="AJ3507">
        <v>102.860942742931</v>
      </c>
      <c r="AK3507">
        <v>20.508777628965799</v>
      </c>
      <c r="AL3507">
        <v>87.689684289316205</v>
      </c>
      <c r="AM3507">
        <v>92.173656888106507</v>
      </c>
      <c r="AN3507">
        <v>1.0000000011499699</v>
      </c>
    </row>
    <row r="3508" spans="1:40" x14ac:dyDescent="0.3">
      <c r="A3508" t="str">
        <f>"20200111153948634"</f>
        <v>20200111153948634</v>
      </c>
      <c r="B3508" t="str">
        <f>"1578728388624435"</f>
        <v>1578728388624435</v>
      </c>
      <c r="C3508" t="s">
        <v>40</v>
      </c>
      <c r="D3508">
        <v>4.962008</v>
      </c>
      <c r="E3508">
        <v>0.42988609999999999</v>
      </c>
      <c r="F3508" t="s">
        <v>42</v>
      </c>
      <c r="G3508">
        <v>-338.01859999999999</v>
      </c>
      <c r="H3508" s="1">
        <v>-1.747494E-6</v>
      </c>
      <c r="I3508">
        <v>23.05585</v>
      </c>
      <c r="J3508">
        <v>-357.90469999999999</v>
      </c>
      <c r="K3508">
        <v>1.1039909999999999</v>
      </c>
      <c r="L3508">
        <v>18.12567</v>
      </c>
      <c r="M3508">
        <v>0.99979949999999995</v>
      </c>
      <c r="N3508">
        <v>0</v>
      </c>
      <c r="O3508">
        <v>1.870308E-2</v>
      </c>
      <c r="P3508">
        <v>0.99789539999999999</v>
      </c>
      <c r="Q3508">
        <v>3.2596279999999998E-2</v>
      </c>
      <c r="R3508">
        <v>5.6057419999999997E-2</v>
      </c>
      <c r="S3508">
        <v>2.9709469999999998</v>
      </c>
      <c r="T3508">
        <v>-0.16231709999999999</v>
      </c>
      <c r="U3508">
        <v>0.72579959999999999</v>
      </c>
      <c r="V3508">
        <v>-3.7408030000000002E-2</v>
      </c>
      <c r="W3508">
        <v>3.9722309999999997E-2</v>
      </c>
      <c r="X3508">
        <v>0.99851029999999996</v>
      </c>
      <c r="Y3508">
        <v>-0.21882770000000001</v>
      </c>
      <c r="Z3508">
        <v>4.881247E-3</v>
      </c>
      <c r="AA3508">
        <v>0.97575129999999999</v>
      </c>
      <c r="AB3508">
        <v>31</v>
      </c>
      <c r="AC3508">
        <v>19.886099999999999</v>
      </c>
      <c r="AD3508">
        <v>-1.1039927474939999</v>
      </c>
      <c r="AE3508">
        <v>4.93018</v>
      </c>
      <c r="AF3508">
        <v>-4.5441825368582798</v>
      </c>
      <c r="AG3508">
        <v>-1.1039927474939999</v>
      </c>
      <c r="AH3508">
        <v>19.917003506749399</v>
      </c>
      <c r="AI3508">
        <v>93.093309412489006</v>
      </c>
      <c r="AJ3508">
        <v>102.852375424765</v>
      </c>
      <c r="AK3508">
        <v>20.458627119205101</v>
      </c>
      <c r="AL3508">
        <v>87.723480391987707</v>
      </c>
      <c r="AM3508">
        <v>92.145516512773895</v>
      </c>
      <c r="AN3508">
        <v>1.0000000209131501</v>
      </c>
    </row>
    <row r="3509" spans="1:40" x14ac:dyDescent="0.3">
      <c r="A3509" t="str">
        <f>"20200111153948656"</f>
        <v>20200111153948656</v>
      </c>
      <c r="B3509" t="str">
        <f>"1578728388644935"</f>
        <v>1578728388644935</v>
      </c>
      <c r="C3509" t="s">
        <v>40</v>
      </c>
      <c r="D3509">
        <v>4.9415809999999896</v>
      </c>
      <c r="E3509">
        <v>0.42968149999999999</v>
      </c>
      <c r="F3509" t="s">
        <v>42</v>
      </c>
      <c r="G3509">
        <v>-337.8723</v>
      </c>
      <c r="H3509" s="1">
        <v>-1.8010730000000001E-6</v>
      </c>
      <c r="I3509">
        <v>23.02129</v>
      </c>
      <c r="J3509">
        <v>-357.58670000000001</v>
      </c>
      <c r="K3509">
        <v>1.1040000000000001</v>
      </c>
      <c r="L3509">
        <v>18.131959999999999</v>
      </c>
      <c r="M3509">
        <v>0.99979269999999998</v>
      </c>
      <c r="N3509">
        <v>0</v>
      </c>
      <c r="O3509">
        <v>1.9031119999999999E-2</v>
      </c>
      <c r="P3509">
        <v>0.99793520000000002</v>
      </c>
      <c r="Q3509">
        <v>3.2427200000000003E-2</v>
      </c>
      <c r="R3509">
        <v>5.5442449999999997E-2</v>
      </c>
      <c r="S3509">
        <v>2.9708559999999999</v>
      </c>
      <c r="T3509">
        <v>-0.1637247</v>
      </c>
      <c r="U3509">
        <v>0.72604369999999996</v>
      </c>
      <c r="V3509">
        <v>-3.6464459999999997E-2</v>
      </c>
      <c r="W3509">
        <v>3.9632250000000001E-2</v>
      </c>
      <c r="X3509">
        <v>0.99854869999999996</v>
      </c>
      <c r="Y3509">
        <v>-0.21858610000000001</v>
      </c>
      <c r="Z3509">
        <v>4.8992749999999998E-3</v>
      </c>
      <c r="AA3509">
        <v>0.97580529999999999</v>
      </c>
      <c r="AB3509">
        <v>31</v>
      </c>
      <c r="AC3509">
        <v>19.714400000000001</v>
      </c>
      <c r="AD3509">
        <v>-1.1040018010729999</v>
      </c>
      <c r="AE3509">
        <v>4.8893300000000002</v>
      </c>
      <c r="AF3509">
        <v>-4.49995347221535</v>
      </c>
      <c r="AG3509">
        <v>-1.1040018010729999</v>
      </c>
      <c r="AH3509">
        <v>19.745547694468801</v>
      </c>
      <c r="AI3509">
        <v>93.120316826763101</v>
      </c>
      <c r="AJ3509">
        <v>102.838279469177</v>
      </c>
      <c r="AK3509">
        <v>20.281889827711201</v>
      </c>
      <c r="AL3509">
        <v>87.728644330542906</v>
      </c>
      <c r="AM3509">
        <v>92.091366910237795</v>
      </c>
      <c r="AN3509">
        <v>0.99999993917742003</v>
      </c>
    </row>
    <row r="3510" spans="1:40" x14ac:dyDescent="0.3">
      <c r="A3510" t="str">
        <f>"20200111153948677"</f>
        <v>20200111153948677</v>
      </c>
      <c r="B3510" t="str">
        <f>"1578728388674212"</f>
        <v>1578728388674212</v>
      </c>
      <c r="C3510" t="s">
        <v>40</v>
      </c>
      <c r="D3510">
        <v>4.9745109999999997</v>
      </c>
      <c r="E3510">
        <v>0.4293478</v>
      </c>
      <c r="F3510" t="s">
        <v>42</v>
      </c>
      <c r="G3510">
        <v>-337.56790000000001</v>
      </c>
      <c r="H3510" s="1">
        <v>-1.9317110000000002E-6</v>
      </c>
      <c r="I3510">
        <v>23.021529999999998</v>
      </c>
      <c r="J3510">
        <v>-357.29500000000002</v>
      </c>
      <c r="K3510">
        <v>1.1040080000000001</v>
      </c>
      <c r="L3510">
        <v>18.137820000000001</v>
      </c>
      <c r="M3510">
        <v>0.99978639999999996</v>
      </c>
      <c r="N3510">
        <v>0</v>
      </c>
      <c r="O3510">
        <v>1.933141E-2</v>
      </c>
      <c r="P3510">
        <v>0.99800529999999998</v>
      </c>
      <c r="Q3510">
        <v>3.2181889999999998E-2</v>
      </c>
      <c r="R3510">
        <v>5.4314939999999999E-2</v>
      </c>
      <c r="S3510">
        <v>2.9712519999999998</v>
      </c>
      <c r="T3510">
        <v>-0.1638597</v>
      </c>
      <c r="U3510">
        <v>0.72573849999999995</v>
      </c>
      <c r="V3510">
        <v>-3.5036230000000002E-2</v>
      </c>
      <c r="W3510">
        <v>3.9459300000000003E-2</v>
      </c>
      <c r="X3510">
        <v>0.99860669999999996</v>
      </c>
      <c r="Y3510">
        <v>-0.218169</v>
      </c>
      <c r="Z3510">
        <v>4.8751189999999998E-3</v>
      </c>
      <c r="AA3510">
        <v>0.97589890000000001</v>
      </c>
      <c r="AB3510">
        <v>31</v>
      </c>
      <c r="AC3510">
        <v>19.7271</v>
      </c>
      <c r="AD3510">
        <v>-1.1040099317109999</v>
      </c>
      <c r="AE3510">
        <v>4.88370999999999</v>
      </c>
      <c r="AF3510">
        <v>-4.4881893167626696</v>
      </c>
      <c r="AG3510">
        <v>-1.1040099317109999</v>
      </c>
      <c r="AH3510">
        <v>19.759512318537801</v>
      </c>
      <c r="AI3510">
        <v>93.118648139379303</v>
      </c>
      <c r="AJ3510">
        <v>102.797072402975</v>
      </c>
      <c r="AK3510">
        <v>20.292880730415401</v>
      </c>
      <c r="AL3510">
        <v>87.738561435268394</v>
      </c>
      <c r="AM3510">
        <v>92.009404729083698</v>
      </c>
      <c r="AN3510">
        <v>0.999999957526995</v>
      </c>
    </row>
    <row r="3511" spans="1:40" x14ac:dyDescent="0.3">
      <c r="A3511" t="str">
        <f>"20200111153948699"</f>
        <v>20200111153948699</v>
      </c>
      <c r="B3511" t="str">
        <f>"1578728388694709"</f>
        <v>1578728388694709</v>
      </c>
      <c r="C3511" t="s">
        <v>40</v>
      </c>
      <c r="D3511">
        <v>5.0028569999999997</v>
      </c>
      <c r="E3511">
        <v>0.42913620000000002</v>
      </c>
      <c r="F3511" t="s">
        <v>42</v>
      </c>
      <c r="G3511">
        <v>-337.28230000000002</v>
      </c>
      <c r="H3511" s="1">
        <v>-2.0537840000000001E-6</v>
      </c>
      <c r="I3511">
        <v>23.019780000000001</v>
      </c>
      <c r="J3511">
        <v>-356.97699999999998</v>
      </c>
      <c r="K3511">
        <v>1.104015</v>
      </c>
      <c r="L3511">
        <v>18.144290000000002</v>
      </c>
      <c r="M3511">
        <v>0.99977939999999998</v>
      </c>
      <c r="N3511">
        <v>0</v>
      </c>
      <c r="O3511">
        <v>1.9659220000000002E-2</v>
      </c>
      <c r="P3511">
        <v>0.99809340000000002</v>
      </c>
      <c r="Q3511">
        <v>3.1763769999999997E-2</v>
      </c>
      <c r="R3511">
        <v>5.2920170000000002E-2</v>
      </c>
      <c r="S3511">
        <v>2.9718629999999999</v>
      </c>
      <c r="T3511">
        <v>-0.16394359999999999</v>
      </c>
      <c r="U3511">
        <v>0.72497559999999905</v>
      </c>
      <c r="V3511">
        <v>-3.3312399999999999E-2</v>
      </c>
      <c r="W3511">
        <v>3.9117680000000002E-2</v>
      </c>
      <c r="X3511">
        <v>0.99867919999999999</v>
      </c>
      <c r="Y3511">
        <v>-0.21756739999999999</v>
      </c>
      <c r="Z3511">
        <v>4.842659E-3</v>
      </c>
      <c r="AA3511">
        <v>0.97603329999999999</v>
      </c>
      <c r="AB3511">
        <v>31</v>
      </c>
      <c r="AC3511">
        <v>19.694699999999902</v>
      </c>
      <c r="AD3511">
        <v>-1.1040170537839999</v>
      </c>
      <c r="AE3511">
        <v>4.8754899999999903</v>
      </c>
      <c r="AF3511">
        <v>-4.4741073586023301</v>
      </c>
      <c r="AG3511">
        <v>-1.1040170537839999</v>
      </c>
      <c r="AH3511">
        <v>19.728331174758299</v>
      </c>
      <c r="AI3511">
        <v>93.123826341524804</v>
      </c>
      <c r="AJ3511">
        <v>102.77774017452001</v>
      </c>
      <c r="AK3511">
        <v>20.259406241355801</v>
      </c>
      <c r="AL3511">
        <v>87.758150099650607</v>
      </c>
      <c r="AM3511">
        <v>91.910475861962794</v>
      </c>
      <c r="AN3511">
        <v>1.00000002669749</v>
      </c>
    </row>
    <row r="3512" spans="1:40" x14ac:dyDescent="0.3">
      <c r="A3512" t="str">
        <f>"20200111153948723"</f>
        <v>20200111153948723</v>
      </c>
      <c r="B3512" t="str">
        <f>"1578728388714228"</f>
        <v>1578728388714228</v>
      </c>
      <c r="C3512" t="s">
        <v>40</v>
      </c>
      <c r="D3512">
        <v>5.2673230000000002</v>
      </c>
      <c r="E3512">
        <v>0.4290891</v>
      </c>
      <c r="F3512" t="s">
        <v>42</v>
      </c>
      <c r="G3512">
        <v>-337.08249999999998</v>
      </c>
      <c r="H3512" s="1">
        <v>-2.1285290000000002E-6</v>
      </c>
      <c r="I3512">
        <v>22.9785</v>
      </c>
      <c r="J3512">
        <v>-356.63929999999999</v>
      </c>
      <c r="K3512">
        <v>1.104017</v>
      </c>
      <c r="L3512">
        <v>18.15128</v>
      </c>
      <c r="M3512">
        <v>0.99977210000000005</v>
      </c>
      <c r="N3512">
        <v>0</v>
      </c>
      <c r="O3512">
        <v>2.0006619999999999E-2</v>
      </c>
      <c r="P3512">
        <v>0.99822299999999997</v>
      </c>
      <c r="Q3512">
        <v>3.1388140000000002E-2</v>
      </c>
      <c r="R3512">
        <v>5.0654739999999997E-2</v>
      </c>
      <c r="S3512">
        <v>2.9726870000000001</v>
      </c>
      <c r="T3512">
        <v>-0.16496459999999999</v>
      </c>
      <c r="U3512">
        <v>0.72235109999999902</v>
      </c>
      <c r="V3512">
        <v>-3.0697309999999998E-2</v>
      </c>
      <c r="W3512">
        <v>3.882559E-2</v>
      </c>
      <c r="X3512">
        <v>0.9987743</v>
      </c>
      <c r="Y3512">
        <v>-0.21635119999999999</v>
      </c>
      <c r="Z3512">
        <v>4.8197550000000002E-3</v>
      </c>
      <c r="AA3512">
        <v>0.9763037</v>
      </c>
      <c r="AB3512">
        <v>32</v>
      </c>
      <c r="AC3512">
        <v>19.556799999999999</v>
      </c>
      <c r="AD3512">
        <v>-1.104019128529</v>
      </c>
      <c r="AE3512">
        <v>4.8272199999999996</v>
      </c>
      <c r="AF3512">
        <v>-4.4216955036308798</v>
      </c>
      <c r="AG3512">
        <v>-1.104019128529</v>
      </c>
      <c r="AH3512">
        <v>19.590617943453399</v>
      </c>
      <c r="AI3512">
        <v>93.146477999084595</v>
      </c>
      <c r="AJ3512">
        <v>102.718811130463</v>
      </c>
      <c r="AK3512">
        <v>20.113740596153299</v>
      </c>
      <c r="AL3512">
        <v>87.774898124483997</v>
      </c>
      <c r="AM3512">
        <v>91.760430560120398</v>
      </c>
      <c r="AN3512">
        <v>0.99999992681028405</v>
      </c>
    </row>
    <row r="3513" spans="1:40" x14ac:dyDescent="0.3">
      <c r="A3513" t="str">
        <f>"20200111153948747"</f>
        <v>20200111153948747</v>
      </c>
      <c r="B3513" t="str">
        <f>"1578728388734724"</f>
        <v>1578728388734724</v>
      </c>
      <c r="C3513" t="s">
        <v>40</v>
      </c>
      <c r="D3513">
        <v>5.1902179999999998</v>
      </c>
      <c r="E3513">
        <v>0.47226570000000001</v>
      </c>
      <c r="F3513" t="s">
        <v>42</v>
      </c>
      <c r="G3513">
        <v>-336.82130000000001</v>
      </c>
      <c r="H3513" s="1">
        <v>-2.2257460000000001E-6</v>
      </c>
      <c r="I3513">
        <v>22.92276</v>
      </c>
      <c r="J3513">
        <v>-356.31119999999999</v>
      </c>
      <c r="K3513">
        <v>1.1040190000000001</v>
      </c>
      <c r="L3513">
        <v>18.15814</v>
      </c>
      <c r="M3513">
        <v>0.9997646</v>
      </c>
      <c r="N3513">
        <v>0</v>
      </c>
      <c r="O3513">
        <v>2.0344419999999998E-2</v>
      </c>
      <c r="P3513">
        <v>0.9984615</v>
      </c>
      <c r="Q3513">
        <v>3.0845729999999998E-2</v>
      </c>
      <c r="R3513">
        <v>4.6078149999999998E-2</v>
      </c>
      <c r="S3513">
        <v>2.9742130000000002</v>
      </c>
      <c r="T3513">
        <v>-0.16568629999999901</v>
      </c>
      <c r="U3513">
        <v>0.71609500000000004</v>
      </c>
      <c r="V3513">
        <v>-2.5779630000000001E-2</v>
      </c>
      <c r="W3513">
        <v>3.8369599999999997E-2</v>
      </c>
      <c r="X3513">
        <v>0.99893109999999996</v>
      </c>
      <c r="Y3513">
        <v>-0.2139672</v>
      </c>
      <c r="Z3513">
        <v>4.7556380000000004E-3</v>
      </c>
      <c r="AA3513">
        <v>0.97682930000000001</v>
      </c>
      <c r="AB3513">
        <v>32</v>
      </c>
      <c r="AC3513">
        <v>19.489899999999899</v>
      </c>
      <c r="AD3513">
        <v>-1.104021225746</v>
      </c>
      <c r="AE3513">
        <v>4.7646199999999999</v>
      </c>
      <c r="AF3513">
        <v>-4.3539290238088402</v>
      </c>
      <c r="AG3513">
        <v>-1.104021225746</v>
      </c>
      <c r="AH3513">
        <v>19.523688405441298</v>
      </c>
      <c r="AI3513">
        <v>93.159064565426903</v>
      </c>
      <c r="AJ3513">
        <v>102.57167658078799</v>
      </c>
      <c r="AK3513">
        <v>20.033720816763601</v>
      </c>
      <c r="AL3513">
        <v>87.801044246952202</v>
      </c>
      <c r="AM3513">
        <v>91.478316385473605</v>
      </c>
      <c r="AN3513">
        <v>1.0000000790371499</v>
      </c>
    </row>
    <row r="3514" spans="1:40" x14ac:dyDescent="0.3">
      <c r="A3514" t="str">
        <f>"20200111153948768"</f>
        <v>20200111153948768</v>
      </c>
      <c r="B3514" t="str">
        <f>"1578728388764004"</f>
        <v>1578728388764004</v>
      </c>
      <c r="C3514" t="s">
        <v>40</v>
      </c>
      <c r="D3514">
        <v>5.5388409999999997</v>
      </c>
      <c r="E3514">
        <v>0.57943369999999905</v>
      </c>
      <c r="F3514" t="s">
        <v>42</v>
      </c>
      <c r="G3514">
        <v>-335.6318</v>
      </c>
      <c r="H3514" s="1">
        <v>-2.1267290000000001E-6</v>
      </c>
      <c r="I3514">
        <v>20.632819999999999</v>
      </c>
      <c r="J3514">
        <v>-356.00639999999999</v>
      </c>
      <c r="K3514">
        <v>1.1040239999999999</v>
      </c>
      <c r="L3514">
        <v>18.164639999999999</v>
      </c>
      <c r="M3514">
        <v>0.99975760000000002</v>
      </c>
      <c r="N3514">
        <v>0</v>
      </c>
      <c r="O3514">
        <v>2.065782E-2</v>
      </c>
      <c r="P3514">
        <v>0.99871410000000005</v>
      </c>
      <c r="Q3514">
        <v>3.054202E-2</v>
      </c>
      <c r="R3514">
        <v>4.0467419999999997E-2</v>
      </c>
      <c r="S3514">
        <v>2.993042</v>
      </c>
      <c r="T3514">
        <v>-0.15979099999999999</v>
      </c>
      <c r="U3514">
        <v>0.35818480000000003</v>
      </c>
      <c r="V3514">
        <v>-1.985147E-2</v>
      </c>
      <c r="W3514">
        <v>3.8155649999999999E-2</v>
      </c>
      <c r="X3514">
        <v>0.99907460000000003</v>
      </c>
      <c r="Y3514">
        <v>-9.8178459999999995E-2</v>
      </c>
      <c r="Z3514">
        <v>1.5117850000000001E-3</v>
      </c>
      <c r="AA3514">
        <v>0.99516769999999999</v>
      </c>
      <c r="AB3514">
        <v>32</v>
      </c>
      <c r="AC3514">
        <v>20.374599999999901</v>
      </c>
      <c r="AD3514">
        <v>-1.1040261267289999</v>
      </c>
      <c r="AE3514">
        <v>2.4681799999999998</v>
      </c>
      <c r="AF3514">
        <v>-2.04084066401593</v>
      </c>
      <c r="AG3514">
        <v>-1.1040261267289999</v>
      </c>
      <c r="AH3514">
        <v>20.362318143284401</v>
      </c>
      <c r="AI3514">
        <v>93.088044364847804</v>
      </c>
      <c r="AJ3514">
        <v>95.723432895683402</v>
      </c>
      <c r="AK3514">
        <v>20.494094380399702</v>
      </c>
      <c r="AL3514">
        <v>87.813311478324295</v>
      </c>
      <c r="AM3514">
        <v>91.138309188083696</v>
      </c>
      <c r="AN3514">
        <v>0.99999999542662099</v>
      </c>
    </row>
    <row r="3515" spans="1:40" x14ac:dyDescent="0.3">
      <c r="A3515" t="str">
        <f>"20200111153948791"</f>
        <v>20200111153948791</v>
      </c>
      <c r="B3515" t="str">
        <f>"1578728388784501"</f>
        <v>1578728388784501</v>
      </c>
      <c r="C3515" t="s">
        <v>40</v>
      </c>
      <c r="D3515">
        <v>5.5338200000000004</v>
      </c>
      <c r="E3515">
        <v>0.59319630000000001</v>
      </c>
      <c r="F3515" t="s">
        <v>42</v>
      </c>
      <c r="G3515">
        <v>-339.42129999999997</v>
      </c>
      <c r="H3515" s="1">
        <v>-1.316398E-6</v>
      </c>
      <c r="I3515">
        <v>15.35651</v>
      </c>
      <c r="J3515">
        <v>-355.68439999999998</v>
      </c>
      <c r="K3515">
        <v>1.104034</v>
      </c>
      <c r="L3515">
        <v>18.171600000000002</v>
      </c>
      <c r="M3515">
        <v>0.99974980000000002</v>
      </c>
      <c r="N3515">
        <v>0</v>
      </c>
      <c r="O3515">
        <v>2.098856E-2</v>
      </c>
      <c r="P3515">
        <v>0.9989635</v>
      </c>
      <c r="Q3515">
        <v>2.927509E-2</v>
      </c>
      <c r="R3515">
        <v>3.4858920000000002E-2</v>
      </c>
      <c r="S3515">
        <v>3.0308229999999998</v>
      </c>
      <c r="T3515">
        <v>-0.2017534</v>
      </c>
      <c r="U3515">
        <v>-0.51315310000000003</v>
      </c>
      <c r="V3515">
        <v>-1.390777E-2</v>
      </c>
      <c r="W3515">
        <v>3.6996800000000003E-2</v>
      </c>
      <c r="X3515">
        <v>0.99921859999999996</v>
      </c>
      <c r="Y3515">
        <v>0.18714529999999999</v>
      </c>
      <c r="Z3515">
        <v>-7.5645169999999998E-3</v>
      </c>
      <c r="AA3515">
        <v>0.98230309999999998</v>
      </c>
      <c r="AB3515">
        <v>32</v>
      </c>
      <c r="AC3515">
        <v>16.263100000000001</v>
      </c>
      <c r="AD3515">
        <v>-1.1040353163979999</v>
      </c>
      <c r="AE3515">
        <v>-2.8150900000000001</v>
      </c>
      <c r="AF3515">
        <v>3.14176150654251</v>
      </c>
      <c r="AG3515">
        <v>-1.1040353163979999</v>
      </c>
      <c r="AH3515">
        <v>16.1282660102828</v>
      </c>
      <c r="AI3515">
        <v>93.843953924438594</v>
      </c>
      <c r="AJ3515">
        <v>78.976915375655096</v>
      </c>
      <c r="AK3515">
        <v>16.468470598154799</v>
      </c>
      <c r="AL3515">
        <v>87.879755631236705</v>
      </c>
      <c r="AM3515">
        <v>90.797428181805699</v>
      </c>
      <c r="AN3515">
        <v>0.99999999993128597</v>
      </c>
    </row>
    <row r="3516" spans="1:40" x14ac:dyDescent="0.3">
      <c r="A3516" t="str">
        <f>"20200111153948811"</f>
        <v>20200111153948811</v>
      </c>
      <c r="B3516" t="str">
        <f>"1578728388804020"</f>
        <v>1578728388804020</v>
      </c>
      <c r="C3516" t="s">
        <v>40</v>
      </c>
      <c r="D3516">
        <v>5.5006000000000004</v>
      </c>
      <c r="E3516">
        <v>0.59975829999999997</v>
      </c>
      <c r="F3516" t="s">
        <v>42</v>
      </c>
      <c r="G3516">
        <v>-343.18</v>
      </c>
      <c r="H3516" s="1">
        <v>-3.6326219999999999E-6</v>
      </c>
      <c r="I3516">
        <v>15.531479999999901</v>
      </c>
      <c r="J3516">
        <v>-355.37909999999999</v>
      </c>
      <c r="K3516">
        <v>1.1040369999999999</v>
      </c>
      <c r="L3516">
        <v>18.178280000000001</v>
      </c>
      <c r="M3516">
        <v>0.99974240000000003</v>
      </c>
      <c r="N3516">
        <v>0</v>
      </c>
      <c r="O3516">
        <v>2.1302100000000001E-2</v>
      </c>
      <c r="P3516">
        <v>0.99921570000000004</v>
      </c>
      <c r="Q3516">
        <v>2.7421620000000001E-2</v>
      </c>
      <c r="R3516">
        <v>2.8571929999999999E-2</v>
      </c>
      <c r="S3516">
        <v>3.0332949999999999</v>
      </c>
      <c r="T3516">
        <v>-0.26781460000000001</v>
      </c>
      <c r="U3516">
        <v>-0.64041139999999996</v>
      </c>
      <c r="V3516">
        <v>-7.3022709999999999E-3</v>
      </c>
      <c r="W3516">
        <v>3.5256530000000001E-2</v>
      </c>
      <c r="X3516">
        <v>0.99935160000000001</v>
      </c>
      <c r="Y3516">
        <v>0.22644619999999999</v>
      </c>
      <c r="Z3516">
        <v>-1.172687E-2</v>
      </c>
      <c r="AA3516">
        <v>0.97395310000000002</v>
      </c>
      <c r="AB3516">
        <v>32</v>
      </c>
      <c r="AC3516">
        <v>12.1990999999999</v>
      </c>
      <c r="AD3516">
        <v>-1.104040632622</v>
      </c>
      <c r="AE3516">
        <v>-2.64679999999999</v>
      </c>
      <c r="AF3516">
        <v>2.8835179148805499</v>
      </c>
      <c r="AG3516">
        <v>-1.104040632622</v>
      </c>
      <c r="AH3516">
        <v>12.045721759277599</v>
      </c>
      <c r="AI3516">
        <v>95.0936467536593</v>
      </c>
      <c r="AJ3516">
        <v>76.537801453250296</v>
      </c>
      <c r="AK3516">
        <v>12.435151546557501</v>
      </c>
      <c r="AL3516">
        <v>87.979530867781904</v>
      </c>
      <c r="AM3516">
        <v>90.418653317943793</v>
      </c>
      <c r="AN3516">
        <v>0.99999998324597905</v>
      </c>
    </row>
    <row r="3517" spans="1:40" x14ac:dyDescent="0.3">
      <c r="A3517" t="str">
        <f>"20200111153948845"</f>
        <v>20200111153948845</v>
      </c>
      <c r="B3517" t="str">
        <f>"1578728388834279"</f>
        <v>1578728388834279</v>
      </c>
      <c r="C3517" t="s">
        <v>40</v>
      </c>
      <c r="D3517">
        <v>5.5087699999999904</v>
      </c>
      <c r="E3517">
        <v>0.60199930000000001</v>
      </c>
      <c r="F3517" t="s">
        <v>42</v>
      </c>
      <c r="G3517">
        <v>-343.96289999999999</v>
      </c>
      <c r="H3517" s="1">
        <v>-3.3031569999999999E-6</v>
      </c>
      <c r="I3517">
        <v>15.49544</v>
      </c>
      <c r="J3517">
        <v>-354.9076</v>
      </c>
      <c r="K3517">
        <v>1.104058</v>
      </c>
      <c r="L3517">
        <v>18.188839999999999</v>
      </c>
      <c r="M3517">
        <v>0.99973049999999997</v>
      </c>
      <c r="N3517">
        <v>0</v>
      </c>
      <c r="O3517">
        <v>2.178565E-2</v>
      </c>
      <c r="P3517">
        <v>0.99935410000000002</v>
      </c>
      <c r="Q3517">
        <v>2.4768120000000001E-2</v>
      </c>
      <c r="R3517">
        <v>2.603811E-2</v>
      </c>
      <c r="S3517">
        <v>3.0307620000000002</v>
      </c>
      <c r="T3517">
        <v>-0.29310059999999999</v>
      </c>
      <c r="U3517">
        <v>-0.71221919999999905</v>
      </c>
      <c r="V3517">
        <v>-4.2804599999999998E-3</v>
      </c>
      <c r="W3517">
        <v>3.2790809999999997E-2</v>
      </c>
      <c r="X3517">
        <v>0.99945309999999998</v>
      </c>
      <c r="Y3517">
        <v>0.24872179999999999</v>
      </c>
      <c r="Z3517">
        <v>-1.3913780000000001E-2</v>
      </c>
      <c r="AA3517">
        <v>0.96847499999999997</v>
      </c>
      <c r="AB3517">
        <v>32</v>
      </c>
      <c r="AC3517">
        <v>10.944699999999999</v>
      </c>
      <c r="AD3517">
        <v>-1.1040613031569999</v>
      </c>
      <c r="AE3517">
        <v>-2.6934</v>
      </c>
      <c r="AF3517">
        <v>2.90334829435914</v>
      </c>
      <c r="AG3517">
        <v>-1.1040613031569999</v>
      </c>
      <c r="AH3517">
        <v>10.779989397046601</v>
      </c>
      <c r="AI3517">
        <v>95.6478277980261</v>
      </c>
      <c r="AJ3517">
        <v>74.926340812821195</v>
      </c>
      <c r="AK3517">
        <v>11.218580751589</v>
      </c>
      <c r="AL3517">
        <v>88.120888184165196</v>
      </c>
      <c r="AM3517">
        <v>90.245384993939396</v>
      </c>
      <c r="AN3517">
        <v>1.00000002932893</v>
      </c>
    </row>
    <row r="3518" spans="1:40" x14ac:dyDescent="0.3">
      <c r="A3518" t="str">
        <f>"20200111153948866"</f>
        <v>20200111153948866</v>
      </c>
      <c r="B3518" t="str">
        <f>"1578728388854775"</f>
        <v>1578728388854775</v>
      </c>
      <c r="C3518" t="s">
        <v>40</v>
      </c>
      <c r="D3518">
        <v>5.4851970000000003</v>
      </c>
      <c r="E3518">
        <v>0.60216359999999902</v>
      </c>
      <c r="F3518" t="s">
        <v>42</v>
      </c>
      <c r="G3518">
        <v>-344.1422</v>
      </c>
      <c r="H3518" s="1">
        <v>-3.2128509999999999E-6</v>
      </c>
      <c r="I3518">
        <v>15.57095</v>
      </c>
      <c r="J3518">
        <v>-354.60399999999998</v>
      </c>
      <c r="K3518">
        <v>1.104074</v>
      </c>
      <c r="L3518">
        <v>18.195740000000001</v>
      </c>
      <c r="M3518">
        <v>0.99972269999999996</v>
      </c>
      <c r="N3518">
        <v>0</v>
      </c>
      <c r="O3518">
        <v>2.20968E-2</v>
      </c>
      <c r="P3518">
        <v>0.99942299999999995</v>
      </c>
      <c r="Q3518">
        <v>2.3293009999999999E-2</v>
      </c>
      <c r="R3518">
        <v>2.4728219999999999E-2</v>
      </c>
      <c r="S3518">
        <v>3.0288089999999999</v>
      </c>
      <c r="T3518">
        <v>-0.31062440000000002</v>
      </c>
      <c r="U3518">
        <v>-0.73651119999999903</v>
      </c>
      <c r="V3518">
        <v>-2.6583050000000001E-3</v>
      </c>
      <c r="W3518">
        <v>3.1440620000000002E-2</v>
      </c>
      <c r="X3518">
        <v>0.99950209999999995</v>
      </c>
      <c r="Y3518">
        <v>0.2563165</v>
      </c>
      <c r="Z3518">
        <v>-1.5151700000000001E-2</v>
      </c>
      <c r="AA3518">
        <v>0.96647419999999995</v>
      </c>
      <c r="AB3518">
        <v>32</v>
      </c>
      <c r="AC3518">
        <v>10.4618</v>
      </c>
      <c r="AD3518">
        <v>-1.1040772128509999</v>
      </c>
      <c r="AE3518">
        <v>-2.62479</v>
      </c>
      <c r="AF3518">
        <v>2.8257214035004998</v>
      </c>
      <c r="AG3518">
        <v>-1.1040772128509999</v>
      </c>
      <c r="AH3518">
        <v>10.293390900409699</v>
      </c>
      <c r="AI3518">
        <v>95.905341162637797</v>
      </c>
      <c r="AJ3518">
        <v>74.649425157150404</v>
      </c>
      <c r="AK3518">
        <v>10.731150179304001</v>
      </c>
      <c r="AL3518">
        <v>88.198288274155004</v>
      </c>
      <c r="AM3518">
        <v>90.152385170609193</v>
      </c>
      <c r="AN3518">
        <v>1.0000000135379301</v>
      </c>
    </row>
    <row r="3519" spans="1:40" x14ac:dyDescent="0.3">
      <c r="A3519" t="str">
        <f>"20200111153948889"</f>
        <v>20200111153948889</v>
      </c>
      <c r="B3519" t="str">
        <f>"1578728388884053"</f>
        <v>1578728388884053</v>
      </c>
      <c r="C3519" t="s">
        <v>40</v>
      </c>
      <c r="D3519">
        <v>5.4859460000000002</v>
      </c>
      <c r="E3519">
        <v>0.60184459999999995</v>
      </c>
      <c r="F3519" t="s">
        <v>42</v>
      </c>
      <c r="G3519">
        <v>-344.19549999999998</v>
      </c>
      <c r="H3519" s="1">
        <v>-3.175803E-6</v>
      </c>
      <c r="I3519">
        <v>15.65103</v>
      </c>
      <c r="J3519">
        <v>-354.27409999999998</v>
      </c>
      <c r="K3519">
        <v>1.10409</v>
      </c>
      <c r="L3519">
        <v>18.20337</v>
      </c>
      <c r="M3519">
        <v>0.99971410000000005</v>
      </c>
      <c r="N3519">
        <v>0</v>
      </c>
      <c r="O3519">
        <v>2.2434909999999999E-2</v>
      </c>
      <c r="P3519">
        <v>0.99947169999999996</v>
      </c>
      <c r="Q3519">
        <v>2.293889E-2</v>
      </c>
      <c r="R3519">
        <v>2.3035650000000001E-2</v>
      </c>
      <c r="S3519">
        <v>3.0274960000000002</v>
      </c>
      <c r="T3519">
        <v>-0.32113720000000001</v>
      </c>
      <c r="U3519">
        <v>-0.74014279999999999</v>
      </c>
      <c r="V3519">
        <v>-6.2656050000000003E-4</v>
      </c>
      <c r="W3519">
        <v>3.1217580000000002E-2</v>
      </c>
      <c r="X3519">
        <v>0.99951239999999997</v>
      </c>
      <c r="Y3519">
        <v>0.25772850000000003</v>
      </c>
      <c r="Z3519">
        <v>-1.57751E-2</v>
      </c>
      <c r="AA3519">
        <v>0.96608859999999996</v>
      </c>
      <c r="AB3519">
        <v>32</v>
      </c>
      <c r="AC3519">
        <v>10.0785999999999</v>
      </c>
      <c r="AD3519">
        <v>-1.1040931758029999</v>
      </c>
      <c r="AE3519">
        <v>-2.5523400000000001</v>
      </c>
      <c r="AF3519">
        <v>2.7468400899993299</v>
      </c>
      <c r="AG3519">
        <v>-1.1040931758029999</v>
      </c>
      <c r="AH3519">
        <v>9.9070719559206708</v>
      </c>
      <c r="AI3519">
        <v>96.129702186360404</v>
      </c>
      <c r="AJ3519">
        <v>74.503405486087004</v>
      </c>
      <c r="AK3519">
        <v>10.3399336052351</v>
      </c>
      <c r="AL3519">
        <v>88.211073747601702</v>
      </c>
      <c r="AM3519">
        <v>90.035916780579399</v>
      </c>
      <c r="AN3519">
        <v>0.99999998381643795</v>
      </c>
    </row>
    <row r="3520" spans="1:40" x14ac:dyDescent="0.3">
      <c r="A3520" t="str">
        <f>"20200111153948912"</f>
        <v>20200111153948912</v>
      </c>
      <c r="B3520" t="str">
        <f>"1578728388904548"</f>
        <v>1578728388904548</v>
      </c>
      <c r="C3520" t="s">
        <v>40</v>
      </c>
      <c r="D3520">
        <v>5.4850989999999999</v>
      </c>
      <c r="E3520">
        <v>0.60135950000000005</v>
      </c>
      <c r="F3520" t="s">
        <v>42</v>
      </c>
      <c r="G3520">
        <v>-343.9864</v>
      </c>
      <c r="H3520" s="1">
        <v>-3.2599930000000001E-6</v>
      </c>
      <c r="I3520">
        <v>15.68207</v>
      </c>
      <c r="J3520">
        <v>-353.94459999999998</v>
      </c>
      <c r="K3520">
        <v>1.104109</v>
      </c>
      <c r="L3520">
        <v>18.21106</v>
      </c>
      <c r="M3520">
        <v>0.99970530000000002</v>
      </c>
      <c r="N3520">
        <v>0</v>
      </c>
      <c r="O3520">
        <v>2.277233E-2</v>
      </c>
      <c r="P3520">
        <v>0.99953809999999998</v>
      </c>
      <c r="Q3520">
        <v>2.3243260000000002E-2</v>
      </c>
      <c r="R3520">
        <v>1.958673E-2</v>
      </c>
      <c r="S3520">
        <v>3.0261230000000001</v>
      </c>
      <c r="T3520">
        <v>-0.32476579999999999</v>
      </c>
      <c r="U3520">
        <v>-0.74160769999999998</v>
      </c>
      <c r="V3520">
        <v>3.1602370000000002E-3</v>
      </c>
      <c r="W3520">
        <v>3.1662240000000001E-2</v>
      </c>
      <c r="X3520">
        <v>0.99949370000000004</v>
      </c>
      <c r="Y3520">
        <v>0.2585557</v>
      </c>
      <c r="Z3520">
        <v>-1.6037719999999998E-2</v>
      </c>
      <c r="AA3520">
        <v>0.96586320000000003</v>
      </c>
      <c r="AB3520">
        <v>32</v>
      </c>
      <c r="AC3520">
        <v>9.9581999999999695</v>
      </c>
      <c r="AD3520">
        <v>-1.104112259993</v>
      </c>
      <c r="AE3520">
        <v>-2.5289899999999901</v>
      </c>
      <c r="AF3520">
        <v>2.72365973010012</v>
      </c>
      <c r="AG3520">
        <v>-1.104112259993</v>
      </c>
      <c r="AH3520">
        <v>9.7850233068838701</v>
      </c>
      <c r="AI3520">
        <v>96.203941993861505</v>
      </c>
      <c r="AJ3520">
        <v>74.445464331787704</v>
      </c>
      <c r="AK3520">
        <v>10.21685212403</v>
      </c>
      <c r="AL3520">
        <v>88.185584161871603</v>
      </c>
      <c r="AM3520">
        <v>89.818840640044201</v>
      </c>
      <c r="AN3520">
        <v>1.0000000704396901</v>
      </c>
    </row>
    <row r="3521" spans="1:40" x14ac:dyDescent="0.3">
      <c r="A3521" t="str">
        <f>"20200111153948935"</f>
        <v>20200111153948935</v>
      </c>
      <c r="B3521" t="str">
        <f>"1578728388924070"</f>
        <v>1578728388924070</v>
      </c>
      <c r="C3521" t="s">
        <v>40</v>
      </c>
      <c r="D3521">
        <v>5.4934129999999897</v>
      </c>
      <c r="E3521">
        <v>0.60096839999999996</v>
      </c>
      <c r="F3521" t="s">
        <v>42</v>
      </c>
      <c r="G3521">
        <v>-343.58229999999998</v>
      </c>
      <c r="H3521" s="1">
        <v>-3.439292E-6</v>
      </c>
      <c r="I3521">
        <v>15.64859</v>
      </c>
      <c r="J3521">
        <v>-353.61630000000002</v>
      </c>
      <c r="K3521">
        <v>1.104133</v>
      </c>
      <c r="L3521">
        <v>18.218869999999999</v>
      </c>
      <c r="M3521">
        <v>0.99969629999999998</v>
      </c>
      <c r="N3521">
        <v>0</v>
      </c>
      <c r="O3521">
        <v>2.3108E-2</v>
      </c>
      <c r="P3521">
        <v>0.99962960000000001</v>
      </c>
      <c r="Q3521">
        <v>2.2802679999999999E-2</v>
      </c>
      <c r="R3521">
        <v>1.485729E-2</v>
      </c>
      <c r="S3521">
        <v>3.0235289999999999</v>
      </c>
      <c r="T3521">
        <v>-0.32215759999999899</v>
      </c>
      <c r="U3521">
        <v>-0.74765009999999998</v>
      </c>
      <c r="V3521">
        <v>8.2265229999999995E-3</v>
      </c>
      <c r="W3521">
        <v>3.137914E-2</v>
      </c>
      <c r="X3521">
        <v>0.99947370000000002</v>
      </c>
      <c r="Y3521">
        <v>0.26089889999999999</v>
      </c>
      <c r="Z3521">
        <v>-1.6076940000000001E-2</v>
      </c>
      <c r="AA3521">
        <v>0.96523230000000004</v>
      </c>
      <c r="AB3521">
        <v>32</v>
      </c>
      <c r="AC3521">
        <v>10.034000000000001</v>
      </c>
      <c r="AD3521">
        <v>-1.1041364392919999</v>
      </c>
      <c r="AE3521">
        <v>-2.5702799999999999</v>
      </c>
      <c r="AF3521">
        <v>2.7699921280133202</v>
      </c>
      <c r="AG3521">
        <v>-1.1041364392919999</v>
      </c>
      <c r="AH3521">
        <v>9.8598855126256009</v>
      </c>
      <c r="AI3521">
        <v>96.153238714107204</v>
      </c>
      <c r="AJ3521">
        <v>74.308060765114504</v>
      </c>
      <c r="AK3521">
        <v>10.3009376266392</v>
      </c>
      <c r="AL3521">
        <v>88.201812535991905</v>
      </c>
      <c r="AM3521">
        <v>89.528417401745202</v>
      </c>
      <c r="AN3521">
        <v>1.0000000015497399</v>
      </c>
    </row>
    <row r="3522" spans="1:40" x14ac:dyDescent="0.3">
      <c r="A3522" t="str">
        <f>"20200111153948956"</f>
        <v>20200111153948956</v>
      </c>
      <c r="B3522" t="str">
        <f>"1578728388944563"</f>
        <v>1578728388944563</v>
      </c>
      <c r="C3522" t="s">
        <v>40</v>
      </c>
      <c r="D3522">
        <v>5.4353170000000004</v>
      </c>
      <c r="E3522">
        <v>0.60058250000000002</v>
      </c>
      <c r="F3522" t="s">
        <v>42</v>
      </c>
      <c r="G3522">
        <v>-343.38350000000003</v>
      </c>
      <c r="H3522" s="1">
        <v>-3.5243229999999999E-6</v>
      </c>
      <c r="I3522">
        <v>15.65005</v>
      </c>
      <c r="J3522">
        <v>-353.31400000000002</v>
      </c>
      <c r="K3522">
        <v>1.1041559999999999</v>
      </c>
      <c r="L3522">
        <v>18.226140000000001</v>
      </c>
      <c r="M3522">
        <v>0.99968769999999996</v>
      </c>
      <c r="N3522">
        <v>0</v>
      </c>
      <c r="O3522">
        <v>2.341741E-2</v>
      </c>
      <c r="P3522">
        <v>0.99971350000000003</v>
      </c>
      <c r="Q3522">
        <v>2.189317E-2</v>
      </c>
      <c r="R3522">
        <v>9.683868E-3</v>
      </c>
      <c r="S3522">
        <v>3.019806</v>
      </c>
      <c r="T3522">
        <v>-0.32584079999999999</v>
      </c>
      <c r="U3522">
        <v>-0.75805659999999997</v>
      </c>
      <c r="V3522">
        <v>1.3710180000000001E-2</v>
      </c>
      <c r="W3522">
        <v>3.0634209999999999E-2</v>
      </c>
      <c r="X3522">
        <v>0.99943660000000001</v>
      </c>
      <c r="Y3522">
        <v>0.264546</v>
      </c>
      <c r="Z3522">
        <v>-1.6498539999999999E-2</v>
      </c>
      <c r="AA3522">
        <v>0.96423190000000003</v>
      </c>
      <c r="AB3522">
        <v>32</v>
      </c>
      <c r="AC3522">
        <v>9.9304999999999897</v>
      </c>
      <c r="AD3522">
        <v>-1.104159524323</v>
      </c>
      <c r="AE3522">
        <v>-2.5760900000000002</v>
      </c>
      <c r="AF3522">
        <v>2.77578584249324</v>
      </c>
      <c r="AG3522">
        <v>-1.104159524323</v>
      </c>
      <c r="AH3522">
        <v>9.7544588697931598</v>
      </c>
      <c r="AI3522">
        <v>96.213491469098003</v>
      </c>
      <c r="AJ3522">
        <v>74.115457180567105</v>
      </c>
      <c r="AK3522">
        <v>10.2016480600452</v>
      </c>
      <c r="AL3522">
        <v>88.244514359693795</v>
      </c>
      <c r="AM3522">
        <v>89.214071025975599</v>
      </c>
      <c r="AN3522">
        <v>0.99999997063875701</v>
      </c>
    </row>
    <row r="3523" spans="1:40" x14ac:dyDescent="0.3">
      <c r="A3523" t="str">
        <f>"20200111153948978"</f>
        <v>20200111153948978</v>
      </c>
      <c r="B3523" t="str">
        <f>"1578728388974820"</f>
        <v>1578728388974820</v>
      </c>
      <c r="C3523" t="s">
        <v>40</v>
      </c>
      <c r="D3523">
        <v>5.3287890000000004</v>
      </c>
      <c r="E3523">
        <v>0.60047550000000005</v>
      </c>
      <c r="F3523" t="s">
        <v>42</v>
      </c>
      <c r="G3523">
        <v>-343.23160000000001</v>
      </c>
      <c r="H3523" s="1">
        <v>-3.5891009999999999E-6</v>
      </c>
      <c r="I3523">
        <v>15.6520299999999</v>
      </c>
      <c r="J3523">
        <v>-352.99599999999998</v>
      </c>
      <c r="K3523">
        <v>1.1041729999999901</v>
      </c>
      <c r="L3523">
        <v>18.23386</v>
      </c>
      <c r="M3523">
        <v>0.99967859999999997</v>
      </c>
      <c r="N3523">
        <v>0</v>
      </c>
      <c r="O3523">
        <v>2.374238E-2</v>
      </c>
      <c r="P3523">
        <v>0.999753</v>
      </c>
      <c r="Q3523">
        <v>2.176001E-2</v>
      </c>
      <c r="R3523">
        <v>4.5530199999999996E-3</v>
      </c>
      <c r="S3523">
        <v>3.0155639999999999</v>
      </c>
      <c r="T3523">
        <v>-0.3302445</v>
      </c>
      <c r="U3523">
        <v>-0.76986690000000002</v>
      </c>
      <c r="V3523">
        <v>1.9165379999999999E-2</v>
      </c>
      <c r="W3523">
        <v>3.0672330000000001E-2</v>
      </c>
      <c r="X3523">
        <v>0.9993457</v>
      </c>
      <c r="Y3523">
        <v>0.2686557</v>
      </c>
      <c r="Z3523">
        <v>-1.6990950000000001E-2</v>
      </c>
      <c r="AA3523">
        <v>0.96308640000000001</v>
      </c>
      <c r="AB3523">
        <v>32</v>
      </c>
      <c r="AC3523">
        <v>9.7643999999999593</v>
      </c>
      <c r="AD3523">
        <v>-1.10417658910099</v>
      </c>
      <c r="AE3523">
        <v>-2.5818300000000001</v>
      </c>
      <c r="AF3523">
        <v>2.77971847626443</v>
      </c>
      <c r="AG3523">
        <v>-1.10417658910099</v>
      </c>
      <c r="AH3523">
        <v>9.5857777948757796</v>
      </c>
      <c r="AI3523">
        <v>96.313040094199806</v>
      </c>
      <c r="AJ3523">
        <v>73.828707069135305</v>
      </c>
      <c r="AK3523">
        <v>10.0415724206888</v>
      </c>
      <c r="AL3523">
        <v>88.2423292092721</v>
      </c>
      <c r="AM3523">
        <v>88.901320341339897</v>
      </c>
      <c r="AN3523">
        <v>0.99999996586333095</v>
      </c>
    </row>
    <row r="3524" spans="1:40" x14ac:dyDescent="0.3">
      <c r="A3524" t="str">
        <f>"20200111153949001"</f>
        <v>20200111153949001</v>
      </c>
      <c r="B3524" t="str">
        <f>"1578728388994847"</f>
        <v>1578728388994847</v>
      </c>
      <c r="C3524" t="s">
        <v>40</v>
      </c>
      <c r="D3524">
        <v>5.329599</v>
      </c>
      <c r="E3524">
        <v>0.60041709999999904</v>
      </c>
      <c r="F3524" t="s">
        <v>42</v>
      </c>
      <c r="G3524">
        <v>-342.84350000000001</v>
      </c>
      <c r="H3524" s="1">
        <v>-3.7661280000000002E-6</v>
      </c>
      <c r="I3524">
        <v>15.5926299999999</v>
      </c>
      <c r="J3524">
        <v>-352.65789999999998</v>
      </c>
      <c r="K3524">
        <v>1.1042000000000001</v>
      </c>
      <c r="L3524">
        <v>18.242190000000001</v>
      </c>
      <c r="M3524">
        <v>0.99966840000000001</v>
      </c>
      <c r="N3524">
        <v>0</v>
      </c>
      <c r="O3524">
        <v>2.4087460000000002E-2</v>
      </c>
      <c r="P3524">
        <v>0.99975729999999996</v>
      </c>
      <c r="Q3524">
        <v>2.1804919999999998E-2</v>
      </c>
      <c r="R3524">
        <v>-3.1747289999999998E-3</v>
      </c>
      <c r="S3524">
        <v>3.011444</v>
      </c>
      <c r="T3524">
        <v>-0.32752239999999999</v>
      </c>
      <c r="U3524">
        <v>-0.78341669999999997</v>
      </c>
      <c r="V3524">
        <v>2.7235820000000001E-2</v>
      </c>
      <c r="W3524">
        <v>3.092398E-2</v>
      </c>
      <c r="X3524">
        <v>0.9991506</v>
      </c>
      <c r="Y3524">
        <v>0.2733604</v>
      </c>
      <c r="Z3524">
        <v>-1.7152500000000001E-2</v>
      </c>
      <c r="AA3524">
        <v>0.96175869999999997</v>
      </c>
      <c r="AB3524">
        <v>32</v>
      </c>
      <c r="AC3524">
        <v>9.8143999999999707</v>
      </c>
      <c r="AD3524">
        <v>-1.104203766128</v>
      </c>
      <c r="AE3524">
        <v>-2.6495600000000001</v>
      </c>
      <c r="AF3524">
        <v>2.8515614018053901</v>
      </c>
      <c r="AG3524">
        <v>-1.104203766128</v>
      </c>
      <c r="AH3524">
        <v>9.6340628994887094</v>
      </c>
      <c r="AI3524">
        <v>96.271719685950401</v>
      </c>
      <c r="AJ3524">
        <v>73.511909121719299</v>
      </c>
      <c r="AK3524">
        <v>10.107711726038801</v>
      </c>
      <c r="AL3524">
        <v>88.227903946781296</v>
      </c>
      <c r="AM3524">
        <v>88.438562515286307</v>
      </c>
      <c r="AN3524">
        <v>1.00000000195523</v>
      </c>
    </row>
    <row r="3525" spans="1:40" x14ac:dyDescent="0.3">
      <c r="A3525" t="str">
        <f>"20200111153949024"</f>
        <v>20200111153949024</v>
      </c>
      <c r="B3525" t="str">
        <f>"1578728389014366"</f>
        <v>1578728389014366</v>
      </c>
      <c r="C3525" t="s">
        <v>40</v>
      </c>
      <c r="D3525">
        <v>5.2903560000000001</v>
      </c>
      <c r="E3525">
        <v>0.60030469999999903</v>
      </c>
      <c r="F3525" t="s">
        <v>42</v>
      </c>
      <c r="G3525">
        <v>-342.51510000000002</v>
      </c>
      <c r="H3525" s="1">
        <v>-3.9184160000000001E-6</v>
      </c>
      <c r="I3525">
        <v>15.52838</v>
      </c>
      <c r="J3525">
        <v>-352.32990000000001</v>
      </c>
      <c r="K3525">
        <v>1.1042350000000001</v>
      </c>
      <c r="L3525">
        <v>18.250399999999999</v>
      </c>
      <c r="M3525">
        <v>0.9996583</v>
      </c>
      <c r="N3525">
        <v>0</v>
      </c>
      <c r="O3525">
        <v>2.4421890000000002E-2</v>
      </c>
      <c r="P3525">
        <v>0.99971849999999995</v>
      </c>
      <c r="Q3525">
        <v>2.0842679999999999E-2</v>
      </c>
      <c r="R3525">
        <v>-1.1334729999999999E-2</v>
      </c>
      <c r="S3525">
        <v>3.0053100000000001</v>
      </c>
      <c r="T3525">
        <v>-0.32717629999999998</v>
      </c>
      <c r="U3525">
        <v>-0.80407709999999999</v>
      </c>
      <c r="V3525">
        <v>3.5727349999999998E-2</v>
      </c>
      <c r="W3525">
        <v>3.0186660000000001E-2</v>
      </c>
      <c r="X3525">
        <v>0.9989055</v>
      </c>
      <c r="Y3525">
        <v>0.28029399999999999</v>
      </c>
      <c r="Z3525">
        <v>-1.7559089999999999E-2</v>
      </c>
      <c r="AA3525">
        <v>0.95975359999999998</v>
      </c>
      <c r="AB3525">
        <v>32</v>
      </c>
      <c r="AC3525">
        <v>9.8147999999999893</v>
      </c>
      <c r="AD3525">
        <v>-1.104238918416</v>
      </c>
      <c r="AE3525">
        <v>-2.7220200000000001</v>
      </c>
      <c r="AF3525">
        <v>2.9265165234066899</v>
      </c>
      <c r="AG3525">
        <v>-1.104238918416</v>
      </c>
      <c r="AH3525">
        <v>9.6321772076817709</v>
      </c>
      <c r="AI3525">
        <v>96.259725868048704</v>
      </c>
      <c r="AJ3525">
        <v>73.099796699483605</v>
      </c>
      <c r="AK3525">
        <v>10.1273234524676</v>
      </c>
      <c r="AL3525">
        <v>88.270168895586593</v>
      </c>
      <c r="AM3525">
        <v>87.951603873772896</v>
      </c>
      <c r="AN3525">
        <v>0.99999993795511199</v>
      </c>
    </row>
    <row r="3526" spans="1:40" x14ac:dyDescent="0.3">
      <c r="A3526" t="str">
        <f>"20200111153949045"</f>
        <v>20200111153949045</v>
      </c>
      <c r="B3526" t="str">
        <f>"1578728389034866"</f>
        <v>1578728389034866</v>
      </c>
      <c r="C3526" t="s">
        <v>40</v>
      </c>
      <c r="D3526">
        <v>5.311267</v>
      </c>
      <c r="E3526">
        <v>0.60012069999999995</v>
      </c>
      <c r="F3526" t="s">
        <v>42</v>
      </c>
      <c r="G3526">
        <v>-342.22899999999998</v>
      </c>
      <c r="H3526" s="1">
        <v>-4.0519659999999998E-6</v>
      </c>
      <c r="I3526">
        <v>15.467549999999999</v>
      </c>
      <c r="J3526">
        <v>-352.0299</v>
      </c>
      <c r="K3526">
        <v>1.104268</v>
      </c>
      <c r="L3526">
        <v>18.258030000000002</v>
      </c>
      <c r="M3526">
        <v>0.99964869999999995</v>
      </c>
      <c r="N3526">
        <v>0</v>
      </c>
      <c r="O3526">
        <v>2.472858E-2</v>
      </c>
      <c r="P3526">
        <v>0.99963959999999996</v>
      </c>
      <c r="Q3526">
        <v>1.824479E-2</v>
      </c>
      <c r="R3526">
        <v>-1.9700889999999999E-2</v>
      </c>
      <c r="S3526">
        <v>2.9983219999999999</v>
      </c>
      <c r="T3526">
        <v>-0.32777640000000002</v>
      </c>
      <c r="U3526">
        <v>-0.82601930000000001</v>
      </c>
      <c r="V3526">
        <v>4.4396999999999999E-2</v>
      </c>
      <c r="W3526">
        <v>2.7815869999999999E-2</v>
      </c>
      <c r="X3526">
        <v>0.99862660000000003</v>
      </c>
      <c r="Y3526">
        <v>0.28762650000000001</v>
      </c>
      <c r="Z3526">
        <v>-1.8039320000000001E-2</v>
      </c>
      <c r="AA3526">
        <v>0.9575728</v>
      </c>
      <c r="AB3526">
        <v>32</v>
      </c>
      <c r="AC3526">
        <v>9.8008999999999507</v>
      </c>
      <c r="AD3526">
        <v>-1.1042720519660001</v>
      </c>
      <c r="AE3526">
        <v>-2.7904799999999899</v>
      </c>
      <c r="AF3526">
        <v>2.9968092480311701</v>
      </c>
      <c r="AG3526">
        <v>-1.1042720519660001</v>
      </c>
      <c r="AH3526">
        <v>9.6159770811616401</v>
      </c>
      <c r="AI3526">
        <v>96.256711481899302</v>
      </c>
      <c r="AJ3526">
        <v>72.690409000752197</v>
      </c>
      <c r="AK3526">
        <v>10.1324872395312</v>
      </c>
      <c r="AL3526">
        <v>88.406062378425204</v>
      </c>
      <c r="AM3526">
        <v>87.454417119178302</v>
      </c>
      <c r="AN3526">
        <v>0.99999995123020702</v>
      </c>
    </row>
    <row r="3527" spans="1:40" x14ac:dyDescent="0.3">
      <c r="A3527" t="str">
        <f>"20200111153949068"</f>
        <v>20200111153949068</v>
      </c>
      <c r="B3527" t="str">
        <f>"1578728389054382"</f>
        <v>1578728389054382</v>
      </c>
      <c r="C3527" t="s">
        <v>40</v>
      </c>
      <c r="D3527">
        <v>5.2845250000000004</v>
      </c>
      <c r="E3527">
        <v>0.59820660000000003</v>
      </c>
      <c r="F3527" t="s">
        <v>42</v>
      </c>
      <c r="G3527">
        <v>-342.08359999999999</v>
      </c>
      <c r="H3527" s="1">
        <v>-4.1200390000000004E-6</v>
      </c>
      <c r="I3527">
        <v>15.43544</v>
      </c>
      <c r="J3527">
        <v>-351.70780000000002</v>
      </c>
      <c r="K3527">
        <v>1.1043019999999999</v>
      </c>
      <c r="L3527">
        <v>18.266300000000001</v>
      </c>
      <c r="M3527">
        <v>0.99963789999999997</v>
      </c>
      <c r="N3527">
        <v>0</v>
      </c>
      <c r="O3527">
        <v>2.505955E-2</v>
      </c>
      <c r="P3527">
        <v>0.99950839999999996</v>
      </c>
      <c r="Q3527">
        <v>1.5245079999999999E-2</v>
      </c>
      <c r="R3527">
        <v>-2.740472E-2</v>
      </c>
      <c r="S3527">
        <v>2.9904480000000002</v>
      </c>
      <c r="T3527">
        <v>-0.33200629999999998</v>
      </c>
      <c r="U3527">
        <v>-0.84860230000000003</v>
      </c>
      <c r="V3527">
        <v>5.2427429999999997E-2</v>
      </c>
      <c r="W3527">
        <v>2.50774E-2</v>
      </c>
      <c r="X3527">
        <v>0.99830980000000002</v>
      </c>
      <c r="Y3527">
        <v>0.29519079999999998</v>
      </c>
      <c r="Z3527">
        <v>-1.8745399999999999E-2</v>
      </c>
      <c r="AA3527">
        <v>0.95525439999999995</v>
      </c>
      <c r="AB3527">
        <v>32</v>
      </c>
      <c r="AC3527">
        <v>9.6242000000000303</v>
      </c>
      <c r="AD3527">
        <v>-1.1043061200390001</v>
      </c>
      <c r="AE3527">
        <v>-2.8308599999999999</v>
      </c>
      <c r="AF3527">
        <v>3.0343914131266598</v>
      </c>
      <c r="AG3527">
        <v>-1.1043061200390001</v>
      </c>
      <c r="AH3527">
        <v>9.4358944837623699</v>
      </c>
      <c r="AI3527">
        <v>96.357297480367606</v>
      </c>
      <c r="AJ3527">
        <v>72.173267122456096</v>
      </c>
      <c r="AK3527">
        <v>9.9731202721871099</v>
      </c>
      <c r="AL3527">
        <v>88.563020155443596</v>
      </c>
      <c r="AM3527">
        <v>86.993805408205006</v>
      </c>
      <c r="AN3527">
        <v>0.99999998409160196</v>
      </c>
    </row>
    <row r="3528" spans="1:40" x14ac:dyDescent="0.3">
      <c r="A3528" t="str">
        <f>"20200111153949090"</f>
        <v>20200111153949090</v>
      </c>
      <c r="B3528" t="str">
        <f>"1578728389084639"</f>
        <v>1578728389084639</v>
      </c>
      <c r="C3528" t="s">
        <v>40</v>
      </c>
      <c r="D3528">
        <v>5.2802389999999999</v>
      </c>
      <c r="E3528">
        <v>0.59584969999999904</v>
      </c>
      <c r="F3528" t="s">
        <v>42</v>
      </c>
      <c r="G3528">
        <v>-337.20350000000002</v>
      </c>
      <c r="H3528" s="1">
        <v>-2.407904E-6</v>
      </c>
      <c r="I3528">
        <v>14.0908</v>
      </c>
      <c r="J3528">
        <v>-351.38350000000003</v>
      </c>
      <c r="K3528">
        <v>1.104347</v>
      </c>
      <c r="L3528">
        <v>18.274719999999999</v>
      </c>
      <c r="M3528">
        <v>0.99962689999999998</v>
      </c>
      <c r="N3528">
        <v>0</v>
      </c>
      <c r="O3528">
        <v>2.5390739999999998E-2</v>
      </c>
      <c r="P3528">
        <v>0.99929460000000003</v>
      </c>
      <c r="Q3528">
        <v>1.324381E-2</v>
      </c>
      <c r="R3528">
        <v>-3.5146900000000002E-2</v>
      </c>
      <c r="S3528">
        <v>2.9814150000000001</v>
      </c>
      <c r="T3528">
        <v>-0.22699459999999999</v>
      </c>
      <c r="U3528">
        <v>-0.85827640000000005</v>
      </c>
      <c r="V3528">
        <v>6.0493270000000002E-2</v>
      </c>
      <c r="W3528">
        <v>2.3348890000000001E-2</v>
      </c>
      <c r="X3528">
        <v>0.99789550000000005</v>
      </c>
      <c r="Y3528">
        <v>0.30008099999999999</v>
      </c>
      <c r="Z3528">
        <v>-1.307472E-2</v>
      </c>
      <c r="AA3528">
        <v>0.95382409999999995</v>
      </c>
      <c r="AB3528">
        <v>32</v>
      </c>
      <c r="AC3528">
        <v>14.18</v>
      </c>
      <c r="AD3528">
        <v>-1.1043494079039999</v>
      </c>
      <c r="AE3528">
        <v>-4.1839199999999996</v>
      </c>
      <c r="AF3528">
        <v>4.5174242535185902</v>
      </c>
      <c r="AG3528">
        <v>-1.1043494079039999</v>
      </c>
      <c r="AH3528">
        <v>13.9911240886239</v>
      </c>
      <c r="AI3528">
        <v>94.295641341570601</v>
      </c>
      <c r="AJ3528">
        <v>72.105880417012997</v>
      </c>
      <c r="AK3528">
        <v>14.7437533472413</v>
      </c>
      <c r="AL3528">
        <v>88.6620855862365</v>
      </c>
      <c r="AM3528">
        <v>86.530926668774697</v>
      </c>
      <c r="AN3528">
        <v>1.00000001764988</v>
      </c>
    </row>
    <row r="3529" spans="1:40" x14ac:dyDescent="0.3">
      <c r="A3529" t="str">
        <f>"20200111153949113"</f>
        <v>20200111153949113</v>
      </c>
      <c r="B3529" t="str">
        <f>"1578728389104670"</f>
        <v>1578728389104670</v>
      </c>
      <c r="C3529" t="s">
        <v>40</v>
      </c>
      <c r="D3529">
        <v>5.091952</v>
      </c>
      <c r="E3529">
        <v>0.59531239999999996</v>
      </c>
      <c r="F3529" t="s">
        <v>42</v>
      </c>
      <c r="G3529">
        <v>-338.92840000000001</v>
      </c>
      <c r="H3529" s="1">
        <v>-1.6666799999999999E-6</v>
      </c>
      <c r="I3529">
        <v>14.670500000000001</v>
      </c>
      <c r="J3529">
        <v>-351.05169999999998</v>
      </c>
      <c r="K3529">
        <v>1.104401</v>
      </c>
      <c r="L3529">
        <v>18.28351</v>
      </c>
      <c r="M3529">
        <v>0.99961540000000004</v>
      </c>
      <c r="N3529">
        <v>0</v>
      </c>
      <c r="O3529">
        <v>2.5720159999999999E-2</v>
      </c>
      <c r="P3529">
        <v>0.99899110000000002</v>
      </c>
      <c r="Q3529">
        <v>1.48351E-2</v>
      </c>
      <c r="R3529">
        <v>-4.239151E-2</v>
      </c>
      <c r="S3529">
        <v>2.975311</v>
      </c>
      <c r="T3529">
        <v>-0.26380900000000002</v>
      </c>
      <c r="U3529">
        <v>-0.86096189999999995</v>
      </c>
      <c r="V3529">
        <v>6.8055089999999999E-2</v>
      </c>
      <c r="W3529">
        <v>2.523042E-2</v>
      </c>
      <c r="X3529">
        <v>0.99736250000000004</v>
      </c>
      <c r="Y3529">
        <v>0.30139440000000001</v>
      </c>
      <c r="Z3529">
        <v>-1.5301520000000001E-2</v>
      </c>
      <c r="AA3529">
        <v>0.95337680000000002</v>
      </c>
      <c r="AB3529">
        <v>32</v>
      </c>
      <c r="AC3529">
        <v>12.123299999999899</v>
      </c>
      <c r="AD3529">
        <v>-1.10440266668</v>
      </c>
      <c r="AE3529">
        <v>-3.6130099999999898</v>
      </c>
      <c r="AF3529">
        <v>3.8939655289620099</v>
      </c>
      <c r="AG3529">
        <v>-1.10440266668</v>
      </c>
      <c r="AH3529">
        <v>11.935387486707301</v>
      </c>
      <c r="AI3529">
        <v>95.027276872686897</v>
      </c>
      <c r="AJ3529">
        <v>71.930887814502796</v>
      </c>
      <c r="AK3529">
        <v>12.6030213539755</v>
      </c>
      <c r="AL3529">
        <v>88.554250021786501</v>
      </c>
      <c r="AM3529">
        <v>86.096469854359398</v>
      </c>
      <c r="AN3529">
        <v>1.0000000128872599</v>
      </c>
    </row>
    <row r="3530" spans="1:40" x14ac:dyDescent="0.3">
      <c r="A3530" t="str">
        <f>"20200111153949134"</f>
        <v>20200111153949134</v>
      </c>
      <c r="B3530" t="str">
        <f>"1578728389124187"</f>
        <v>1578728389124187</v>
      </c>
      <c r="C3530" t="s">
        <v>40</v>
      </c>
      <c r="D3530">
        <v>5.0789429999999998</v>
      </c>
      <c r="E3530">
        <v>0.59922559999999903</v>
      </c>
      <c r="F3530" t="s">
        <v>42</v>
      </c>
      <c r="G3530">
        <v>-338.72129999999999</v>
      </c>
      <c r="H3530" s="1">
        <v>-1.744823E-6</v>
      </c>
      <c r="I3530">
        <v>14.64166</v>
      </c>
      <c r="J3530">
        <v>-350.73930000000001</v>
      </c>
      <c r="K3530">
        <v>1.104449</v>
      </c>
      <c r="L3530">
        <v>18.291840000000001</v>
      </c>
      <c r="M3530">
        <v>0.99960450000000001</v>
      </c>
      <c r="N3530">
        <v>0</v>
      </c>
      <c r="O3530">
        <v>2.6028820000000001E-2</v>
      </c>
      <c r="P3530">
        <v>0.99865630000000005</v>
      </c>
      <c r="Q3530">
        <v>1.6761470000000001E-2</v>
      </c>
      <c r="R3530">
        <v>-4.9042929999999998E-2</v>
      </c>
      <c r="S3530">
        <v>2.9697269999999998</v>
      </c>
      <c r="T3530">
        <v>-0.26599139999999999</v>
      </c>
      <c r="U3530">
        <v>-0.87710569999999899</v>
      </c>
      <c r="V3530">
        <v>7.5002269999999996E-2</v>
      </c>
      <c r="W3530">
        <v>2.7442649999999999E-2</v>
      </c>
      <c r="X3530">
        <v>0.99680570000000002</v>
      </c>
      <c r="Y3530">
        <v>0.30689290000000002</v>
      </c>
      <c r="Z3530">
        <v>-1.571167E-2</v>
      </c>
      <c r="AA3530">
        <v>0.95161439999999997</v>
      </c>
      <c r="AB3530">
        <v>32</v>
      </c>
      <c r="AC3530">
        <v>12.018000000000001</v>
      </c>
      <c r="AD3530">
        <v>-1.1044507448229901</v>
      </c>
      <c r="AE3530">
        <v>-3.6501800000000002</v>
      </c>
      <c r="AF3530">
        <v>3.9313768138929301</v>
      </c>
      <c r="AG3530">
        <v>-1.1044507448229901</v>
      </c>
      <c r="AH3530">
        <v>11.8274595013176</v>
      </c>
      <c r="AI3530">
        <v>95.063935044162506</v>
      </c>
      <c r="AJ3530">
        <v>71.613501622407796</v>
      </c>
      <c r="AK3530">
        <v>12.512567017037799</v>
      </c>
      <c r="AL3530">
        <v>88.427454587695806</v>
      </c>
      <c r="AM3530">
        <v>85.697023718696798</v>
      </c>
      <c r="AN3530">
        <v>1.00000002154833</v>
      </c>
    </row>
    <row r="3531" spans="1:40" x14ac:dyDescent="0.3">
      <c r="A3531" t="str">
        <f>"20200111153949158"</f>
        <v>20200111153949158</v>
      </c>
      <c r="B3531" t="str">
        <f>"1578728389154443"</f>
        <v>1578728389154443</v>
      </c>
      <c r="C3531" t="s">
        <v>40</v>
      </c>
      <c r="D3531">
        <v>5.1769210000000001</v>
      </c>
      <c r="E3531">
        <v>0.60006300000000001</v>
      </c>
      <c r="F3531" t="s">
        <v>74</v>
      </c>
      <c r="G3531">
        <v>-279.02</v>
      </c>
      <c r="H3531">
        <v>0.17247000000000001</v>
      </c>
      <c r="I3531">
        <v>-4.3683820000000004</v>
      </c>
      <c r="J3531">
        <v>-350.41539999999998</v>
      </c>
      <c r="K3531">
        <v>1.1044799999999999</v>
      </c>
      <c r="L3531">
        <v>18.300630000000002</v>
      </c>
      <c r="M3531">
        <v>0.99959279999999995</v>
      </c>
      <c r="N3531">
        <v>0</v>
      </c>
      <c r="O3531">
        <v>2.634883E-2</v>
      </c>
      <c r="P3531">
        <v>0.99832529999999997</v>
      </c>
      <c r="Q3531">
        <v>1.802662E-2</v>
      </c>
      <c r="R3531">
        <v>-5.4971840000000001E-2</v>
      </c>
      <c r="S3531">
        <v>2.958771</v>
      </c>
      <c r="T3531">
        <v>-3.8448690000000001E-2</v>
      </c>
      <c r="U3531">
        <v>-0.93484500000000004</v>
      </c>
      <c r="V3531">
        <v>8.1239919999999993E-2</v>
      </c>
      <c r="W3531">
        <v>2.8999380000000002E-2</v>
      </c>
      <c r="X3531">
        <v>0.99627259999999995</v>
      </c>
      <c r="Y3531">
        <v>0.32627109999999998</v>
      </c>
      <c r="Z3531">
        <v>-2.403989E-3</v>
      </c>
      <c r="AA3531">
        <v>0.94527320000000004</v>
      </c>
      <c r="AB3531">
        <v>32</v>
      </c>
      <c r="AC3531">
        <v>71.395399999999995</v>
      </c>
      <c r="AD3531">
        <v>-0.93201000000000001</v>
      </c>
      <c r="AE3531">
        <v>-22.669011999999999</v>
      </c>
      <c r="AF3531">
        <v>24.538639982696701</v>
      </c>
      <c r="AG3531">
        <v>-0.93201000000000001</v>
      </c>
      <c r="AH3531">
        <v>70.762317034310399</v>
      </c>
      <c r="AI3531">
        <v>90.712952561983897</v>
      </c>
      <c r="AJ3531">
        <v>70.874705633739893</v>
      </c>
      <c r="AK3531">
        <v>74.902062768022304</v>
      </c>
      <c r="AL3531">
        <v>88.338224931638607</v>
      </c>
      <c r="AM3531">
        <v>85.338195078564397</v>
      </c>
      <c r="AN3531">
        <v>0.99999999107637505</v>
      </c>
    </row>
    <row r="3532" spans="1:40" x14ac:dyDescent="0.3">
      <c r="A3532" t="str">
        <f>"20200111153949180"</f>
        <v>20200111153949180</v>
      </c>
      <c r="B3532" t="str">
        <f>"1578728389173963"</f>
        <v>1578728389173963</v>
      </c>
      <c r="C3532" t="s">
        <v>40</v>
      </c>
      <c r="D3532">
        <v>5.0662909999999997</v>
      </c>
      <c r="E3532">
        <v>0.55215340000000002</v>
      </c>
      <c r="F3532" t="s">
        <v>74</v>
      </c>
      <c r="G3532">
        <v>-279.02</v>
      </c>
      <c r="H3532">
        <v>0.19641610000000001</v>
      </c>
      <c r="I3532">
        <v>-4.8790339999999999</v>
      </c>
      <c r="J3532">
        <v>-350.08929999999998</v>
      </c>
      <c r="K3532">
        <v>1.1044860000000001</v>
      </c>
      <c r="L3532">
        <v>18.309570000000001</v>
      </c>
      <c r="M3532">
        <v>0.99958150000000001</v>
      </c>
      <c r="N3532">
        <v>0</v>
      </c>
      <c r="O3532">
        <v>2.666263E-2</v>
      </c>
      <c r="P3532">
        <v>0.99807860000000004</v>
      </c>
      <c r="Q3532">
        <v>1.7152879999999999E-2</v>
      </c>
      <c r="R3532">
        <v>-5.9543470000000001E-2</v>
      </c>
      <c r="S3532">
        <v>2.9529109999999998</v>
      </c>
      <c r="T3532">
        <v>-3.7557479999999997E-2</v>
      </c>
      <c r="U3532">
        <v>-0.9587097</v>
      </c>
      <c r="V3532">
        <v>8.6117669999999993E-2</v>
      </c>
      <c r="W3532">
        <v>2.8399770000000001E-2</v>
      </c>
      <c r="X3532">
        <v>0.99588010000000005</v>
      </c>
      <c r="Y3532">
        <v>0.33402369999999998</v>
      </c>
      <c r="Z3532">
        <v>-2.401856E-3</v>
      </c>
      <c r="AA3532">
        <v>0.9425616</v>
      </c>
      <c r="AB3532">
        <v>32</v>
      </c>
      <c r="AC3532">
        <v>71.069299999999998</v>
      </c>
      <c r="AD3532">
        <v>-0.90806989999999999</v>
      </c>
      <c r="AE3532">
        <v>-23.188604000000002</v>
      </c>
      <c r="AF3532">
        <v>25.071673605033801</v>
      </c>
      <c r="AG3532">
        <v>-0.90806989999999999</v>
      </c>
      <c r="AH3532">
        <v>70.415333015246105</v>
      </c>
      <c r="AI3532">
        <v>90.696040948328303</v>
      </c>
      <c r="AJ3532">
        <v>70.401515472822894</v>
      </c>
      <c r="AK3532">
        <v>74.751137328796801</v>
      </c>
      <c r="AL3532">
        <v>88.372594205165896</v>
      </c>
      <c r="AM3532">
        <v>85.057703149252205</v>
      </c>
      <c r="AN3532">
        <v>0.99999998679914504</v>
      </c>
    </row>
    <row r="3533" spans="1:40" x14ac:dyDescent="0.3">
      <c r="A3533" t="str">
        <f>"20200111153949202"</f>
        <v>20200111153949202</v>
      </c>
      <c r="B3533" t="str">
        <f>"1578728389194966"</f>
        <v>1578728389194966</v>
      </c>
      <c r="C3533" t="s">
        <v>40</v>
      </c>
      <c r="D3533">
        <v>5.0015790000000004</v>
      </c>
      <c r="E3533">
        <v>0.55216699999999996</v>
      </c>
      <c r="F3533" t="s">
        <v>42</v>
      </c>
      <c r="G3533">
        <v>-326.81979999999999</v>
      </c>
      <c r="H3533" s="1">
        <v>-2.7735359999999902E-6</v>
      </c>
      <c r="I3533">
        <v>13.72289</v>
      </c>
      <c r="J3533">
        <v>-349.767</v>
      </c>
      <c r="K3533">
        <v>1.1044849999999999</v>
      </c>
      <c r="L3533">
        <v>18.318449999999999</v>
      </c>
      <c r="M3533">
        <v>0.99957079999999998</v>
      </c>
      <c r="N3533">
        <v>0</v>
      </c>
      <c r="O3533">
        <v>2.6945609999999998E-2</v>
      </c>
      <c r="P3533">
        <v>0.99789830000000002</v>
      </c>
      <c r="Q3533">
        <v>1.4359800000000001E-2</v>
      </c>
      <c r="R3533">
        <v>-6.3190949999999996E-2</v>
      </c>
      <c r="S3533">
        <v>2.973236</v>
      </c>
      <c r="T3533">
        <v>-0.14112529999999901</v>
      </c>
      <c r="U3533">
        <v>-0.58605959999999901</v>
      </c>
      <c r="V3533">
        <v>9.0043979999999996E-2</v>
      </c>
      <c r="W3533">
        <v>2.5868700000000001E-2</v>
      </c>
      <c r="X3533">
        <v>0.99560179999999998</v>
      </c>
      <c r="Y3533">
        <v>0.21949160000000001</v>
      </c>
      <c r="Z3533">
        <v>-6.4235489999999998E-3</v>
      </c>
      <c r="AA3533">
        <v>0.9755933</v>
      </c>
      <c r="AB3533">
        <v>32</v>
      </c>
      <c r="AC3533">
        <v>22.947199999999999</v>
      </c>
      <c r="AD3533">
        <v>-1.1044877735359999</v>
      </c>
      <c r="AE3533">
        <v>-4.5955599999999901</v>
      </c>
      <c r="AF3533">
        <v>5.2006746813084197</v>
      </c>
      <c r="AG3533">
        <v>-1.1044877735359999</v>
      </c>
      <c r="AH3533">
        <v>22.764324789064901</v>
      </c>
      <c r="AI3533">
        <v>92.708055524336999</v>
      </c>
      <c r="AJ3533">
        <v>77.131216587769799</v>
      </c>
      <c r="AK3533">
        <v>23.376941491237201</v>
      </c>
      <c r="AL3533">
        <v>88.517667348857003</v>
      </c>
      <c r="AM3533">
        <v>84.832128767838796</v>
      </c>
      <c r="AN3533">
        <v>1.00000002606858</v>
      </c>
    </row>
    <row r="3534" spans="1:40" x14ac:dyDescent="0.3">
      <c r="A3534" t="str">
        <f>"20200111153949225"</f>
        <v>20200111153949225</v>
      </c>
      <c r="B3534" t="str">
        <f>"1578728389214486"</f>
        <v>1578728389214486</v>
      </c>
      <c r="C3534" t="s">
        <v>40</v>
      </c>
      <c r="D3534">
        <v>4.9740140000000004</v>
      </c>
      <c r="E3534">
        <v>0.55442419999999903</v>
      </c>
      <c r="F3534" t="s">
        <v>42</v>
      </c>
      <c r="G3534">
        <v>-326.83249999999998</v>
      </c>
      <c r="H3534" s="1">
        <v>-2.7723199999999998E-6</v>
      </c>
      <c r="I3534">
        <v>13.709160000000001</v>
      </c>
      <c r="J3534">
        <v>-349.44529999999997</v>
      </c>
      <c r="K3534">
        <v>1.1044830000000001</v>
      </c>
      <c r="L3534">
        <v>18.327359999999999</v>
      </c>
      <c r="M3534">
        <v>0.99956120000000004</v>
      </c>
      <c r="N3534">
        <v>0</v>
      </c>
      <c r="O3534">
        <v>2.7188230000000001E-2</v>
      </c>
      <c r="P3534">
        <v>0.99772499999999997</v>
      </c>
      <c r="Q3534">
        <v>1.105625E-2</v>
      </c>
      <c r="R3534">
        <v>-6.6505339999999996E-2</v>
      </c>
      <c r="S3534">
        <v>2.9705810000000001</v>
      </c>
      <c r="T3534">
        <v>-0.1430582</v>
      </c>
      <c r="U3534">
        <v>-0.59701539999999997</v>
      </c>
      <c r="V3534">
        <v>9.3597399999999997E-2</v>
      </c>
      <c r="W3534">
        <v>2.2814979999999999E-2</v>
      </c>
      <c r="X3534">
        <v>0.99534869999999998</v>
      </c>
      <c r="Y3534">
        <v>0.22334090000000001</v>
      </c>
      <c r="Z3534">
        <v>-6.6181290000000004E-3</v>
      </c>
      <c r="AA3534">
        <v>0.97471790000000003</v>
      </c>
      <c r="AB3534">
        <v>32</v>
      </c>
      <c r="AC3534">
        <v>22.6128</v>
      </c>
      <c r="AD3534">
        <v>-1.1044857723199999</v>
      </c>
      <c r="AE3534">
        <v>-4.6181999999999999</v>
      </c>
      <c r="AF3534">
        <v>5.2193838610642498</v>
      </c>
      <c r="AG3534">
        <v>-1.1044857723199999</v>
      </c>
      <c r="AH3534">
        <v>22.427507780233</v>
      </c>
      <c r="AI3534">
        <v>92.7460965968274</v>
      </c>
      <c r="AJ3534">
        <v>76.899177684446997</v>
      </c>
      <c r="AK3534">
        <v>23.053306963271101</v>
      </c>
      <c r="AL3534">
        <v>88.692684525286595</v>
      </c>
      <c r="AM3534">
        <v>84.628000625872602</v>
      </c>
      <c r="AN3534">
        <v>1.0000000155954201</v>
      </c>
    </row>
    <row r="3535" spans="1:40" x14ac:dyDescent="0.3">
      <c r="A3535" t="str">
        <f>"20200111153949245"</f>
        <v>20200111153949245</v>
      </c>
      <c r="B3535" t="str">
        <f>"1578728389234006"</f>
        <v>1578728389234006</v>
      </c>
      <c r="C3535" t="s">
        <v>40</v>
      </c>
      <c r="D3535">
        <v>5.0144000000000002</v>
      </c>
      <c r="E3535">
        <v>0.55519039999999997</v>
      </c>
      <c r="F3535" t="s">
        <v>42</v>
      </c>
      <c r="G3535">
        <v>-328.38389999999998</v>
      </c>
      <c r="H3535" s="1">
        <v>-2.1276000000000002E-6</v>
      </c>
      <c r="I3535">
        <v>13.89324</v>
      </c>
      <c r="J3535">
        <v>-349.14409999999998</v>
      </c>
      <c r="K3535">
        <v>1.1044860000000001</v>
      </c>
      <c r="L3535">
        <v>18.33578</v>
      </c>
      <c r="M3535">
        <v>0.99955329999999998</v>
      </c>
      <c r="N3535">
        <v>0</v>
      </c>
      <c r="O3535">
        <v>2.7379239999999999E-2</v>
      </c>
      <c r="P3535">
        <v>0.99749620000000006</v>
      </c>
      <c r="Q3535">
        <v>9.1940479999999998E-3</v>
      </c>
      <c r="R3535">
        <v>-7.0122030000000002E-2</v>
      </c>
      <c r="S3535">
        <v>2.9669189999999999</v>
      </c>
      <c r="T3535">
        <v>-0.15558859999999999</v>
      </c>
      <c r="U3535">
        <v>-0.62463380000000002</v>
      </c>
      <c r="V3535">
        <v>9.7398879999999993E-2</v>
      </c>
      <c r="W3535">
        <v>2.1166000000000001E-2</v>
      </c>
      <c r="X3535">
        <v>0.99502029999999997</v>
      </c>
      <c r="Y3535">
        <v>0.23239090000000001</v>
      </c>
      <c r="Z3535">
        <v>-7.4436199999999998E-3</v>
      </c>
      <c r="AA3535">
        <v>0.97259399999999996</v>
      </c>
      <c r="AB3535">
        <v>32</v>
      </c>
      <c r="AC3535">
        <v>20.760200000000001</v>
      </c>
      <c r="AD3535">
        <v>-1.1044881276</v>
      </c>
      <c r="AE3535">
        <v>-4.4425400000000002</v>
      </c>
      <c r="AF3535">
        <v>4.9957923657825702</v>
      </c>
      <c r="AG3535">
        <v>-1.1044881276</v>
      </c>
      <c r="AH3535">
        <v>20.5750870157813</v>
      </c>
      <c r="AI3535">
        <v>92.986136444744403</v>
      </c>
      <c r="AJ3535">
        <v>76.352248596943596</v>
      </c>
      <c r="AK3535">
        <v>21.201699014300502</v>
      </c>
      <c r="AL3535">
        <v>88.787186925590106</v>
      </c>
      <c r="AM3535">
        <v>84.4093374132256</v>
      </c>
      <c r="AN3535">
        <v>0.99999996939667102</v>
      </c>
    </row>
    <row r="3536" spans="1:40" x14ac:dyDescent="0.3">
      <c r="A3536" t="str">
        <f>"20200111153949269"</f>
        <v>20200111153949269</v>
      </c>
      <c r="B3536" t="str">
        <f>"1578728389264262"</f>
        <v>1578728389264262</v>
      </c>
      <c r="C3536" t="s">
        <v>40</v>
      </c>
      <c r="D3536">
        <v>5.025442</v>
      </c>
      <c r="E3536">
        <v>0.55527139999999997</v>
      </c>
      <c r="F3536" t="s">
        <v>42</v>
      </c>
      <c r="G3536">
        <v>-328.60079999999999</v>
      </c>
      <c r="H3536" s="1">
        <v>-2.0451180000000002E-6</v>
      </c>
      <c r="I3536">
        <v>13.8902</v>
      </c>
      <c r="J3536">
        <v>-348.81979999999999</v>
      </c>
      <c r="K3536">
        <v>1.104487</v>
      </c>
      <c r="L3536">
        <v>18.344819999999999</v>
      </c>
      <c r="M3536">
        <v>0.99954600000000005</v>
      </c>
      <c r="N3536">
        <v>0</v>
      </c>
      <c r="O3536">
        <v>2.7552050000000002E-2</v>
      </c>
      <c r="P3536">
        <v>0.99732690000000002</v>
      </c>
      <c r="Q3536">
        <v>9.0360679999999995E-3</v>
      </c>
      <c r="R3536">
        <v>-7.2512049999999995E-2</v>
      </c>
      <c r="S3536">
        <v>2.9638979999999999</v>
      </c>
      <c r="T3536">
        <v>-0.1593503</v>
      </c>
      <c r="U3536">
        <v>-0.64138790000000001</v>
      </c>
      <c r="V3536">
        <v>9.9957089999999998E-2</v>
      </c>
      <c r="W3536">
        <v>2.1213200000000001E-2</v>
      </c>
      <c r="X3536">
        <v>0.99476560000000003</v>
      </c>
      <c r="Y3536">
        <v>0.23798810000000001</v>
      </c>
      <c r="Z3536">
        <v>-7.7843499999999998E-3</v>
      </c>
      <c r="AA3536">
        <v>0.97123689999999996</v>
      </c>
      <c r="AB3536">
        <v>32</v>
      </c>
      <c r="AC3536">
        <v>20.218999999999902</v>
      </c>
      <c r="AD3536">
        <v>-1.1044890451180001</v>
      </c>
      <c r="AE3536">
        <v>-4.4546200000000002</v>
      </c>
      <c r="AF3536">
        <v>4.9958273742284298</v>
      </c>
      <c r="AG3536">
        <v>-1.1044890451180001</v>
      </c>
      <c r="AH3536">
        <v>20.031572399237799</v>
      </c>
      <c r="AI3536">
        <v>93.062331486516001</v>
      </c>
      <c r="AJ3536">
        <v>75.996242334968201</v>
      </c>
      <c r="AK3536">
        <v>20.674672427629499</v>
      </c>
      <c r="AL3536">
        <v>88.784482005915706</v>
      </c>
      <c r="AM3536">
        <v>84.262004992440495</v>
      </c>
      <c r="AN3536">
        <v>1.0000000093194299</v>
      </c>
    </row>
    <row r="3537" spans="1:40" x14ac:dyDescent="0.3">
      <c r="A3537" t="str">
        <f>"20200111153949291"</f>
        <v>20200111153949291</v>
      </c>
      <c r="B3537" t="str">
        <f>"1578728389284759"</f>
        <v>1578728389284759</v>
      </c>
      <c r="C3537" t="s">
        <v>40</v>
      </c>
      <c r="D3537">
        <v>5.0388029999999997</v>
      </c>
      <c r="E3537">
        <v>0.5552182</v>
      </c>
      <c r="F3537" t="s">
        <v>42</v>
      </c>
      <c r="G3537">
        <v>-328.62970000000001</v>
      </c>
      <c r="H3537" s="1">
        <v>-2.0255820000000001E-6</v>
      </c>
      <c r="I3537">
        <v>13.921810000000001</v>
      </c>
      <c r="J3537">
        <v>-348.49</v>
      </c>
      <c r="K3537">
        <v>1.104509</v>
      </c>
      <c r="L3537">
        <v>18.354099999999999</v>
      </c>
      <c r="M3537">
        <v>0.99953939999999997</v>
      </c>
      <c r="N3537">
        <v>0</v>
      </c>
      <c r="O3537">
        <v>2.7701650000000001E-2</v>
      </c>
      <c r="P3537">
        <v>0.99722169999999999</v>
      </c>
      <c r="Q3537">
        <v>9.2419500000000005E-3</v>
      </c>
      <c r="R3537">
        <v>-7.3919150000000003E-2</v>
      </c>
      <c r="S3537">
        <v>2.9623409999999999</v>
      </c>
      <c r="T3537">
        <v>-0.16205369999999999</v>
      </c>
      <c r="U3537">
        <v>-0.64895630000000004</v>
      </c>
      <c r="V3537">
        <v>0.10151060000000001</v>
      </c>
      <c r="W3537">
        <v>2.1607919999999999E-2</v>
      </c>
      <c r="X3537">
        <v>0.99459980000000003</v>
      </c>
      <c r="Y3537">
        <v>0.24059050000000001</v>
      </c>
      <c r="Z3537">
        <v>-7.9965639999999994E-3</v>
      </c>
      <c r="AA3537">
        <v>0.97059379999999995</v>
      </c>
      <c r="AB3537">
        <v>32</v>
      </c>
      <c r="AC3537">
        <v>19.860299999999899</v>
      </c>
      <c r="AD3537">
        <v>-1.1045110255820001</v>
      </c>
      <c r="AE3537">
        <v>-4.4322899999999903</v>
      </c>
      <c r="AF3537">
        <v>4.9661629115960597</v>
      </c>
      <c r="AG3537">
        <v>-1.1045110255820001</v>
      </c>
      <c r="AH3537">
        <v>19.6719289289919</v>
      </c>
      <c r="AI3537">
        <v>93.116028663977005</v>
      </c>
      <c r="AJ3537">
        <v>75.831758124247898</v>
      </c>
      <c r="AK3537">
        <v>20.319141380911098</v>
      </c>
      <c r="AL3537">
        <v>88.761861059928805</v>
      </c>
      <c r="AM3537">
        <v>84.1724707015767</v>
      </c>
      <c r="AN3537">
        <v>1.00000003313956</v>
      </c>
    </row>
    <row r="3538" spans="1:40" x14ac:dyDescent="0.3">
      <c r="A3538" t="str">
        <f>"20200111153949314"</f>
        <v>20200111153949314</v>
      </c>
      <c r="B3538" t="str">
        <f>"1578728389304787"</f>
        <v>1578728389304787</v>
      </c>
      <c r="C3538" t="s">
        <v>40</v>
      </c>
      <c r="D3538">
        <v>5.0520820000000004</v>
      </c>
      <c r="E3538">
        <v>0.55504909999999996</v>
      </c>
      <c r="F3538" t="s">
        <v>42</v>
      </c>
      <c r="G3538">
        <v>-328.07150000000001</v>
      </c>
      <c r="H3538" s="1">
        <v>-2.257953E-6</v>
      </c>
      <c r="I3538">
        <v>13.854089999999999</v>
      </c>
      <c r="J3538">
        <v>-348.16840000000002</v>
      </c>
      <c r="K3538">
        <v>1.1045389999999999</v>
      </c>
      <c r="L3538">
        <v>18.363160000000001</v>
      </c>
      <c r="M3538">
        <v>0.99953369999999997</v>
      </c>
      <c r="N3538">
        <v>0</v>
      </c>
      <c r="O3538">
        <v>2.7829329999999999E-2</v>
      </c>
      <c r="P3538">
        <v>0.99722500000000003</v>
      </c>
      <c r="Q3538">
        <v>8.6650069999999902E-3</v>
      </c>
      <c r="R3538">
        <v>-7.3942359999999999E-2</v>
      </c>
      <c r="S3538">
        <v>2.961487</v>
      </c>
      <c r="T3538">
        <v>-0.16019810000000001</v>
      </c>
      <c r="U3538">
        <v>-0.65267940000000002</v>
      </c>
      <c r="V3538">
        <v>0.101662</v>
      </c>
      <c r="W3538">
        <v>2.1196030000000001E-2</v>
      </c>
      <c r="X3538">
        <v>0.99459310000000001</v>
      </c>
      <c r="Y3538">
        <v>0.2419434</v>
      </c>
      <c r="Z3538">
        <v>-7.9492729999999998E-3</v>
      </c>
      <c r="AA3538">
        <v>0.97025779999999995</v>
      </c>
      <c r="AB3538">
        <v>32</v>
      </c>
      <c r="AC3538">
        <v>20.096900000000002</v>
      </c>
      <c r="AD3538">
        <v>-1.1045412579529901</v>
      </c>
      <c r="AE3538">
        <v>-4.5090700000000004</v>
      </c>
      <c r="AF3538">
        <v>5.0521212781426499</v>
      </c>
      <c r="AG3538">
        <v>-1.1045412579529901</v>
      </c>
      <c r="AH3538">
        <v>19.9063717288272</v>
      </c>
      <c r="AI3538">
        <v>93.078502311905396</v>
      </c>
      <c r="AJ3538">
        <v>75.759337102359297</v>
      </c>
      <c r="AK3538">
        <v>20.567147984245</v>
      </c>
      <c r="AL3538">
        <v>88.785465904495695</v>
      </c>
      <c r="AM3538">
        <v>84.163800024726697</v>
      </c>
      <c r="AN3538">
        <v>0.99999993424968303</v>
      </c>
    </row>
    <row r="3539" spans="1:40" x14ac:dyDescent="0.3">
      <c r="A3539" t="str">
        <f>"20200111153949336"</f>
        <v>20200111153949336</v>
      </c>
      <c r="B3539" t="str">
        <f>"1578728389324304"</f>
        <v>1578728389324304</v>
      </c>
      <c r="C3539" t="s">
        <v>40</v>
      </c>
      <c r="D3539">
        <v>5.0747839999999904</v>
      </c>
      <c r="E3539">
        <v>0.55480810000000003</v>
      </c>
      <c r="F3539" t="s">
        <v>42</v>
      </c>
      <c r="G3539">
        <v>-327.6841</v>
      </c>
      <c r="H3539" s="1">
        <v>-2.4062290000000001E-6</v>
      </c>
      <c r="I3539">
        <v>13.85594</v>
      </c>
      <c r="J3539">
        <v>-347.85719999999998</v>
      </c>
      <c r="K3539">
        <v>1.1045579999999999</v>
      </c>
      <c r="L3539">
        <v>18.371980000000001</v>
      </c>
      <c r="M3539">
        <v>0.99952839999999998</v>
      </c>
      <c r="N3539">
        <v>0</v>
      </c>
      <c r="O3539">
        <v>2.795315E-2</v>
      </c>
      <c r="P3539">
        <v>0.99721579999999999</v>
      </c>
      <c r="Q3539">
        <v>8.7647290000000006E-3</v>
      </c>
      <c r="R3539">
        <v>-7.4053759999999996E-2</v>
      </c>
      <c r="S3539">
        <v>2.9614259999999999</v>
      </c>
      <c r="T3539">
        <v>-0.159684299999999</v>
      </c>
      <c r="U3539">
        <v>-0.6516113</v>
      </c>
      <c r="V3539">
        <v>0.10189670000000001</v>
      </c>
      <c r="W3539">
        <v>2.143869E-2</v>
      </c>
      <c r="X3539">
        <v>0.99456389999999995</v>
      </c>
      <c r="Y3539">
        <v>0.2417366</v>
      </c>
      <c r="Z3539">
        <v>-7.9253699999999993E-3</v>
      </c>
      <c r="AA3539">
        <v>0.97030959999999999</v>
      </c>
      <c r="AB3539">
        <v>32</v>
      </c>
      <c r="AC3539">
        <v>20.173099999999899</v>
      </c>
      <c r="AD3539">
        <v>-1.104560406229</v>
      </c>
      <c r="AE3539">
        <v>-4.5160399999999896</v>
      </c>
      <c r="AF3539">
        <v>5.06376552371818</v>
      </c>
      <c r="AG3539">
        <v>-1.104560406229</v>
      </c>
      <c r="AH3539">
        <v>19.9819208818286</v>
      </c>
      <c r="AI3539">
        <v>93.067213073250102</v>
      </c>
      <c r="AJ3539">
        <v>75.779622892566906</v>
      </c>
      <c r="AK3539">
        <v>20.643132928358099</v>
      </c>
      <c r="AL3539">
        <v>88.771559372642699</v>
      </c>
      <c r="AM3539">
        <v>84.1502491695571</v>
      </c>
      <c r="AN3539">
        <v>0.99999995304150602</v>
      </c>
    </row>
    <row r="3540" spans="1:40" x14ac:dyDescent="0.3">
      <c r="A3540" t="str">
        <f>"20200111153949357"</f>
        <v>20200111153949357</v>
      </c>
      <c r="B3540" t="str">
        <f>"1578728389354561"</f>
        <v>1578728389354561</v>
      </c>
      <c r="C3540" t="s">
        <v>40</v>
      </c>
      <c r="D3540">
        <v>5.0879810000000001</v>
      </c>
      <c r="E3540">
        <v>0.55451799999999996</v>
      </c>
      <c r="F3540" t="s">
        <v>42</v>
      </c>
      <c r="G3540">
        <v>-327.25990000000002</v>
      </c>
      <c r="H3540" s="1">
        <v>-2.5703740000000001E-6</v>
      </c>
      <c r="I3540">
        <v>13.851290000000001</v>
      </c>
      <c r="J3540">
        <v>-347.54539999999997</v>
      </c>
      <c r="K3540">
        <v>1.1045959999999999</v>
      </c>
      <c r="L3540">
        <v>18.380890000000001</v>
      </c>
      <c r="M3540">
        <v>0.99952260000000004</v>
      </c>
      <c r="N3540">
        <v>0</v>
      </c>
      <c r="O3540">
        <v>2.8101899999999999E-2</v>
      </c>
      <c r="P3540">
        <v>0.99706059999999996</v>
      </c>
      <c r="Q3540">
        <v>4.4024329999999999E-3</v>
      </c>
      <c r="R3540">
        <v>-7.649214E-2</v>
      </c>
      <c r="S3540">
        <v>2.9615170000000002</v>
      </c>
      <c r="T3540">
        <v>-0.15881609999999999</v>
      </c>
      <c r="U3540">
        <v>-0.64999390000000001</v>
      </c>
      <c r="V3540">
        <v>0.1044784</v>
      </c>
      <c r="W3540">
        <v>1.7203260000000001E-2</v>
      </c>
      <c r="X3540">
        <v>0.9943784</v>
      </c>
      <c r="Y3540">
        <v>0.24137349999999999</v>
      </c>
      <c r="Z3540">
        <v>-7.8808309999999996E-3</v>
      </c>
      <c r="AA3540">
        <v>0.97040029999999999</v>
      </c>
      <c r="AB3540">
        <v>32</v>
      </c>
      <c r="AC3540">
        <v>20.2854999999999</v>
      </c>
      <c r="AD3540">
        <v>-1.104598570374</v>
      </c>
      <c r="AE3540">
        <v>-4.5296000000000003</v>
      </c>
      <c r="AF3540">
        <v>5.0835615343090099</v>
      </c>
      <c r="AG3540">
        <v>-1.104598570374</v>
      </c>
      <c r="AH3540">
        <v>20.0934370315485</v>
      </c>
      <c r="AI3540">
        <v>93.050633019628606</v>
      </c>
      <c r="AJ3540">
        <v>75.802303884430302</v>
      </c>
      <c r="AK3540">
        <v>20.755937647227199</v>
      </c>
      <c r="AL3540">
        <v>89.014277227585595</v>
      </c>
      <c r="AM3540">
        <v>84.001993595940405</v>
      </c>
      <c r="AN3540">
        <v>1.00000004530387</v>
      </c>
    </row>
    <row r="3541" spans="1:40" x14ac:dyDescent="0.3">
      <c r="A3541" t="str">
        <f>"20200111153949371"</f>
        <v>20200111153949371</v>
      </c>
      <c r="B3541" t="str">
        <f>"1578728389364321"</f>
        <v>1578728389364321</v>
      </c>
      <c r="C3541" t="s">
        <v>40</v>
      </c>
      <c r="D3541">
        <v>5.1123329999999996</v>
      </c>
      <c r="E3541">
        <v>0.55438419999999999</v>
      </c>
      <c r="F3541" t="s">
        <v>42</v>
      </c>
      <c r="G3541">
        <v>-328.47160000000002</v>
      </c>
      <c r="H3541" s="1">
        <v>-2.0219180000000001E-6</v>
      </c>
      <c r="I3541">
        <v>14.163880000000001</v>
      </c>
      <c r="J3541">
        <v>-347.35480000000001</v>
      </c>
      <c r="K3541">
        <v>1.104622</v>
      </c>
      <c r="L3541">
        <v>18.386320000000001</v>
      </c>
      <c r="M3541">
        <v>0.99951880000000004</v>
      </c>
      <c r="N3541">
        <v>0</v>
      </c>
      <c r="O3541">
        <v>2.8205620000000001E-2</v>
      </c>
      <c r="P3541">
        <v>0.99693779999999999</v>
      </c>
      <c r="Q3541">
        <v>5.9495119999999999E-4</v>
      </c>
      <c r="R3541">
        <v>-7.8199859999999996E-2</v>
      </c>
      <c r="S3541">
        <v>2.9594420000000001</v>
      </c>
      <c r="T3541">
        <v>-0.1713858</v>
      </c>
      <c r="U3541">
        <v>-0.65429689999999996</v>
      </c>
      <c r="V3541">
        <v>0.1062859</v>
      </c>
      <c r="W3541">
        <v>1.346721E-2</v>
      </c>
      <c r="X3541">
        <v>0.99424440000000003</v>
      </c>
      <c r="Y3541">
        <v>0.24289810000000001</v>
      </c>
      <c r="Z3541">
        <v>-8.5576330000000003E-3</v>
      </c>
      <c r="AA3541">
        <v>0.97001409999999999</v>
      </c>
      <c r="AB3541">
        <v>32</v>
      </c>
      <c r="AC3541">
        <v>18.883199999999899</v>
      </c>
      <c r="AD3541">
        <v>-1.1046240219179999</v>
      </c>
      <c r="AE3541">
        <v>-4.2224399999999997</v>
      </c>
      <c r="AF3541">
        <v>4.73797533040839</v>
      </c>
      <c r="AG3541">
        <v>-1.1046240219179999</v>
      </c>
      <c r="AH3541">
        <v>18.695649799281998</v>
      </c>
      <c r="AI3541">
        <v>93.277974820585897</v>
      </c>
      <c r="AJ3541">
        <v>75.779124064422604</v>
      </c>
      <c r="AK3541">
        <v>19.3182795786465</v>
      </c>
      <c r="AL3541">
        <v>89.228362373508304</v>
      </c>
      <c r="AM3541">
        <v>83.898186684868094</v>
      </c>
      <c r="AN3541">
        <v>0.99999999260767702</v>
      </c>
    </row>
    <row r="3542" spans="1:40" x14ac:dyDescent="0.3">
      <c r="A3542" t="str">
        <f>"20200111153949393"</f>
        <v>20200111153949393</v>
      </c>
      <c r="B3542" t="str">
        <f>"1578728389384817"</f>
        <v>1578728389384817</v>
      </c>
      <c r="C3542" t="s">
        <v>40</v>
      </c>
      <c r="D3542">
        <v>5.1390449999999896</v>
      </c>
      <c r="E3542">
        <v>0.55409580000000003</v>
      </c>
      <c r="F3542" t="s">
        <v>42</v>
      </c>
      <c r="G3542">
        <v>-329.56909999999999</v>
      </c>
      <c r="H3542" s="1">
        <v>-1.5294830000000001E-6</v>
      </c>
      <c r="I3542">
        <v>14.43052</v>
      </c>
      <c r="J3542">
        <v>-347.03739999999999</v>
      </c>
      <c r="K3542">
        <v>1.1046689999999999</v>
      </c>
      <c r="L3542">
        <v>18.395479999999999</v>
      </c>
      <c r="M3542">
        <v>0.9995115</v>
      </c>
      <c r="N3542">
        <v>0</v>
      </c>
      <c r="O3542">
        <v>2.841575E-2</v>
      </c>
      <c r="P3542">
        <v>0.99658380000000002</v>
      </c>
      <c r="Q3542">
        <v>-7.0817839999999998E-3</v>
      </c>
      <c r="R3542">
        <v>-8.2284910000000003E-2</v>
      </c>
      <c r="S3542">
        <v>2.957703</v>
      </c>
      <c r="T3542">
        <v>-0.18369530000000001</v>
      </c>
      <c r="U3542">
        <v>-0.65783689999999995</v>
      </c>
      <c r="V3542">
        <v>0.1105704</v>
      </c>
      <c r="W3542">
        <v>5.8982669999999996E-3</v>
      </c>
      <c r="X3542">
        <v>0.99385080000000003</v>
      </c>
      <c r="Y3542">
        <v>0.2442608</v>
      </c>
      <c r="Z3542">
        <v>-9.2299329999999992E-3</v>
      </c>
      <c r="AA3542">
        <v>0.96966560000000002</v>
      </c>
      <c r="AB3542">
        <v>32</v>
      </c>
      <c r="AC3542">
        <v>17.468299999999999</v>
      </c>
      <c r="AD3542">
        <v>-1.1046705294829999</v>
      </c>
      <c r="AE3542">
        <v>-3.9649599999999898</v>
      </c>
      <c r="AF3542">
        <v>4.44287845416848</v>
      </c>
      <c r="AG3542">
        <v>-1.1046705294829999</v>
      </c>
      <c r="AH3542">
        <v>17.2828383817183</v>
      </c>
      <c r="AI3542">
        <v>93.542343736726906</v>
      </c>
      <c r="AJ3542">
        <v>75.583207153538098</v>
      </c>
      <c r="AK3542">
        <v>17.878925260367801</v>
      </c>
      <c r="AL3542">
        <v>89.662052237561696</v>
      </c>
      <c r="AM3542">
        <v>83.651691503334106</v>
      </c>
      <c r="AN3542">
        <v>1.0000000077852</v>
      </c>
    </row>
    <row r="3543" spans="1:40" x14ac:dyDescent="0.3">
      <c r="A3543" t="str">
        <f>"20200111153949416"</f>
        <v>20200111153949416</v>
      </c>
      <c r="B3543" t="str">
        <f>"1578728389404845"</f>
        <v>1578728389404845</v>
      </c>
      <c r="C3543" t="s">
        <v>40</v>
      </c>
      <c r="D3543">
        <v>5.1482020000000004</v>
      </c>
      <c r="E3543">
        <v>0.55379049999999996</v>
      </c>
      <c r="F3543" t="s">
        <v>42</v>
      </c>
      <c r="G3543">
        <v>-331.22250000000003</v>
      </c>
      <c r="H3543" s="1">
        <v>-4.5981960000000002E-6</v>
      </c>
      <c r="I3543">
        <v>14.822329999999999</v>
      </c>
      <c r="J3543">
        <v>-346.7253</v>
      </c>
      <c r="K3543">
        <v>1.1047340000000001</v>
      </c>
      <c r="L3543">
        <v>18.40466</v>
      </c>
      <c r="M3543">
        <v>0.99950190000000005</v>
      </c>
      <c r="N3543">
        <v>0</v>
      </c>
      <c r="O3543">
        <v>2.8710860000000001E-2</v>
      </c>
      <c r="P3543">
        <v>0.99608980000000003</v>
      </c>
      <c r="Q3543">
        <v>-1.2311920000000001E-2</v>
      </c>
      <c r="R3543">
        <v>-8.7488759999999999E-2</v>
      </c>
      <c r="S3543">
        <v>2.9537049999999998</v>
      </c>
      <c r="T3543">
        <v>-0.20631579999999999</v>
      </c>
      <c r="U3543">
        <v>-0.66732789999999997</v>
      </c>
      <c r="V3543">
        <v>0.11605310000000001</v>
      </c>
      <c r="W3543">
        <v>7.6610269999999997E-4</v>
      </c>
      <c r="X3543">
        <v>0.99324270000000003</v>
      </c>
      <c r="Y3543">
        <v>0.24764949999999999</v>
      </c>
      <c r="Z3543">
        <v>-1.05112E-2</v>
      </c>
      <c r="AA3543">
        <v>0.96879269999999995</v>
      </c>
      <c r="AB3543">
        <v>32</v>
      </c>
      <c r="AC3543">
        <v>15.502799999999899</v>
      </c>
      <c r="AD3543">
        <v>-1.1047385981960001</v>
      </c>
      <c r="AE3543">
        <v>-3.5823299999999998</v>
      </c>
      <c r="AF3543">
        <v>4.0066750439778396</v>
      </c>
      <c r="AG3543">
        <v>-1.1047385981960001</v>
      </c>
      <c r="AH3543">
        <v>15.3196962684727</v>
      </c>
      <c r="AI3543">
        <v>93.990814683015401</v>
      </c>
      <c r="AJ3543">
        <v>75.343300515126998</v>
      </c>
      <c r="AK3543">
        <v>15.8734679902231</v>
      </c>
      <c r="AL3543">
        <v>89.956105543665004</v>
      </c>
      <c r="AM3543">
        <v>83.335627973961607</v>
      </c>
      <c r="AN3543">
        <v>0.99999998501812304</v>
      </c>
    </row>
    <row r="3544" spans="1:40" x14ac:dyDescent="0.3">
      <c r="A3544" t="str">
        <f>"20200111153949437"</f>
        <v>20200111153949437</v>
      </c>
      <c r="B3544" t="str">
        <f>"1578728389424364"</f>
        <v>1578728389424364</v>
      </c>
      <c r="C3544" t="s">
        <v>40</v>
      </c>
      <c r="D3544">
        <v>5.1202290000000001</v>
      </c>
      <c r="E3544">
        <v>0.55371990000000004</v>
      </c>
      <c r="F3544" t="s">
        <v>42</v>
      </c>
      <c r="G3544">
        <v>-331.95170000000002</v>
      </c>
      <c r="H3544" s="1">
        <v>-4.2545480000000001E-6</v>
      </c>
      <c r="I3544">
        <v>14.996180000000001</v>
      </c>
      <c r="J3544">
        <v>-346.42469999999997</v>
      </c>
      <c r="K3544">
        <v>1.1048100000000001</v>
      </c>
      <c r="L3544">
        <v>18.41367</v>
      </c>
      <c r="M3544">
        <v>0.99948930000000002</v>
      </c>
      <c r="N3544">
        <v>0</v>
      </c>
      <c r="O3544">
        <v>2.910807E-2</v>
      </c>
      <c r="P3544">
        <v>0.9954539</v>
      </c>
      <c r="Q3544">
        <v>-1.7661619999999999E-2</v>
      </c>
      <c r="R3544">
        <v>-9.3592789999999995E-2</v>
      </c>
      <c r="S3544">
        <v>2.9492799999999999</v>
      </c>
      <c r="T3544">
        <v>-0.22053919999999999</v>
      </c>
      <c r="U3544">
        <v>-0.68041989999999997</v>
      </c>
      <c r="V3544">
        <v>0.1225344</v>
      </c>
      <c r="W3544">
        <v>-4.4927860000000003E-3</v>
      </c>
      <c r="X3544">
        <v>0.99245410000000001</v>
      </c>
      <c r="Y3544">
        <v>0.25232500000000002</v>
      </c>
      <c r="Z3544">
        <v>-1.144657E-2</v>
      </c>
      <c r="AA3544">
        <v>0.96757479999999996</v>
      </c>
      <c r="AB3544">
        <v>32</v>
      </c>
      <c r="AC3544">
        <v>14.4729999999999</v>
      </c>
      <c r="AD3544">
        <v>-1.104814254548</v>
      </c>
      <c r="AE3544">
        <v>-3.4174899999999999</v>
      </c>
      <c r="AF3544">
        <v>3.81629544342944</v>
      </c>
      <c r="AG3544">
        <v>-1.104814254548</v>
      </c>
      <c r="AH3544">
        <v>14.288516040371301</v>
      </c>
      <c r="AI3544">
        <v>94.272243225633602</v>
      </c>
      <c r="AJ3544">
        <v>75.046031275156807</v>
      </c>
      <c r="AK3544">
        <v>14.830590550768299</v>
      </c>
      <c r="AL3544">
        <v>90.257418541431903</v>
      </c>
      <c r="AM3544">
        <v>82.961535941693597</v>
      </c>
      <c r="AN3544">
        <v>1.0000000024580999</v>
      </c>
    </row>
    <row r="3545" spans="1:40" x14ac:dyDescent="0.3">
      <c r="A3545" t="str">
        <f>"20200111153949458"</f>
        <v>20200111153949458</v>
      </c>
      <c r="B3545" t="str">
        <f>"1578728389454621"</f>
        <v>1578728389454621</v>
      </c>
      <c r="C3545" t="s">
        <v>40</v>
      </c>
      <c r="D3545">
        <v>5.1722549999999998</v>
      </c>
      <c r="E3545">
        <v>0.55347009999999996</v>
      </c>
      <c r="F3545" t="s">
        <v>42</v>
      </c>
      <c r="G3545">
        <v>-332.55169999999998</v>
      </c>
      <c r="H3545" s="1">
        <v>-3.9744240000000003E-6</v>
      </c>
      <c r="I3545">
        <v>15.124169999999999</v>
      </c>
      <c r="J3545">
        <v>-346.11259999999999</v>
      </c>
      <c r="K3545">
        <v>1.1049020000000001</v>
      </c>
      <c r="L3545">
        <v>18.423279999999998</v>
      </c>
      <c r="M3545">
        <v>0.99947350000000001</v>
      </c>
      <c r="N3545">
        <v>0</v>
      </c>
      <c r="O3545">
        <v>2.962002E-2</v>
      </c>
      <c r="P3545">
        <v>0.99492159999999996</v>
      </c>
      <c r="Q3545">
        <v>-2.1362220000000001E-2</v>
      </c>
      <c r="R3545">
        <v>-9.8361699999999996E-2</v>
      </c>
      <c r="S3545">
        <v>2.9439090000000001</v>
      </c>
      <c r="T3545">
        <v>-0.23444619999999999</v>
      </c>
      <c r="U3545">
        <v>-0.6980286</v>
      </c>
      <c r="V3545">
        <v>0.1277982</v>
      </c>
      <c r="W3545">
        <v>-8.1027549999999997E-3</v>
      </c>
      <c r="X3545">
        <v>0.99176710000000001</v>
      </c>
      <c r="Y3545">
        <v>0.25856950000000001</v>
      </c>
      <c r="Z3545">
        <v>-1.24648E-2</v>
      </c>
      <c r="AA3545">
        <v>0.9659122</v>
      </c>
      <c r="AB3545">
        <v>32</v>
      </c>
      <c r="AC3545">
        <v>13.5609</v>
      </c>
      <c r="AD3545">
        <v>-1.104905974424</v>
      </c>
      <c r="AE3545">
        <v>-3.29910999999999</v>
      </c>
      <c r="AF3545">
        <v>3.6763297770557202</v>
      </c>
      <c r="AG3545">
        <v>-1.104905974424</v>
      </c>
      <c r="AH3545">
        <v>13.3734014000083</v>
      </c>
      <c r="AI3545">
        <v>94.554814167098996</v>
      </c>
      <c r="AJ3545">
        <v>74.629148396379804</v>
      </c>
      <c r="AK3545">
        <v>13.9134497105401</v>
      </c>
      <c r="AL3545">
        <v>90.464258740616899</v>
      </c>
      <c r="AM3545">
        <v>82.657380508639307</v>
      </c>
      <c r="AN3545">
        <v>1.00000000760212</v>
      </c>
    </row>
    <row r="3546" spans="1:40" x14ac:dyDescent="0.3">
      <c r="A3546" t="str">
        <f>"20200111153949480"</f>
        <v>20200111153949480</v>
      </c>
      <c r="B3546" t="str">
        <f>"1578728389474141"</f>
        <v>1578728389474141</v>
      </c>
      <c r="C3546" t="s">
        <v>40</v>
      </c>
      <c r="D3546">
        <v>5.237323</v>
      </c>
      <c r="E3546">
        <v>0.55345559999999905</v>
      </c>
      <c r="F3546" t="s">
        <v>42</v>
      </c>
      <c r="G3546">
        <v>-332.6925</v>
      </c>
      <c r="H3546" s="1">
        <v>-3.9039570000000001E-6</v>
      </c>
      <c r="I3546">
        <v>15.18097</v>
      </c>
      <c r="J3546">
        <v>-345.78629999999998</v>
      </c>
      <c r="K3546">
        <v>1.10501</v>
      </c>
      <c r="L3546">
        <v>18.433620000000001</v>
      </c>
      <c r="M3546">
        <v>0.99945260000000002</v>
      </c>
      <c r="N3546">
        <v>0</v>
      </c>
      <c r="O3546">
        <v>3.0286110000000002E-2</v>
      </c>
      <c r="P3546">
        <v>0.9946026</v>
      </c>
      <c r="Q3546">
        <v>-2.1243689999999999E-2</v>
      </c>
      <c r="R3546">
        <v>-0.1015607</v>
      </c>
      <c r="S3546">
        <v>2.9399109999999999</v>
      </c>
      <c r="T3546">
        <v>-0.24204890000000001</v>
      </c>
      <c r="U3546">
        <v>-0.71026610000000001</v>
      </c>
      <c r="V3546">
        <v>0.13164870000000001</v>
      </c>
      <c r="W3546">
        <v>-7.893176E-3</v>
      </c>
      <c r="X3546">
        <v>0.99126499999999995</v>
      </c>
      <c r="Y3546">
        <v>0.26323200000000002</v>
      </c>
      <c r="Z3546">
        <v>-1.3121580000000001E-2</v>
      </c>
      <c r="AA3546">
        <v>0.96464329999999998</v>
      </c>
      <c r="AB3546">
        <v>32</v>
      </c>
      <c r="AC3546">
        <v>13.0937999999999</v>
      </c>
      <c r="AD3546">
        <v>-1.1050139039569999</v>
      </c>
      <c r="AE3546">
        <v>-3.25265</v>
      </c>
      <c r="AF3546">
        <v>3.6234466598475201</v>
      </c>
      <c r="AG3546">
        <v>-1.1050139039569999</v>
      </c>
      <c r="AH3546">
        <v>12.9027209615214</v>
      </c>
      <c r="AI3546">
        <v>94.713509138732803</v>
      </c>
      <c r="AJ3546">
        <v>74.313765563657995</v>
      </c>
      <c r="AK3546">
        <v>13.4473279738237</v>
      </c>
      <c r="AL3546">
        <v>90.452250371791195</v>
      </c>
      <c r="AM3546">
        <v>82.434888110946204</v>
      </c>
      <c r="AN3546">
        <v>0.99999999133202799</v>
      </c>
    </row>
    <row r="3547" spans="1:40" x14ac:dyDescent="0.3">
      <c r="A3547" t="str">
        <f>"20200111153949495"</f>
        <v>20200111153949495</v>
      </c>
      <c r="B3547" t="str">
        <f>"1578728389484877"</f>
        <v>1578728389484877</v>
      </c>
      <c r="C3547" t="s">
        <v>40</v>
      </c>
      <c r="D3547">
        <v>5.2208269999999999</v>
      </c>
      <c r="E3547">
        <v>0.55333659999999996</v>
      </c>
      <c r="F3547" t="s">
        <v>42</v>
      </c>
      <c r="G3547">
        <v>-332.19920000000002</v>
      </c>
      <c r="H3547" s="1">
        <v>-4.1292600000000002E-6</v>
      </c>
      <c r="I3547">
        <v>15.10371</v>
      </c>
      <c r="J3547">
        <v>-345.5915</v>
      </c>
      <c r="K3547">
        <v>1.1050759999999999</v>
      </c>
      <c r="L3547">
        <v>18.43994</v>
      </c>
      <c r="M3547">
        <v>0.99943820000000005</v>
      </c>
      <c r="N3547">
        <v>0</v>
      </c>
      <c r="O3547">
        <v>3.074296E-2</v>
      </c>
      <c r="P3547">
        <v>0.99449949999999998</v>
      </c>
      <c r="Q3547">
        <v>-2.0270779999999999E-2</v>
      </c>
      <c r="R3547">
        <v>-0.10276100000000001</v>
      </c>
      <c r="S3547">
        <v>2.9376530000000001</v>
      </c>
      <c r="T3547">
        <v>-0.2389144</v>
      </c>
      <c r="U3547">
        <v>-0.71994019999999903</v>
      </c>
      <c r="V3547">
        <v>0.1332981</v>
      </c>
      <c r="W3547">
        <v>-6.8671549999999998E-3</v>
      </c>
      <c r="X3547">
        <v>0.99105220000000005</v>
      </c>
      <c r="Y3547">
        <v>0.26685019999999998</v>
      </c>
      <c r="Z3547">
        <v>-1.31383E-2</v>
      </c>
      <c r="AA3547">
        <v>0.96364850000000002</v>
      </c>
      <c r="AB3547">
        <v>32</v>
      </c>
      <c r="AC3547">
        <v>13.392299999999899</v>
      </c>
      <c r="AD3547">
        <v>-1.1050801292600001</v>
      </c>
      <c r="AE3547">
        <v>-3.3362299999999898</v>
      </c>
      <c r="AF3547">
        <v>3.7225429983059102</v>
      </c>
      <c r="AG3547">
        <v>-1.1050801292600001</v>
      </c>
      <c r="AH3547">
        <v>13.1987759928126</v>
      </c>
      <c r="AI3547">
        <v>94.607072000301002</v>
      </c>
      <c r="AJ3547">
        <v>74.249585088962704</v>
      </c>
      <c r="AK3547">
        <v>13.7581327284907</v>
      </c>
      <c r="AL3547">
        <v>90.393462090405507</v>
      </c>
      <c r="AM3547">
        <v>82.339599549700196</v>
      </c>
      <c r="AN3547">
        <v>1.0000000022031199</v>
      </c>
    </row>
    <row r="3548" spans="1:40" x14ac:dyDescent="0.3">
      <c r="A3548" t="str">
        <f>"20200111153949506"</f>
        <v>20200111153949506</v>
      </c>
      <c r="B3548" t="str">
        <f>"1578728389504903"</f>
        <v>1578728389504903</v>
      </c>
      <c r="C3548" t="s">
        <v>40</v>
      </c>
      <c r="D3548">
        <v>5.2115150000000003</v>
      </c>
      <c r="E3548">
        <v>0.55305609999999905</v>
      </c>
      <c r="F3548" t="s">
        <v>42</v>
      </c>
      <c r="G3548">
        <v>-331.73059999999998</v>
      </c>
      <c r="H3548" s="1">
        <v>-4.3435120000000003E-6</v>
      </c>
      <c r="I3548">
        <v>15.02919</v>
      </c>
      <c r="J3548">
        <v>-345.41359999999997</v>
      </c>
      <c r="K3548">
        <v>1.10514</v>
      </c>
      <c r="L3548">
        <v>18.445920000000001</v>
      </c>
      <c r="M3548">
        <v>0.99942260000000005</v>
      </c>
      <c r="N3548">
        <v>0</v>
      </c>
      <c r="O3548">
        <v>3.123505E-2</v>
      </c>
      <c r="P3548">
        <v>0.99438130000000002</v>
      </c>
      <c r="Q3548">
        <v>-2.0051590000000001E-2</v>
      </c>
      <c r="R3548">
        <v>-0.1039432</v>
      </c>
      <c r="S3548">
        <v>2.937103</v>
      </c>
      <c r="T3548">
        <v>-0.23416500000000001</v>
      </c>
      <c r="U3548">
        <v>-0.72271730000000001</v>
      </c>
      <c r="V3548">
        <v>0.13496440000000001</v>
      </c>
      <c r="W3548">
        <v>-6.6015680000000004E-3</v>
      </c>
      <c r="X3548">
        <v>0.9908285</v>
      </c>
      <c r="Y3548">
        <v>0.26825599999999999</v>
      </c>
      <c r="Z3548">
        <v>-1.2972630000000001E-2</v>
      </c>
      <c r="AA3548">
        <v>0.96326029999999996</v>
      </c>
      <c r="AB3548">
        <v>32</v>
      </c>
      <c r="AC3548">
        <v>13.6829999999999</v>
      </c>
      <c r="AD3548">
        <v>-1.1051443435120001</v>
      </c>
      <c r="AE3548">
        <v>-3.4167299999999998</v>
      </c>
      <c r="AF3548">
        <v>3.8190390220887802</v>
      </c>
      <c r="AG3548">
        <v>-1.1051443435120001</v>
      </c>
      <c r="AH3548">
        <v>13.486775082417701</v>
      </c>
      <c r="AI3548">
        <v>94.508032365222803</v>
      </c>
      <c r="AJ3548">
        <v>74.189512866919898</v>
      </c>
      <c r="AK3548">
        <v>14.0605656072562</v>
      </c>
      <c r="AL3548">
        <v>90.378244715627602</v>
      </c>
      <c r="AM3548">
        <v>82.243268954292603</v>
      </c>
      <c r="AN3548">
        <v>1.0000000431898299</v>
      </c>
    </row>
    <row r="3549" spans="1:40" x14ac:dyDescent="0.3">
      <c r="A3549" t="str">
        <f>"20200111153949526"</f>
        <v>20200111153949526</v>
      </c>
      <c r="B3549" t="str">
        <f>"1578728389514664"</f>
        <v>1578728389514664</v>
      </c>
      <c r="C3549" t="s">
        <v>40</v>
      </c>
      <c r="D3549">
        <v>5.2468029999999999</v>
      </c>
      <c r="E3549">
        <v>0.55290349999999999</v>
      </c>
      <c r="F3549" t="s">
        <v>42</v>
      </c>
      <c r="G3549">
        <v>-331.34559999999999</v>
      </c>
      <c r="H3549" s="1">
        <v>-4.5179770000000002E-6</v>
      </c>
      <c r="I3549">
        <v>14.97688</v>
      </c>
      <c r="J3549">
        <v>-345.14609999999999</v>
      </c>
      <c r="K3549">
        <v>1.1052420000000001</v>
      </c>
      <c r="L3549">
        <v>18.455079999999999</v>
      </c>
      <c r="M3549">
        <v>0.99939639999999996</v>
      </c>
      <c r="N3549">
        <v>0</v>
      </c>
      <c r="O3549">
        <v>3.2044000000000003E-2</v>
      </c>
      <c r="P3549">
        <v>0.9942782</v>
      </c>
      <c r="Q3549">
        <v>-1.849071E-2</v>
      </c>
      <c r="R3549">
        <v>-0.1052086</v>
      </c>
      <c r="S3549">
        <v>2.9366150000000002</v>
      </c>
      <c r="T3549">
        <v>-0.23069129999999999</v>
      </c>
      <c r="U3549">
        <v>-0.72412109999999996</v>
      </c>
      <c r="V3549">
        <v>0.1370267</v>
      </c>
      <c r="W3549">
        <v>-4.9722300000000002E-3</v>
      </c>
      <c r="X3549">
        <v>0.99055490000000002</v>
      </c>
      <c r="Y3549">
        <v>0.26952680000000001</v>
      </c>
      <c r="Z3549">
        <v>-1.289383E-2</v>
      </c>
      <c r="AA3549">
        <v>0.96290659999999895</v>
      </c>
      <c r="AB3549">
        <v>32</v>
      </c>
      <c r="AC3549">
        <v>13.8005</v>
      </c>
      <c r="AD3549">
        <v>-1.1052465179769999</v>
      </c>
      <c r="AE3549">
        <v>-3.4782000000000002</v>
      </c>
      <c r="AF3549">
        <v>3.89518502206018</v>
      </c>
      <c r="AG3549">
        <v>-1.1052465179769999</v>
      </c>
      <c r="AH3549">
        <v>13.5999262690948</v>
      </c>
      <c r="AI3549">
        <v>94.467287397125105</v>
      </c>
      <c r="AJ3549">
        <v>74.017640448614898</v>
      </c>
      <c r="AK3549">
        <v>14.189856614722901</v>
      </c>
      <c r="AL3549">
        <v>90.284888960614097</v>
      </c>
      <c r="AM3549">
        <v>82.124071715066194</v>
      </c>
      <c r="AN3549">
        <v>1.0000000247490299</v>
      </c>
    </row>
    <row r="3550" spans="1:40" x14ac:dyDescent="0.3">
      <c r="A3550" t="str">
        <f>"20200111153949548"</f>
        <v>20200111153949548</v>
      </c>
      <c r="B3550" t="str">
        <f>"1578728389544920"</f>
        <v>1578728389544920</v>
      </c>
      <c r="C3550" t="s">
        <v>40</v>
      </c>
      <c r="D3550">
        <v>5.3260769999999997</v>
      </c>
      <c r="E3550">
        <v>0.55246770000000001</v>
      </c>
      <c r="F3550" t="s">
        <v>42</v>
      </c>
      <c r="G3550">
        <v>-330.67509999999999</v>
      </c>
      <c r="H3550" s="1">
        <v>-4.8241729999999998E-6</v>
      </c>
      <c r="I3550">
        <v>14.87215</v>
      </c>
      <c r="J3550">
        <v>-344.84190000000001</v>
      </c>
      <c r="K3550">
        <v>1.1053569999999999</v>
      </c>
      <c r="L3550">
        <v>18.465879999999999</v>
      </c>
      <c r="M3550">
        <v>0.99936230000000004</v>
      </c>
      <c r="N3550">
        <v>0</v>
      </c>
      <c r="O3550">
        <v>3.3077919999999997E-2</v>
      </c>
      <c r="P3550">
        <v>0.99425509999999995</v>
      </c>
      <c r="Q3550">
        <v>-1.7424370000000002E-2</v>
      </c>
      <c r="R3550">
        <v>-0.1056086</v>
      </c>
      <c r="S3550">
        <v>2.9361570000000001</v>
      </c>
      <c r="T3550">
        <v>-0.2242548</v>
      </c>
      <c r="U3550">
        <v>-0.72695919999999903</v>
      </c>
      <c r="V3550">
        <v>0.13844960000000001</v>
      </c>
      <c r="W3550">
        <v>-3.8328559999999999E-3</v>
      </c>
      <c r="X3550">
        <v>0.99036199999999996</v>
      </c>
      <c r="Y3550">
        <v>0.2714743</v>
      </c>
      <c r="Z3550">
        <v>-1.268655E-2</v>
      </c>
      <c r="AA3550">
        <v>0.9623621</v>
      </c>
      <c r="AB3550">
        <v>32</v>
      </c>
      <c r="AC3550">
        <v>14.1668</v>
      </c>
      <c r="AD3550">
        <v>-1.1053618241730001</v>
      </c>
      <c r="AE3550">
        <v>-3.5937299999999901</v>
      </c>
      <c r="AF3550">
        <v>4.0373210464018197</v>
      </c>
      <c r="AG3550">
        <v>-1.1053618241730001</v>
      </c>
      <c r="AH3550">
        <v>13.960312096294899</v>
      </c>
      <c r="AI3550">
        <v>94.349653908109801</v>
      </c>
      <c r="AJ3550">
        <v>73.870135424129202</v>
      </c>
      <c r="AK3550">
        <v>14.574364473966501</v>
      </c>
      <c r="AL3550">
        <v>90.219607023866104</v>
      </c>
      <c r="AM3550">
        <v>82.041799452551999</v>
      </c>
      <c r="AN3550">
        <v>0.99999993678463595</v>
      </c>
    </row>
    <row r="3551" spans="1:40" x14ac:dyDescent="0.3">
      <c r="A3551" t="str">
        <f>"20200111153949564"</f>
        <v>20200111153949564</v>
      </c>
      <c r="B3551" t="str">
        <f>"1578728389554680"</f>
        <v>1578728389554680</v>
      </c>
      <c r="C3551" t="s">
        <v>40</v>
      </c>
      <c r="D3551">
        <v>5.3010849999999996</v>
      </c>
      <c r="E3551">
        <v>0.55234069999999902</v>
      </c>
      <c r="F3551" t="s">
        <v>42</v>
      </c>
      <c r="G3551">
        <v>-329.77890000000002</v>
      </c>
      <c r="H3551" s="1">
        <v>-1.365181E-6</v>
      </c>
      <c r="I3551">
        <v>14.745229999999999</v>
      </c>
      <c r="J3551">
        <v>-344.61399999999998</v>
      </c>
      <c r="K3551">
        <v>1.1054379999999999</v>
      </c>
      <c r="L3551">
        <v>18.474270000000001</v>
      </c>
      <c r="M3551">
        <v>0.99933369999999999</v>
      </c>
      <c r="N3551">
        <v>0</v>
      </c>
      <c r="O3551">
        <v>3.392237E-2</v>
      </c>
      <c r="P3551">
        <v>0.9943457</v>
      </c>
      <c r="Q3551">
        <v>-1.6572920000000001E-2</v>
      </c>
      <c r="R3551">
        <v>-0.10489229999999999</v>
      </c>
      <c r="S3551">
        <v>2.9365230000000002</v>
      </c>
      <c r="T3551">
        <v>-0.21548990000000001</v>
      </c>
      <c r="U3551">
        <v>-0.72534180000000004</v>
      </c>
      <c r="V3551">
        <v>0.1385719</v>
      </c>
      <c r="W3551">
        <v>-2.9322279999999998E-3</v>
      </c>
      <c r="X3551">
        <v>0.99034800000000001</v>
      </c>
      <c r="Y3551">
        <v>0.27182089999999998</v>
      </c>
      <c r="Z3551">
        <v>-1.226491E-2</v>
      </c>
      <c r="AA3551">
        <v>0.96226970000000001</v>
      </c>
      <c r="AB3551">
        <v>32</v>
      </c>
      <c r="AC3551">
        <v>14.835100000000001</v>
      </c>
      <c r="AD3551">
        <v>-1.1054393651809999</v>
      </c>
      <c r="AE3551">
        <v>-3.7290399999999999</v>
      </c>
      <c r="AF3551">
        <v>4.2082034214371697</v>
      </c>
      <c r="AG3551">
        <v>-1.1054393651809999</v>
      </c>
      <c r="AH3551">
        <v>14.623678612446</v>
      </c>
      <c r="AI3551">
        <v>94.154920148479107</v>
      </c>
      <c r="AJ3551">
        <v>73.945959145282004</v>
      </c>
      <c r="AK3551">
        <v>15.257226103928501</v>
      </c>
      <c r="AL3551">
        <v>90.168004535555298</v>
      </c>
      <c r="AM3551">
        <v>82.034748575922706</v>
      </c>
      <c r="AN3551">
        <v>0.99999996526732604</v>
      </c>
    </row>
    <row r="3552" spans="1:40" x14ac:dyDescent="0.3">
      <c r="A3552" t="str">
        <f>"20200111153949582"</f>
        <v>20200111153949582</v>
      </c>
      <c r="B3552" t="str">
        <f>"1578728389574199"</f>
        <v>1578728389574199</v>
      </c>
      <c r="C3552" t="s">
        <v>40</v>
      </c>
      <c r="D3552">
        <v>5.2910629999999896</v>
      </c>
      <c r="E3552">
        <v>0.55206449999999996</v>
      </c>
      <c r="F3552" t="s">
        <v>42</v>
      </c>
      <c r="G3552">
        <v>-329.23500000000001</v>
      </c>
      <c r="H3552" s="1">
        <v>-1.5883140000000001E-6</v>
      </c>
      <c r="I3552">
        <v>14.6917299999999</v>
      </c>
      <c r="J3552">
        <v>-344.35480000000001</v>
      </c>
      <c r="K3552">
        <v>1.105524</v>
      </c>
      <c r="L3552">
        <v>18.484100000000002</v>
      </c>
      <c r="M3552">
        <v>0.99929829999999997</v>
      </c>
      <c r="N3552">
        <v>0</v>
      </c>
      <c r="O3552">
        <v>3.4937910000000003E-2</v>
      </c>
      <c r="P3552">
        <v>0.99450360000000004</v>
      </c>
      <c r="Q3552">
        <v>-1.471362E-2</v>
      </c>
      <c r="R3552">
        <v>-0.1036643</v>
      </c>
      <c r="S3552">
        <v>2.9373170000000002</v>
      </c>
      <c r="T3552">
        <v>-0.21113229999999999</v>
      </c>
      <c r="U3552">
        <v>-0.72244259999999905</v>
      </c>
      <c r="V3552">
        <v>0.138352799999999</v>
      </c>
      <c r="W3552">
        <v>-1.0239450000000001E-3</v>
      </c>
      <c r="X3552">
        <v>0.99038250000000005</v>
      </c>
      <c r="Y3552">
        <v>0.27187139999999999</v>
      </c>
      <c r="Z3552">
        <v>-1.208949E-2</v>
      </c>
      <c r="AA3552">
        <v>0.96225769999999999</v>
      </c>
      <c r="AB3552">
        <v>32</v>
      </c>
      <c r="AC3552">
        <v>15.1197999999999</v>
      </c>
      <c r="AD3552">
        <v>-1.1055255883140001</v>
      </c>
      <c r="AE3552">
        <v>-3.79237</v>
      </c>
      <c r="AF3552">
        <v>4.2967449791658003</v>
      </c>
      <c r="AG3552">
        <v>-1.1055255883140001</v>
      </c>
      <c r="AH3552">
        <v>14.903098679528499</v>
      </c>
      <c r="AI3552">
        <v>94.077011328399905</v>
      </c>
      <c r="AJ3552">
        <v>73.917083805289295</v>
      </c>
      <c r="AK3552">
        <v>15.5494872743177</v>
      </c>
      <c r="AL3552">
        <v>90.058667735972193</v>
      </c>
      <c r="AM3552">
        <v>82.047454892028199</v>
      </c>
      <c r="AN3552">
        <v>1.0000000210187201</v>
      </c>
    </row>
    <row r="3553" spans="1:40" x14ac:dyDescent="0.3">
      <c r="A3553" t="str">
        <f>"20200111153949603"</f>
        <v>20200111153949603</v>
      </c>
      <c r="B3553" t="str">
        <f>"1578728389594230"</f>
        <v>1578728389594230</v>
      </c>
      <c r="C3553" t="s">
        <v>40</v>
      </c>
      <c r="D3553">
        <v>5.3492559999999996</v>
      </c>
      <c r="E3553">
        <v>0.55189880000000002</v>
      </c>
      <c r="F3553" t="s">
        <v>42</v>
      </c>
      <c r="G3553">
        <v>-328.38040000000001</v>
      </c>
      <c r="H3553" s="1">
        <v>-1.9445190000000001E-6</v>
      </c>
      <c r="I3553">
        <v>14.586370000000001</v>
      </c>
      <c r="J3553">
        <v>-344.04219999999998</v>
      </c>
      <c r="K3553">
        <v>1.105615</v>
      </c>
      <c r="L3553">
        <v>18.49634</v>
      </c>
      <c r="M3553">
        <v>0.99925229999999998</v>
      </c>
      <c r="N3553">
        <v>0</v>
      </c>
      <c r="O3553">
        <v>3.622065E-2</v>
      </c>
      <c r="P3553">
        <v>0.99474680000000004</v>
      </c>
      <c r="Q3553">
        <v>-1.1698760000000001E-2</v>
      </c>
      <c r="R3553">
        <v>-0.1016978</v>
      </c>
      <c r="S3553">
        <v>2.9388429999999999</v>
      </c>
      <c r="T3553">
        <v>-0.20338510000000001</v>
      </c>
      <c r="U3553">
        <v>-0.71707149999999997</v>
      </c>
      <c r="V3553">
        <v>0.13766</v>
      </c>
      <c r="W3553">
        <v>2.038303E-3</v>
      </c>
      <c r="X3553">
        <v>0.99047739999999995</v>
      </c>
      <c r="Y3553">
        <v>0.27138370000000001</v>
      </c>
      <c r="Z3553">
        <v>-1.171445E-2</v>
      </c>
      <c r="AA3553">
        <v>0.96240000000000003</v>
      </c>
      <c r="AB3553">
        <v>32</v>
      </c>
      <c r="AC3553">
        <v>15.6617999999999</v>
      </c>
      <c r="AD3553">
        <v>-1.1056169445190001</v>
      </c>
      <c r="AE3553">
        <v>-3.9099699999999999</v>
      </c>
      <c r="AF3553">
        <v>4.4538432086601301</v>
      </c>
      <c r="AG3553">
        <v>-1.1056169445190001</v>
      </c>
      <c r="AH3553">
        <v>15.43746881739</v>
      </c>
      <c r="AI3553">
        <v>93.936455569608697</v>
      </c>
      <c r="AJ3553">
        <v>73.906692015976205</v>
      </c>
      <c r="AK3553">
        <v>16.1051094887065</v>
      </c>
      <c r="AL3553">
        <v>89.883213754618495</v>
      </c>
      <c r="AM3553">
        <v>82.087520029812893</v>
      </c>
      <c r="AN3553">
        <v>0.999999955094938</v>
      </c>
    </row>
    <row r="3554" spans="1:40" x14ac:dyDescent="0.3">
      <c r="A3554" t="str">
        <f>"20200111153949626"</f>
        <v>20200111153949626</v>
      </c>
      <c r="B3554" t="str">
        <f>"1578728389614726"</f>
        <v>1578728389614726</v>
      </c>
      <c r="C3554" t="s">
        <v>40</v>
      </c>
      <c r="D3554">
        <v>5.3322329999999996</v>
      </c>
      <c r="E3554">
        <v>0.55181259999999999</v>
      </c>
      <c r="F3554" t="s">
        <v>42</v>
      </c>
      <c r="G3554">
        <v>-327.17959999999999</v>
      </c>
      <c r="H3554" s="1">
        <v>-2.4488990000000001E-6</v>
      </c>
      <c r="I3554">
        <v>14.42381</v>
      </c>
      <c r="J3554">
        <v>-343.73939999999999</v>
      </c>
      <c r="K3554">
        <v>1.105683</v>
      </c>
      <c r="L3554">
        <v>18.508669999999999</v>
      </c>
      <c r="M3554">
        <v>0.9992048</v>
      </c>
      <c r="N3554">
        <v>0</v>
      </c>
      <c r="O3554">
        <v>3.7501090000000001E-2</v>
      </c>
      <c r="P3554">
        <v>0.99507730000000005</v>
      </c>
      <c r="Q3554">
        <v>-8.7526459999999993E-3</v>
      </c>
      <c r="R3554">
        <v>-9.8716470000000001E-2</v>
      </c>
      <c r="S3554">
        <v>2.9409179999999999</v>
      </c>
      <c r="T3554">
        <v>-0.1928241</v>
      </c>
      <c r="U3554">
        <v>-0.71026610000000001</v>
      </c>
      <c r="V3554">
        <v>0.13595450000000001</v>
      </c>
      <c r="W3554">
        <v>5.0189910000000004E-3</v>
      </c>
      <c r="X3554">
        <v>0.99070239999999998</v>
      </c>
      <c r="Y3554">
        <v>0.27042719999999998</v>
      </c>
      <c r="Z3554">
        <v>-1.115475E-2</v>
      </c>
      <c r="AA3554">
        <v>0.96267579999999997</v>
      </c>
      <c r="AB3554">
        <v>32</v>
      </c>
      <c r="AC3554">
        <v>16.5597999999999</v>
      </c>
      <c r="AD3554">
        <v>-1.105685448899</v>
      </c>
      <c r="AE3554">
        <v>-4.0848599999999999</v>
      </c>
      <c r="AF3554">
        <v>4.6833721235328003</v>
      </c>
      <c r="AG3554">
        <v>-1.105685448899</v>
      </c>
      <c r="AH3554">
        <v>16.326338511117601</v>
      </c>
      <c r="AI3554">
        <v>93.724616146256693</v>
      </c>
      <c r="AJ3554">
        <v>73.993936550195997</v>
      </c>
      <c r="AK3554">
        <v>17.0207474553556</v>
      </c>
      <c r="AL3554">
        <v>89.712431799829503</v>
      </c>
      <c r="AM3554">
        <v>82.186083599804107</v>
      </c>
      <c r="AN3554">
        <v>1.0000000308533299</v>
      </c>
    </row>
    <row r="3555" spans="1:40" x14ac:dyDescent="0.3">
      <c r="A3555" t="str">
        <f>"20200111153949647"</f>
        <v>20200111153949647</v>
      </c>
      <c r="B3555" t="str">
        <f>"1578728389644980"</f>
        <v>1578728389644980</v>
      </c>
      <c r="C3555" t="s">
        <v>40</v>
      </c>
      <c r="D3555">
        <v>5.3531370000000003</v>
      </c>
      <c r="E3555">
        <v>0.55174909999999999</v>
      </c>
      <c r="F3555" t="s">
        <v>42</v>
      </c>
      <c r="G3555">
        <v>-325.8546</v>
      </c>
      <c r="H3555" s="1">
        <v>-3.004225E-6</v>
      </c>
      <c r="I3555">
        <v>14.24898</v>
      </c>
      <c r="J3555">
        <v>-343.43099999999998</v>
      </c>
      <c r="K3555">
        <v>1.1057399999999999</v>
      </c>
      <c r="L3555">
        <v>18.521609999999999</v>
      </c>
      <c r="M3555">
        <v>0.99915399999999999</v>
      </c>
      <c r="N3555">
        <v>0</v>
      </c>
      <c r="O3555">
        <v>3.8823290000000003E-2</v>
      </c>
      <c r="P3555">
        <v>0.99534909999999999</v>
      </c>
      <c r="Q3555">
        <v>-6.1470029999999998E-3</v>
      </c>
      <c r="R3555">
        <v>-9.6137959999999995E-2</v>
      </c>
      <c r="S3555">
        <v>2.943695</v>
      </c>
      <c r="T3555">
        <v>-0.18198729999999999</v>
      </c>
      <c r="U3555">
        <v>-0.70111080000000003</v>
      </c>
      <c r="V3555">
        <v>0.13469239999999999</v>
      </c>
      <c r="W3555">
        <v>7.6506029999999997E-3</v>
      </c>
      <c r="X3555">
        <v>0.99085800000000002</v>
      </c>
      <c r="Y3555">
        <v>0.26873150000000001</v>
      </c>
      <c r="Z3555">
        <v>-1.055214E-2</v>
      </c>
      <c r="AA3555">
        <v>0.96315740000000005</v>
      </c>
      <c r="AB3555">
        <v>32</v>
      </c>
      <c r="AC3555">
        <v>17.5763999999999</v>
      </c>
      <c r="AD3555">
        <v>-1.105743004225</v>
      </c>
      <c r="AE3555">
        <v>-4.2726300000000004</v>
      </c>
      <c r="AF3555">
        <v>4.9334089157401104</v>
      </c>
      <c r="AG3555">
        <v>-1.105743004225</v>
      </c>
      <c r="AH3555">
        <v>17.3324835049144</v>
      </c>
      <c r="AI3555">
        <v>93.511201617768293</v>
      </c>
      <c r="AJ3555">
        <v>74.111860727789505</v>
      </c>
      <c r="AK3555">
        <v>18.054810316628199</v>
      </c>
      <c r="AL3555">
        <v>89.561648494041904</v>
      </c>
      <c r="AM3555">
        <v>82.258939392201199</v>
      </c>
      <c r="AN3555">
        <v>1.0000000752539999</v>
      </c>
    </row>
    <row r="3556" spans="1:40" x14ac:dyDescent="0.3">
      <c r="A3556" t="str">
        <f>"20200111153949671"</f>
        <v>20200111153949671</v>
      </c>
      <c r="B3556" t="str">
        <f>"1578728389664500"</f>
        <v>1578728389664500</v>
      </c>
      <c r="C3556" t="s">
        <v>40</v>
      </c>
      <c r="D3556">
        <v>5.4110620000000003</v>
      </c>
      <c r="E3556">
        <v>0.5518073</v>
      </c>
      <c r="F3556" t="s">
        <v>42</v>
      </c>
      <c r="G3556">
        <v>-324.52159999999998</v>
      </c>
      <c r="H3556" s="1">
        <v>-3.5632219999999998E-6</v>
      </c>
      <c r="I3556">
        <v>14.071960000000001</v>
      </c>
      <c r="J3556">
        <v>-343.10640000000001</v>
      </c>
      <c r="K3556">
        <v>1.1057809999999999</v>
      </c>
      <c r="L3556">
        <v>18.535679999999999</v>
      </c>
      <c r="M3556">
        <v>0.9990985</v>
      </c>
      <c r="N3556">
        <v>0</v>
      </c>
      <c r="O3556">
        <v>4.021918E-2</v>
      </c>
      <c r="P3556">
        <v>0.9956294</v>
      </c>
      <c r="Q3556">
        <v>-4.166538E-3</v>
      </c>
      <c r="R3556">
        <v>-9.330078E-2</v>
      </c>
      <c r="S3556">
        <v>2.9460139999999999</v>
      </c>
      <c r="T3556">
        <v>-0.1722707</v>
      </c>
      <c r="U3556">
        <v>-0.69323729999999995</v>
      </c>
      <c r="V3556">
        <v>0.13324720000000001</v>
      </c>
      <c r="W3556">
        <v>9.6522889999999997E-3</v>
      </c>
      <c r="X3556">
        <v>0.99103580000000002</v>
      </c>
      <c r="Y3556">
        <v>0.26752609999999999</v>
      </c>
      <c r="Z3556">
        <v>-1.003092E-2</v>
      </c>
      <c r="AA3556">
        <v>0.96349839999999998</v>
      </c>
      <c r="AB3556">
        <v>32</v>
      </c>
      <c r="AC3556">
        <v>18.584800000000001</v>
      </c>
      <c r="AD3556">
        <v>-1.10578456322199</v>
      </c>
      <c r="AE3556">
        <v>-4.4637199999999897</v>
      </c>
      <c r="AF3556">
        <v>5.1902697452332101</v>
      </c>
      <c r="AG3556">
        <v>-1.10578456322199</v>
      </c>
      <c r="AH3556">
        <v>18.3288677162938</v>
      </c>
      <c r="AI3556">
        <v>93.322161905224405</v>
      </c>
      <c r="AJ3556">
        <v>74.189225414705007</v>
      </c>
      <c r="AK3556">
        <v>19.0816417346606</v>
      </c>
      <c r="AL3556">
        <v>89.446955973259605</v>
      </c>
      <c r="AM3556">
        <v>82.342364750342</v>
      </c>
      <c r="AN3556">
        <v>0.99999996993620899</v>
      </c>
    </row>
    <row r="3557" spans="1:40" x14ac:dyDescent="0.3">
      <c r="A3557" t="str">
        <f>"20200111153949693"</f>
        <v>20200111153949693</v>
      </c>
      <c r="B3557" t="str">
        <f>"1578728389684998"</f>
        <v>1578728389684998</v>
      </c>
      <c r="C3557" t="s">
        <v>40</v>
      </c>
      <c r="D3557">
        <v>5.4251659999999999</v>
      </c>
      <c r="E3557">
        <v>0.55192459999999999</v>
      </c>
      <c r="F3557" t="s">
        <v>42</v>
      </c>
      <c r="G3557">
        <v>-323.43189999999998</v>
      </c>
      <c r="H3557" s="1">
        <v>-4.0881190000000002E-6</v>
      </c>
      <c r="I3557">
        <v>13.96255</v>
      </c>
      <c r="J3557">
        <v>-342.78859999999997</v>
      </c>
      <c r="K3557">
        <v>1.105809</v>
      </c>
      <c r="L3557">
        <v>18.549900000000001</v>
      </c>
      <c r="M3557">
        <v>0.99904269999999995</v>
      </c>
      <c r="N3557">
        <v>0</v>
      </c>
      <c r="O3557">
        <v>4.1580239999999997E-2</v>
      </c>
      <c r="P3557">
        <v>0.99588449999999995</v>
      </c>
      <c r="Q3557">
        <v>-3.4856090000000002E-3</v>
      </c>
      <c r="R3557">
        <v>-9.0564859999999997E-2</v>
      </c>
      <c r="S3557">
        <v>2.9483030000000001</v>
      </c>
      <c r="T3557">
        <v>-0.16570689999999999</v>
      </c>
      <c r="U3557">
        <v>-0.68530269999999904</v>
      </c>
      <c r="V3557">
        <v>0.1318723</v>
      </c>
      <c r="W3557">
        <v>1.034939E-2</v>
      </c>
      <c r="X3557">
        <v>0.99121269999999995</v>
      </c>
      <c r="Y3557">
        <v>0.2662505</v>
      </c>
      <c r="Z3557">
        <v>-9.6851330000000003E-3</v>
      </c>
      <c r="AA3557">
        <v>0.96385520000000002</v>
      </c>
      <c r="AB3557">
        <v>32</v>
      </c>
      <c r="AC3557">
        <v>19.356699999999901</v>
      </c>
      <c r="AD3557">
        <v>-1.105813088119</v>
      </c>
      <c r="AE3557">
        <v>-4.5873499999999998</v>
      </c>
      <c r="AF3557">
        <v>5.3717135681408301</v>
      </c>
      <c r="AG3557">
        <v>-1.105813088119</v>
      </c>
      <c r="AH3557">
        <v>19.090205666913</v>
      </c>
      <c r="AI3557">
        <v>93.191521048933794</v>
      </c>
      <c r="AJ3557">
        <v>74.284149860543394</v>
      </c>
      <c r="AK3557">
        <v>19.862378549635999</v>
      </c>
      <c r="AL3557">
        <v>89.407013055252506</v>
      </c>
      <c r="AM3557">
        <v>82.421793077958299</v>
      </c>
      <c r="AN3557">
        <v>1.00000001501097</v>
      </c>
    </row>
    <row r="3558" spans="1:40" x14ac:dyDescent="0.3">
      <c r="A3558" t="str">
        <f>"20200111153949706"</f>
        <v>20200111153949706</v>
      </c>
      <c r="B3558" t="str">
        <f>"1578728389694286"</f>
        <v>1578728389694286</v>
      </c>
      <c r="C3558" t="s">
        <v>40</v>
      </c>
      <c r="D3558">
        <v>5.4561570000000001</v>
      </c>
      <c r="E3558">
        <v>0.55197499999999999</v>
      </c>
      <c r="F3558" t="s">
        <v>42</v>
      </c>
      <c r="G3558">
        <v>-322.78699999999998</v>
      </c>
      <c r="H3558" s="1">
        <v>-4.3950079999999996E-6</v>
      </c>
      <c r="I3558">
        <v>13.95116</v>
      </c>
      <c r="J3558">
        <v>-342.60660000000001</v>
      </c>
      <c r="K3558">
        <v>1.105812</v>
      </c>
      <c r="L3558">
        <v>18.558260000000001</v>
      </c>
      <c r="M3558">
        <v>0.99900990000000001</v>
      </c>
      <c r="N3558">
        <v>0</v>
      </c>
      <c r="O3558">
        <v>4.2355440000000001E-2</v>
      </c>
      <c r="P3558">
        <v>0.99599119999999997</v>
      </c>
      <c r="Q3558">
        <v>-3.3694749999999998E-3</v>
      </c>
      <c r="R3558">
        <v>-8.9388780000000001E-2</v>
      </c>
      <c r="S3558">
        <v>2.9501040000000001</v>
      </c>
      <c r="T3558">
        <v>-0.1631002</v>
      </c>
      <c r="U3558">
        <v>-0.67828369999999905</v>
      </c>
      <c r="V3558">
        <v>0.13147049999999999</v>
      </c>
      <c r="W3558">
        <v>1.0473359999999999E-2</v>
      </c>
      <c r="X3558">
        <v>0.99126479999999995</v>
      </c>
      <c r="Y3558">
        <v>0.26470700000000003</v>
      </c>
      <c r="Z3558">
        <v>-9.5300950000000006E-3</v>
      </c>
      <c r="AA3558">
        <v>0.96428179999999997</v>
      </c>
      <c r="AB3558">
        <v>32</v>
      </c>
      <c r="AC3558">
        <v>19.819599999999902</v>
      </c>
      <c r="AD3558">
        <v>-1.105816395008</v>
      </c>
      <c r="AE3558">
        <v>-4.6071</v>
      </c>
      <c r="AF3558">
        <v>5.4264839296998204</v>
      </c>
      <c r="AG3558">
        <v>-1.105816395008</v>
      </c>
      <c r="AH3558">
        <v>19.5489211704433</v>
      </c>
      <c r="AI3558">
        <v>93.119857312432003</v>
      </c>
      <c r="AJ3558">
        <v>74.486152776889895</v>
      </c>
      <c r="AK3558">
        <v>20.3182153908005</v>
      </c>
      <c r="AL3558">
        <v>89.399909729772702</v>
      </c>
      <c r="AM3558">
        <v>82.445008394992499</v>
      </c>
      <c r="AN3558">
        <v>1.00000004367948</v>
      </c>
    </row>
    <row r="3559" spans="1:40" x14ac:dyDescent="0.3">
      <c r="A3559" t="str">
        <f>"20200111153949720"</f>
        <v>20200111153949720</v>
      </c>
      <c r="B3559" t="str">
        <f>"1578728389714782"</f>
        <v>1578728389714782</v>
      </c>
      <c r="C3559" t="s">
        <v>40</v>
      </c>
      <c r="D3559">
        <v>5.4583849999999998</v>
      </c>
      <c r="E3559">
        <v>0.55204560000000003</v>
      </c>
      <c r="F3559" t="s">
        <v>42</v>
      </c>
      <c r="G3559">
        <v>-322.63600000000002</v>
      </c>
      <c r="H3559" s="1">
        <v>-4.4596800000000001E-6</v>
      </c>
      <c r="I3559">
        <v>13.9889799999999</v>
      </c>
      <c r="J3559">
        <v>-342.41520000000003</v>
      </c>
      <c r="K3559">
        <v>1.10582</v>
      </c>
      <c r="L3559">
        <v>18.5672</v>
      </c>
      <c r="M3559">
        <v>0.99897499999999995</v>
      </c>
      <c r="N3559">
        <v>0</v>
      </c>
      <c r="O3559">
        <v>4.3168720000000001E-2</v>
      </c>
      <c r="P3559">
        <v>0.99609320000000001</v>
      </c>
      <c r="Q3559">
        <v>-3.4013350000000001E-3</v>
      </c>
      <c r="R3559">
        <v>-8.8243909999999995E-2</v>
      </c>
      <c r="S3559">
        <v>2.9509280000000002</v>
      </c>
      <c r="T3559">
        <v>-0.16339909999999999</v>
      </c>
      <c r="U3559">
        <v>-0.67517090000000002</v>
      </c>
      <c r="V3559">
        <v>0.13113810000000001</v>
      </c>
      <c r="W3559">
        <v>1.044952E-2</v>
      </c>
      <c r="X3559">
        <v>0.991309</v>
      </c>
      <c r="Y3559">
        <v>0.26446449999999999</v>
      </c>
      <c r="Z3559">
        <v>-9.5839219999999999E-3</v>
      </c>
      <c r="AA3559">
        <v>0.96434779999999998</v>
      </c>
      <c r="AB3559">
        <v>32</v>
      </c>
      <c r="AC3559">
        <v>19.779199999999999</v>
      </c>
      <c r="AD3559">
        <v>-1.10582445968</v>
      </c>
      <c r="AE3559">
        <v>-4.57822</v>
      </c>
      <c r="AF3559">
        <v>5.4118174889090396</v>
      </c>
      <c r="AG3559">
        <v>-1.10582445968</v>
      </c>
      <c r="AH3559">
        <v>19.505235911320401</v>
      </c>
      <c r="AI3559">
        <v>93.126958384082002</v>
      </c>
      <c r="AJ3559">
        <v>74.493080578405895</v>
      </c>
      <c r="AK3559">
        <v>20.272267860926501</v>
      </c>
      <c r="AL3559">
        <v>89.401275687906704</v>
      </c>
      <c r="AM3559">
        <v>82.464222197761501</v>
      </c>
      <c r="AN3559">
        <v>0.99999996361041898</v>
      </c>
    </row>
    <row r="3560" spans="1:40" x14ac:dyDescent="0.3">
      <c r="A3560" t="str">
        <f>"20200111153949738"</f>
        <v>20200111153949738</v>
      </c>
      <c r="B3560" t="str">
        <f>"1578728389734303"</f>
        <v>1578728389734303</v>
      </c>
      <c r="C3560" t="s">
        <v>40</v>
      </c>
      <c r="D3560">
        <v>5.3463229999999999</v>
      </c>
      <c r="E3560">
        <v>0.55209410000000003</v>
      </c>
      <c r="F3560" t="s">
        <v>42</v>
      </c>
      <c r="G3560">
        <v>-322.59050000000002</v>
      </c>
      <c r="H3560" s="1">
        <v>-4.4700490000000003E-6</v>
      </c>
      <c r="I3560">
        <v>14.05171</v>
      </c>
      <c r="J3560">
        <v>-342.17169999999999</v>
      </c>
      <c r="K3560">
        <v>1.105823</v>
      </c>
      <c r="L3560">
        <v>18.578769999999999</v>
      </c>
      <c r="M3560">
        <v>0.99892990000000004</v>
      </c>
      <c r="N3560">
        <v>0</v>
      </c>
      <c r="O3560">
        <v>4.4200080000000003E-2</v>
      </c>
      <c r="P3560">
        <v>0.99617829999999996</v>
      </c>
      <c r="Q3560">
        <v>-4.4165960000000001E-3</v>
      </c>
      <c r="R3560">
        <v>-8.7231710000000004E-2</v>
      </c>
      <c r="S3560">
        <v>2.95166</v>
      </c>
      <c r="T3560">
        <v>-0.16464400000000001</v>
      </c>
      <c r="U3560">
        <v>-0.67230219999999996</v>
      </c>
      <c r="V3560">
        <v>0.13115679999999999</v>
      </c>
      <c r="W3560">
        <v>9.4429700000000002E-3</v>
      </c>
      <c r="X3560">
        <v>0.99131670000000005</v>
      </c>
      <c r="Y3560">
        <v>0.26450879999999999</v>
      </c>
      <c r="Z3560">
        <v>-9.7135950000000002E-3</v>
      </c>
      <c r="AA3560">
        <v>0.96433440000000004</v>
      </c>
      <c r="AB3560">
        <v>31</v>
      </c>
      <c r="AC3560">
        <v>19.5811999999999</v>
      </c>
      <c r="AD3560">
        <v>-1.1058274700489901</v>
      </c>
      <c r="AE3560">
        <v>-4.5270599999999996</v>
      </c>
      <c r="AF3560">
        <v>5.37194225958799</v>
      </c>
      <c r="AG3560">
        <v>-1.1058274700489901</v>
      </c>
      <c r="AH3560">
        <v>19.303503700355702</v>
      </c>
      <c r="AI3560">
        <v>93.158901368236002</v>
      </c>
      <c r="AJ3560">
        <v>74.448728789298301</v>
      </c>
      <c r="AK3560">
        <v>20.067532811571699</v>
      </c>
      <c r="AL3560">
        <v>89.458949652290102</v>
      </c>
      <c r="AM3560">
        <v>82.463217834058895</v>
      </c>
      <c r="AN3560">
        <v>1.0000000377837699</v>
      </c>
    </row>
    <row r="3561" spans="1:40" x14ac:dyDescent="0.3">
      <c r="A3561" t="str">
        <f>"20200111153949752"</f>
        <v>20200111153949752</v>
      </c>
      <c r="B3561" t="str">
        <f>"1578728389745038"</f>
        <v>1578728389745038</v>
      </c>
      <c r="C3561" t="s">
        <v>40</v>
      </c>
      <c r="D3561">
        <v>5.4039330000000003</v>
      </c>
      <c r="E3561">
        <v>0.55848149999999996</v>
      </c>
      <c r="F3561" t="s">
        <v>42</v>
      </c>
      <c r="G3561">
        <v>-322.78550000000001</v>
      </c>
      <c r="H3561" s="1">
        <v>-4.3547710000000001E-6</v>
      </c>
      <c r="I3561">
        <v>14.182119999999999</v>
      </c>
      <c r="J3561">
        <v>-341.96140000000003</v>
      </c>
      <c r="K3561">
        <v>1.1058220000000001</v>
      </c>
      <c r="L3561">
        <v>18.58896</v>
      </c>
      <c r="M3561">
        <v>0.99888999999999994</v>
      </c>
      <c r="N3561">
        <v>0</v>
      </c>
      <c r="O3561">
        <v>4.5088129999999997E-2</v>
      </c>
      <c r="P3561">
        <v>0.99622140000000003</v>
      </c>
      <c r="Q3561">
        <v>-5.5359399999999996E-3</v>
      </c>
      <c r="R3561">
        <v>-8.6676420000000004E-2</v>
      </c>
      <c r="S3561">
        <v>2.9521480000000002</v>
      </c>
      <c r="T3561">
        <v>-0.1683963</v>
      </c>
      <c r="U3561">
        <v>-0.66952509999999998</v>
      </c>
      <c r="V3561">
        <v>0.1314881</v>
      </c>
      <c r="W3561">
        <v>8.3305519999999997E-3</v>
      </c>
      <c r="X3561">
        <v>0.99128280000000002</v>
      </c>
      <c r="Y3561">
        <v>0.26444659999999998</v>
      </c>
      <c r="Z3561">
        <v>-9.9823629999999993E-3</v>
      </c>
      <c r="AA3561">
        <v>0.96434869999999995</v>
      </c>
      <c r="AB3561">
        <v>31</v>
      </c>
      <c r="AC3561">
        <v>19.175899999999999</v>
      </c>
      <c r="AD3561">
        <v>-1.1058263547710001</v>
      </c>
      <c r="AE3561">
        <v>-4.4068399999999901</v>
      </c>
      <c r="AF3561">
        <v>5.2504585617388297</v>
      </c>
      <c r="AG3561">
        <v>-1.1058263547710001</v>
      </c>
      <c r="AH3561">
        <v>18.897986664152</v>
      </c>
      <c r="AI3561">
        <v>93.226920435462503</v>
      </c>
      <c r="AJ3561">
        <v>74.473024216164404</v>
      </c>
      <c r="AK3561">
        <v>19.644950165218301</v>
      </c>
      <c r="AL3561">
        <v>89.522689034333993</v>
      </c>
      <c r="AM3561">
        <v>82.444144309294799</v>
      </c>
      <c r="AN3561">
        <v>1.00000005405703</v>
      </c>
    </row>
    <row r="3562" spans="1:40" x14ac:dyDescent="0.3">
      <c r="A3562" t="str">
        <f>"20200111153949772"</f>
        <v>20200111153949772</v>
      </c>
      <c r="B3562" t="str">
        <f>"1578728389764558"</f>
        <v>1578728389764558</v>
      </c>
      <c r="C3562" t="s">
        <v>40</v>
      </c>
      <c r="D3562">
        <v>5.4866929999999998</v>
      </c>
      <c r="E3562">
        <v>0.55673519999999999</v>
      </c>
      <c r="F3562" t="s">
        <v>42</v>
      </c>
      <c r="G3562">
        <v>-326.1198</v>
      </c>
      <c r="H3562" s="1">
        <v>-2.773347E-6</v>
      </c>
      <c r="I3562">
        <v>14.73396</v>
      </c>
      <c r="J3562">
        <v>-341.6866</v>
      </c>
      <c r="K3562">
        <v>1.105812</v>
      </c>
      <c r="L3562">
        <v>18.60257</v>
      </c>
      <c r="M3562">
        <v>0.99883690000000003</v>
      </c>
      <c r="N3562">
        <v>0</v>
      </c>
      <c r="O3562">
        <v>4.6248020000000001E-2</v>
      </c>
      <c r="P3562">
        <v>0.99625300000000006</v>
      </c>
      <c r="Q3562">
        <v>-8.1921960000000005E-3</v>
      </c>
      <c r="R3562">
        <v>-8.6099099999999998E-2</v>
      </c>
      <c r="S3562">
        <v>2.947845</v>
      </c>
      <c r="T3562">
        <v>-0.20577429999999999</v>
      </c>
      <c r="U3562">
        <v>-0.71734619999999905</v>
      </c>
      <c r="V3562">
        <v>0.1320711</v>
      </c>
      <c r="W3562">
        <v>5.6813109999999997E-3</v>
      </c>
      <c r="X3562">
        <v>0.99122399999999999</v>
      </c>
      <c r="Y3562">
        <v>0.28038109999999999</v>
      </c>
      <c r="Z3562">
        <v>-1.281611E-2</v>
      </c>
      <c r="AA3562">
        <v>0.95980319999999997</v>
      </c>
      <c r="AB3562">
        <v>31</v>
      </c>
      <c r="AC3562">
        <v>15.566800000000001</v>
      </c>
      <c r="AD3562">
        <v>-1.1058147733470001</v>
      </c>
      <c r="AE3562">
        <v>-3.8686099999999999</v>
      </c>
      <c r="AF3562">
        <v>4.5627848967528202</v>
      </c>
      <c r="AG3562">
        <v>-1.1058147733470001</v>
      </c>
      <c r="AH3562">
        <v>15.2984990192891</v>
      </c>
      <c r="AI3562">
        <v>93.962400958529201</v>
      </c>
      <c r="AJ3562">
        <v>73.392762636094403</v>
      </c>
      <c r="AK3562">
        <v>16.0026842926485</v>
      </c>
      <c r="AL3562">
        <v>89.674483117992494</v>
      </c>
      <c r="AM3562">
        <v>82.410587367087999</v>
      </c>
      <c r="AN3562">
        <v>1.0000000354629399</v>
      </c>
    </row>
    <row r="3563" spans="1:40" x14ac:dyDescent="0.3">
      <c r="A3563" t="str">
        <f>"20200111153949795"</f>
        <v>20200111153949795</v>
      </c>
      <c r="B3563" t="str">
        <f>"1578728389785054"</f>
        <v>1578728389785054</v>
      </c>
      <c r="C3563" t="s">
        <v>40</v>
      </c>
      <c r="D3563">
        <v>5.3508319999999996</v>
      </c>
      <c r="E3563">
        <v>0.53988210000000003</v>
      </c>
      <c r="F3563" t="s">
        <v>42</v>
      </c>
      <c r="G3563">
        <v>-326.56020000000001</v>
      </c>
      <c r="H3563" s="1">
        <v>-2.5326340000000002E-6</v>
      </c>
      <c r="I3563">
        <v>15.00299</v>
      </c>
      <c r="J3563">
        <v>-341.3707</v>
      </c>
      <c r="K3563">
        <v>1.105802</v>
      </c>
      <c r="L3563">
        <v>18.61862</v>
      </c>
      <c r="M3563">
        <v>0.9987743</v>
      </c>
      <c r="N3563">
        <v>0</v>
      </c>
      <c r="O3563">
        <v>4.7581030000000003E-2</v>
      </c>
      <c r="P3563">
        <v>0.99623689999999998</v>
      </c>
      <c r="Q3563">
        <v>-1.05811E-2</v>
      </c>
      <c r="R3563">
        <v>-8.6025329999999997E-2</v>
      </c>
      <c r="S3563">
        <v>2.9488219999999998</v>
      </c>
      <c r="T3563">
        <v>-0.2155735</v>
      </c>
      <c r="U3563">
        <v>-0.70172119999999905</v>
      </c>
      <c r="V3563">
        <v>0.13332569999999999</v>
      </c>
      <c r="W3563">
        <v>3.2995329999999999E-3</v>
      </c>
      <c r="X3563">
        <v>0.99106680000000003</v>
      </c>
      <c r="Y3563">
        <v>0.27671129999999999</v>
      </c>
      <c r="Z3563">
        <v>-1.339272E-2</v>
      </c>
      <c r="AA3563">
        <v>0.96085980000000004</v>
      </c>
      <c r="AB3563">
        <v>31</v>
      </c>
      <c r="AC3563">
        <v>14.8104999999999</v>
      </c>
      <c r="AD3563">
        <v>-1.105804532634</v>
      </c>
      <c r="AE3563">
        <v>-3.6156299999999999</v>
      </c>
      <c r="AF3563">
        <v>4.2937088587152097</v>
      </c>
      <c r="AG3563">
        <v>-1.105804532634</v>
      </c>
      <c r="AH3563">
        <v>14.5451473977474</v>
      </c>
      <c r="AI3563">
        <v>94.170343118546697</v>
      </c>
      <c r="AJ3563">
        <v>73.553467176227798</v>
      </c>
      <c r="AK3563">
        <v>15.205921617909301</v>
      </c>
      <c r="AL3563">
        <v>89.810950344661705</v>
      </c>
      <c r="AM3563">
        <v>82.338143799997198</v>
      </c>
      <c r="AN3563">
        <v>1.0000000156303701</v>
      </c>
    </row>
    <row r="3564" spans="1:40" x14ac:dyDescent="0.3">
      <c r="A3564" t="str">
        <f>"20200111153949815"</f>
        <v>20200111153949815</v>
      </c>
      <c r="B3564" t="str">
        <f>"1578728389804106"</f>
        <v>1578728389804106</v>
      </c>
      <c r="C3564" t="s">
        <v>40</v>
      </c>
      <c r="D3564">
        <v>5.3091049999999997</v>
      </c>
      <c r="E3564">
        <v>0.5385143</v>
      </c>
      <c r="F3564" t="s">
        <v>42</v>
      </c>
      <c r="G3564">
        <v>-326.78820000000002</v>
      </c>
      <c r="H3564" s="1">
        <v>-2.2266809999999999E-6</v>
      </c>
      <c r="I3564">
        <v>15.82381</v>
      </c>
      <c r="J3564">
        <v>-341.08</v>
      </c>
      <c r="K3564">
        <v>1.1057920000000001</v>
      </c>
      <c r="L3564">
        <v>18.633759999999999</v>
      </c>
      <c r="M3564">
        <v>0.99871509999999997</v>
      </c>
      <c r="N3564">
        <v>0</v>
      </c>
      <c r="O3564">
        <v>4.8807169999999997E-2</v>
      </c>
      <c r="P3564">
        <v>0.996143</v>
      </c>
      <c r="Q3564">
        <v>-1.30695E-2</v>
      </c>
      <c r="R3564">
        <v>-8.6769100000000002E-2</v>
      </c>
      <c r="S3564">
        <v>2.9599609999999998</v>
      </c>
      <c r="T3564">
        <v>-0.22445680000000001</v>
      </c>
      <c r="U3564">
        <v>-0.56729130000000005</v>
      </c>
      <c r="V3564">
        <v>0.135287299999999</v>
      </c>
      <c r="W3564">
        <v>8.1712399999999904E-4</v>
      </c>
      <c r="X3564">
        <v>0.99080599999999996</v>
      </c>
      <c r="Y3564">
        <v>0.2351558</v>
      </c>
      <c r="Z3564">
        <v>-1.2489419999999999E-2</v>
      </c>
      <c r="AA3564">
        <v>0.97187749999999995</v>
      </c>
      <c r="AB3564">
        <v>31</v>
      </c>
      <c r="AC3564">
        <v>14.291799999999901</v>
      </c>
      <c r="AD3564">
        <v>-1.1057942266809999</v>
      </c>
      <c r="AE3564">
        <v>-2.8099500000000002</v>
      </c>
      <c r="AF3564">
        <v>3.4841262054323101</v>
      </c>
      <c r="AG3564">
        <v>-1.1057942266809999</v>
      </c>
      <c r="AH3564">
        <v>14.0565874612962</v>
      </c>
      <c r="AI3564">
        <v>94.366446007893401</v>
      </c>
      <c r="AJ3564">
        <v>76.078982864528001</v>
      </c>
      <c r="AK3564">
        <v>14.524102978986701</v>
      </c>
      <c r="AL3564">
        <v>89.953182234760106</v>
      </c>
      <c r="AM3564">
        <v>82.224763426878297</v>
      </c>
      <c r="AN3564">
        <v>0.99999992543445704</v>
      </c>
    </row>
    <row r="3565" spans="1:40" x14ac:dyDescent="0.3">
      <c r="A3565" t="str">
        <f>"20200111153949838"</f>
        <v>20200111153949838</v>
      </c>
      <c r="B3565" t="str">
        <f>"1578728389834362"</f>
        <v>1578728389834362</v>
      </c>
      <c r="C3565" t="s">
        <v>40</v>
      </c>
      <c r="D3565">
        <v>5.3576829999999998</v>
      </c>
      <c r="E3565">
        <v>0.54110800000000003</v>
      </c>
      <c r="F3565" t="s">
        <v>42</v>
      </c>
      <c r="G3565">
        <v>-326.29939999999999</v>
      </c>
      <c r="H3565" s="1">
        <v>-2.4092510000000001E-6</v>
      </c>
      <c r="I3565">
        <v>15.8431</v>
      </c>
      <c r="J3565">
        <v>-340.76920000000001</v>
      </c>
      <c r="K3565">
        <v>1.105777</v>
      </c>
      <c r="L3565">
        <v>18.650390000000002</v>
      </c>
      <c r="M3565">
        <v>0.99865000000000004</v>
      </c>
      <c r="N3565">
        <v>0</v>
      </c>
      <c r="O3565">
        <v>5.0119200000000003E-2</v>
      </c>
      <c r="P3565">
        <v>0.99602919999999995</v>
      </c>
      <c r="Q3565">
        <v>-1.431145E-2</v>
      </c>
      <c r="R3565">
        <v>-8.7870619999999997E-2</v>
      </c>
      <c r="S3565">
        <v>2.9600219999999999</v>
      </c>
      <c r="T3565">
        <v>-0.2214506</v>
      </c>
      <c r="U3565">
        <v>-0.55886840000000004</v>
      </c>
      <c r="V3565">
        <v>0.13768659999999999</v>
      </c>
      <c r="W3565">
        <v>-4.1940720000000002E-4</v>
      </c>
      <c r="X3565">
        <v>0.99047580000000002</v>
      </c>
      <c r="Y3565">
        <v>0.2337803</v>
      </c>
      <c r="Z3565">
        <v>-1.23719E-2</v>
      </c>
      <c r="AA3565">
        <v>0.97221080000000004</v>
      </c>
      <c r="AB3565">
        <v>31</v>
      </c>
      <c r="AC3565">
        <v>14.469799999999999</v>
      </c>
      <c r="AD3565">
        <v>-1.105779409251</v>
      </c>
      <c r="AE3565">
        <v>-2.8072899999999898</v>
      </c>
      <c r="AF3565">
        <v>3.5092927973335502</v>
      </c>
      <c r="AG3565">
        <v>-1.105779409251</v>
      </c>
      <c r="AH3565">
        <v>14.230806323162801</v>
      </c>
      <c r="AI3565">
        <v>94.314403330224096</v>
      </c>
      <c r="AJ3565">
        <v>76.1473404421466</v>
      </c>
      <c r="AK3565">
        <v>14.698766364791</v>
      </c>
      <c r="AL3565">
        <v>90.024030262127297</v>
      </c>
      <c r="AM3565">
        <v>82.085997852127093</v>
      </c>
      <c r="AN3565">
        <v>1.0000000430537901</v>
      </c>
    </row>
    <row r="3566" spans="1:40" x14ac:dyDescent="0.3">
      <c r="A3566" t="str">
        <f>"20200111153949861"</f>
        <v>20200111153949861</v>
      </c>
      <c r="B3566" t="str">
        <f>"1578728389854858"</f>
        <v>1578728389854858</v>
      </c>
      <c r="C3566" t="s">
        <v>40</v>
      </c>
      <c r="D3566">
        <v>5.2395139999999998</v>
      </c>
      <c r="E3566">
        <v>0.54172469999999995</v>
      </c>
      <c r="F3566" t="s">
        <v>42</v>
      </c>
      <c r="G3566">
        <v>-325.87479999999999</v>
      </c>
      <c r="H3566" s="1">
        <v>-2.6225019999999999E-6</v>
      </c>
      <c r="I3566">
        <v>15.714969999999999</v>
      </c>
      <c r="J3566">
        <v>-340.44260000000003</v>
      </c>
      <c r="K3566">
        <v>1.1057570000000001</v>
      </c>
      <c r="L3566">
        <v>18.66827</v>
      </c>
      <c r="M3566">
        <v>0.99857969999999896</v>
      </c>
      <c r="N3566">
        <v>0</v>
      </c>
      <c r="O3566">
        <v>5.1498759999999998E-2</v>
      </c>
      <c r="P3566">
        <v>0.99589079999999996</v>
      </c>
      <c r="Q3566">
        <v>-1.517953E-2</v>
      </c>
      <c r="R3566">
        <v>-8.9281020000000003E-2</v>
      </c>
      <c r="S3566">
        <v>2.9574280000000002</v>
      </c>
      <c r="T3566">
        <v>-0.21956319999999999</v>
      </c>
      <c r="U3566">
        <v>-0.58285520000000002</v>
      </c>
      <c r="V3566">
        <v>0.14045839999999901</v>
      </c>
      <c r="W3566">
        <v>-1.282626E-3</v>
      </c>
      <c r="X3566">
        <v>0.99008580000000002</v>
      </c>
      <c r="Y3566">
        <v>0.2428555</v>
      </c>
      <c r="Z3566">
        <v>-1.270286E-2</v>
      </c>
      <c r="AA3566">
        <v>0.96997929999999999</v>
      </c>
      <c r="AB3566">
        <v>31</v>
      </c>
      <c r="AC3566">
        <v>14.5678</v>
      </c>
      <c r="AD3566">
        <v>-1.1057596225020001</v>
      </c>
      <c r="AE3566">
        <v>-2.9532999999999898</v>
      </c>
      <c r="AF3566">
        <v>3.6793125689818602</v>
      </c>
      <c r="AG3566">
        <v>-1.1057596225020001</v>
      </c>
      <c r="AH3566">
        <v>14.3171288589454</v>
      </c>
      <c r="AI3566">
        <v>94.277915099537594</v>
      </c>
      <c r="AJ3566">
        <v>75.587616152787305</v>
      </c>
      <c r="AK3566">
        <v>14.8236373433335</v>
      </c>
      <c r="AL3566">
        <v>90.073489073019701</v>
      </c>
      <c r="AM3566">
        <v>81.925620975472597</v>
      </c>
      <c r="AN3566">
        <v>1.0000000493108201</v>
      </c>
    </row>
    <row r="3567" spans="1:40" x14ac:dyDescent="0.3">
      <c r="A3567" t="str">
        <f>"20200111153949874"</f>
        <v>20200111153949874</v>
      </c>
      <c r="B3567" t="str">
        <f>"1578728389864618"</f>
        <v>1578728389864618</v>
      </c>
      <c r="C3567" t="s">
        <v>40</v>
      </c>
      <c r="D3567">
        <v>5.2865399999999996</v>
      </c>
      <c r="E3567">
        <v>0.54204960000000002</v>
      </c>
      <c r="F3567" t="s">
        <v>42</v>
      </c>
      <c r="G3567">
        <v>-325.58339999999998</v>
      </c>
      <c r="H3567" s="1">
        <v>-2.7642609999999999E-6</v>
      </c>
      <c r="I3567">
        <v>15.6924799999999</v>
      </c>
      <c r="J3567">
        <v>-340.2604</v>
      </c>
      <c r="K3567">
        <v>1.105745</v>
      </c>
      <c r="L3567">
        <v>18.678439999999998</v>
      </c>
      <c r="M3567">
        <v>0.99853979999999998</v>
      </c>
      <c r="N3567">
        <v>0</v>
      </c>
      <c r="O3567">
        <v>5.2267899999999999E-2</v>
      </c>
      <c r="P3567">
        <v>0.99578670000000002</v>
      </c>
      <c r="Q3567">
        <v>-1.58199999999999E-2</v>
      </c>
      <c r="R3567">
        <v>-9.0326089999999998E-2</v>
      </c>
      <c r="S3567">
        <v>2.9559630000000001</v>
      </c>
      <c r="T3567">
        <v>-0.21997069999999999</v>
      </c>
      <c r="U3567">
        <v>-0.59197999999999995</v>
      </c>
      <c r="V3567">
        <v>0.14226079999999999</v>
      </c>
      <c r="W3567">
        <v>-1.920553E-3</v>
      </c>
      <c r="X3567">
        <v>0.98982729999999997</v>
      </c>
      <c r="Y3567">
        <v>0.24655740000000001</v>
      </c>
      <c r="Z3567">
        <v>-1.2921729999999999E-2</v>
      </c>
      <c r="AA3567">
        <v>0.96904210000000002</v>
      </c>
      <c r="AB3567">
        <v>31</v>
      </c>
      <c r="AC3567">
        <v>14.677</v>
      </c>
      <c r="AD3567">
        <v>-1.1057477642610001</v>
      </c>
      <c r="AE3567">
        <v>-2.9859599999999999</v>
      </c>
      <c r="AF3567">
        <v>3.7287621265709099</v>
      </c>
      <c r="AG3567">
        <v>-1.1057477642610001</v>
      </c>
      <c r="AH3567">
        <v>14.422243606690801</v>
      </c>
      <c r="AI3567">
        <v>94.245214422926793</v>
      </c>
      <c r="AJ3567">
        <v>75.504035341988697</v>
      </c>
      <c r="AK3567">
        <v>14.9374514481371</v>
      </c>
      <c r="AL3567">
        <v>90.110039653964293</v>
      </c>
      <c r="AM3567">
        <v>81.821294241898201</v>
      </c>
      <c r="AN3567">
        <v>0.99999995378287598</v>
      </c>
    </row>
    <row r="3568" spans="1:40" x14ac:dyDescent="0.3">
      <c r="A3568" t="str">
        <f>"20200111153949895"</f>
        <v>20200111153949895</v>
      </c>
      <c r="B3568" t="str">
        <f>"1578728389884138"</f>
        <v>1578728389884138</v>
      </c>
      <c r="C3568" t="s">
        <v>40</v>
      </c>
      <c r="D3568">
        <v>5.2669489999999897</v>
      </c>
      <c r="E3568">
        <v>0.54245779999999999</v>
      </c>
      <c r="F3568" t="s">
        <v>42</v>
      </c>
      <c r="G3568">
        <v>-325.39830000000001</v>
      </c>
      <c r="H3568" s="1">
        <v>-2.8553239999999998E-6</v>
      </c>
      <c r="I3568">
        <v>15.6724</v>
      </c>
      <c r="J3568">
        <v>-339.97500000000002</v>
      </c>
      <c r="K3568">
        <v>1.105728</v>
      </c>
      <c r="L3568">
        <v>18.69464</v>
      </c>
      <c r="M3568">
        <v>0.99847589999999997</v>
      </c>
      <c r="N3568">
        <v>0</v>
      </c>
      <c r="O3568">
        <v>5.3473260000000002E-2</v>
      </c>
      <c r="P3568">
        <v>0.99555450000000001</v>
      </c>
      <c r="Q3568">
        <v>-1.787979E-2</v>
      </c>
      <c r="R3568">
        <v>-9.2475689999999999E-2</v>
      </c>
      <c r="S3568">
        <v>2.9550169999999998</v>
      </c>
      <c r="T3568">
        <v>-0.21985469999999999</v>
      </c>
      <c r="U3568">
        <v>-0.59768679999999996</v>
      </c>
      <c r="V3568">
        <v>0.145595</v>
      </c>
      <c r="W3568">
        <v>-3.9767930000000002E-3</v>
      </c>
      <c r="X3568">
        <v>0.98933629999999995</v>
      </c>
      <c r="Y3568">
        <v>0.2495735</v>
      </c>
      <c r="Z3568">
        <v>-1.3116330000000001E-2</v>
      </c>
      <c r="AA3568">
        <v>0.96826699999999999</v>
      </c>
      <c r="AB3568">
        <v>31</v>
      </c>
      <c r="AC3568">
        <v>14.576700000000001</v>
      </c>
      <c r="AD3568">
        <v>-1.105730855324</v>
      </c>
      <c r="AE3568">
        <v>-3.02224</v>
      </c>
      <c r="AF3568">
        <v>3.7766160618723501</v>
      </c>
      <c r="AG3568">
        <v>-1.105730855324</v>
      </c>
      <c r="AH3568">
        <v>14.315239963052599</v>
      </c>
      <c r="AI3568">
        <v>94.271271741470798</v>
      </c>
      <c r="AJ3568">
        <v>75.221078395327297</v>
      </c>
      <c r="AK3568">
        <v>14.8462643383104</v>
      </c>
      <c r="AL3568">
        <v>90.227854051674896</v>
      </c>
      <c r="AM3568">
        <v>81.628197634094704</v>
      </c>
      <c r="AN3568">
        <v>1.00000001670262</v>
      </c>
    </row>
    <row r="3569" spans="1:40" x14ac:dyDescent="0.3">
      <c r="A3569" t="str">
        <f>"20200111153949908"</f>
        <v>20200111153949908</v>
      </c>
      <c r="B3569" t="str">
        <f>"1578728389904167"</f>
        <v>1578728389904167</v>
      </c>
      <c r="C3569" t="s">
        <v>40</v>
      </c>
      <c r="D3569">
        <v>5.2761149999999999</v>
      </c>
      <c r="E3569">
        <v>0.54278400000000004</v>
      </c>
      <c r="F3569" t="s">
        <v>42</v>
      </c>
      <c r="G3569">
        <v>-325.53379999999999</v>
      </c>
      <c r="H3569" s="1">
        <v>-2.7819669999999999E-6</v>
      </c>
      <c r="I3569">
        <v>15.724819999999999</v>
      </c>
      <c r="J3569">
        <v>-339.791</v>
      </c>
      <c r="K3569">
        <v>1.1057220000000001</v>
      </c>
      <c r="L3569">
        <v>18.70532</v>
      </c>
      <c r="M3569">
        <v>0.99843409999999999</v>
      </c>
      <c r="N3569">
        <v>0</v>
      </c>
      <c r="O3569">
        <v>5.4250800000000002E-2</v>
      </c>
      <c r="P3569">
        <v>0.99543340000000002</v>
      </c>
      <c r="Q3569">
        <v>-1.9125489999999998E-2</v>
      </c>
      <c r="R3569">
        <v>-9.3525339999999998E-2</v>
      </c>
      <c r="S3569">
        <v>2.9529420000000002</v>
      </c>
      <c r="T3569">
        <v>-0.22609979999999999</v>
      </c>
      <c r="U3569">
        <v>-0.60726930000000001</v>
      </c>
      <c r="V3569">
        <v>0.14741009999999999</v>
      </c>
      <c r="W3569">
        <v>-5.2208319999999999E-3</v>
      </c>
      <c r="X3569">
        <v>0.98906170000000004</v>
      </c>
      <c r="Y3569">
        <v>0.25341419999999998</v>
      </c>
      <c r="Z3569">
        <v>-1.369716E-2</v>
      </c>
      <c r="AA3569">
        <v>0.96726089999999998</v>
      </c>
      <c r="AB3569">
        <v>31</v>
      </c>
      <c r="AC3569">
        <v>14.257199999999999</v>
      </c>
      <c r="AD3569">
        <v>-1.105724781967</v>
      </c>
      <c r="AE3569">
        <v>-2.9805000000000001</v>
      </c>
      <c r="AF3569">
        <v>3.7281610488924701</v>
      </c>
      <c r="AG3569">
        <v>-1.105724781967</v>
      </c>
      <c r="AH3569">
        <v>13.993843983799801</v>
      </c>
      <c r="AI3569">
        <v>94.3661721494001</v>
      </c>
      <c r="AJ3569">
        <v>75.082079805615706</v>
      </c>
      <c r="AK3569">
        <v>14.5241000252293</v>
      </c>
      <c r="AL3569">
        <v>90.299132991929397</v>
      </c>
      <c r="AM3569">
        <v>81.523016035792594</v>
      </c>
      <c r="AN3569">
        <v>1.0000000205378301</v>
      </c>
    </row>
    <row r="3570" spans="1:40" x14ac:dyDescent="0.3">
      <c r="A3570" t="str">
        <f>"20200111153949926"</f>
        <v>20200111153949926</v>
      </c>
      <c r="B3570" t="str">
        <f>"1578728389924664"</f>
        <v>1578728389924664</v>
      </c>
      <c r="C3570" t="s">
        <v>40</v>
      </c>
      <c r="D3570">
        <v>5.3148030000000004</v>
      </c>
      <c r="E3570">
        <v>0.54291730000000005</v>
      </c>
      <c r="F3570" t="s">
        <v>42</v>
      </c>
      <c r="G3570">
        <v>-325.44150000000002</v>
      </c>
      <c r="H3570" s="1">
        <v>-2.8255030000000002E-6</v>
      </c>
      <c r="I3570">
        <v>15.72532</v>
      </c>
      <c r="J3570">
        <v>-339.53050000000002</v>
      </c>
      <c r="K3570">
        <v>1.1057170000000001</v>
      </c>
      <c r="L3570">
        <v>18.72064</v>
      </c>
      <c r="M3570">
        <v>0.99837339999999997</v>
      </c>
      <c r="N3570">
        <v>0</v>
      </c>
      <c r="O3570">
        <v>5.5350969999999999E-2</v>
      </c>
      <c r="P3570">
        <v>0.99519329999999995</v>
      </c>
      <c r="Q3570">
        <v>-2.0460530000000001E-2</v>
      </c>
      <c r="R3570">
        <v>-9.5770439999999998E-2</v>
      </c>
      <c r="S3570">
        <v>2.9517820000000001</v>
      </c>
      <c r="T3570">
        <v>-0.2274552</v>
      </c>
      <c r="U3570">
        <v>-0.61300659999999996</v>
      </c>
      <c r="V3570">
        <v>0.15073159999999999</v>
      </c>
      <c r="W3570">
        <v>-6.5533759999999996E-3</v>
      </c>
      <c r="X3570">
        <v>0.98855300000000002</v>
      </c>
      <c r="Y3570">
        <v>0.25633460000000002</v>
      </c>
      <c r="Z3570">
        <v>-1.3976789999999999E-2</v>
      </c>
      <c r="AA3570">
        <v>0.96648710000000004</v>
      </c>
      <c r="AB3570">
        <v>31</v>
      </c>
      <c r="AC3570">
        <v>14.089</v>
      </c>
      <c r="AD3570">
        <v>-1.1057198255030001</v>
      </c>
      <c r="AE3570">
        <v>-2.9953199999999902</v>
      </c>
      <c r="AF3570">
        <v>3.74854994146899</v>
      </c>
      <c r="AG3570">
        <v>-1.1057198255030001</v>
      </c>
      <c r="AH3570">
        <v>13.8201465024597</v>
      </c>
      <c r="AI3570">
        <v>94.415490242343097</v>
      </c>
      <c r="AJ3570">
        <v>74.824328895729195</v>
      </c>
      <c r="AK3570">
        <v>14.362127013282</v>
      </c>
      <c r="AL3570">
        <v>90.375483474818097</v>
      </c>
      <c r="AM3570">
        <v>81.330486164162593</v>
      </c>
      <c r="AN3570">
        <v>0.999999997892278</v>
      </c>
    </row>
    <row r="3571" spans="1:40" x14ac:dyDescent="0.3">
      <c r="A3571" t="str">
        <f>"20200111153949950"</f>
        <v>20200111153949950</v>
      </c>
      <c r="B3571" t="str">
        <f>"1578728389944183"</f>
        <v>1578728389944183</v>
      </c>
      <c r="C3571" t="s">
        <v>40</v>
      </c>
      <c r="D3571">
        <v>5.345027</v>
      </c>
      <c r="E3571">
        <v>0.54925480000000004</v>
      </c>
      <c r="F3571" t="s">
        <v>42</v>
      </c>
      <c r="G3571">
        <v>-325.31139999999999</v>
      </c>
      <c r="H3571" s="1">
        <v>-2.8865089999999998E-6</v>
      </c>
      <c r="I3571">
        <v>15.728120000000001</v>
      </c>
      <c r="J3571">
        <v>-339.21730000000002</v>
      </c>
      <c r="K3571">
        <v>1.1057140000000001</v>
      </c>
      <c r="L3571">
        <v>18.739409999999999</v>
      </c>
      <c r="M3571">
        <v>0.9982993</v>
      </c>
      <c r="N3571">
        <v>0</v>
      </c>
      <c r="O3571">
        <v>5.6674339999999997E-2</v>
      </c>
      <c r="P3571">
        <v>0.99505410000000005</v>
      </c>
      <c r="Q3571">
        <v>-2.1021930000000001E-2</v>
      </c>
      <c r="R3571">
        <v>-9.7086049999999993E-2</v>
      </c>
      <c r="S3571">
        <v>2.9500120000000001</v>
      </c>
      <c r="T3571">
        <v>-0.22940089999999999</v>
      </c>
      <c r="U3571">
        <v>-0.6208496</v>
      </c>
      <c r="V3571">
        <v>0.1533487</v>
      </c>
      <c r="W3571">
        <v>-7.1129260000000003E-3</v>
      </c>
      <c r="X3571">
        <v>0.98814650000000004</v>
      </c>
      <c r="Y3571">
        <v>0.26016010000000001</v>
      </c>
      <c r="Z3571">
        <v>-1.4349310000000001E-2</v>
      </c>
      <c r="AA3571">
        <v>0.96545890000000001</v>
      </c>
      <c r="AB3571">
        <v>31</v>
      </c>
      <c r="AC3571">
        <v>13.905900000000001</v>
      </c>
      <c r="AD3571">
        <v>-1.1057168865089999</v>
      </c>
      <c r="AE3571">
        <v>-3.01128999999999</v>
      </c>
      <c r="AF3571">
        <v>3.77185093752772</v>
      </c>
      <c r="AG3571">
        <v>-1.1057168865089999</v>
      </c>
      <c r="AH3571">
        <v>13.630547210012001</v>
      </c>
      <c r="AI3571">
        <v>94.470424482535705</v>
      </c>
      <c r="AJ3571">
        <v>74.532146031482995</v>
      </c>
      <c r="AK3571">
        <v>14.1859538478174</v>
      </c>
      <c r="AL3571">
        <v>90.407544092063105</v>
      </c>
      <c r="AM3571">
        <v>81.178735912712298</v>
      </c>
      <c r="AN3571">
        <v>0.99999996148510994</v>
      </c>
    </row>
    <row r="3572" spans="1:40" x14ac:dyDescent="0.3">
      <c r="A3572" t="str">
        <f>"20200111153949962"</f>
        <v>20200111153949962</v>
      </c>
      <c r="B3572" t="str">
        <f>"1578728389954920"</f>
        <v>1578728389954920</v>
      </c>
      <c r="C3572" t="s">
        <v>40</v>
      </c>
      <c r="D3572">
        <v>5.3169449999999996</v>
      </c>
      <c r="E3572">
        <v>0.54906980000000005</v>
      </c>
      <c r="F3572" t="s">
        <v>42</v>
      </c>
      <c r="G3572">
        <v>-321.84960000000001</v>
      </c>
      <c r="H3572" s="1">
        <v>-4.6971159999999999E-6</v>
      </c>
      <c r="I3572">
        <v>14.74606</v>
      </c>
      <c r="J3572">
        <v>-339.03910000000002</v>
      </c>
      <c r="K3572">
        <v>1.1057170000000001</v>
      </c>
      <c r="L3572">
        <v>18.750340000000001</v>
      </c>
      <c r="M3572">
        <v>0.99825629999999999</v>
      </c>
      <c r="N3572">
        <v>0</v>
      </c>
      <c r="O3572">
        <v>5.7427510000000001E-2</v>
      </c>
      <c r="P3572">
        <v>0.99501629999999996</v>
      </c>
      <c r="Q3572">
        <v>-2.083488E-2</v>
      </c>
      <c r="R3572">
        <v>-9.7512269999999998E-2</v>
      </c>
      <c r="S3572">
        <v>2.9449160000000001</v>
      </c>
      <c r="T3572">
        <v>-0.18748880000000001</v>
      </c>
      <c r="U3572">
        <v>-0.67712399999999995</v>
      </c>
      <c r="V3572">
        <v>0.15451699999999999</v>
      </c>
      <c r="W3572">
        <v>-6.9251310000000002E-3</v>
      </c>
      <c r="X3572">
        <v>0.98796589999999995</v>
      </c>
      <c r="Y3572">
        <v>0.27903620000000001</v>
      </c>
      <c r="Z3572">
        <v>-1.23698E-2</v>
      </c>
      <c r="AA3572">
        <v>0.96020090000000002</v>
      </c>
      <c r="AB3572">
        <v>31</v>
      </c>
      <c r="AC3572">
        <v>17.189499999999999</v>
      </c>
      <c r="AD3572">
        <v>-1.105721697116</v>
      </c>
      <c r="AE3572">
        <v>-4.0042799999999898</v>
      </c>
      <c r="AF3572">
        <v>4.9654244412025701</v>
      </c>
      <c r="AG3572">
        <v>-1.105721697116</v>
      </c>
      <c r="AH3572">
        <v>16.8649579995481</v>
      </c>
      <c r="AI3572">
        <v>93.598817082920803</v>
      </c>
      <c r="AJ3572">
        <v>73.594380670193402</v>
      </c>
      <c r="AK3572">
        <v>17.6154724228244</v>
      </c>
      <c r="AL3572">
        <v>90.396783934445907</v>
      </c>
      <c r="AM3572">
        <v>81.111000563804197</v>
      </c>
      <c r="AN3572">
        <v>1.00000004014558</v>
      </c>
    </row>
    <row r="3573" spans="1:40" x14ac:dyDescent="0.3">
      <c r="A3573" t="str">
        <f>"20200111153949985"</f>
        <v>20200111153949985</v>
      </c>
      <c r="B3573" t="str">
        <f>"1578728389974438"</f>
        <v>1578728389974438</v>
      </c>
      <c r="C3573" t="s">
        <v>40</v>
      </c>
      <c r="D3573">
        <v>5.3671100000000003</v>
      </c>
      <c r="E3573">
        <v>0.54862369999999905</v>
      </c>
      <c r="F3573" t="s">
        <v>42</v>
      </c>
      <c r="G3573">
        <v>-321.53640000000001</v>
      </c>
      <c r="H3573" s="1">
        <v>-4.8485089999999999E-6</v>
      </c>
      <c r="I3573">
        <v>14.727309999999999</v>
      </c>
      <c r="J3573">
        <v>-338.7285</v>
      </c>
      <c r="K3573">
        <v>1.1057159999999999</v>
      </c>
      <c r="L3573">
        <v>18.76962</v>
      </c>
      <c r="M3573">
        <v>0.99817990000000001</v>
      </c>
      <c r="N3573">
        <v>0</v>
      </c>
      <c r="O3573">
        <v>5.8740279999999999E-2</v>
      </c>
      <c r="P3573">
        <v>0.99502449999999998</v>
      </c>
      <c r="Q3573">
        <v>-2.0581499999999999E-2</v>
      </c>
      <c r="R3573">
        <v>-9.7484329999999994E-2</v>
      </c>
      <c r="S3573">
        <v>2.944855</v>
      </c>
      <c r="T3573">
        <v>-0.18603919999999999</v>
      </c>
      <c r="U3573">
        <v>-0.67687989999999998</v>
      </c>
      <c r="V3573">
        <v>0.15578739999999999</v>
      </c>
      <c r="W3573">
        <v>-6.6711440000000004E-3</v>
      </c>
      <c r="X3573">
        <v>0.98776810000000004</v>
      </c>
      <c r="Y3573">
        <v>0.28023239999999999</v>
      </c>
      <c r="Z3573">
        <v>-1.2393929999999999E-2</v>
      </c>
      <c r="AA3573">
        <v>0.95985220000000004</v>
      </c>
      <c r="AB3573">
        <v>31</v>
      </c>
      <c r="AC3573">
        <v>17.1920999999999</v>
      </c>
      <c r="AD3573">
        <v>-1.105720848509</v>
      </c>
      <c r="AE3573">
        <v>-4.0423099999999899</v>
      </c>
      <c r="AF3573">
        <v>5.0255924636223597</v>
      </c>
      <c r="AG3573">
        <v>-1.105720848509</v>
      </c>
      <c r="AH3573">
        <v>16.858856966738699</v>
      </c>
      <c r="AI3573">
        <v>93.596520702998404</v>
      </c>
      <c r="AJ3573">
        <v>73.400783666058402</v>
      </c>
      <c r="AK3573">
        <v>17.626691590602</v>
      </c>
      <c r="AL3573">
        <v>90.382231223732205</v>
      </c>
      <c r="AM3573">
        <v>81.037333371236699</v>
      </c>
      <c r="AN3573">
        <v>1.0000000187693101</v>
      </c>
    </row>
    <row r="3574" spans="1:40" x14ac:dyDescent="0.3">
      <c r="A3574" t="str">
        <f>"20200111153949998"</f>
        <v>20200111153949998</v>
      </c>
      <c r="B3574" t="str">
        <f>"1578728389994934"</f>
        <v>1578728389994934</v>
      </c>
      <c r="C3574" t="s">
        <v>40</v>
      </c>
      <c r="D3574">
        <v>5.3863909999999997</v>
      </c>
      <c r="E3574">
        <v>0.54898499999999995</v>
      </c>
      <c r="F3574" t="s">
        <v>42</v>
      </c>
      <c r="G3574">
        <v>-320.97449999999998</v>
      </c>
      <c r="H3574" s="1">
        <v>-5.1171980000000003E-6</v>
      </c>
      <c r="I3574">
        <v>14.709770000000001</v>
      </c>
      <c r="J3574">
        <v>-338.53300000000002</v>
      </c>
      <c r="K3574">
        <v>1.1057140000000001</v>
      </c>
      <c r="L3574">
        <v>18.781980000000001</v>
      </c>
      <c r="M3574">
        <v>0.99813090000000004</v>
      </c>
      <c r="N3574">
        <v>0</v>
      </c>
      <c r="O3574">
        <v>5.9567120000000001E-2</v>
      </c>
      <c r="P3574">
        <v>0.9950852</v>
      </c>
      <c r="Q3574">
        <v>-2.082144E-2</v>
      </c>
      <c r="R3574">
        <v>-9.680851E-2</v>
      </c>
      <c r="S3574">
        <v>2.9452210000000001</v>
      </c>
      <c r="T3574">
        <v>-0.18342919999999999</v>
      </c>
      <c r="U3574">
        <v>-0.67349239999999999</v>
      </c>
      <c r="V3574">
        <v>0.1559355</v>
      </c>
      <c r="W3574">
        <v>-6.9112699999999997E-3</v>
      </c>
      <c r="X3574">
        <v>0.98774309999999998</v>
      </c>
      <c r="Y3574">
        <v>0.27996929999999998</v>
      </c>
      <c r="Z3574">
        <v>-1.226324E-2</v>
      </c>
      <c r="AA3574">
        <v>0.95993059999999997</v>
      </c>
      <c r="AB3574">
        <v>31</v>
      </c>
      <c r="AC3574">
        <v>17.558499999999999</v>
      </c>
      <c r="AD3574">
        <v>-1.1057191171980001</v>
      </c>
      <c r="AE3574">
        <v>-4.0722099999999903</v>
      </c>
      <c r="AF3574">
        <v>5.0918227049789104</v>
      </c>
      <c r="AG3574">
        <v>-1.1057191171980001</v>
      </c>
      <c r="AH3574">
        <v>17.219920515954001</v>
      </c>
      <c r="AI3574">
        <v>93.523600836888505</v>
      </c>
      <c r="AJ3574">
        <v>73.527381447189299</v>
      </c>
      <c r="AK3574">
        <v>17.990968172970799</v>
      </c>
      <c r="AL3574">
        <v>90.395989739242395</v>
      </c>
      <c r="AM3574">
        <v>81.028728114585306</v>
      </c>
      <c r="AN3574">
        <v>1.00000003870543</v>
      </c>
    </row>
    <row r="3575" spans="1:40" x14ac:dyDescent="0.3">
      <c r="A3575" t="str">
        <f>"20200111153950017"</f>
        <v>20200111153950017</v>
      </c>
      <c r="B3575" t="str">
        <f>"1578728390004694"</f>
        <v>1578728390004694</v>
      </c>
      <c r="C3575" t="s">
        <v>40</v>
      </c>
      <c r="D3575">
        <v>5.3755600000000001</v>
      </c>
      <c r="E3575">
        <v>0.54860710000000001</v>
      </c>
      <c r="F3575" t="s">
        <v>43</v>
      </c>
      <c r="G3575">
        <v>-318.98140000000001</v>
      </c>
      <c r="H3575">
        <v>-0.05</v>
      </c>
      <c r="I3575">
        <v>14.302829999999901</v>
      </c>
      <c r="J3575">
        <v>-338.28489999999999</v>
      </c>
      <c r="K3575">
        <v>1.1057079999999999</v>
      </c>
      <c r="L3575">
        <v>18.797910000000002</v>
      </c>
      <c r="M3575">
        <v>0.9980677</v>
      </c>
      <c r="N3575">
        <v>0</v>
      </c>
      <c r="O3575">
        <v>6.0615679999999998E-2</v>
      </c>
      <c r="P3575">
        <v>0.99527880000000002</v>
      </c>
      <c r="Q3575">
        <v>-2.212443E-2</v>
      </c>
      <c r="R3575">
        <v>-9.4503550000000006E-2</v>
      </c>
      <c r="S3575">
        <v>2.9455260000000001</v>
      </c>
      <c r="T3575">
        <v>-0.1741134</v>
      </c>
      <c r="U3575">
        <v>-0.67480469999999904</v>
      </c>
      <c r="V3575">
        <v>0.1546872</v>
      </c>
      <c r="W3575">
        <v>-8.2156439999999994E-3</v>
      </c>
      <c r="X3575">
        <v>0.98792930000000001</v>
      </c>
      <c r="Y3575">
        <v>0.28142020000000001</v>
      </c>
      <c r="Z3575">
        <v>-1.174333E-2</v>
      </c>
      <c r="AA3575">
        <v>0.95951280000000005</v>
      </c>
      <c r="AB3575">
        <v>31</v>
      </c>
      <c r="AC3575">
        <v>19.3034999999999</v>
      </c>
      <c r="AD3575">
        <v>-1.155708</v>
      </c>
      <c r="AE3575">
        <v>-4.4950799999999997</v>
      </c>
      <c r="AF3575">
        <v>5.6378475763778697</v>
      </c>
      <c r="AG3575">
        <v>-1.155708</v>
      </c>
      <c r="AH3575">
        <v>18.931132343482901</v>
      </c>
      <c r="AI3575">
        <v>93.348476524412405</v>
      </c>
      <c r="AJ3575">
        <v>73.416033839761596</v>
      </c>
      <c r="AK3575">
        <v>19.7865802523377</v>
      </c>
      <c r="AL3575">
        <v>90.4707270395526</v>
      </c>
      <c r="AM3575">
        <v>81.101041574560796</v>
      </c>
      <c r="AN3575">
        <v>0.99999996422433102</v>
      </c>
    </row>
    <row r="3576" spans="1:40" x14ac:dyDescent="0.3">
      <c r="A3576" t="str">
        <f>"20200111153950030"</f>
        <v>20200111153950030</v>
      </c>
      <c r="B3576" t="str">
        <f>"1578728390024214"</f>
        <v>1578728390024214</v>
      </c>
      <c r="C3576" t="s">
        <v>40</v>
      </c>
      <c r="D3576">
        <v>5.232882</v>
      </c>
      <c r="E3576">
        <v>0.51299019999999995</v>
      </c>
      <c r="F3576" t="s">
        <v>42</v>
      </c>
      <c r="G3576">
        <v>-320.29770000000002</v>
      </c>
      <c r="H3576" s="1">
        <v>-5.431951E-6</v>
      </c>
      <c r="I3576">
        <v>14.739229999999999</v>
      </c>
      <c r="J3576">
        <v>-338.09399999999999</v>
      </c>
      <c r="K3576">
        <v>1.105702</v>
      </c>
      <c r="L3576">
        <v>18.810300000000002</v>
      </c>
      <c r="M3576">
        <v>0.99801839999999997</v>
      </c>
      <c r="N3576">
        <v>0</v>
      </c>
      <c r="O3576">
        <v>6.142015E-2</v>
      </c>
      <c r="P3576">
        <v>0.99550039999999995</v>
      </c>
      <c r="Q3576">
        <v>-2.22556E-2</v>
      </c>
      <c r="R3576">
        <v>-9.2108090000000004E-2</v>
      </c>
      <c r="S3576">
        <v>2.9470519999999998</v>
      </c>
      <c r="T3576">
        <v>-0.18116090000000001</v>
      </c>
      <c r="U3576">
        <v>-0.66497799999999996</v>
      </c>
      <c r="V3576">
        <v>0.1531062</v>
      </c>
      <c r="W3576">
        <v>-8.3486869999999901E-3</v>
      </c>
      <c r="X3576">
        <v>0.98817449999999996</v>
      </c>
      <c r="Y3576">
        <v>0.27899829999999998</v>
      </c>
      <c r="Z3576">
        <v>-1.2191459999999999E-2</v>
      </c>
      <c r="AA3576">
        <v>0.96021420000000002</v>
      </c>
      <c r="AB3576">
        <v>31</v>
      </c>
      <c r="AC3576">
        <v>17.796299999999899</v>
      </c>
      <c r="AD3576">
        <v>-1.1057074319510001</v>
      </c>
      <c r="AE3576">
        <v>-4.0710699999999997</v>
      </c>
      <c r="AF3576">
        <v>5.1376891717507203</v>
      </c>
      <c r="AG3576">
        <v>-1.1057074319510001</v>
      </c>
      <c r="AH3576">
        <v>17.448617877664599</v>
      </c>
      <c r="AI3576">
        <v>93.478669115476706</v>
      </c>
      <c r="AJ3576">
        <v>73.593105248949399</v>
      </c>
      <c r="AK3576">
        <v>18.222862145979001</v>
      </c>
      <c r="AL3576">
        <v>90.478350074246194</v>
      </c>
      <c r="AM3576">
        <v>81.192712299519897</v>
      </c>
      <c r="AN3576">
        <v>1.0000000257516499</v>
      </c>
    </row>
    <row r="3577" spans="1:40" x14ac:dyDescent="0.3">
      <c r="A3577" t="str">
        <f>"20200111153950043"</f>
        <v>20200111153950043</v>
      </c>
      <c r="B3577" t="str">
        <f>"1578728390034950"</f>
        <v>1578728390034950</v>
      </c>
      <c r="C3577" t="s">
        <v>40</v>
      </c>
      <c r="D3577">
        <v>5.1133889999999997</v>
      </c>
      <c r="E3577">
        <v>0.51299019999999995</v>
      </c>
      <c r="F3577" t="s">
        <v>42</v>
      </c>
      <c r="G3577">
        <v>-323.21949999999998</v>
      </c>
      <c r="H3577" s="1">
        <v>-3.660003E-6</v>
      </c>
      <c r="I3577">
        <v>16.942070000000001</v>
      </c>
      <c r="J3577">
        <v>-337.90750000000003</v>
      </c>
      <c r="K3577">
        <v>1.1056979999999901</v>
      </c>
      <c r="L3577">
        <v>18.82263</v>
      </c>
      <c r="M3577">
        <v>0.99797020000000003</v>
      </c>
      <c r="N3577">
        <v>0</v>
      </c>
      <c r="O3577">
        <v>6.2201590000000001E-2</v>
      </c>
      <c r="P3577">
        <v>0.99571430000000005</v>
      </c>
      <c r="Q3577">
        <v>-2.279262E-2</v>
      </c>
      <c r="R3577">
        <v>-8.9631199999999994E-2</v>
      </c>
      <c r="S3577">
        <v>2.9739990000000001</v>
      </c>
      <c r="T3577">
        <v>-0.22107460000000001</v>
      </c>
      <c r="U3577">
        <v>-0.37353520000000001</v>
      </c>
      <c r="V3577">
        <v>0.15142229999999901</v>
      </c>
      <c r="W3577">
        <v>-8.888422E-3</v>
      </c>
      <c r="X3577">
        <v>0.98842920000000001</v>
      </c>
      <c r="Y3577">
        <v>0.1854285</v>
      </c>
      <c r="Z3577">
        <v>-1.1457790000000001E-2</v>
      </c>
      <c r="AA3577">
        <v>0.98259099999999999</v>
      </c>
      <c r="AB3577">
        <v>31</v>
      </c>
      <c r="AC3577">
        <v>14.688000000000001</v>
      </c>
      <c r="AD3577">
        <v>-1.1057016600030001</v>
      </c>
      <c r="AE3577">
        <v>-1.88055999999999</v>
      </c>
      <c r="AF3577">
        <v>2.7751469307410002</v>
      </c>
      <c r="AG3577">
        <v>-1.1057016600030001</v>
      </c>
      <c r="AH3577">
        <v>14.461934718433699</v>
      </c>
      <c r="AI3577">
        <v>94.294055973612799</v>
      </c>
      <c r="AJ3577">
        <v>79.137376410214102</v>
      </c>
      <c r="AK3577">
        <v>14.7672466102646</v>
      </c>
      <c r="AL3577">
        <v>90.509275772988303</v>
      </c>
      <c r="AM3577">
        <v>81.290293348886394</v>
      </c>
      <c r="AN3577">
        <v>1.00000000019779</v>
      </c>
    </row>
    <row r="3578" spans="1:40" x14ac:dyDescent="0.3">
      <c r="A3578" t="str">
        <f>"20200111153950062"</f>
        <v>20200111153950062</v>
      </c>
      <c r="B3578" t="str">
        <f>"1578728390054470"</f>
        <v>1578728390054470</v>
      </c>
      <c r="C3578" t="s">
        <v>40</v>
      </c>
      <c r="D3578">
        <v>5.2785460000000004</v>
      </c>
      <c r="E3578">
        <v>0.43856699999999998</v>
      </c>
      <c r="F3578" t="s">
        <v>42</v>
      </c>
      <c r="G3578">
        <v>-323.12709999999998</v>
      </c>
      <c r="H3578" s="1">
        <v>-3.692966E-6</v>
      </c>
      <c r="I3578">
        <v>17.00253</v>
      </c>
      <c r="J3578">
        <v>-337.65280000000001</v>
      </c>
      <c r="K3578">
        <v>1.1056859999999999</v>
      </c>
      <c r="L3578">
        <v>18.839659999999999</v>
      </c>
      <c r="M3578">
        <v>0.9979034</v>
      </c>
      <c r="N3578">
        <v>0</v>
      </c>
      <c r="O3578">
        <v>6.3262280000000004E-2</v>
      </c>
      <c r="P3578">
        <v>0.99616749999999998</v>
      </c>
      <c r="Q3578">
        <v>-2.3564789999999999E-2</v>
      </c>
      <c r="R3578">
        <v>-8.423311E-2</v>
      </c>
      <c r="S3578">
        <v>2.9748540000000001</v>
      </c>
      <c r="T3578">
        <v>-0.22254479999999999</v>
      </c>
      <c r="U3578">
        <v>-0.36633300000000002</v>
      </c>
      <c r="V3578">
        <v>0.14711589999999999</v>
      </c>
      <c r="W3578">
        <v>-9.666483E-3</v>
      </c>
      <c r="X3578">
        <v>0.98907199999999995</v>
      </c>
      <c r="Y3578">
        <v>0.184087</v>
      </c>
      <c r="Z3578">
        <v>-1.1561180000000001E-2</v>
      </c>
      <c r="AA3578">
        <v>0.98284199999999999</v>
      </c>
      <c r="AB3578">
        <v>31</v>
      </c>
      <c r="AC3578">
        <v>14.525700000000001</v>
      </c>
      <c r="AD3578">
        <v>-1.1056896929660001</v>
      </c>
      <c r="AE3578">
        <v>-1.8371299999999999</v>
      </c>
      <c r="AF3578">
        <v>2.73685592689489</v>
      </c>
      <c r="AG3578">
        <v>-1.1056896929660001</v>
      </c>
      <c r="AH3578">
        <v>14.2988211370605</v>
      </c>
      <c r="AI3578">
        <v>94.343198181013605</v>
      </c>
      <c r="AJ3578">
        <v>79.164395613323293</v>
      </c>
      <c r="AK3578">
        <v>14.600315612046099</v>
      </c>
      <c r="AL3578">
        <v>90.553857318166493</v>
      </c>
      <c r="AM3578">
        <v>81.539776078897305</v>
      </c>
      <c r="AN3578">
        <v>0.999999975055199</v>
      </c>
    </row>
    <row r="3579" spans="1:40" x14ac:dyDescent="0.3">
      <c r="A3579" t="str">
        <f>"20200111153950075"</f>
        <v>20200111153950075</v>
      </c>
      <c r="B3579" t="str">
        <f>"1578728390064231"</f>
        <v>1578728390064231</v>
      </c>
      <c r="C3579" t="s">
        <v>40</v>
      </c>
      <c r="D3579">
        <v>5.2528040000000003</v>
      </c>
      <c r="E3579">
        <v>0.43856699999999998</v>
      </c>
      <c r="F3579" t="s">
        <v>43</v>
      </c>
      <c r="G3579">
        <v>-309.50360000000001</v>
      </c>
      <c r="H3579">
        <v>-0.05</v>
      </c>
      <c r="I3579">
        <v>21.048919999999999</v>
      </c>
      <c r="J3579">
        <v>-337.46859999999998</v>
      </c>
      <c r="K3579">
        <v>1.105675</v>
      </c>
      <c r="L3579">
        <v>18.852080000000001</v>
      </c>
      <c r="M3579">
        <v>0.99785480000000004</v>
      </c>
      <c r="N3579">
        <v>0</v>
      </c>
      <c r="O3579">
        <v>6.4024310000000001E-2</v>
      </c>
      <c r="P3579">
        <v>0.99637500000000001</v>
      </c>
      <c r="Q3579">
        <v>-2.4228240000000002E-2</v>
      </c>
      <c r="R3579">
        <v>-8.1546439999999998E-2</v>
      </c>
      <c r="S3579">
        <v>3.0286559999999998</v>
      </c>
      <c r="T3579">
        <v>-0.1243436</v>
      </c>
      <c r="U3579">
        <v>0.23770140000000001</v>
      </c>
      <c r="V3579">
        <v>0.14520469999999999</v>
      </c>
      <c r="W3579">
        <v>-1.033418E-2</v>
      </c>
      <c r="X3579">
        <v>0.98934759999999999</v>
      </c>
      <c r="Y3579">
        <v>-1.4290509999999999E-2</v>
      </c>
      <c r="Z3579">
        <v>-2.3279030000000001E-3</v>
      </c>
      <c r="AA3579">
        <v>0.99989519999999998</v>
      </c>
      <c r="AB3579">
        <v>31</v>
      </c>
      <c r="AC3579">
        <v>27.9649999999999</v>
      </c>
      <c r="AD3579">
        <v>-1.155675</v>
      </c>
      <c r="AE3579">
        <v>2.1968399999999999</v>
      </c>
      <c r="AF3579">
        <v>-0.40104429940071701</v>
      </c>
      <c r="AG3579">
        <v>-1.155675</v>
      </c>
      <c r="AH3579">
        <v>28.0007519635917</v>
      </c>
      <c r="AI3579">
        <v>92.363185140259603</v>
      </c>
      <c r="AJ3579">
        <v>90.820569917169493</v>
      </c>
      <c r="AK3579">
        <v>28.027460315952499</v>
      </c>
      <c r="AL3579">
        <v>90.592115475598604</v>
      </c>
      <c r="AM3579">
        <v>81.650417337546102</v>
      </c>
      <c r="AN3579">
        <v>0.99999993690205902</v>
      </c>
    </row>
    <row r="3580" spans="1:40" x14ac:dyDescent="0.3">
      <c r="A3580" t="str">
        <f>"20200111153950095"</f>
        <v>20200111153950095</v>
      </c>
      <c r="B3580" t="str">
        <f>"1578728390084729"</f>
        <v>1578728390084729</v>
      </c>
      <c r="C3580" t="s">
        <v>40</v>
      </c>
      <c r="D3580">
        <v>5.1861790000000001</v>
      </c>
      <c r="E3580">
        <v>0.38008360000000002</v>
      </c>
      <c r="F3580" t="s">
        <v>43</v>
      </c>
      <c r="G3580">
        <v>-309.79790000000003</v>
      </c>
      <c r="H3580">
        <v>-0.05</v>
      </c>
      <c r="I3580">
        <v>21.09901</v>
      </c>
      <c r="J3580">
        <v>-337.1995</v>
      </c>
      <c r="K3580">
        <v>1.105666</v>
      </c>
      <c r="L3580">
        <v>18.870570000000001</v>
      </c>
      <c r="M3580">
        <v>0.99778370000000005</v>
      </c>
      <c r="N3580">
        <v>0</v>
      </c>
      <c r="O3580">
        <v>6.512619E-2</v>
      </c>
      <c r="P3580">
        <v>0.99680009999999997</v>
      </c>
      <c r="Q3580">
        <v>-2.4102220000000001E-2</v>
      </c>
      <c r="R3580">
        <v>-7.6217789999999994E-2</v>
      </c>
      <c r="S3580">
        <v>3.0279850000000001</v>
      </c>
      <c r="T3580">
        <v>-0.12646479999999999</v>
      </c>
      <c r="U3580">
        <v>0.24588009999999999</v>
      </c>
      <c r="V3580">
        <v>0.14100650000000001</v>
      </c>
      <c r="W3580">
        <v>-1.0215709999999999E-2</v>
      </c>
      <c r="X3580">
        <v>0.98995599999999995</v>
      </c>
      <c r="Y3580">
        <v>-1.5888269999999999E-2</v>
      </c>
      <c r="Z3580">
        <v>-2.3802910000000001E-3</v>
      </c>
      <c r="AA3580">
        <v>0.99987099999999995</v>
      </c>
      <c r="AB3580">
        <v>31</v>
      </c>
      <c r="AC3580">
        <v>27.401599999999899</v>
      </c>
      <c r="AD3580">
        <v>-1.1556660000000001</v>
      </c>
      <c r="AE3580">
        <v>2.2284399999999902</v>
      </c>
      <c r="AF3580">
        <v>-0.43820585263244</v>
      </c>
      <c r="AG3580">
        <v>-1.1556660000000001</v>
      </c>
      <c r="AH3580">
        <v>27.440071767684199</v>
      </c>
      <c r="AI3580">
        <v>92.411336607806703</v>
      </c>
      <c r="AJ3580">
        <v>90.914910576909406</v>
      </c>
      <c r="AK3580">
        <v>27.467892654670401</v>
      </c>
      <c r="AL3580">
        <v>90.585327226735799</v>
      </c>
      <c r="AM3580">
        <v>81.893482212044105</v>
      </c>
      <c r="AN3580">
        <v>1.00000003785452</v>
      </c>
    </row>
    <row r="3581" spans="1:40" x14ac:dyDescent="0.3">
      <c r="A3581" t="str">
        <f>"20200111153950108"</f>
        <v>20200111153950108</v>
      </c>
      <c r="B3581" t="str">
        <f>"1578728390104246"</f>
        <v>1578728390104246</v>
      </c>
      <c r="C3581" t="s">
        <v>40</v>
      </c>
      <c r="D3581">
        <v>4.9158030000000004</v>
      </c>
      <c r="E3581">
        <v>0.36763750000000001</v>
      </c>
      <c r="F3581" t="s">
        <v>43</v>
      </c>
      <c r="G3581">
        <v>-308.69740000000002</v>
      </c>
      <c r="H3581">
        <v>-0.05</v>
      </c>
      <c r="I3581">
        <v>25.639469999999999</v>
      </c>
      <c r="J3581">
        <v>-337.01740000000001</v>
      </c>
      <c r="K3581">
        <v>1.1056619999999999</v>
      </c>
      <c r="L3581">
        <v>18.883240000000001</v>
      </c>
      <c r="M3581">
        <v>0.9977355</v>
      </c>
      <c r="N3581">
        <v>0</v>
      </c>
      <c r="O3581">
        <v>6.5859509999999996E-2</v>
      </c>
      <c r="P3581">
        <v>0.99700679999999997</v>
      </c>
      <c r="Q3581">
        <v>-2.361926E-2</v>
      </c>
      <c r="R3581">
        <v>-7.3620179999999993E-2</v>
      </c>
      <c r="S3581">
        <v>3.062195</v>
      </c>
      <c r="T3581">
        <v>-0.12416199999999999</v>
      </c>
      <c r="U3581">
        <v>0.72723389999999999</v>
      </c>
      <c r="V3581">
        <v>0.139154</v>
      </c>
      <c r="W3581">
        <v>-9.7379159999999992E-3</v>
      </c>
      <c r="X3581">
        <v>0.99022290000000002</v>
      </c>
      <c r="Y3581">
        <v>-0.1663982</v>
      </c>
      <c r="Z3581">
        <v>6.9939000000000004E-4</v>
      </c>
      <c r="AA3581">
        <v>0.9860584</v>
      </c>
      <c r="AB3581">
        <v>31</v>
      </c>
      <c r="AC3581">
        <v>28.32</v>
      </c>
      <c r="AD3581">
        <v>-1.155662</v>
      </c>
      <c r="AE3581">
        <v>6.7562300000000004</v>
      </c>
      <c r="AF3581">
        <v>-4.8685729379146299</v>
      </c>
      <c r="AG3581">
        <v>-1.155662</v>
      </c>
      <c r="AH3581">
        <v>28.6583536085807</v>
      </c>
      <c r="AI3581">
        <v>92.276645307496494</v>
      </c>
      <c r="AJ3581">
        <v>99.641541247742097</v>
      </c>
      <c r="AK3581">
        <v>29.091919645573199</v>
      </c>
      <c r="AL3581">
        <v>90.557950291237105</v>
      </c>
      <c r="AM3581">
        <v>82.000723611058703</v>
      </c>
      <c r="AN3581">
        <v>1.00000002720421</v>
      </c>
    </row>
    <row r="3582" spans="1:40" x14ac:dyDescent="0.3">
      <c r="A3582" t="str">
        <f>"20200111153950122"</f>
        <v>20200111153950122</v>
      </c>
      <c r="B3582" t="str">
        <f>"1578728390114982"</f>
        <v>1578728390114982</v>
      </c>
      <c r="C3582" t="s">
        <v>40</v>
      </c>
      <c r="D3582">
        <v>5.0055750000000003</v>
      </c>
      <c r="E3582">
        <v>0.36248219999999998</v>
      </c>
      <c r="F3582" t="s">
        <v>43</v>
      </c>
      <c r="G3582">
        <v>-296.48719999999997</v>
      </c>
      <c r="H3582">
        <v>-0.05</v>
      </c>
      <c r="I3582">
        <v>29.884840000000001</v>
      </c>
      <c r="J3582">
        <v>-336.8175</v>
      </c>
      <c r="K3582">
        <v>1.1056549999999901</v>
      </c>
      <c r="L3582">
        <v>18.897279999999999</v>
      </c>
      <c r="M3582">
        <v>0.99768279999999998</v>
      </c>
      <c r="N3582">
        <v>0</v>
      </c>
      <c r="O3582">
        <v>6.6652980000000001E-2</v>
      </c>
      <c r="P3582">
        <v>0.9971951</v>
      </c>
      <c r="Q3582">
        <v>-2.2596410000000001E-2</v>
      </c>
      <c r="R3582">
        <v>-7.1353879999999995E-2</v>
      </c>
      <c r="S3582">
        <v>3.0684809999999998</v>
      </c>
      <c r="T3582">
        <v>-8.7493660000000001E-2</v>
      </c>
      <c r="U3582">
        <v>0.83291630000000005</v>
      </c>
      <c r="V3582">
        <v>0.1376898</v>
      </c>
      <c r="W3582">
        <v>-8.7209980000000006E-3</v>
      </c>
      <c r="X3582">
        <v>0.99043700000000001</v>
      </c>
      <c r="Y3582">
        <v>-0.19700000000000001</v>
      </c>
      <c r="Z3582">
        <v>8.9675869999999904E-4</v>
      </c>
      <c r="AA3582">
        <v>0.98040309999999997</v>
      </c>
      <c r="AB3582">
        <v>31</v>
      </c>
      <c r="AC3582">
        <v>40.330300000000001</v>
      </c>
      <c r="AD3582">
        <v>-1.1556550000000001</v>
      </c>
      <c r="AE3582">
        <v>10.98756</v>
      </c>
      <c r="AF3582">
        <v>-8.2684161713905997</v>
      </c>
      <c r="AG3582">
        <v>-1.1556550000000001</v>
      </c>
      <c r="AH3582">
        <v>40.941725040450699</v>
      </c>
      <c r="AI3582">
        <v>91.584868256250203</v>
      </c>
      <c r="AJ3582">
        <v>101.417637376961</v>
      </c>
      <c r="AK3582">
        <v>41.7842924284977</v>
      </c>
      <c r="AL3582">
        <v>90.499682715688806</v>
      </c>
      <c r="AM3582">
        <v>82.085510145479901</v>
      </c>
      <c r="AN3582">
        <v>0.99999999389957805</v>
      </c>
    </row>
    <row r="3583" spans="1:40" x14ac:dyDescent="0.3">
      <c r="A3583" t="str">
        <f>"20200111153950141"</f>
        <v>20200111153950141</v>
      </c>
      <c r="B3583" t="str">
        <f>"1578728390134503"</f>
        <v>1578728390134503</v>
      </c>
      <c r="C3583" t="s">
        <v>40</v>
      </c>
      <c r="D3583">
        <v>4.645346</v>
      </c>
      <c r="E3583">
        <v>0.35247030000000001</v>
      </c>
      <c r="F3583" t="s">
        <v>43</v>
      </c>
      <c r="G3583">
        <v>-290.62819999999999</v>
      </c>
      <c r="H3583">
        <v>-0.05</v>
      </c>
      <c r="I3583">
        <v>32.147739999999999</v>
      </c>
      <c r="J3583">
        <v>-336.57299999999998</v>
      </c>
      <c r="K3583">
        <v>1.1056509999999999</v>
      </c>
      <c r="L3583">
        <v>18.914639999999999</v>
      </c>
      <c r="M3583">
        <v>0.99761920000000004</v>
      </c>
      <c r="N3583">
        <v>0</v>
      </c>
      <c r="O3583">
        <v>6.7596699999999996E-2</v>
      </c>
      <c r="P3583">
        <v>0.99751880000000004</v>
      </c>
      <c r="Q3583">
        <v>-1.918655E-2</v>
      </c>
      <c r="R3583">
        <v>-6.7735619999999996E-2</v>
      </c>
      <c r="S3583">
        <v>3.0697019999999999</v>
      </c>
      <c r="T3583">
        <v>-7.6803919999999998E-2</v>
      </c>
      <c r="U3583">
        <v>0.88061520000000004</v>
      </c>
      <c r="V3583">
        <v>0.13502929999999999</v>
      </c>
      <c r="W3583">
        <v>-5.320618E-3</v>
      </c>
      <c r="X3583">
        <v>0.99082729999999997</v>
      </c>
      <c r="Y3583">
        <v>-0.21009700000000001</v>
      </c>
      <c r="Z3583">
        <v>9.2309909999999996E-4</v>
      </c>
      <c r="AA3583">
        <v>0.97768010000000005</v>
      </c>
      <c r="AB3583">
        <v>31</v>
      </c>
      <c r="AC3583">
        <v>45.944800000000001</v>
      </c>
      <c r="AD3583">
        <v>-1.155651</v>
      </c>
      <c r="AE3583">
        <v>13.2331</v>
      </c>
      <c r="AF3583">
        <v>-10.0909247130176</v>
      </c>
      <c r="AG3583">
        <v>-1.155651</v>
      </c>
      <c r="AH3583">
        <v>46.707002702901598</v>
      </c>
      <c r="AI3583">
        <v>91.385404052862299</v>
      </c>
      <c r="AJ3583">
        <v>102.191225846056</v>
      </c>
      <c r="AK3583">
        <v>47.798602409342898</v>
      </c>
      <c r="AL3583">
        <v>90.3048504003565</v>
      </c>
      <c r="AM3583">
        <v>82.239575150229001</v>
      </c>
      <c r="AN3583">
        <v>0.99999997962984</v>
      </c>
    </row>
    <row r="3584" spans="1:40" x14ac:dyDescent="0.3">
      <c r="A3584" t="str">
        <f>"20200111153950162"</f>
        <v>20200111153950162</v>
      </c>
      <c r="B3584" t="str">
        <f>"1578728390154998"</f>
        <v>1578728390154998</v>
      </c>
      <c r="C3584" t="s">
        <v>40</v>
      </c>
      <c r="D3584">
        <v>4.9494499999999997</v>
      </c>
      <c r="E3584">
        <v>0.35021809999999998</v>
      </c>
      <c r="F3584" t="s">
        <v>75</v>
      </c>
      <c r="G3584">
        <v>-280.86259999999999</v>
      </c>
      <c r="H3584">
        <v>0.18680569999999999</v>
      </c>
      <c r="I3584">
        <v>36.52084</v>
      </c>
      <c r="J3584">
        <v>-336.2731</v>
      </c>
      <c r="K3584">
        <v>1.105626</v>
      </c>
      <c r="L3584">
        <v>18.93619</v>
      </c>
      <c r="M3584">
        <v>0.99754430000000005</v>
      </c>
      <c r="N3584">
        <v>0</v>
      </c>
      <c r="O3584">
        <v>6.8694210000000006E-2</v>
      </c>
      <c r="P3584">
        <v>0.99777099999999996</v>
      </c>
      <c r="Q3584">
        <v>-1.5308820000000001E-2</v>
      </c>
      <c r="R3584">
        <v>-6.4953250000000004E-2</v>
      </c>
      <c r="S3584">
        <v>3.0724179999999999</v>
      </c>
      <c r="T3584">
        <v>-5.0673959999999997E-2</v>
      </c>
      <c r="U3584">
        <v>0.9709778</v>
      </c>
      <c r="V3584">
        <v>0.133351</v>
      </c>
      <c r="W3584">
        <v>-1.4589479999999901E-3</v>
      </c>
      <c r="X3584">
        <v>0.99106780000000005</v>
      </c>
      <c r="Y3584">
        <v>-0.2351007</v>
      </c>
      <c r="Z3584">
        <v>7.9003579999999997E-4</v>
      </c>
      <c r="AA3584">
        <v>0.97197069999999997</v>
      </c>
      <c r="AB3584">
        <v>31</v>
      </c>
      <c r="AC3584">
        <v>55.410499999999999</v>
      </c>
      <c r="AD3584">
        <v>-0.91882030000000003</v>
      </c>
      <c r="AE3584">
        <v>17.58465</v>
      </c>
      <c r="AF3584">
        <v>-13.7329370842361</v>
      </c>
      <c r="AG3584">
        <v>-0.91882030000000003</v>
      </c>
      <c r="AH3584">
        <v>56.473551649395702</v>
      </c>
      <c r="AI3584">
        <v>90.905725295462801</v>
      </c>
      <c r="AJ3584">
        <v>103.667597402708</v>
      </c>
      <c r="AK3584">
        <v>58.1265845168993</v>
      </c>
      <c r="AL3584">
        <v>90.083591592502998</v>
      </c>
      <c r="AM3584">
        <v>82.336714795916194</v>
      </c>
      <c r="AN3584">
        <v>1.0000000009635499</v>
      </c>
    </row>
    <row r="3585" spans="1:40" x14ac:dyDescent="0.3">
      <c r="A3585" t="str">
        <f>"20200111153950177"</f>
        <v>20200111153950177</v>
      </c>
      <c r="B3585" t="str">
        <f>"1578728390174518"</f>
        <v>1578728390174518</v>
      </c>
      <c r="C3585" t="s">
        <v>40</v>
      </c>
      <c r="D3585">
        <v>5.0582209999999996</v>
      </c>
      <c r="E3585">
        <v>0.34945510000000002</v>
      </c>
      <c r="F3585" t="s">
        <v>75</v>
      </c>
      <c r="G3585">
        <v>-280.86259999999999</v>
      </c>
      <c r="H3585">
        <v>0.47760200000000003</v>
      </c>
      <c r="I3585">
        <v>36.93009</v>
      </c>
      <c r="J3585">
        <v>-336.07389999999998</v>
      </c>
      <c r="K3585">
        <v>1.1055999999999999</v>
      </c>
      <c r="L3585">
        <v>18.95065</v>
      </c>
      <c r="M3585">
        <v>0.9974963</v>
      </c>
      <c r="N3585">
        <v>0</v>
      </c>
      <c r="O3585">
        <v>6.9388259999999993E-2</v>
      </c>
      <c r="P3585">
        <v>0.99788399999999999</v>
      </c>
      <c r="Q3585">
        <v>-1.3416900000000001E-2</v>
      </c>
      <c r="R3585">
        <v>-6.3626009999999997E-2</v>
      </c>
      <c r="S3585">
        <v>3.0711360000000001</v>
      </c>
      <c r="T3585">
        <v>-3.4808159999999998E-2</v>
      </c>
      <c r="U3585">
        <v>0.99731449999999999</v>
      </c>
      <c r="V3585">
        <v>0.13271949999999999</v>
      </c>
      <c r="W3585">
        <v>4.203958E-4</v>
      </c>
      <c r="X3585">
        <v>0.99115350000000002</v>
      </c>
      <c r="Y3585">
        <v>-0.24210419999999999</v>
      </c>
      <c r="Z3585">
        <v>5.733515E-4</v>
      </c>
      <c r="AA3585">
        <v>0.9702501</v>
      </c>
      <c r="AB3585">
        <v>31</v>
      </c>
      <c r="AC3585">
        <v>55.211300000000001</v>
      </c>
      <c r="AD3585">
        <v>-0.62799799999999895</v>
      </c>
      <c r="AE3585">
        <v>17.97944</v>
      </c>
      <c r="AF3585">
        <v>-14.1030737795289</v>
      </c>
      <c r="AG3585">
        <v>-0.62799799999999895</v>
      </c>
      <c r="AH3585">
        <v>56.319291506300203</v>
      </c>
      <c r="AI3585">
        <v>90.619726527367405</v>
      </c>
      <c r="AJ3585">
        <v>104.058503927573</v>
      </c>
      <c r="AK3585">
        <v>58.061636794793003</v>
      </c>
      <c r="AL3585">
        <v>89.975913093056903</v>
      </c>
      <c r="AM3585">
        <v>82.373228726091298</v>
      </c>
      <c r="AN3585">
        <v>0.99999995148756304</v>
      </c>
    </row>
    <row r="3586" spans="1:40" x14ac:dyDescent="0.3">
      <c r="A3586" t="str">
        <f>"20200111153950191"</f>
        <v>20200111153950191</v>
      </c>
      <c r="B3586" t="str">
        <f>"1578728390184279"</f>
        <v>1578728390184279</v>
      </c>
      <c r="C3586" t="s">
        <v>40</v>
      </c>
      <c r="D3586">
        <v>4.9632949999999996</v>
      </c>
      <c r="E3586">
        <v>0.34944969999999997</v>
      </c>
      <c r="F3586" t="s">
        <v>75</v>
      </c>
      <c r="G3586">
        <v>-280.86259999999999</v>
      </c>
      <c r="H3586">
        <v>0.7990971</v>
      </c>
      <c r="I3586">
        <v>37.060490000000001</v>
      </c>
      <c r="J3586">
        <v>-335.88</v>
      </c>
      <c r="K3586">
        <v>1.1055680000000001</v>
      </c>
      <c r="L3586">
        <v>18.964839999999999</v>
      </c>
      <c r="M3586">
        <v>0.9974518</v>
      </c>
      <c r="N3586">
        <v>0</v>
      </c>
      <c r="O3586">
        <v>7.0025180000000006E-2</v>
      </c>
      <c r="P3586">
        <v>0.9979884</v>
      </c>
      <c r="Q3586">
        <v>-1.1637120000000001E-2</v>
      </c>
      <c r="R3586">
        <v>-6.2320809999999997E-2</v>
      </c>
      <c r="S3586">
        <v>3.0703740000000002</v>
      </c>
      <c r="T3586">
        <v>-1.7044900000000002E-2</v>
      </c>
      <c r="U3586">
        <v>1.0071110000000001</v>
      </c>
      <c r="V3586">
        <v>0.13205420000000001</v>
      </c>
      <c r="W3586">
        <v>2.1856449999999999E-3</v>
      </c>
      <c r="X3586">
        <v>0.99124009999999996</v>
      </c>
      <c r="Y3586">
        <v>-0.24435999999999999</v>
      </c>
      <c r="Z3586">
        <v>2.8338730000000001E-4</v>
      </c>
      <c r="AA3586">
        <v>0.96968449999999995</v>
      </c>
      <c r="AB3586">
        <v>31</v>
      </c>
      <c r="AC3586">
        <v>55.017400000000002</v>
      </c>
      <c r="AD3586">
        <v>-0.30647089999999999</v>
      </c>
      <c r="AE3586">
        <v>18.095649999999999</v>
      </c>
      <c r="AF3586">
        <v>-14.197860980722499</v>
      </c>
      <c r="AG3586">
        <v>-0.30647089999999999</v>
      </c>
      <c r="AH3586">
        <v>56.148016477156297</v>
      </c>
      <c r="AI3586">
        <v>90.303189881973907</v>
      </c>
      <c r="AJ3586">
        <v>104.19062848878001</v>
      </c>
      <c r="AK3586">
        <v>57.916085288626697</v>
      </c>
      <c r="AL3586">
        <v>89.874771667824604</v>
      </c>
      <c r="AM3586">
        <v>82.411669018538703</v>
      </c>
      <c r="AN3586">
        <v>1.00000001231485</v>
      </c>
    </row>
    <row r="3587" spans="1:40" x14ac:dyDescent="0.3">
      <c r="A3587" t="str">
        <f>"20200111153950206"</f>
        <v>20200111153950206</v>
      </c>
      <c r="B3587" t="str">
        <f>"1578728390204774"</f>
        <v>1578728390204774</v>
      </c>
      <c r="C3587" t="s">
        <v>40</v>
      </c>
      <c r="D3587">
        <v>4.9481250000000001</v>
      </c>
      <c r="E3587">
        <v>0.34945150000000003</v>
      </c>
      <c r="F3587" t="s">
        <v>75</v>
      </c>
      <c r="G3587">
        <v>-280.86259999999999</v>
      </c>
      <c r="H3587">
        <v>1.0173129999999999</v>
      </c>
      <c r="I3587">
        <v>37.08681</v>
      </c>
      <c r="J3587">
        <v>-335.66539999999998</v>
      </c>
      <c r="K3587">
        <v>1.1055280000000001</v>
      </c>
      <c r="L3587">
        <v>18.980650000000001</v>
      </c>
      <c r="M3587">
        <v>0.9974056</v>
      </c>
      <c r="N3587">
        <v>0</v>
      </c>
      <c r="O3587">
        <v>7.0680980000000004E-2</v>
      </c>
      <c r="P3587">
        <v>0.99814179999999997</v>
      </c>
      <c r="Q3587">
        <v>-8.024481E-3</v>
      </c>
      <c r="R3587">
        <v>-6.0405710000000001E-2</v>
      </c>
      <c r="S3587">
        <v>3.0691220000000001</v>
      </c>
      <c r="T3587">
        <v>-4.9231049999999997E-3</v>
      </c>
      <c r="U3587">
        <v>1.0109250000000001</v>
      </c>
      <c r="V3587">
        <v>0.13079939999999901</v>
      </c>
      <c r="W3587">
        <v>5.779536E-3</v>
      </c>
      <c r="X3587">
        <v>0.99139200000000005</v>
      </c>
      <c r="Y3587">
        <v>-0.24492939999999999</v>
      </c>
      <c r="Z3587" s="1">
        <v>8.1296760000000001E-5</v>
      </c>
      <c r="AA3587">
        <v>0.96954099999999999</v>
      </c>
      <c r="AB3587">
        <v>31</v>
      </c>
      <c r="AC3587">
        <v>54.802799999999898</v>
      </c>
      <c r="AD3587">
        <v>-8.8215000000000099E-2</v>
      </c>
      <c r="AE3587">
        <v>18.106159999999999</v>
      </c>
      <c r="AF3587">
        <v>-14.1869579798178</v>
      </c>
      <c r="AG3587">
        <v>-8.8215000000000099E-2</v>
      </c>
      <c r="AH3587">
        <v>55.945460739425201</v>
      </c>
      <c r="AI3587">
        <v>90.087572289155602</v>
      </c>
      <c r="AJ3587">
        <v>104.229429750382</v>
      </c>
      <c r="AK3587">
        <v>57.716307365890202</v>
      </c>
      <c r="AL3587">
        <v>89.668855133405799</v>
      </c>
      <c r="AM3587">
        <v>82.484084671234896</v>
      </c>
      <c r="AN3587">
        <v>0.99999999187036703</v>
      </c>
    </row>
    <row r="3588" spans="1:40" x14ac:dyDescent="0.3">
      <c r="A3588" t="str">
        <f>"20200111153950221"</f>
        <v>20200111153950221</v>
      </c>
      <c r="B3588" t="str">
        <f>"1578728390214535"</f>
        <v>1578728390214535</v>
      </c>
      <c r="C3588" t="s">
        <v>40</v>
      </c>
      <c r="D3588">
        <v>5.0129609999999998</v>
      </c>
      <c r="E3588">
        <v>0.34964089999999998</v>
      </c>
      <c r="F3588" t="s">
        <v>75</v>
      </c>
      <c r="G3588">
        <v>-280.86259999999999</v>
      </c>
      <c r="H3588">
        <v>1.1935750000000001</v>
      </c>
      <c r="I3588">
        <v>37.149389999999997</v>
      </c>
      <c r="J3588">
        <v>-335.46370000000002</v>
      </c>
      <c r="K3588">
        <v>1.1054790000000001</v>
      </c>
      <c r="L3588">
        <v>18.995609999999999</v>
      </c>
      <c r="M3588">
        <v>0.99736550000000002</v>
      </c>
      <c r="N3588">
        <v>0</v>
      </c>
      <c r="O3588">
        <v>7.1244959999999996E-2</v>
      </c>
      <c r="P3588">
        <v>0.9982337</v>
      </c>
      <c r="Q3588">
        <v>-6.785747E-3</v>
      </c>
      <c r="R3588">
        <v>-5.9025689999999999E-2</v>
      </c>
      <c r="S3588">
        <v>3.0671390000000001</v>
      </c>
      <c r="T3588">
        <v>4.9278739999999996E-3</v>
      </c>
      <c r="U3588">
        <v>1.0168459999999999</v>
      </c>
      <c r="V3588">
        <v>0.1299883</v>
      </c>
      <c r="W3588">
        <v>6.9992619999999896E-3</v>
      </c>
      <c r="X3588">
        <v>0.99149080000000001</v>
      </c>
      <c r="Y3588">
        <v>-0.24625440000000001</v>
      </c>
      <c r="Z3588" s="1">
        <v>-8.1564180000000006E-5</v>
      </c>
      <c r="AA3588">
        <v>0.96920530000000005</v>
      </c>
      <c r="AB3588">
        <v>31</v>
      </c>
      <c r="AC3588">
        <v>54.601100000000002</v>
      </c>
      <c r="AD3588">
        <v>8.8095999999999897E-2</v>
      </c>
      <c r="AE3588">
        <v>18.153780000000001</v>
      </c>
      <c r="AF3588">
        <v>-14.2171911472219</v>
      </c>
      <c r="AG3588">
        <v>8.8095999999999897E-2</v>
      </c>
      <c r="AH3588">
        <v>55.755679563842598</v>
      </c>
      <c r="AI3588">
        <v>89.912277618405099</v>
      </c>
      <c r="AJ3588">
        <v>104.305062514345</v>
      </c>
      <c r="AK3588">
        <v>57.539830453762697</v>
      </c>
      <c r="AL3588">
        <v>89.598968544082894</v>
      </c>
      <c r="AM3588">
        <v>82.530899609318396</v>
      </c>
      <c r="AN3588">
        <v>0.99999997714503697</v>
      </c>
    </row>
    <row r="3589" spans="1:40" x14ac:dyDescent="0.3">
      <c r="A3589" t="str">
        <f>"20200111153950241"</f>
        <v>20200111153950241</v>
      </c>
      <c r="B3589" t="str">
        <f>"1578728390235031"</f>
        <v>1578728390235031</v>
      </c>
      <c r="C3589" t="s">
        <v>40</v>
      </c>
      <c r="D3589">
        <v>4.958183</v>
      </c>
      <c r="E3589">
        <v>0.35006730000000003</v>
      </c>
      <c r="F3589" t="s">
        <v>75</v>
      </c>
      <c r="G3589">
        <v>-280.86250000000001</v>
      </c>
      <c r="H3589">
        <v>1.201678</v>
      </c>
      <c r="I3589">
        <v>37.157919999999997</v>
      </c>
      <c r="J3589">
        <v>-335.19450000000001</v>
      </c>
      <c r="K3589">
        <v>1.1054029999999999</v>
      </c>
      <c r="L3589">
        <v>19.015630000000002</v>
      </c>
      <c r="M3589">
        <v>0.99731829999999999</v>
      </c>
      <c r="N3589">
        <v>0</v>
      </c>
      <c r="O3589">
        <v>7.1895130000000002E-2</v>
      </c>
      <c r="P3589">
        <v>0.99844160000000004</v>
      </c>
      <c r="Q3589">
        <v>-3.8418430000000002E-3</v>
      </c>
      <c r="R3589">
        <v>-5.5675090000000003E-2</v>
      </c>
      <c r="S3589">
        <v>3.0656430000000001</v>
      </c>
      <c r="T3589">
        <v>5.4013730000000001E-3</v>
      </c>
      <c r="U3589">
        <v>1.0197449999999999</v>
      </c>
      <c r="V3589">
        <v>0.12730419999999901</v>
      </c>
      <c r="W3589">
        <v>9.9469620000000002E-3</v>
      </c>
      <c r="X3589">
        <v>0.99181379999999997</v>
      </c>
      <c r="Y3589">
        <v>-0.24658910000000001</v>
      </c>
      <c r="Z3589" s="1">
        <v>-8.8610880000000001E-5</v>
      </c>
      <c r="AA3589">
        <v>0.96912010000000004</v>
      </c>
      <c r="AB3589">
        <v>31</v>
      </c>
      <c r="AC3589">
        <v>54.332000000000001</v>
      </c>
      <c r="AD3589">
        <v>9.6274999999999805E-2</v>
      </c>
      <c r="AE3589">
        <v>18.142289999999999</v>
      </c>
      <c r="AF3589">
        <v>-14.188720366619901</v>
      </c>
      <c r="AG3589">
        <v>9.6274999999999805E-2</v>
      </c>
      <c r="AH3589">
        <v>55.4956807970608</v>
      </c>
      <c r="AI3589">
        <v>89.903699918543197</v>
      </c>
      <c r="AJ3589">
        <v>104.34172578702901</v>
      </c>
      <c r="AK3589">
        <v>57.280883736609901</v>
      </c>
      <c r="AL3589">
        <v>89.4300716356978</v>
      </c>
      <c r="AM3589">
        <v>82.685795890758001</v>
      </c>
      <c r="AN3589">
        <v>0.99999995763055305</v>
      </c>
    </row>
    <row r="3590" spans="1:40" x14ac:dyDescent="0.3">
      <c r="A3590" t="str">
        <f>"20200111153950264"</f>
        <v>20200111153950264</v>
      </c>
      <c r="B3590" t="str">
        <f>"1578728390254549"</f>
        <v>1578728390254549</v>
      </c>
      <c r="C3590" t="s">
        <v>40</v>
      </c>
      <c r="D3590">
        <v>4.9577790000000004</v>
      </c>
      <c r="E3590">
        <v>0.35081909999999999</v>
      </c>
      <c r="F3590" t="s">
        <v>75</v>
      </c>
      <c r="G3590">
        <v>-280.86250000000001</v>
      </c>
      <c r="H3590">
        <v>1.215347</v>
      </c>
      <c r="I3590">
        <v>37.233330000000002</v>
      </c>
      <c r="J3590">
        <v>-334.87389999999999</v>
      </c>
      <c r="K3590">
        <v>1.1053249999999999</v>
      </c>
      <c r="L3590">
        <v>19.03952</v>
      </c>
      <c r="M3590">
        <v>0.9972723</v>
      </c>
      <c r="N3590">
        <v>0</v>
      </c>
      <c r="O3590">
        <v>7.2500880000000004E-2</v>
      </c>
      <c r="P3590">
        <v>0.99861599999999995</v>
      </c>
      <c r="Q3590" s="1">
        <v>-6.9348139999999997E-5</v>
      </c>
      <c r="R3590">
        <v>-5.25973E-2</v>
      </c>
      <c r="S3590">
        <v>3.0619200000000002</v>
      </c>
      <c r="T3590">
        <v>6.1961409999999996E-3</v>
      </c>
      <c r="U3590">
        <v>1.026672</v>
      </c>
      <c r="V3590">
        <v>0.1248475</v>
      </c>
      <c r="W3590">
        <v>1.3835770000000001E-2</v>
      </c>
      <c r="X3590">
        <v>0.9920795</v>
      </c>
      <c r="Y3590">
        <v>-0.24832509999999999</v>
      </c>
      <c r="Z3590">
        <v>-1.022596E-4</v>
      </c>
      <c r="AA3590">
        <v>0.96867669999999995</v>
      </c>
      <c r="AB3590">
        <v>31</v>
      </c>
      <c r="AC3590">
        <v>54.011399999999902</v>
      </c>
      <c r="AD3590">
        <v>0.11002199999999999</v>
      </c>
      <c r="AE3590">
        <v>18.193809999999999</v>
      </c>
      <c r="AF3590">
        <v>-14.229618826811899</v>
      </c>
      <c r="AG3590">
        <v>0.11002199999999999</v>
      </c>
      <c r="AH3590">
        <v>55.1882214858759</v>
      </c>
      <c r="AI3590">
        <v>89.889393974413494</v>
      </c>
      <c r="AJ3590">
        <v>104.458123598657</v>
      </c>
      <c r="AK3590">
        <v>56.9932798457058</v>
      </c>
      <c r="AL3590">
        <v>89.207243502834899</v>
      </c>
      <c r="AM3590">
        <v>82.827360867745796</v>
      </c>
      <c r="AN3590">
        <v>1.00000003055399</v>
      </c>
    </row>
    <row r="3591" spans="1:40" x14ac:dyDescent="0.3">
      <c r="A3591" t="str">
        <f>"20200111153950277"</f>
        <v>20200111153950277</v>
      </c>
      <c r="B3591" t="str">
        <f>"1578728390275046"</f>
        <v>1578728390275046</v>
      </c>
      <c r="C3591" t="s">
        <v>40</v>
      </c>
      <c r="D3591">
        <v>4.7755359999999998</v>
      </c>
      <c r="E3591">
        <v>0.40805520000000001</v>
      </c>
      <c r="F3591" t="s">
        <v>75</v>
      </c>
      <c r="G3591">
        <v>-280.86259999999999</v>
      </c>
      <c r="H3591">
        <v>1.1378250000000001</v>
      </c>
      <c r="I3591">
        <v>37.238039999999998</v>
      </c>
      <c r="J3591">
        <v>-334.68630000000002</v>
      </c>
      <c r="K3591">
        <v>1.1052759999999999</v>
      </c>
      <c r="L3591">
        <v>19.053529999999999</v>
      </c>
      <c r="M3591">
        <v>0.99725070000000005</v>
      </c>
      <c r="N3591">
        <v>0</v>
      </c>
      <c r="O3591">
        <v>7.2775259999999994E-2</v>
      </c>
      <c r="P3591">
        <v>0.99869450000000004</v>
      </c>
      <c r="Q3591">
        <v>1.804768E-3</v>
      </c>
      <c r="R3591">
        <v>-5.1050159999999997E-2</v>
      </c>
      <c r="S3591">
        <v>3.0584720000000001</v>
      </c>
      <c r="T3591">
        <v>1.8404719999999999E-3</v>
      </c>
      <c r="U3591">
        <v>1.030518</v>
      </c>
      <c r="V3591">
        <v>0.12358379999999999</v>
      </c>
      <c r="W3591">
        <v>1.5805369999999999E-2</v>
      </c>
      <c r="X3591">
        <v>0.99220819999999998</v>
      </c>
      <c r="Y3591">
        <v>-0.2494818</v>
      </c>
      <c r="Z3591" s="1">
        <v>-3.0580999999999997E-5</v>
      </c>
      <c r="AA3591">
        <v>0.96837949999999995</v>
      </c>
      <c r="AB3591">
        <v>31</v>
      </c>
      <c r="AC3591">
        <v>53.823700000000002</v>
      </c>
      <c r="AD3591">
        <v>3.2549000000000099E-2</v>
      </c>
      <c r="AE3591">
        <v>18.18451</v>
      </c>
      <c r="AF3591">
        <v>-14.218861903392201</v>
      </c>
      <c r="AG3591">
        <v>3.2549000000000099E-2</v>
      </c>
      <c r="AH3591">
        <v>55.004444665214102</v>
      </c>
      <c r="AI3591">
        <v>89.967174147703602</v>
      </c>
      <c r="AJ3591">
        <v>104.493893015537</v>
      </c>
      <c r="AK3591">
        <v>56.8125516606475</v>
      </c>
      <c r="AL3591">
        <v>89.094381241817601</v>
      </c>
      <c r="AM3591">
        <v>82.900128760210904</v>
      </c>
      <c r="AN3591">
        <v>0.99999993874525595</v>
      </c>
    </row>
    <row r="3592" spans="1:40" x14ac:dyDescent="0.3">
      <c r="A3592" t="str">
        <f>"20200111153950295"</f>
        <v>20200111153950295</v>
      </c>
      <c r="B3592" t="str">
        <f>"1578728390284809"</f>
        <v>1578728390284809</v>
      </c>
      <c r="C3592" t="s">
        <v>40</v>
      </c>
      <c r="D3592">
        <v>4.9921009999999999</v>
      </c>
      <c r="E3592">
        <v>0.40805520000000001</v>
      </c>
      <c r="F3592" t="s">
        <v>43</v>
      </c>
      <c r="G3592">
        <v>-314.1748</v>
      </c>
      <c r="H3592">
        <v>-0.05</v>
      </c>
      <c r="I3592">
        <v>22.996189999999999</v>
      </c>
      <c r="J3592">
        <v>-334.44450000000001</v>
      </c>
      <c r="K3592">
        <v>1.1052010000000001</v>
      </c>
      <c r="L3592">
        <v>19.071560000000002</v>
      </c>
      <c r="M3592">
        <v>0.99723050000000002</v>
      </c>
      <c r="N3592">
        <v>0</v>
      </c>
      <c r="O3592">
        <v>7.3021610000000001E-2</v>
      </c>
      <c r="P3592">
        <v>0.99876229999999999</v>
      </c>
      <c r="Q3592">
        <v>4.9649189999999999E-3</v>
      </c>
      <c r="R3592">
        <v>-4.9494450000000002E-2</v>
      </c>
      <c r="S3592">
        <v>3.034027</v>
      </c>
      <c r="T3592">
        <v>-0.1708866</v>
      </c>
      <c r="U3592">
        <v>0.58319089999999996</v>
      </c>
      <c r="V3592">
        <v>0.1222839</v>
      </c>
      <c r="W3592">
        <v>1.909313E-2</v>
      </c>
      <c r="X3592">
        <v>0.99231150000000001</v>
      </c>
      <c r="Y3592">
        <v>-0.11647490000000001</v>
      </c>
      <c r="Z3592">
        <v>-8.1513470000000004E-4</v>
      </c>
      <c r="AA3592">
        <v>0.99319329999999995</v>
      </c>
      <c r="AB3592">
        <v>31</v>
      </c>
      <c r="AC3592">
        <v>20.2697</v>
      </c>
      <c r="AD3592">
        <v>-1.1552009999999999</v>
      </c>
      <c r="AE3592">
        <v>3.9246299999999898</v>
      </c>
      <c r="AF3592">
        <v>-2.4262811234329398</v>
      </c>
      <c r="AG3592">
        <v>-1.1552009999999999</v>
      </c>
      <c r="AH3592">
        <v>20.4382024980554</v>
      </c>
      <c r="AI3592">
        <v>93.212500566447204</v>
      </c>
      <c r="AJ3592">
        <v>96.770071676698706</v>
      </c>
      <c r="AK3592">
        <v>20.6141080522987</v>
      </c>
      <c r="AL3592">
        <v>88.905977762932494</v>
      </c>
      <c r="AM3592">
        <v>82.9747816270676</v>
      </c>
      <c r="AN3592">
        <v>1.00000000642232</v>
      </c>
    </row>
    <row r="3593" spans="1:40" x14ac:dyDescent="0.3">
      <c r="A3593" t="str">
        <f>"20200111153950317"</f>
        <v>20200111153950317</v>
      </c>
      <c r="B3593" t="str">
        <f>"1578728390315062"</f>
        <v>1578728390315062</v>
      </c>
      <c r="C3593" t="s">
        <v>40</v>
      </c>
      <c r="D3593">
        <v>5.3172969999999999</v>
      </c>
      <c r="E3593">
        <v>0.56588570000000005</v>
      </c>
      <c r="F3593" t="s">
        <v>43</v>
      </c>
      <c r="G3593">
        <v>-312.9049</v>
      </c>
      <c r="H3593">
        <v>-0.05</v>
      </c>
      <c r="I3593">
        <v>23.243099999999998</v>
      </c>
      <c r="J3593">
        <v>-334.14550000000003</v>
      </c>
      <c r="K3593">
        <v>1.1050799999999901</v>
      </c>
      <c r="L3593">
        <v>19.093720000000001</v>
      </c>
      <c r="M3593">
        <v>0.99722010000000005</v>
      </c>
      <c r="N3593">
        <v>0</v>
      </c>
      <c r="O3593">
        <v>7.3122800000000002E-2</v>
      </c>
      <c r="P3593">
        <v>0.99879689999999999</v>
      </c>
      <c r="Q3593">
        <v>6.1827669999999996E-3</v>
      </c>
      <c r="R3593">
        <v>-4.8647259999999998E-2</v>
      </c>
      <c r="S3593">
        <v>3.0336609999999999</v>
      </c>
      <c r="T3593">
        <v>-0.1627004</v>
      </c>
      <c r="U3593">
        <v>0.58752439999999995</v>
      </c>
      <c r="V3593">
        <v>0.1215489</v>
      </c>
      <c r="W3593">
        <v>2.0456140000000001E-2</v>
      </c>
      <c r="X3593">
        <v>0.99237470000000005</v>
      </c>
      <c r="Y3593">
        <v>-0.1177684</v>
      </c>
      <c r="Z3593">
        <v>-7.47093E-4</v>
      </c>
      <c r="AA3593">
        <v>0.99304079999999995</v>
      </c>
      <c r="AB3593">
        <v>31</v>
      </c>
      <c r="AC3593">
        <v>21.240600000000001</v>
      </c>
      <c r="AD3593">
        <v>-1.1550800000000001</v>
      </c>
      <c r="AE3593">
        <v>4.1493799999999901</v>
      </c>
      <c r="AF3593">
        <v>-2.5775956923527699</v>
      </c>
      <c r="AG3593">
        <v>-1.1550800000000001</v>
      </c>
      <c r="AH3593">
        <v>21.426137826437898</v>
      </c>
      <c r="AI3593">
        <v>93.063772159520497</v>
      </c>
      <c r="AJ3593">
        <v>96.8598000772418</v>
      </c>
      <c r="AK3593">
        <v>21.6115152526876</v>
      </c>
      <c r="AL3593">
        <v>88.827867834522493</v>
      </c>
      <c r="AM3593">
        <v>83.017029586088995</v>
      </c>
      <c r="AN3593">
        <v>1.00000006697749</v>
      </c>
    </row>
    <row r="3594" spans="1:40" x14ac:dyDescent="0.3">
      <c r="A3594" t="str">
        <f>"20200111153950332"</f>
        <v>20200111153950332</v>
      </c>
      <c r="B3594" t="str">
        <f>"1578728390324822"</f>
        <v>1578728390324822</v>
      </c>
      <c r="C3594" t="s">
        <v>40</v>
      </c>
      <c r="D3594">
        <v>5.1947739999999998</v>
      </c>
      <c r="E3594">
        <v>0.58273149999999996</v>
      </c>
      <c r="F3594" t="s">
        <v>43</v>
      </c>
      <c r="G3594">
        <v>-274.54300000000001</v>
      </c>
      <c r="H3594">
        <v>-0.05</v>
      </c>
      <c r="I3594">
        <v>5.6669769999999904</v>
      </c>
      <c r="J3594">
        <v>-333.94150000000002</v>
      </c>
      <c r="K3594">
        <v>1.104989</v>
      </c>
      <c r="L3594">
        <v>19.10876</v>
      </c>
      <c r="M3594">
        <v>0.99722180000000005</v>
      </c>
      <c r="N3594">
        <v>0</v>
      </c>
      <c r="O3594">
        <v>7.3075130000000002E-2</v>
      </c>
      <c r="P3594">
        <v>0.99880029999999997</v>
      </c>
      <c r="Q3594">
        <v>6.2271749999999997E-3</v>
      </c>
      <c r="R3594">
        <v>-4.8570460000000003E-2</v>
      </c>
      <c r="S3594">
        <v>2.9714049999999999</v>
      </c>
      <c r="T3594">
        <v>-5.7584999999999997E-2</v>
      </c>
      <c r="U3594">
        <v>-0.66937259999999998</v>
      </c>
      <c r="V3594">
        <v>0.12143080000000001</v>
      </c>
      <c r="W3594">
        <v>2.0594879999999999E-2</v>
      </c>
      <c r="X3594">
        <v>0.9923862</v>
      </c>
      <c r="Y3594">
        <v>0.29040739999999998</v>
      </c>
      <c r="Z3594">
        <v>-4.1795209999999899E-3</v>
      </c>
      <c r="AA3594">
        <v>0.95689400000000002</v>
      </c>
      <c r="AB3594">
        <v>31</v>
      </c>
      <c r="AC3594">
        <v>59.398499999999999</v>
      </c>
      <c r="AD3594">
        <v>-1.154989</v>
      </c>
      <c r="AE3594">
        <v>-13.441782999999999</v>
      </c>
      <c r="AF3594">
        <v>17.7404633206142</v>
      </c>
      <c r="AG3594">
        <v>-1.154989</v>
      </c>
      <c r="AH3594">
        <v>58.236352334285002</v>
      </c>
      <c r="AI3594">
        <v>91.086886377530305</v>
      </c>
      <c r="AJ3594">
        <v>73.057760360380101</v>
      </c>
      <c r="AK3594">
        <v>60.8894963981733</v>
      </c>
      <c r="AL3594">
        <v>88.819916839876299</v>
      </c>
      <c r="AM3594">
        <v>83.023827572505695</v>
      </c>
      <c r="AN3594">
        <v>0.99999997911064697</v>
      </c>
    </row>
    <row r="3595" spans="1:40" x14ac:dyDescent="0.3">
      <c r="A3595" t="str">
        <f>"20200111153950345"</f>
        <v>20200111153950345</v>
      </c>
      <c r="B3595" t="str">
        <f>"1578728390334584"</f>
        <v>1578728390334584</v>
      </c>
      <c r="C3595" t="s">
        <v>40</v>
      </c>
      <c r="D3595">
        <v>5.0044769999999996</v>
      </c>
      <c r="E3595">
        <v>0.5952769</v>
      </c>
      <c r="F3595" t="s">
        <v>74</v>
      </c>
      <c r="G3595">
        <v>-279.33690000000001</v>
      </c>
      <c r="H3595">
        <v>0.32124950000000002</v>
      </c>
      <c r="I3595">
        <v>4.3062290000000001</v>
      </c>
      <c r="J3595">
        <v>-333.77069999999998</v>
      </c>
      <c r="K3595">
        <v>1.104903</v>
      </c>
      <c r="L3595">
        <v>19.121220000000001</v>
      </c>
      <c r="M3595">
        <v>0.99723119999999998</v>
      </c>
      <c r="N3595">
        <v>0</v>
      </c>
      <c r="O3595">
        <v>7.2926710000000006E-2</v>
      </c>
      <c r="P3595">
        <v>0.99881019999999998</v>
      </c>
      <c r="Q3595">
        <v>6.5485069999999899E-3</v>
      </c>
      <c r="R3595">
        <v>-4.8327380000000003E-2</v>
      </c>
      <c r="S3595">
        <v>2.9647830000000002</v>
      </c>
      <c r="T3595">
        <v>-4.2553540000000001E-2</v>
      </c>
      <c r="U3595">
        <v>-0.80371090000000001</v>
      </c>
      <c r="V3595">
        <v>0.121047</v>
      </c>
      <c r="W3595">
        <v>2.0989609999999999E-2</v>
      </c>
      <c r="X3595">
        <v>0.9924248</v>
      </c>
      <c r="Y3595">
        <v>0.3313006</v>
      </c>
      <c r="Z3595">
        <v>-3.365364E-3</v>
      </c>
      <c r="AA3595">
        <v>0.9435192</v>
      </c>
      <c r="AB3595">
        <v>31</v>
      </c>
      <c r="AC3595">
        <v>54.433799999999898</v>
      </c>
      <c r="AD3595">
        <v>-0.7836535</v>
      </c>
      <c r="AE3595">
        <v>-14.814990999999999</v>
      </c>
      <c r="AF3595">
        <v>18.742016324220799</v>
      </c>
      <c r="AG3595">
        <v>-0.7836535</v>
      </c>
      <c r="AH3595">
        <v>53.198040327350803</v>
      </c>
      <c r="AI3595">
        <v>90.796006874062002</v>
      </c>
      <c r="AJ3595">
        <v>70.592306959515696</v>
      </c>
      <c r="AK3595">
        <v>56.408410573033002</v>
      </c>
      <c r="AL3595">
        <v>88.797295565071906</v>
      </c>
      <c r="AM3595">
        <v>83.045928380018594</v>
      </c>
      <c r="AN3595">
        <v>0.99999996179599504</v>
      </c>
    </row>
    <row r="3596" spans="1:40" x14ac:dyDescent="0.3">
      <c r="A3596" t="str">
        <f>"20200111153950363"</f>
        <v>20200111153950363</v>
      </c>
      <c r="B3596" t="str">
        <f>"1578728390355081"</f>
        <v>1578728390355081</v>
      </c>
      <c r="C3596" t="s">
        <v>40</v>
      </c>
      <c r="D3596">
        <v>5.0769270000000004</v>
      </c>
      <c r="E3596">
        <v>0.60024980000000006</v>
      </c>
      <c r="F3596" t="s">
        <v>74</v>
      </c>
      <c r="G3596">
        <v>-279.02</v>
      </c>
      <c r="H3596">
        <v>0.62738609999999995</v>
      </c>
      <c r="I3596">
        <v>2.4157519999999999</v>
      </c>
      <c r="J3596">
        <v>-333.517</v>
      </c>
      <c r="K3596">
        <v>1.1047469999999999</v>
      </c>
      <c r="L3596">
        <v>19.139530000000001</v>
      </c>
      <c r="M3596">
        <v>0.99725710000000001</v>
      </c>
      <c r="N3596">
        <v>0</v>
      </c>
      <c r="O3596">
        <v>7.2541599999999998E-2</v>
      </c>
      <c r="P3596">
        <v>0.99878140000000004</v>
      </c>
      <c r="Q3596">
        <v>7.8538299999999991E-3</v>
      </c>
      <c r="R3596">
        <v>-4.8724900000000002E-2</v>
      </c>
      <c r="S3596">
        <v>2.9600520000000001</v>
      </c>
      <c r="T3596">
        <v>-2.5816559999999999E-2</v>
      </c>
      <c r="U3596">
        <v>-0.90316770000000002</v>
      </c>
      <c r="V3596">
        <v>0.121068</v>
      </c>
      <c r="W3596">
        <v>2.23888E-2</v>
      </c>
      <c r="X3596">
        <v>0.99239169999999999</v>
      </c>
      <c r="Y3596">
        <v>0.36044350000000003</v>
      </c>
      <c r="Z3596">
        <v>-2.156767E-3</v>
      </c>
      <c r="AA3596">
        <v>0.93277860000000001</v>
      </c>
      <c r="AB3596">
        <v>30</v>
      </c>
      <c r="AC3596">
        <v>54.497</v>
      </c>
      <c r="AD3596">
        <v>-0.47736089999999998</v>
      </c>
      <c r="AE3596">
        <v>-16.723777999999999</v>
      </c>
      <c r="AF3596">
        <v>20.631987596793099</v>
      </c>
      <c r="AG3596">
        <v>-0.47736089999999998</v>
      </c>
      <c r="AH3596">
        <v>53.136363711441803</v>
      </c>
      <c r="AI3596">
        <v>90.479815535099604</v>
      </c>
      <c r="AJ3596">
        <v>68.779616829517906</v>
      </c>
      <c r="AK3596">
        <v>57.0033326578166</v>
      </c>
      <c r="AL3596">
        <v>88.7171090631239</v>
      </c>
      <c r="AM3596">
        <v>83.0445040479688</v>
      </c>
      <c r="AN3596">
        <v>1.00000000260916</v>
      </c>
    </row>
    <row r="3597" spans="1:40" x14ac:dyDescent="0.3">
      <c r="A3597" t="str">
        <f>"20200111153950377"</f>
        <v>20200111153950377</v>
      </c>
      <c r="B3597" t="str">
        <f>"1578728390364838"</f>
        <v>1578728390364838</v>
      </c>
      <c r="C3597" t="s">
        <v>40</v>
      </c>
      <c r="D3597">
        <v>5.0491669999999997</v>
      </c>
      <c r="E3597">
        <v>0.60293419999999998</v>
      </c>
      <c r="F3597" t="s">
        <v>74</v>
      </c>
      <c r="G3597">
        <v>-279.02</v>
      </c>
      <c r="H3597">
        <v>0.51614839999999995</v>
      </c>
      <c r="I3597">
        <v>1.7468009999999901</v>
      </c>
      <c r="J3597">
        <v>-333.33760000000001</v>
      </c>
      <c r="K3597">
        <v>1.104616</v>
      </c>
      <c r="L3597">
        <v>19.15231</v>
      </c>
      <c r="M3597">
        <v>0.99728530000000004</v>
      </c>
      <c r="N3597">
        <v>0</v>
      </c>
      <c r="O3597">
        <v>7.2132310000000005E-2</v>
      </c>
      <c r="P3597">
        <v>0.99876089999999995</v>
      </c>
      <c r="Q3597">
        <v>8.7784170000000002E-3</v>
      </c>
      <c r="R3597">
        <v>-4.899212E-2</v>
      </c>
      <c r="S3597">
        <v>2.9578549999999999</v>
      </c>
      <c r="T3597">
        <v>-3.1946540000000002E-2</v>
      </c>
      <c r="U3597">
        <v>-0.94400019999999996</v>
      </c>
      <c r="V3597">
        <v>0.1209348</v>
      </c>
      <c r="W3597">
        <v>2.3371780000000002E-2</v>
      </c>
      <c r="X3597">
        <v>0.99238530000000003</v>
      </c>
      <c r="Y3597">
        <v>0.37195050000000002</v>
      </c>
      <c r="Z3597">
        <v>-2.7217840000000001E-3</v>
      </c>
      <c r="AA3597">
        <v>0.92824859999999998</v>
      </c>
      <c r="AB3597">
        <v>30</v>
      </c>
      <c r="AC3597">
        <v>54.317599999999999</v>
      </c>
      <c r="AD3597">
        <v>-0.58846759999999998</v>
      </c>
      <c r="AE3597">
        <v>-17.405508999999999</v>
      </c>
      <c r="AF3597">
        <v>21.276377237831699</v>
      </c>
      <c r="AG3597">
        <v>-0.58846759999999998</v>
      </c>
      <c r="AH3597">
        <v>52.9148061252736</v>
      </c>
      <c r="AI3597">
        <v>90.591167268429004</v>
      </c>
      <c r="AJ3597">
        <v>68.095561623800094</v>
      </c>
      <c r="AK3597">
        <v>57.035140306289001</v>
      </c>
      <c r="AL3597">
        <v>88.660773737456097</v>
      </c>
      <c r="AM3597">
        <v>83.052037331374194</v>
      </c>
      <c r="AN3597">
        <v>1.00000002480374</v>
      </c>
    </row>
    <row r="3598" spans="1:40" x14ac:dyDescent="0.3">
      <c r="A3598" t="str">
        <f>"20200111153950396"</f>
        <v>20200111153950396</v>
      </c>
      <c r="B3598" t="str">
        <f>"1578728390384358"</f>
        <v>1578728390384358</v>
      </c>
      <c r="C3598" t="s">
        <v>40</v>
      </c>
      <c r="D3598">
        <v>5.3326440000000002</v>
      </c>
      <c r="E3598">
        <v>0.59877130000000001</v>
      </c>
      <c r="F3598" t="s">
        <v>74</v>
      </c>
      <c r="G3598">
        <v>-279.02</v>
      </c>
      <c r="H3598">
        <v>0.77795340000000002</v>
      </c>
      <c r="I3598">
        <v>1.3991169999999999</v>
      </c>
      <c r="J3598">
        <v>-333.0899</v>
      </c>
      <c r="K3598">
        <v>1.104403</v>
      </c>
      <c r="L3598">
        <v>19.169589999999999</v>
      </c>
      <c r="M3598">
        <v>0.99734060000000002</v>
      </c>
      <c r="N3598">
        <v>0</v>
      </c>
      <c r="O3598">
        <v>7.1330409999999997E-2</v>
      </c>
      <c r="P3598">
        <v>0.99869240000000004</v>
      </c>
      <c r="Q3598">
        <v>1.0699439999999999E-2</v>
      </c>
      <c r="R3598">
        <v>-4.9989659999999998E-2</v>
      </c>
      <c r="S3598">
        <v>2.956512</v>
      </c>
      <c r="T3598">
        <v>-1.7780299999999999E-2</v>
      </c>
      <c r="U3598">
        <v>-0.96630859999999996</v>
      </c>
      <c r="V3598">
        <v>0.121144</v>
      </c>
      <c r="W3598">
        <v>2.5371040000000001E-2</v>
      </c>
      <c r="X3598">
        <v>0.99231060000000004</v>
      </c>
      <c r="Y3598">
        <v>0.37767770000000001</v>
      </c>
      <c r="Z3598">
        <v>-1.5259129999999901E-3</v>
      </c>
      <c r="AA3598">
        <v>0.92593590000000003</v>
      </c>
      <c r="AB3598">
        <v>30</v>
      </c>
      <c r="AC3598">
        <v>54.069899999999997</v>
      </c>
      <c r="AD3598">
        <v>-0.32644959999999901</v>
      </c>
      <c r="AE3598">
        <v>-17.770472999999999</v>
      </c>
      <c r="AF3598">
        <v>21.581746469021901</v>
      </c>
      <c r="AG3598">
        <v>-0.32644959999999901</v>
      </c>
      <c r="AH3598">
        <v>52.662689713262303</v>
      </c>
      <c r="AI3598">
        <v>90.328639511518105</v>
      </c>
      <c r="AJ3598">
        <v>67.715644837232901</v>
      </c>
      <c r="AK3598">
        <v>56.914297305947798</v>
      </c>
      <c r="AL3598">
        <v>88.546190407251402</v>
      </c>
      <c r="AM3598">
        <v>83.0396173359199</v>
      </c>
      <c r="AN3598">
        <v>0.99999994263951897</v>
      </c>
    </row>
    <row r="3599" spans="1:40" x14ac:dyDescent="0.3">
      <c r="A3599" t="str">
        <f>"20200111153950419"</f>
        <v>20200111153950419</v>
      </c>
      <c r="B3599" t="str">
        <f>"1578728390414614"</f>
        <v>1578728390414614</v>
      </c>
      <c r="C3599" t="s">
        <v>40</v>
      </c>
      <c r="D3599">
        <v>5.2829560000000004</v>
      </c>
      <c r="E3599">
        <v>0.59567479999999995</v>
      </c>
      <c r="F3599" t="s">
        <v>43</v>
      </c>
      <c r="G3599">
        <v>-288.43130000000002</v>
      </c>
      <c r="H3599">
        <v>-0.05</v>
      </c>
      <c r="I3599">
        <v>5.0460969999999996</v>
      </c>
      <c r="J3599">
        <v>-332.78050000000002</v>
      </c>
      <c r="K3599">
        <v>1.1040970000000001</v>
      </c>
      <c r="L3599">
        <v>19.190370000000001</v>
      </c>
      <c r="M3599">
        <v>0.99743760000000004</v>
      </c>
      <c r="N3599">
        <v>0</v>
      </c>
      <c r="O3599">
        <v>6.9918389999999997E-2</v>
      </c>
      <c r="P3599">
        <v>0.99855729999999998</v>
      </c>
      <c r="Q3599">
        <v>1.176375E-2</v>
      </c>
      <c r="R3599">
        <v>-5.2397100000000002E-2</v>
      </c>
      <c r="S3599">
        <v>2.957916</v>
      </c>
      <c r="T3599">
        <v>-7.6460719999999996E-2</v>
      </c>
      <c r="U3599">
        <v>-0.93545529999999999</v>
      </c>
      <c r="V3599">
        <v>0.1221545</v>
      </c>
      <c r="W3599">
        <v>2.653604E-2</v>
      </c>
      <c r="X3599">
        <v>0.99215629999999999</v>
      </c>
      <c r="Y3599">
        <v>0.36733490000000002</v>
      </c>
      <c r="Z3599">
        <v>-6.4017989999999997E-3</v>
      </c>
      <c r="AA3599">
        <v>0.93006670000000002</v>
      </c>
      <c r="AB3599">
        <v>30</v>
      </c>
      <c r="AC3599">
        <v>44.349200000000003</v>
      </c>
      <c r="AD3599">
        <v>-1.1540969999999999</v>
      </c>
      <c r="AE3599">
        <v>-14.144273</v>
      </c>
      <c r="AF3599">
        <v>17.2002582330935</v>
      </c>
      <c r="AG3599">
        <v>-1.1540969999999999</v>
      </c>
      <c r="AH3599">
        <v>43.225012323760097</v>
      </c>
      <c r="AI3599">
        <v>91.4210917078439</v>
      </c>
      <c r="AJ3599">
        <v>68.301216789770606</v>
      </c>
      <c r="AK3599">
        <v>46.5358196829037</v>
      </c>
      <c r="AL3599">
        <v>88.479418416839394</v>
      </c>
      <c r="AM3599">
        <v>82.981054664163395</v>
      </c>
      <c r="AN3599">
        <v>1.0000000034594101</v>
      </c>
    </row>
    <row r="3600" spans="1:40" x14ac:dyDescent="0.3">
      <c r="A3600" t="str">
        <f>"20200111153950441"</f>
        <v>20200111153950441</v>
      </c>
      <c r="B3600" t="str">
        <f>"1578728390434137"</f>
        <v>1578728390434137</v>
      </c>
      <c r="C3600" t="s">
        <v>40</v>
      </c>
      <c r="D3600">
        <v>5.2794080000000001</v>
      </c>
      <c r="E3600">
        <v>0.59448869999999998</v>
      </c>
      <c r="F3600" t="s">
        <v>43</v>
      </c>
      <c r="G3600">
        <v>-307.78059999999999</v>
      </c>
      <c r="H3600">
        <v>-0.05</v>
      </c>
      <c r="I3600">
        <v>11.434659999999999</v>
      </c>
      <c r="J3600">
        <v>-332.46510000000001</v>
      </c>
      <c r="K3600">
        <v>1.103777</v>
      </c>
      <c r="L3600">
        <v>19.210599999999999</v>
      </c>
      <c r="M3600">
        <v>0.99756400000000001</v>
      </c>
      <c r="N3600">
        <v>0</v>
      </c>
      <c r="O3600">
        <v>6.803853E-2</v>
      </c>
      <c r="P3600">
        <v>0.9983611</v>
      </c>
      <c r="Q3600">
        <v>1.3388779999999999E-2</v>
      </c>
      <c r="R3600">
        <v>-5.5643209999999999E-2</v>
      </c>
      <c r="S3600">
        <v>2.9578250000000001</v>
      </c>
      <c r="T3600">
        <v>-0.13654479999999999</v>
      </c>
      <c r="U3600">
        <v>-0.91760249999999999</v>
      </c>
      <c r="V3600">
        <v>0.1235378</v>
      </c>
      <c r="W3600">
        <v>2.8279169999999999E-2</v>
      </c>
      <c r="X3600">
        <v>0.99193690000000001</v>
      </c>
      <c r="Y3600">
        <v>0.36018420000000001</v>
      </c>
      <c r="Z3600">
        <v>-1.1192560000000001E-2</v>
      </c>
      <c r="AA3600">
        <v>0.93281409999999998</v>
      </c>
      <c r="AB3600">
        <v>30</v>
      </c>
      <c r="AC3600">
        <v>24.6845</v>
      </c>
      <c r="AD3600">
        <v>-1.1537770000000001</v>
      </c>
      <c r="AE3600">
        <v>-7.7759399999999896</v>
      </c>
      <c r="AF3600">
        <v>9.4188925313436709</v>
      </c>
      <c r="AG3600">
        <v>-1.1537770000000001</v>
      </c>
      <c r="AH3600">
        <v>24.050358836346501</v>
      </c>
      <c r="AI3600">
        <v>92.557696069379404</v>
      </c>
      <c r="AJ3600">
        <v>68.6130943177197</v>
      </c>
      <c r="AK3600">
        <v>25.854719067121199</v>
      </c>
      <c r="AL3600">
        <v>88.379506965723806</v>
      </c>
      <c r="AM3600">
        <v>82.900823165159295</v>
      </c>
      <c r="AN3600">
        <v>1.0000000565331599</v>
      </c>
    </row>
    <row r="3601" spans="1:40" x14ac:dyDescent="0.3">
      <c r="A3601" t="str">
        <f>"20200111153950455"</f>
        <v>20200111153950455</v>
      </c>
      <c r="B3601" t="str">
        <f>"1578728390444870"</f>
        <v>1578728390444870</v>
      </c>
      <c r="C3601" t="s">
        <v>40</v>
      </c>
      <c r="D3601">
        <v>5.2789859999999997</v>
      </c>
      <c r="E3601">
        <v>0.59394619999999998</v>
      </c>
      <c r="F3601" t="s">
        <v>43</v>
      </c>
      <c r="G3601">
        <v>-310.98599999999999</v>
      </c>
      <c r="H3601">
        <v>-0.05</v>
      </c>
      <c r="I3601">
        <v>12.541700000000001</v>
      </c>
      <c r="J3601">
        <v>-332.28660000000002</v>
      </c>
      <c r="K3601">
        <v>1.1036010000000001</v>
      </c>
      <c r="L3601">
        <v>19.221679999999999</v>
      </c>
      <c r="M3601">
        <v>0.997645</v>
      </c>
      <c r="N3601">
        <v>0</v>
      </c>
      <c r="O3601">
        <v>6.6807350000000001E-2</v>
      </c>
      <c r="P3601">
        <v>0.99824800000000002</v>
      </c>
      <c r="Q3601">
        <v>1.380582E-2</v>
      </c>
      <c r="R3601">
        <v>-5.7537379999999999E-2</v>
      </c>
      <c r="S3601">
        <v>2.955902</v>
      </c>
      <c r="T3601">
        <v>-0.15877959999999999</v>
      </c>
      <c r="U3601">
        <v>-0.91775510000000005</v>
      </c>
      <c r="V3601">
        <v>0.1242108</v>
      </c>
      <c r="W3601">
        <v>2.8768209999999999E-2</v>
      </c>
      <c r="X3601">
        <v>0.99183880000000002</v>
      </c>
      <c r="Y3601">
        <v>0.35910389999999998</v>
      </c>
      <c r="Z3601">
        <v>-1.292774E-2</v>
      </c>
      <c r="AA3601">
        <v>0.93320800000000004</v>
      </c>
      <c r="AB3601">
        <v>30</v>
      </c>
      <c r="AC3601">
        <v>21.300599999999999</v>
      </c>
      <c r="AD3601">
        <v>-1.1536010000000001</v>
      </c>
      <c r="AE3601">
        <v>-6.6799799999999898</v>
      </c>
      <c r="AF3601">
        <v>8.0667189973791693</v>
      </c>
      <c r="AG3601">
        <v>-1.1536010000000001</v>
      </c>
      <c r="AH3601">
        <v>20.7512595027301</v>
      </c>
      <c r="AI3601">
        <v>92.9661042114803</v>
      </c>
      <c r="AJ3601">
        <v>68.7572062318647</v>
      </c>
      <c r="AK3601">
        <v>22.293889781721099</v>
      </c>
      <c r="AL3601">
        <v>88.351475654035895</v>
      </c>
      <c r="AM3601">
        <v>82.861847937552099</v>
      </c>
      <c r="AN3601">
        <v>1.00000006896433</v>
      </c>
    </row>
    <row r="3602" spans="1:40" x14ac:dyDescent="0.3">
      <c r="A3602" t="str">
        <f>"20200111153950469"</f>
        <v>20200111153950469</v>
      </c>
      <c r="B3602" t="str">
        <f>"1578728390464390"</f>
        <v>1578728390464390</v>
      </c>
      <c r="C3602" t="s">
        <v>40</v>
      </c>
      <c r="D3602">
        <v>5.2695319999999999</v>
      </c>
      <c r="E3602">
        <v>0.59302299999999997</v>
      </c>
      <c r="F3602" t="s">
        <v>43</v>
      </c>
      <c r="G3602">
        <v>-311.91460000000001</v>
      </c>
      <c r="H3602">
        <v>-0.05</v>
      </c>
      <c r="I3602">
        <v>12.88452</v>
      </c>
      <c r="J3602">
        <v>-332.10910000000001</v>
      </c>
      <c r="K3602">
        <v>1.1034250000000001</v>
      </c>
      <c r="L3602">
        <v>19.232150000000001</v>
      </c>
      <c r="M3602">
        <v>0.99773849999999997</v>
      </c>
      <c r="N3602">
        <v>0</v>
      </c>
      <c r="O3602">
        <v>6.5363530000000003E-2</v>
      </c>
      <c r="P3602">
        <v>0.99810869999999996</v>
      </c>
      <c r="Q3602">
        <v>1.4207610000000001E-2</v>
      </c>
      <c r="R3602">
        <v>-5.9811000000000003E-2</v>
      </c>
      <c r="S3602">
        <v>2.9546199999999998</v>
      </c>
      <c r="T3602">
        <v>-0.1673105</v>
      </c>
      <c r="U3602">
        <v>-0.91909790000000002</v>
      </c>
      <c r="V3602">
        <v>0.1250503</v>
      </c>
      <c r="W3602">
        <v>2.924533E-2</v>
      </c>
      <c r="X3602">
        <v>0.99171929999999997</v>
      </c>
      <c r="Y3602">
        <v>0.35819600000000001</v>
      </c>
      <c r="Z3602">
        <v>-1.3520890000000001E-2</v>
      </c>
      <c r="AA3602">
        <v>0.9335485</v>
      </c>
      <c r="AB3602">
        <v>30</v>
      </c>
      <c r="AC3602">
        <v>20.194500000000001</v>
      </c>
      <c r="AD3602">
        <v>-1.1534249999999999</v>
      </c>
      <c r="AE3602">
        <v>-6.3476299999999997</v>
      </c>
      <c r="AF3602">
        <v>7.6315410382860902</v>
      </c>
      <c r="AG3602">
        <v>-1.1534249999999999</v>
      </c>
      <c r="AH3602">
        <v>19.677927797033298</v>
      </c>
      <c r="AI3602">
        <v>93.128061145415998</v>
      </c>
      <c r="AJ3602">
        <v>68.802592051396999</v>
      </c>
      <c r="AK3602">
        <v>21.137446634703199</v>
      </c>
      <c r="AL3602">
        <v>88.324127100797099</v>
      </c>
      <c r="AM3602">
        <v>82.813249335763999</v>
      </c>
      <c r="AN3602">
        <v>1.00000001842469</v>
      </c>
    </row>
    <row r="3603" spans="1:40" x14ac:dyDescent="0.3">
      <c r="A3603" t="str">
        <f>"20200111153950486"</f>
        <v>20200111153950486</v>
      </c>
      <c r="B3603" t="str">
        <f>"1578728390474150"</f>
        <v>1578728390474150</v>
      </c>
      <c r="C3603" t="s">
        <v>40</v>
      </c>
      <c r="D3603">
        <v>5.2665040000000003</v>
      </c>
      <c r="E3603">
        <v>0.59272089999999999</v>
      </c>
      <c r="F3603" t="s">
        <v>43</v>
      </c>
      <c r="G3603">
        <v>-313.5917</v>
      </c>
      <c r="H3603">
        <v>-0.05</v>
      </c>
      <c r="I3603">
        <v>13.47261</v>
      </c>
      <c r="J3603">
        <v>-331.87369999999999</v>
      </c>
      <c r="K3603">
        <v>1.1031759999999999</v>
      </c>
      <c r="L3603">
        <v>19.245450000000002</v>
      </c>
      <c r="M3603">
        <v>0.99787250000000005</v>
      </c>
      <c r="N3603">
        <v>0</v>
      </c>
      <c r="O3603">
        <v>6.3238820000000001E-2</v>
      </c>
      <c r="P3603">
        <v>0.99789729999999999</v>
      </c>
      <c r="Q3603">
        <v>1.2786570000000001E-2</v>
      </c>
      <c r="R3603">
        <v>-6.3544870000000003E-2</v>
      </c>
      <c r="S3603">
        <v>2.953217</v>
      </c>
      <c r="T3603">
        <v>-0.1839517</v>
      </c>
      <c r="U3603">
        <v>-0.91854860000000005</v>
      </c>
      <c r="V3603">
        <v>0.1266631</v>
      </c>
      <c r="W3603">
        <v>2.79236E-2</v>
      </c>
      <c r="X3603">
        <v>0.99155269999999995</v>
      </c>
      <c r="Y3603">
        <v>0.35605249999999999</v>
      </c>
      <c r="Z3603">
        <v>-1.467575E-2</v>
      </c>
      <c r="AA3603">
        <v>0.93435069999999998</v>
      </c>
      <c r="AB3603">
        <v>30</v>
      </c>
      <c r="AC3603">
        <v>18.281999999999901</v>
      </c>
      <c r="AD3603">
        <v>-1.153176</v>
      </c>
      <c r="AE3603">
        <v>-5.7728400000000004</v>
      </c>
      <c r="AF3603">
        <v>6.8926223491255003</v>
      </c>
      <c r="AG3603">
        <v>-1.153176</v>
      </c>
      <c r="AH3603">
        <v>17.815827161921298</v>
      </c>
      <c r="AI3603">
        <v>93.454597613725596</v>
      </c>
      <c r="AJ3603">
        <v>68.849444363374502</v>
      </c>
      <c r="AK3603">
        <v>19.137443799998302</v>
      </c>
      <c r="AL3603">
        <v>88.3998876034847</v>
      </c>
      <c r="AM3603">
        <v>82.7203382359545</v>
      </c>
      <c r="AN3603">
        <v>1.00000001260792</v>
      </c>
    </row>
    <row r="3604" spans="1:40" x14ac:dyDescent="0.3">
      <c r="A3604" t="str">
        <f>"20200111153950500"</f>
        <v>20200111153950500</v>
      </c>
      <c r="B3604" t="str">
        <f>"1578728390494646"</f>
        <v>1578728390494646</v>
      </c>
      <c r="C3604" t="s">
        <v>40</v>
      </c>
      <c r="D3604">
        <v>5.2683489999999997</v>
      </c>
      <c r="E3604">
        <v>0.59227159999999901</v>
      </c>
      <c r="F3604" t="s">
        <v>43</v>
      </c>
      <c r="G3604">
        <v>-314.55099999999999</v>
      </c>
      <c r="H3604">
        <v>-0.05</v>
      </c>
      <c r="I3604">
        <v>13.80077</v>
      </c>
      <c r="J3604">
        <v>-331.68669999999997</v>
      </c>
      <c r="K3604">
        <v>1.102976</v>
      </c>
      <c r="L3604">
        <v>19.255549999999999</v>
      </c>
      <c r="M3604">
        <v>0.99798719999999996</v>
      </c>
      <c r="N3604">
        <v>0</v>
      </c>
      <c r="O3604">
        <v>6.136403E-2</v>
      </c>
      <c r="P3604">
        <v>0.99768809999999997</v>
      </c>
      <c r="Q3604">
        <v>1.163313E-2</v>
      </c>
      <c r="R3604">
        <v>-6.6959299999999999E-2</v>
      </c>
      <c r="S3604">
        <v>2.9498289999999998</v>
      </c>
      <c r="T3604">
        <v>-0.19636970000000001</v>
      </c>
      <c r="U3604">
        <v>-0.92715449999999999</v>
      </c>
      <c r="V3604">
        <v>0.12820380000000001</v>
      </c>
      <c r="W3604">
        <v>2.684396E-2</v>
      </c>
      <c r="X3604">
        <v>0.99138440000000005</v>
      </c>
      <c r="Y3604">
        <v>0.35698190000000002</v>
      </c>
      <c r="Z3604">
        <v>-1.5583110000000001E-2</v>
      </c>
      <c r="AA3604">
        <v>0.93398130000000001</v>
      </c>
      <c r="AB3604">
        <v>30</v>
      </c>
      <c r="AC3604">
        <v>17.1356999999999</v>
      </c>
      <c r="AD3604">
        <v>-1.152976</v>
      </c>
      <c r="AE3604">
        <v>-5.4547799999999897</v>
      </c>
      <c r="AF3604">
        <v>6.46955326215343</v>
      </c>
      <c r="AG3604">
        <v>-1.152976</v>
      </c>
      <c r="AH3604">
        <v>16.699979551847999</v>
      </c>
      <c r="AI3604">
        <v>93.683531752778293</v>
      </c>
      <c r="AJ3604">
        <v>68.823688364599505</v>
      </c>
      <c r="AK3604">
        <v>17.946414407913299</v>
      </c>
      <c r="AL3604">
        <v>88.461769485591503</v>
      </c>
      <c r="AM3604">
        <v>82.631520252493701</v>
      </c>
      <c r="AN3604">
        <v>0.99999992054313702</v>
      </c>
    </row>
    <row r="3605" spans="1:40" x14ac:dyDescent="0.3">
      <c r="A3605" t="str">
        <f>"20200111153950519"</f>
        <v>20200111153950519</v>
      </c>
      <c r="B3605" t="str">
        <f>"1578728390504406"</f>
        <v>1578728390504406</v>
      </c>
      <c r="C3605" t="s">
        <v>40</v>
      </c>
      <c r="D3605">
        <v>5.2555379999999996</v>
      </c>
      <c r="E3605">
        <v>0.59208629999999995</v>
      </c>
      <c r="F3605" t="s">
        <v>43</v>
      </c>
      <c r="G3605">
        <v>-315.8417</v>
      </c>
      <c r="H3605">
        <v>-0.05</v>
      </c>
      <c r="I3605">
        <v>14.23523</v>
      </c>
      <c r="J3605">
        <v>-331.4427</v>
      </c>
      <c r="K3605">
        <v>1.102706</v>
      </c>
      <c r="L3605">
        <v>19.26782</v>
      </c>
      <c r="M3605">
        <v>0.99814700000000001</v>
      </c>
      <c r="N3605">
        <v>0</v>
      </c>
      <c r="O3605">
        <v>5.8653400000000001E-2</v>
      </c>
      <c r="P3605">
        <v>0.99728609999999895</v>
      </c>
      <c r="Q3605">
        <v>9.6379320000000001E-3</v>
      </c>
      <c r="R3605">
        <v>-7.2993269999999999E-2</v>
      </c>
      <c r="S3605">
        <v>2.946777</v>
      </c>
      <c r="T3605">
        <v>-0.21442430000000001</v>
      </c>
      <c r="U3605">
        <v>-0.93365480000000001</v>
      </c>
      <c r="V3605">
        <v>0.13151779999999999</v>
      </c>
      <c r="W3605">
        <v>2.492629E-2</v>
      </c>
      <c r="X3605">
        <v>0.9910004</v>
      </c>
      <c r="Y3605">
        <v>0.35644039999999999</v>
      </c>
      <c r="Z3605">
        <v>-1.6811679999999999E-2</v>
      </c>
      <c r="AA3605">
        <v>0.93416679999999996</v>
      </c>
      <c r="AB3605">
        <v>30</v>
      </c>
      <c r="AC3605">
        <v>15.601000000000001</v>
      </c>
      <c r="AD3605">
        <v>-1.152706</v>
      </c>
      <c r="AE3605">
        <v>-5.0325899999999999</v>
      </c>
      <c r="AF3605">
        <v>5.9098728438824102</v>
      </c>
      <c r="AG3605">
        <v>-1.152706</v>
      </c>
      <c r="AH3605">
        <v>15.203739185382499</v>
      </c>
      <c r="AI3605">
        <v>94.042159850500497</v>
      </c>
      <c r="AJ3605">
        <v>68.758308494621502</v>
      </c>
      <c r="AK3605">
        <v>16.352645454801198</v>
      </c>
      <c r="AL3605">
        <v>88.571680882592901</v>
      </c>
      <c r="AM3605">
        <v>82.440328620325204</v>
      </c>
      <c r="AN3605">
        <v>1.00000002222508</v>
      </c>
    </row>
    <row r="3606" spans="1:40" x14ac:dyDescent="0.3">
      <c r="A3606" t="str">
        <f>"20200111153950542"</f>
        <v>20200111153950542</v>
      </c>
      <c r="B3606" t="str">
        <f>"1578728390534665"</f>
        <v>1578728390534665</v>
      </c>
      <c r="C3606" t="s">
        <v>40</v>
      </c>
      <c r="D3606">
        <v>5.2508599999999896</v>
      </c>
      <c r="E3606">
        <v>0.59164939999999999</v>
      </c>
      <c r="F3606" t="s">
        <v>43</v>
      </c>
      <c r="G3606">
        <v>-316.47089999999997</v>
      </c>
      <c r="H3606">
        <v>-0.05</v>
      </c>
      <c r="I3606">
        <v>14.43294</v>
      </c>
      <c r="J3606">
        <v>-331.12240000000003</v>
      </c>
      <c r="K3606">
        <v>1.102349</v>
      </c>
      <c r="L3606">
        <v>19.28238</v>
      </c>
      <c r="M3606">
        <v>0.99836999999999998</v>
      </c>
      <c r="N3606">
        <v>0</v>
      </c>
      <c r="O3606">
        <v>5.4653689999999998E-2</v>
      </c>
      <c r="P3606">
        <v>0.9963611</v>
      </c>
      <c r="Q3606">
        <v>6.9146399999999997E-3</v>
      </c>
      <c r="R3606">
        <v>-8.4951390000000002E-2</v>
      </c>
      <c r="S3606">
        <v>2.940887</v>
      </c>
      <c r="T3606">
        <v>-0.22642419999999999</v>
      </c>
      <c r="U3606">
        <v>-0.94970699999999997</v>
      </c>
      <c r="V3606">
        <v>0.1394398</v>
      </c>
      <c r="W3606">
        <v>2.2252460000000002E-2</v>
      </c>
      <c r="X3606">
        <v>0.98998050000000004</v>
      </c>
      <c r="Y3606">
        <v>0.35775220000000002</v>
      </c>
      <c r="Z3606">
        <v>-1.7517890000000001E-2</v>
      </c>
      <c r="AA3606">
        <v>0.93365229999999999</v>
      </c>
      <c r="AB3606">
        <v>30</v>
      </c>
      <c r="AC3606">
        <v>14.6515</v>
      </c>
      <c r="AD3606">
        <v>-1.1523490000000001</v>
      </c>
      <c r="AE3606">
        <v>-4.8494400000000004</v>
      </c>
      <c r="AF3606">
        <v>5.6117702652366699</v>
      </c>
      <c r="AG3606">
        <v>-1.1523490000000001</v>
      </c>
      <c r="AH3606">
        <v>14.284879576509001</v>
      </c>
      <c r="AI3606">
        <v>94.293892971323302</v>
      </c>
      <c r="AJ3606">
        <v>68.552773447814204</v>
      </c>
      <c r="AK3606">
        <v>15.390830329873699</v>
      </c>
      <c r="AL3606">
        <v>88.724922725893407</v>
      </c>
      <c r="AM3606">
        <v>81.982570583564893</v>
      </c>
      <c r="AN3606">
        <v>1.00000001009017</v>
      </c>
    </row>
    <row r="3607" spans="1:40" x14ac:dyDescent="0.3">
      <c r="A3607" t="str">
        <f>"20200111153950563"</f>
        <v>20200111153950563</v>
      </c>
      <c r="B3607" t="str">
        <f>"1578728390554184"</f>
        <v>1578728390554184</v>
      </c>
      <c r="C3607" t="s">
        <v>40</v>
      </c>
      <c r="D3607">
        <v>5.2594240000000001</v>
      </c>
      <c r="E3607">
        <v>0.59145499999999995</v>
      </c>
      <c r="F3607" t="s">
        <v>43</v>
      </c>
      <c r="G3607">
        <v>-317.64800000000002</v>
      </c>
      <c r="H3607">
        <v>-0.05</v>
      </c>
      <c r="I3607">
        <v>14.76984</v>
      </c>
      <c r="J3607">
        <v>-330.83609999999999</v>
      </c>
      <c r="K3607">
        <v>1.1020719999999999</v>
      </c>
      <c r="L3607">
        <v>19.293880000000001</v>
      </c>
      <c r="M3607">
        <v>0.99857410000000002</v>
      </c>
      <c r="N3607">
        <v>0</v>
      </c>
      <c r="O3607">
        <v>5.0724520000000002E-2</v>
      </c>
      <c r="P3607">
        <v>0.99552399999999996</v>
      </c>
      <c r="Q3607">
        <v>6.9974319999999996E-3</v>
      </c>
      <c r="R3607">
        <v>-9.4250970000000003E-2</v>
      </c>
      <c r="S3607">
        <v>2.9290470000000002</v>
      </c>
      <c r="T3607">
        <v>-0.25049519999999997</v>
      </c>
      <c r="U3607">
        <v>-0.98092650000000003</v>
      </c>
      <c r="V3607">
        <v>0.1448053</v>
      </c>
      <c r="W3607">
        <v>2.2376879999999998E-2</v>
      </c>
      <c r="X3607">
        <v>0.98920710000000001</v>
      </c>
      <c r="Y3607">
        <v>0.36389100000000002</v>
      </c>
      <c r="Z3607">
        <v>-1.9344900000000002E-2</v>
      </c>
      <c r="AA3607">
        <v>0.93124059999999997</v>
      </c>
      <c r="AB3607">
        <v>30</v>
      </c>
      <c r="AC3607">
        <v>13.1881</v>
      </c>
      <c r="AD3607">
        <v>-1.152072</v>
      </c>
      <c r="AE3607">
        <v>-4.5240399999999896</v>
      </c>
      <c r="AF3607">
        <v>5.1520898767405203</v>
      </c>
      <c r="AG3607">
        <v>-1.152072</v>
      </c>
      <c r="AH3607">
        <v>12.8538434375482</v>
      </c>
      <c r="AI3607">
        <v>94.755741563098894</v>
      </c>
      <c r="AJ3607">
        <v>68.158052350184903</v>
      </c>
      <c r="AK3607">
        <v>13.895776016768499</v>
      </c>
      <c r="AL3607">
        <v>88.717792187864106</v>
      </c>
      <c r="AM3607">
        <v>81.671895123460402</v>
      </c>
      <c r="AN3607">
        <v>0.99999999317851695</v>
      </c>
    </row>
    <row r="3608" spans="1:40" x14ac:dyDescent="0.3">
      <c r="A3608" t="str">
        <f>"20200111153950586"</f>
        <v>20200111153950586</v>
      </c>
      <c r="B3608" t="str">
        <f>"1578728390574681"</f>
        <v>1578728390574681</v>
      </c>
      <c r="C3608" t="s">
        <v>40</v>
      </c>
      <c r="D3608">
        <v>5.3473329999999999</v>
      </c>
      <c r="E3608">
        <v>0.59148659999999997</v>
      </c>
      <c r="F3608" t="s">
        <v>43</v>
      </c>
      <c r="G3608">
        <v>-317.85750000000002</v>
      </c>
      <c r="H3608">
        <v>-0.05</v>
      </c>
      <c r="I3608">
        <v>14.82062</v>
      </c>
      <c r="J3608">
        <v>-330.55169999999998</v>
      </c>
      <c r="K3608">
        <v>1.101831</v>
      </c>
      <c r="L3608">
        <v>19.30386</v>
      </c>
      <c r="M3608">
        <v>0.99877669999999996</v>
      </c>
      <c r="N3608">
        <v>0</v>
      </c>
      <c r="O3608">
        <v>4.6502769999999999E-2</v>
      </c>
      <c r="P3608">
        <v>0.99459350000000002</v>
      </c>
      <c r="Q3608">
        <v>7.7094479999999998E-3</v>
      </c>
      <c r="R3608">
        <v>-0.10355880000000001</v>
      </c>
      <c r="S3608">
        <v>2.9200439999999999</v>
      </c>
      <c r="T3608">
        <v>-0.25920490000000002</v>
      </c>
      <c r="U3608">
        <v>-1.0064390000000001</v>
      </c>
      <c r="V3608">
        <v>0.1498968</v>
      </c>
      <c r="W3608">
        <v>2.3119130000000002E-2</v>
      </c>
      <c r="X3608">
        <v>0.98843130000000001</v>
      </c>
      <c r="Y3608">
        <v>0.36800919999999998</v>
      </c>
      <c r="Z3608">
        <v>-1.9858919999999999E-2</v>
      </c>
      <c r="AA3608">
        <v>0.92961000000000005</v>
      </c>
      <c r="AB3608">
        <v>30</v>
      </c>
      <c r="AC3608">
        <v>12.694199999999899</v>
      </c>
      <c r="AD3608">
        <v>-1.151831</v>
      </c>
      <c r="AE3608">
        <v>-4.4832399999999897</v>
      </c>
      <c r="AF3608">
        <v>5.0319528673143799</v>
      </c>
      <c r="AG3608">
        <v>-1.151831</v>
      </c>
      <c r="AH3608">
        <v>12.3813177379433</v>
      </c>
      <c r="AI3608">
        <v>94.925807940605097</v>
      </c>
      <c r="AJ3608">
        <v>67.882439056124994</v>
      </c>
      <c r="AK3608">
        <v>13.4143316359535</v>
      </c>
      <c r="AL3608">
        <v>88.675253382065506</v>
      </c>
      <c r="AM3608">
        <v>81.376731488105193</v>
      </c>
      <c r="AN3608">
        <v>0.99999998982094296</v>
      </c>
    </row>
    <row r="3609" spans="1:40" x14ac:dyDescent="0.3">
      <c r="A3609" t="str">
        <f>"20200111153950608"</f>
        <v>20200111153950608</v>
      </c>
      <c r="B3609" t="str">
        <f>"1578728390604934"</f>
        <v>1578728390604934</v>
      </c>
      <c r="C3609" t="s">
        <v>40</v>
      </c>
      <c r="D3609">
        <v>5.2555459999999998</v>
      </c>
      <c r="E3609">
        <v>0.63476460000000001</v>
      </c>
      <c r="F3609" t="s">
        <v>43</v>
      </c>
      <c r="G3609">
        <v>-317.53449999999998</v>
      </c>
      <c r="H3609">
        <v>-0.05</v>
      </c>
      <c r="I3609">
        <v>14.679959999999999</v>
      </c>
      <c r="J3609">
        <v>-330.25529999999998</v>
      </c>
      <c r="K3609">
        <v>1.1015950000000001</v>
      </c>
      <c r="L3609">
        <v>19.31259</v>
      </c>
      <c r="M3609">
        <v>0.99898240000000005</v>
      </c>
      <c r="N3609">
        <v>0</v>
      </c>
      <c r="O3609">
        <v>4.178457E-2</v>
      </c>
      <c r="P3609">
        <v>0.99354200000000004</v>
      </c>
      <c r="Q3609">
        <v>8.7782569999999994E-3</v>
      </c>
      <c r="R3609">
        <v>-0.113126</v>
      </c>
      <c r="S3609">
        <v>2.9106450000000001</v>
      </c>
      <c r="T3609">
        <v>-0.2575499</v>
      </c>
      <c r="U3609">
        <v>-1.0339050000000001</v>
      </c>
      <c r="V3609">
        <v>0.15476400000000001</v>
      </c>
      <c r="W3609">
        <v>2.421077E-2</v>
      </c>
      <c r="X3609">
        <v>0.9876547</v>
      </c>
      <c r="Y3609">
        <v>0.37236989999999998</v>
      </c>
      <c r="Z3609">
        <v>-1.9544200000000001E-2</v>
      </c>
      <c r="AA3609">
        <v>0.9278786</v>
      </c>
      <c r="AB3609">
        <v>29</v>
      </c>
      <c r="AC3609">
        <v>12.720799999999899</v>
      </c>
      <c r="AD3609">
        <v>-1.1515949999999999</v>
      </c>
      <c r="AE3609">
        <v>-4.63262999999999</v>
      </c>
      <c r="AF3609">
        <v>5.1231229557118496</v>
      </c>
      <c r="AG3609">
        <v>-1.1515949999999999</v>
      </c>
      <c r="AH3609">
        <v>12.4261737792067</v>
      </c>
      <c r="AI3609">
        <v>94.897073866233399</v>
      </c>
      <c r="AJ3609">
        <v>67.594388903662804</v>
      </c>
      <c r="AK3609">
        <v>13.490083567361999</v>
      </c>
      <c r="AL3609">
        <v>88.612689411721703</v>
      </c>
      <c r="AM3609">
        <v>81.094258396848105</v>
      </c>
      <c r="AN3609">
        <v>0.99999993175603896</v>
      </c>
    </row>
    <row r="3610" spans="1:40" x14ac:dyDescent="0.3">
      <c r="A3610" t="str">
        <f>"20200111153950632"</f>
        <v>20200111153950632</v>
      </c>
      <c r="B3610" t="str">
        <f>"1578728390624454"</f>
        <v>1578728390624454</v>
      </c>
      <c r="C3610" t="s">
        <v>40</v>
      </c>
      <c r="D3610">
        <v>5.3003330000000002</v>
      </c>
      <c r="E3610">
        <v>0.63605049999999996</v>
      </c>
      <c r="F3610" t="s">
        <v>43</v>
      </c>
      <c r="G3610">
        <v>-316.62990000000002</v>
      </c>
      <c r="H3610">
        <v>-0.05</v>
      </c>
      <c r="I3610">
        <v>12.62158</v>
      </c>
      <c r="J3610">
        <v>-329.9547</v>
      </c>
      <c r="K3610">
        <v>1.1013740000000001</v>
      </c>
      <c r="L3610">
        <v>19.31973</v>
      </c>
      <c r="M3610">
        <v>0.9991797</v>
      </c>
      <c r="N3610">
        <v>0</v>
      </c>
      <c r="O3610">
        <v>3.6693620000000003E-2</v>
      </c>
      <c r="P3610">
        <v>0.99247940000000001</v>
      </c>
      <c r="Q3610">
        <v>9.2994410000000003E-3</v>
      </c>
      <c r="R3610">
        <v>-0.1220599</v>
      </c>
      <c r="S3610">
        <v>2.8616030000000001</v>
      </c>
      <c r="T3610">
        <v>-0.24185699999999999</v>
      </c>
      <c r="U3610">
        <v>-1.405243</v>
      </c>
      <c r="V3610">
        <v>0.1586359</v>
      </c>
      <c r="W3610">
        <v>2.4752779999999999E-2</v>
      </c>
      <c r="X3610">
        <v>0.98702679999999998</v>
      </c>
      <c r="Y3610">
        <v>0.47196470000000001</v>
      </c>
      <c r="Z3610">
        <v>-2.1775780000000002E-2</v>
      </c>
      <c r="AA3610">
        <v>0.88134849999999998</v>
      </c>
      <c r="AB3610">
        <v>29</v>
      </c>
      <c r="AC3610">
        <v>13.3247999999999</v>
      </c>
      <c r="AD3610">
        <v>-1.1513739999999999</v>
      </c>
      <c r="AE3610">
        <v>-6.69815</v>
      </c>
      <c r="AF3610">
        <v>7.1400877741579603</v>
      </c>
      <c r="AG3610">
        <v>-1.1513739999999999</v>
      </c>
      <c r="AH3610">
        <v>12.9925689489226</v>
      </c>
      <c r="AI3610">
        <v>94.440853776959401</v>
      </c>
      <c r="AJ3610">
        <v>61.208932256939697</v>
      </c>
      <c r="AK3610">
        <v>14.869881082344399</v>
      </c>
      <c r="AL3610">
        <v>88.581625276431893</v>
      </c>
      <c r="AM3610">
        <v>80.869450446377499</v>
      </c>
      <c r="AN3610">
        <v>0.99999997640238802</v>
      </c>
    </row>
    <row r="3611" spans="1:40" x14ac:dyDescent="0.3">
      <c r="A3611" t="str">
        <f>"20200111153950655"</f>
        <v>20200111153950655</v>
      </c>
      <c r="B3611" t="str">
        <f>"1578728390644950"</f>
        <v>1578728390644950</v>
      </c>
      <c r="C3611" t="s">
        <v>40</v>
      </c>
      <c r="D3611">
        <v>5.3152410000000003</v>
      </c>
      <c r="E3611">
        <v>0.63632730000000004</v>
      </c>
      <c r="F3611" t="s">
        <v>43</v>
      </c>
      <c r="G3611">
        <v>-314.9633</v>
      </c>
      <c r="H3611">
        <v>-0.05</v>
      </c>
      <c r="I3611">
        <v>11.73082</v>
      </c>
      <c r="J3611">
        <v>-329.64679999999998</v>
      </c>
      <c r="K3611">
        <v>1.1011649999999999</v>
      </c>
      <c r="L3611">
        <v>19.32516</v>
      </c>
      <c r="M3611">
        <v>0.99936440000000004</v>
      </c>
      <c r="N3611">
        <v>0</v>
      </c>
      <c r="O3611">
        <v>3.1187119999999999E-2</v>
      </c>
      <c r="P3611">
        <v>0.99131210000000003</v>
      </c>
      <c r="Q3611">
        <v>9.0332079999999992E-3</v>
      </c>
      <c r="R3611">
        <v>-0.13122159999999999</v>
      </c>
      <c r="S3611">
        <v>2.8474729999999999</v>
      </c>
      <c r="T3611">
        <v>-0.21869179999999999</v>
      </c>
      <c r="U3611">
        <v>-1.4414370000000001</v>
      </c>
      <c r="V3611">
        <v>0.1623251</v>
      </c>
      <c r="W3611">
        <v>2.4496319999999999E-2</v>
      </c>
      <c r="X3611">
        <v>0.98643320000000001</v>
      </c>
      <c r="Y3611">
        <v>0.47805550000000002</v>
      </c>
      <c r="Z3611">
        <v>-1.9550769999999999E-2</v>
      </c>
      <c r="AA3611">
        <v>0.878112</v>
      </c>
      <c r="AB3611">
        <v>29</v>
      </c>
      <c r="AC3611">
        <v>14.683499999999899</v>
      </c>
      <c r="AD3611">
        <v>-1.151165</v>
      </c>
      <c r="AE3611">
        <v>-7.5943399999999999</v>
      </c>
      <c r="AF3611">
        <v>8.0098080650732708</v>
      </c>
      <c r="AG3611">
        <v>-1.151165</v>
      </c>
      <c r="AH3611">
        <v>14.369792607209201</v>
      </c>
      <c r="AI3611">
        <v>94.002676670581593</v>
      </c>
      <c r="AJ3611">
        <v>60.864443918081903</v>
      </c>
      <c r="AK3611">
        <v>16.491608340933301</v>
      </c>
      <c r="AL3611">
        <v>88.5963238186269</v>
      </c>
      <c r="AM3611">
        <v>80.655291374631403</v>
      </c>
      <c r="AN3611">
        <v>0.99999998292289605</v>
      </c>
    </row>
    <row r="3612" spans="1:40" x14ac:dyDescent="0.3">
      <c r="A3612" t="str">
        <f>"20200111153950677"</f>
        <v>20200111153950677</v>
      </c>
      <c r="B3612" t="str">
        <f>"1578728390664470"</f>
        <v>1578728390664470</v>
      </c>
      <c r="C3612" t="s">
        <v>40</v>
      </c>
      <c r="D3612">
        <v>5.2916860000000003</v>
      </c>
      <c r="E3612">
        <v>0.63637129999999997</v>
      </c>
      <c r="F3612" t="s">
        <v>43</v>
      </c>
      <c r="G3612">
        <v>-314.04349999999999</v>
      </c>
      <c r="H3612">
        <v>-0.05</v>
      </c>
      <c r="I3612">
        <v>11.23016</v>
      </c>
      <c r="J3612">
        <v>-329.36689999999999</v>
      </c>
      <c r="K3612">
        <v>1.100978</v>
      </c>
      <c r="L3612">
        <v>19.32816</v>
      </c>
      <c r="M3612">
        <v>0.99951310000000004</v>
      </c>
      <c r="N3612">
        <v>0</v>
      </c>
      <c r="O3612">
        <v>2.5911690000000001E-2</v>
      </c>
      <c r="P3612">
        <v>0.99027529999999997</v>
      </c>
      <c r="Q3612">
        <v>8.7161619999999995E-3</v>
      </c>
      <c r="R3612">
        <v>-0.13884939999999901</v>
      </c>
      <c r="S3612">
        <v>2.8335880000000002</v>
      </c>
      <c r="T3612">
        <v>-0.20905270000000001</v>
      </c>
      <c r="U3612">
        <v>-1.470062</v>
      </c>
      <c r="V3612">
        <v>0.164721799999999</v>
      </c>
      <c r="W3612">
        <v>2.4187420000000001E-2</v>
      </c>
      <c r="X3612">
        <v>0.98604349999999996</v>
      </c>
      <c r="Y3612">
        <v>0.48227049999999999</v>
      </c>
      <c r="Z3612">
        <v>-1.851121E-2</v>
      </c>
      <c r="AA3612">
        <v>0.87582680000000002</v>
      </c>
      <c r="AB3612">
        <v>29</v>
      </c>
      <c r="AC3612">
        <v>15.3233999999999</v>
      </c>
      <c r="AD3612">
        <v>-1.1509780000000001</v>
      </c>
      <c r="AE3612">
        <v>-8.0979999999999901</v>
      </c>
      <c r="AF3612">
        <v>8.4551067491715592</v>
      </c>
      <c r="AG3612">
        <v>-1.1509780000000001</v>
      </c>
      <c r="AH3612">
        <v>15.0420505715531</v>
      </c>
      <c r="AI3612">
        <v>93.816096793170701</v>
      </c>
      <c r="AJ3612">
        <v>60.659745668443897</v>
      </c>
      <c r="AK3612">
        <v>17.293838957661499</v>
      </c>
      <c r="AL3612">
        <v>88.614027814767496</v>
      </c>
      <c r="AM3612">
        <v>80.5161265666856</v>
      </c>
      <c r="AN3612">
        <v>1.0000000432868701</v>
      </c>
    </row>
    <row r="3613" spans="1:40" x14ac:dyDescent="0.3">
      <c r="A3613" t="str">
        <f>"20200111153950697"</f>
        <v>20200111153950697</v>
      </c>
      <c r="B3613" t="str">
        <f>"1578728390684966"</f>
        <v>1578728390684966</v>
      </c>
      <c r="C3613" t="s">
        <v>40</v>
      </c>
      <c r="D3613">
        <v>5.2996509999999999</v>
      </c>
      <c r="E3613">
        <v>0.63619150000000002</v>
      </c>
      <c r="F3613" t="s">
        <v>43</v>
      </c>
      <c r="G3613">
        <v>-313.54360000000003</v>
      </c>
      <c r="H3613">
        <v>-0.05</v>
      </c>
      <c r="I3613">
        <v>10.95966</v>
      </c>
      <c r="J3613">
        <v>-329.09129999999999</v>
      </c>
      <c r="K3613">
        <v>1.100808</v>
      </c>
      <c r="L3613">
        <v>19.329440000000002</v>
      </c>
      <c r="M3613">
        <v>0.99963630000000003</v>
      </c>
      <c r="N3613">
        <v>0</v>
      </c>
      <c r="O3613">
        <v>2.0530070000000001E-2</v>
      </c>
      <c r="P3613">
        <v>0.98931849999999999</v>
      </c>
      <c r="Q3613">
        <v>6.7785479999999997E-3</v>
      </c>
      <c r="R3613">
        <v>-0.1456124</v>
      </c>
      <c r="S3613">
        <v>2.8220209999999999</v>
      </c>
      <c r="T3613">
        <v>-0.20527300000000001</v>
      </c>
      <c r="U3613">
        <v>-1.4924930000000001</v>
      </c>
      <c r="V3613">
        <v>0.16614089999999901</v>
      </c>
      <c r="W3613">
        <v>2.2265799999999999E-2</v>
      </c>
      <c r="X3613">
        <v>0.98585060000000002</v>
      </c>
      <c r="Y3613">
        <v>0.48452269999999997</v>
      </c>
      <c r="Z3613">
        <v>-1.792053E-2</v>
      </c>
      <c r="AA3613">
        <v>0.87459509999999996</v>
      </c>
      <c r="AB3613">
        <v>29</v>
      </c>
      <c r="AC3613">
        <v>15.547699999999899</v>
      </c>
      <c r="AD3613">
        <v>-1.1508080000000001</v>
      </c>
      <c r="AE3613">
        <v>-8.3697799999999898</v>
      </c>
      <c r="AF3613">
        <v>8.6505149864977895</v>
      </c>
      <c r="AG3613">
        <v>-1.1508080000000001</v>
      </c>
      <c r="AH3613">
        <v>15.307542133878901</v>
      </c>
      <c r="AI3613">
        <v>93.744728134304495</v>
      </c>
      <c r="AJ3613">
        <v>60.5285763300813</v>
      </c>
      <c r="AK3613">
        <v>17.620346613076698</v>
      </c>
      <c r="AL3613">
        <v>88.724158178780399</v>
      </c>
      <c r="AM3613">
        <v>80.434087983968794</v>
      </c>
      <c r="AN3613">
        <v>0.99999998501140397</v>
      </c>
    </row>
    <row r="3614" spans="1:40" x14ac:dyDescent="0.3">
      <c r="A3614" t="str">
        <f>"20200111153950721"</f>
        <v>20200111153950721</v>
      </c>
      <c r="B3614" t="str">
        <f>"1578728390714248"</f>
        <v>1578728390714248</v>
      </c>
      <c r="C3614" t="s">
        <v>40</v>
      </c>
      <c r="D3614">
        <v>5.2766029999999997</v>
      </c>
      <c r="E3614">
        <v>0.63531510000000002</v>
      </c>
      <c r="F3614" t="s">
        <v>43</v>
      </c>
      <c r="G3614">
        <v>-313.4846</v>
      </c>
      <c r="H3614">
        <v>-0.05</v>
      </c>
      <c r="I3614">
        <v>10.94543</v>
      </c>
      <c r="J3614">
        <v>-328.79590000000002</v>
      </c>
      <c r="K3614">
        <v>1.100651</v>
      </c>
      <c r="L3614">
        <v>19.328890000000001</v>
      </c>
      <c r="M3614">
        <v>0.99973959999999995</v>
      </c>
      <c r="N3614">
        <v>0</v>
      </c>
      <c r="O3614">
        <v>1.454859E-2</v>
      </c>
      <c r="P3614">
        <v>0.98832920000000002</v>
      </c>
      <c r="Q3614">
        <v>4.9022329999999998E-3</v>
      </c>
      <c r="R3614">
        <v>-0.1522551</v>
      </c>
      <c r="S3614">
        <v>2.811493</v>
      </c>
      <c r="T3614">
        <v>-0.20731379999999999</v>
      </c>
      <c r="U3614">
        <v>-1.510345</v>
      </c>
      <c r="V3614">
        <v>0.16685369999999999</v>
      </c>
      <c r="W3614">
        <v>2.0412759999999999E-2</v>
      </c>
      <c r="X3614">
        <v>0.98577029999999999</v>
      </c>
      <c r="Y3614">
        <v>0.4849543</v>
      </c>
      <c r="Z3614">
        <v>-1.7734E-2</v>
      </c>
      <c r="AA3614">
        <v>0.87435969999999996</v>
      </c>
      <c r="AB3614">
        <v>29</v>
      </c>
      <c r="AC3614">
        <v>15.311299999999999</v>
      </c>
      <c r="AD3614">
        <v>-1.1506510000000001</v>
      </c>
      <c r="AE3614">
        <v>-8.3834599999999906</v>
      </c>
      <c r="AF3614">
        <v>8.5681362506119907</v>
      </c>
      <c r="AG3614">
        <v>-1.1506510000000001</v>
      </c>
      <c r="AH3614">
        <v>15.1219877605241</v>
      </c>
      <c r="AI3614">
        <v>93.787621874794795</v>
      </c>
      <c r="AJ3614">
        <v>60.464057530838097</v>
      </c>
      <c r="AK3614">
        <v>17.418710353016699</v>
      </c>
      <c r="AL3614">
        <v>88.830353720586601</v>
      </c>
      <c r="AM3614">
        <v>80.393042298644801</v>
      </c>
      <c r="AN3614">
        <v>0.99999996116829803</v>
      </c>
    </row>
    <row r="3615" spans="1:40" x14ac:dyDescent="0.3">
      <c r="A3615" t="str">
        <f>"20200111153950744"</f>
        <v>20200111153950744</v>
      </c>
      <c r="B3615" t="str">
        <f>"1578728390734742"</f>
        <v>1578728390734742</v>
      </c>
      <c r="C3615" t="s">
        <v>40</v>
      </c>
      <c r="D3615">
        <v>5.2882179999999996</v>
      </c>
      <c r="E3615">
        <v>0.63458349999999997</v>
      </c>
      <c r="F3615" t="s">
        <v>43</v>
      </c>
      <c r="G3615">
        <v>-313.80239999999998</v>
      </c>
      <c r="H3615">
        <v>-0.05</v>
      </c>
      <c r="I3615">
        <v>11.182449999999999</v>
      </c>
      <c r="J3615">
        <v>-328.48649999999998</v>
      </c>
      <c r="K3615">
        <v>1.10049</v>
      </c>
      <c r="L3615">
        <v>19.326170000000001</v>
      </c>
      <c r="M3615">
        <v>0.99981160000000002</v>
      </c>
      <c r="N3615">
        <v>0</v>
      </c>
      <c r="O3615">
        <v>8.0413640000000005E-3</v>
      </c>
      <c r="P3615">
        <v>0.98738879999999996</v>
      </c>
      <c r="Q3615">
        <v>2.774856E-3</v>
      </c>
      <c r="R3615">
        <v>-0.15829089999999901</v>
      </c>
      <c r="S3615">
        <v>2.801971</v>
      </c>
      <c r="T3615">
        <v>-0.21503269999999999</v>
      </c>
      <c r="U3615">
        <v>-1.5224</v>
      </c>
      <c r="V3615">
        <v>0.1664446</v>
      </c>
      <c r="W3615">
        <v>1.831317E-2</v>
      </c>
      <c r="X3615">
        <v>0.98588070000000005</v>
      </c>
      <c r="Y3615">
        <v>0.48334820000000001</v>
      </c>
      <c r="Z3615">
        <v>-1.790516E-2</v>
      </c>
      <c r="AA3615">
        <v>0.875245099999999</v>
      </c>
      <c r="AB3615">
        <v>29</v>
      </c>
      <c r="AC3615">
        <v>14.684100000000001</v>
      </c>
      <c r="AD3615">
        <v>-1.15049</v>
      </c>
      <c r="AE3615">
        <v>-8.1437200000000001</v>
      </c>
      <c r="AF3615">
        <v>8.2229512510333702</v>
      </c>
      <c r="AG3615">
        <v>-1.15049</v>
      </c>
      <c r="AH3615">
        <v>14.5498217320275</v>
      </c>
      <c r="AI3615">
        <v>93.937987456412401</v>
      </c>
      <c r="AJ3615">
        <v>60.526680775042401</v>
      </c>
      <c r="AK3615">
        <v>16.752249608657099</v>
      </c>
      <c r="AL3615">
        <v>88.950673955618896</v>
      </c>
      <c r="AM3615">
        <v>80.417212978826498</v>
      </c>
      <c r="AN3615">
        <v>0.999999965848548</v>
      </c>
    </row>
    <row r="3616" spans="1:40" x14ac:dyDescent="0.3">
      <c r="A3616" t="str">
        <f>"20200111153950765"</f>
        <v>20200111153950765</v>
      </c>
      <c r="B3616" t="str">
        <f>"1578728390754262"</f>
        <v>1578728390754262</v>
      </c>
      <c r="C3616" t="s">
        <v>40</v>
      </c>
      <c r="D3616">
        <v>5.3505419999999999</v>
      </c>
      <c r="E3616">
        <v>0.63409759999999904</v>
      </c>
      <c r="F3616" t="s">
        <v>43</v>
      </c>
      <c r="G3616">
        <v>-313.98540000000003</v>
      </c>
      <c r="H3616">
        <v>-0.05</v>
      </c>
      <c r="I3616">
        <v>11.363950000000001</v>
      </c>
      <c r="J3616">
        <v>-328.2174</v>
      </c>
      <c r="K3616">
        <v>1.100355</v>
      </c>
      <c r="L3616">
        <v>19.32199</v>
      </c>
      <c r="M3616">
        <v>0.99984090000000003</v>
      </c>
      <c r="N3616">
        <v>0</v>
      </c>
      <c r="O3616">
        <v>2.1761860000000001E-3</v>
      </c>
      <c r="P3616">
        <v>0.98657240000000002</v>
      </c>
      <c r="Q3616">
        <v>1.466778E-3</v>
      </c>
      <c r="R3616">
        <v>-0.16331979999999999</v>
      </c>
      <c r="S3616">
        <v>2.793091</v>
      </c>
      <c r="T3616">
        <v>-0.22160009999999999</v>
      </c>
      <c r="U3616">
        <v>-1.5336299999999901</v>
      </c>
      <c r="V3616">
        <v>0.16567570000000001</v>
      </c>
      <c r="W3616">
        <v>1.7012559999999999E-2</v>
      </c>
      <c r="X3616">
        <v>0.98603359999999995</v>
      </c>
      <c r="Y3616">
        <v>0.48203639999999998</v>
      </c>
      <c r="Z3616">
        <v>-1.8002339999999999E-2</v>
      </c>
      <c r="AA3616">
        <v>0.87596629999999998</v>
      </c>
      <c r="AB3616">
        <v>29</v>
      </c>
      <c r="AC3616">
        <v>14.2319999999999</v>
      </c>
      <c r="AD3616">
        <v>-1.150355</v>
      </c>
      <c r="AE3616">
        <v>-7.9580399999999898</v>
      </c>
      <c r="AF3616">
        <v>7.9494322408281102</v>
      </c>
      <c r="AG3616">
        <v>-1.150355</v>
      </c>
      <c r="AH3616">
        <v>14.1442478423387</v>
      </c>
      <c r="AI3616">
        <v>94.055473331982398</v>
      </c>
      <c r="AJ3616">
        <v>60.662889807104001</v>
      </c>
      <c r="AK3616">
        <v>16.265808821053</v>
      </c>
      <c r="AL3616">
        <v>89.025205148381602</v>
      </c>
      <c r="AM3616">
        <v>80.462117855447005</v>
      </c>
      <c r="AN3616">
        <v>1.0000000625485901</v>
      </c>
    </row>
    <row r="3617" spans="1:40" x14ac:dyDescent="0.3">
      <c r="A3617" t="str">
        <f>"20200111153950788"</f>
        <v>20200111153950788</v>
      </c>
      <c r="B3617" t="str">
        <f>"1578728390784520"</f>
        <v>1578728390784520</v>
      </c>
      <c r="C3617" t="s">
        <v>40</v>
      </c>
      <c r="D3617">
        <v>5.3610389999999999</v>
      </c>
      <c r="E3617">
        <v>0.63359639999999995</v>
      </c>
      <c r="F3617" t="s">
        <v>43</v>
      </c>
      <c r="G3617">
        <v>-314.19159999999999</v>
      </c>
      <c r="H3617">
        <v>-0.05</v>
      </c>
      <c r="I3617">
        <v>11.54973</v>
      </c>
      <c r="J3617">
        <v>-327.92509999999999</v>
      </c>
      <c r="K3617">
        <v>1.100195</v>
      </c>
      <c r="L3617">
        <v>19.3154</v>
      </c>
      <c r="M3617">
        <v>0.99983299999999997</v>
      </c>
      <c r="N3617">
        <v>0</v>
      </c>
      <c r="O3617">
        <v>-4.418618E-3</v>
      </c>
      <c r="P3617">
        <v>0.98561880000000002</v>
      </c>
      <c r="Q3617">
        <v>9.4482330000000001E-4</v>
      </c>
      <c r="R3617">
        <v>-0.1689821</v>
      </c>
      <c r="S3617">
        <v>2.7856450000000001</v>
      </c>
      <c r="T3617">
        <v>-0.22847039999999999</v>
      </c>
      <c r="U3617">
        <v>-1.5436399999999999</v>
      </c>
      <c r="V3617">
        <v>0.16483390000000001</v>
      </c>
      <c r="W3617">
        <v>1.6461409999999999E-2</v>
      </c>
      <c r="X3617">
        <v>0.9861839</v>
      </c>
      <c r="Y3617">
        <v>0.47960659999999999</v>
      </c>
      <c r="Z3617">
        <v>-1.7990409999999998E-2</v>
      </c>
      <c r="AA3617">
        <v>0.87729919999999995</v>
      </c>
      <c r="AB3617">
        <v>29</v>
      </c>
      <c r="AC3617">
        <v>13.7334999999999</v>
      </c>
      <c r="AD3617">
        <v>-1.1501950000000001</v>
      </c>
      <c r="AE3617">
        <v>-7.7656700000000001</v>
      </c>
      <c r="AF3617">
        <v>7.6641674941782103</v>
      </c>
      <c r="AG3617">
        <v>-1.1501950000000001</v>
      </c>
      <c r="AH3617">
        <v>13.694898237663599</v>
      </c>
      <c r="AI3617">
        <v>94.191748134175299</v>
      </c>
      <c r="AJ3617">
        <v>60.7670228261521</v>
      </c>
      <c r="AK3617">
        <v>15.735712556373301</v>
      </c>
      <c r="AL3617">
        <v>89.056788022706101</v>
      </c>
      <c r="AM3617">
        <v>80.5111162819166</v>
      </c>
      <c r="AN3617">
        <v>0.99999993861380199</v>
      </c>
    </row>
    <row r="3618" spans="1:40" x14ac:dyDescent="0.3">
      <c r="A3618" t="str">
        <f>"20200111153950810"</f>
        <v>20200111153950810</v>
      </c>
      <c r="B3618" t="str">
        <f>"1578728390805015"</f>
        <v>1578728390805015</v>
      </c>
      <c r="C3618" t="s">
        <v>40</v>
      </c>
      <c r="D3618">
        <v>5.3641069999999997</v>
      </c>
      <c r="E3618">
        <v>0.63337840000000001</v>
      </c>
      <c r="F3618" t="s">
        <v>43</v>
      </c>
      <c r="G3618">
        <v>-314.26780000000002</v>
      </c>
      <c r="H3618">
        <v>-0.05</v>
      </c>
      <c r="I3618">
        <v>11.66821</v>
      </c>
      <c r="J3618">
        <v>-327.64060000000001</v>
      </c>
      <c r="K3618">
        <v>1.100031</v>
      </c>
      <c r="L3618">
        <v>19.306920000000002</v>
      </c>
      <c r="M3618">
        <v>0.99978199999999995</v>
      </c>
      <c r="N3618">
        <v>0</v>
      </c>
      <c r="O3618">
        <v>-1.1069270000000001E-2</v>
      </c>
      <c r="P3618">
        <v>0.98467789999999999</v>
      </c>
      <c r="Q3618">
        <v>6.0859830000000001E-4</v>
      </c>
      <c r="R3618">
        <v>-0.1743826</v>
      </c>
      <c r="S3618">
        <v>2.777374</v>
      </c>
      <c r="T3618">
        <v>-0.23390540000000001</v>
      </c>
      <c r="U3618">
        <v>-1.555145</v>
      </c>
      <c r="V3618">
        <v>0.16368150000000001</v>
      </c>
      <c r="W3618">
        <v>1.6055199999999999E-2</v>
      </c>
      <c r="X3618">
        <v>0.9863826</v>
      </c>
      <c r="Y3618">
        <v>0.47761360000000003</v>
      </c>
      <c r="Z3618">
        <v>-1.7848820000000001E-2</v>
      </c>
      <c r="AA3618">
        <v>0.87838869999999902</v>
      </c>
      <c r="AB3618">
        <v>28</v>
      </c>
      <c r="AC3618">
        <v>13.3727999999999</v>
      </c>
      <c r="AD3618">
        <v>-1.150031</v>
      </c>
      <c r="AE3618">
        <v>-7.6387099999999997</v>
      </c>
      <c r="AF3618">
        <v>7.44865635912993</v>
      </c>
      <c r="AG3618">
        <v>-1.150031</v>
      </c>
      <c r="AH3618">
        <v>13.381928393778701</v>
      </c>
      <c r="AI3618">
        <v>94.294299444892999</v>
      </c>
      <c r="AJ3618">
        <v>60.898788677950698</v>
      </c>
      <c r="AK3618">
        <v>15.358419853409</v>
      </c>
      <c r="AL3618">
        <v>89.080065292807902</v>
      </c>
      <c r="AM3618">
        <v>80.578126007086794</v>
      </c>
      <c r="AN3618">
        <v>1.00000001823602</v>
      </c>
    </row>
    <row r="3619" spans="1:40" x14ac:dyDescent="0.3">
      <c r="A3619" t="str">
        <f>"20200111153950832"</f>
        <v>20200111153950832</v>
      </c>
      <c r="B3619" t="str">
        <f>"1578728390824534"</f>
        <v>1578728390824534</v>
      </c>
      <c r="C3619" t="s">
        <v>40</v>
      </c>
      <c r="D3619">
        <v>5.361148</v>
      </c>
      <c r="E3619">
        <v>0.63317889999999999</v>
      </c>
      <c r="F3619" t="s">
        <v>43</v>
      </c>
      <c r="G3619">
        <v>-314.20170000000002</v>
      </c>
      <c r="H3619">
        <v>-0.05</v>
      </c>
      <c r="I3619">
        <v>11.69586</v>
      </c>
      <c r="J3619">
        <v>-327.35489999999999</v>
      </c>
      <c r="K3619">
        <v>1.0998619999999999</v>
      </c>
      <c r="L3619">
        <v>19.29626</v>
      </c>
      <c r="M3619">
        <v>0.99968299999999999</v>
      </c>
      <c r="N3619">
        <v>0</v>
      </c>
      <c r="O3619">
        <v>-1.7970690000000001E-2</v>
      </c>
      <c r="P3619">
        <v>0.98353520000000005</v>
      </c>
      <c r="Q3619">
        <v>1.5120369999999999E-3</v>
      </c>
      <c r="R3619">
        <v>-0.18071200000000001</v>
      </c>
      <c r="S3619">
        <v>2.769104</v>
      </c>
      <c r="T3619">
        <v>-0.2369655</v>
      </c>
      <c r="U3619">
        <v>-1.568268</v>
      </c>
      <c r="V3619">
        <v>0.16323260000000001</v>
      </c>
      <c r="W3619">
        <v>1.684283E-2</v>
      </c>
      <c r="X3619">
        <v>0.98644379999999998</v>
      </c>
      <c r="Y3619">
        <v>0.4758172</v>
      </c>
      <c r="Z3619">
        <v>-1.7489890000000001E-2</v>
      </c>
      <c r="AA3619">
        <v>0.87937030000000005</v>
      </c>
      <c r="AB3619">
        <v>28</v>
      </c>
      <c r="AC3619">
        <v>13.153199999999901</v>
      </c>
      <c r="AD3619">
        <v>-1.1498619999999999</v>
      </c>
      <c r="AE3619">
        <v>-7.6003999999999996</v>
      </c>
      <c r="AF3619">
        <v>7.3208197325867896</v>
      </c>
      <c r="AG3619">
        <v>-1.1498619999999999</v>
      </c>
      <c r="AH3619">
        <v>13.211984599457301</v>
      </c>
      <c r="AI3619">
        <v>94.353317885895393</v>
      </c>
      <c r="AJ3619">
        <v>61.008967341752196</v>
      </c>
      <c r="AK3619">
        <v>15.1483702500425</v>
      </c>
      <c r="AL3619">
        <v>89.034931261434593</v>
      </c>
      <c r="AM3619">
        <v>80.604076818235299</v>
      </c>
      <c r="AN3619">
        <v>0.99999996659180301</v>
      </c>
    </row>
    <row r="3620" spans="1:40" x14ac:dyDescent="0.3">
      <c r="A3620" t="str">
        <f>"20200111153950854"</f>
        <v>20200111153950854</v>
      </c>
      <c r="B3620" t="str">
        <f>"1578728390845033"</f>
        <v>1578728390845033</v>
      </c>
      <c r="C3620" t="s">
        <v>40</v>
      </c>
      <c r="D3620">
        <v>5.460947</v>
      </c>
      <c r="E3620">
        <v>0.63316019999999995</v>
      </c>
      <c r="F3620" t="s">
        <v>43</v>
      </c>
      <c r="G3620">
        <v>-313.84199999999998</v>
      </c>
      <c r="H3620">
        <v>-0.05</v>
      </c>
      <c r="I3620">
        <v>11.53622</v>
      </c>
      <c r="J3620">
        <v>-327.08010000000002</v>
      </c>
      <c r="K3620">
        <v>1.099707</v>
      </c>
      <c r="L3620">
        <v>19.28387</v>
      </c>
      <c r="M3620">
        <v>0.99953769999999997</v>
      </c>
      <c r="N3620">
        <v>0</v>
      </c>
      <c r="O3620">
        <v>-2.4835050000000001E-2</v>
      </c>
      <c r="P3620">
        <v>0.98223579999999999</v>
      </c>
      <c r="Q3620">
        <v>3.042178E-3</v>
      </c>
      <c r="R3620">
        <v>-0.1876273</v>
      </c>
      <c r="S3620">
        <v>2.75943</v>
      </c>
      <c r="T3620">
        <v>-0.2348103</v>
      </c>
      <c r="U3620">
        <v>-1.5846559999999901</v>
      </c>
      <c r="V3620">
        <v>0.1634236</v>
      </c>
      <c r="W3620">
        <v>1.8218769999999999E-2</v>
      </c>
      <c r="X3620">
        <v>0.98638780000000004</v>
      </c>
      <c r="Y3620">
        <v>0.47508149999999899</v>
      </c>
      <c r="Z3620">
        <v>-1.679104E-2</v>
      </c>
      <c r="AA3620">
        <v>0.87978149999999999</v>
      </c>
      <c r="AB3620">
        <v>28</v>
      </c>
      <c r="AC3620">
        <v>13.238099999999999</v>
      </c>
      <c r="AD3620">
        <v>-1.149707</v>
      </c>
      <c r="AE3620">
        <v>-7.7476500000000001</v>
      </c>
      <c r="AF3620">
        <v>7.3750054731017496</v>
      </c>
      <c r="AG3620">
        <v>-1.149707</v>
      </c>
      <c r="AH3620">
        <v>13.3514466399794</v>
      </c>
      <c r="AI3620">
        <v>94.310583835321097</v>
      </c>
      <c r="AJ3620">
        <v>61.084836527203301</v>
      </c>
      <c r="AK3620">
        <v>15.2961975436495</v>
      </c>
      <c r="AL3620">
        <v>88.956083661824806</v>
      </c>
      <c r="AM3620">
        <v>80.592754449348604</v>
      </c>
      <c r="AN3620">
        <v>1.0000000443030499</v>
      </c>
    </row>
    <row r="3621" spans="1:40" x14ac:dyDescent="0.3">
      <c r="A3621" t="str">
        <f>"20200111153950877"</f>
        <v>20200111153950877</v>
      </c>
      <c r="B3621" t="str">
        <f>"1578728390864550"</f>
        <v>1578728390864550</v>
      </c>
      <c r="C3621" t="s">
        <v>40</v>
      </c>
      <c r="D3621">
        <v>5.4293269999999998</v>
      </c>
      <c r="E3621">
        <v>0.63324119999999995</v>
      </c>
      <c r="F3621" t="s">
        <v>43</v>
      </c>
      <c r="G3621">
        <v>-313.41980000000001</v>
      </c>
      <c r="H3621">
        <v>-0.05</v>
      </c>
      <c r="I3621">
        <v>11.311859999999999</v>
      </c>
      <c r="J3621">
        <v>-326.80779999999999</v>
      </c>
      <c r="K3621">
        <v>1.09955</v>
      </c>
      <c r="L3621">
        <v>19.269439999999999</v>
      </c>
      <c r="M3621">
        <v>0.99934069999999997</v>
      </c>
      <c r="N3621">
        <v>0</v>
      </c>
      <c r="O3621">
        <v>-3.1859070000000003E-2</v>
      </c>
      <c r="P3621">
        <v>0.98065139999999995</v>
      </c>
      <c r="Q3621">
        <v>3.6154020000000002E-3</v>
      </c>
      <c r="R3621">
        <v>-0.19572990000000001</v>
      </c>
      <c r="S3621">
        <v>2.7485659999999998</v>
      </c>
      <c r="T3621">
        <v>-0.2313299</v>
      </c>
      <c r="U3621">
        <v>-1.604034</v>
      </c>
      <c r="V3621">
        <v>0.1646464</v>
      </c>
      <c r="W3621">
        <v>1.8596830000000002E-2</v>
      </c>
      <c r="X3621">
        <v>0.98617730000000003</v>
      </c>
      <c r="Y3621">
        <v>0.47509580000000001</v>
      </c>
      <c r="Z3621">
        <v>-1.6027900000000001E-2</v>
      </c>
      <c r="AA3621">
        <v>0.87978809999999996</v>
      </c>
      <c r="AB3621">
        <v>28</v>
      </c>
      <c r="AC3621">
        <v>13.3879999999999</v>
      </c>
      <c r="AD3621">
        <v>-1.1495500000000001</v>
      </c>
      <c r="AE3621">
        <v>-7.9575799999999903</v>
      </c>
      <c r="AF3621">
        <v>7.4861610970500596</v>
      </c>
      <c r="AG3621">
        <v>-1.1495500000000001</v>
      </c>
      <c r="AH3621">
        <v>13.560882239426</v>
      </c>
      <c r="AI3621">
        <v>94.244276372097303</v>
      </c>
      <c r="AJ3621">
        <v>61.099508062080901</v>
      </c>
      <c r="AK3621">
        <v>15.532597988909201</v>
      </c>
      <c r="AL3621">
        <v>88.934418673489802</v>
      </c>
      <c r="AM3621">
        <v>80.521651732727406</v>
      </c>
      <c r="AN3621">
        <v>0.99999997307714905</v>
      </c>
    </row>
    <row r="3622" spans="1:40" x14ac:dyDescent="0.3">
      <c r="A3622" t="str">
        <f>"20200111153950898"</f>
        <v>20200111153950898</v>
      </c>
      <c r="B3622" t="str">
        <f>"1578728390894806"</f>
        <v>1578728390894806</v>
      </c>
      <c r="C3622" t="s">
        <v>40</v>
      </c>
      <c r="D3622">
        <v>5.379156</v>
      </c>
      <c r="E3622">
        <v>0.63330959999999903</v>
      </c>
      <c r="F3622" t="s">
        <v>43</v>
      </c>
      <c r="G3622">
        <v>-313.20479999999998</v>
      </c>
      <c r="H3622">
        <v>-0.05</v>
      </c>
      <c r="I3622">
        <v>11.176589999999999</v>
      </c>
      <c r="J3622">
        <v>-326.52089999999998</v>
      </c>
      <c r="K3622">
        <v>1.099394</v>
      </c>
      <c r="L3622">
        <v>19.25189</v>
      </c>
      <c r="M3622">
        <v>0.99907199999999996</v>
      </c>
      <c r="N3622">
        <v>0</v>
      </c>
      <c r="O3622">
        <v>-3.9460439999999999E-2</v>
      </c>
      <c r="P3622">
        <v>0.97896680000000003</v>
      </c>
      <c r="Q3622">
        <v>2.8276569999999999E-3</v>
      </c>
      <c r="R3622">
        <v>-0.20400080000000001</v>
      </c>
      <c r="S3622">
        <v>2.7352599999999998</v>
      </c>
      <c r="T3622">
        <v>-0.23114850000000001</v>
      </c>
      <c r="U3622">
        <v>-1.627289</v>
      </c>
      <c r="V3622">
        <v>0.1654612</v>
      </c>
      <c r="W3622">
        <v>1.759755E-2</v>
      </c>
      <c r="X3622">
        <v>0.98605929999999997</v>
      </c>
      <c r="Y3622">
        <v>0.47582980000000002</v>
      </c>
      <c r="Z3622">
        <v>-1.548924E-2</v>
      </c>
      <c r="AA3622">
        <v>0.87940099999999999</v>
      </c>
      <c r="AB3622">
        <v>28</v>
      </c>
      <c r="AC3622">
        <v>13.3161</v>
      </c>
      <c r="AD3622">
        <v>-1.149394</v>
      </c>
      <c r="AE3622">
        <v>-8.0753000000000004</v>
      </c>
      <c r="AF3622">
        <v>7.5026028043917901</v>
      </c>
      <c r="AG3622">
        <v>-1.149394</v>
      </c>
      <c r="AH3622">
        <v>13.550614769235001</v>
      </c>
      <c r="AI3622">
        <v>94.243983828571899</v>
      </c>
      <c r="AJ3622">
        <v>61.0279067602007</v>
      </c>
      <c r="AK3622">
        <v>15.531558712244999</v>
      </c>
      <c r="AL3622">
        <v>88.991682621990407</v>
      </c>
      <c r="AM3622">
        <v>80.474483814985206</v>
      </c>
      <c r="AN3622">
        <v>1.0000000127939599</v>
      </c>
    </row>
    <row r="3623" spans="1:40" x14ac:dyDescent="0.3">
      <c r="A3623" t="str">
        <f>"20200111153950921"</f>
        <v>20200111153950921</v>
      </c>
      <c r="B3623" t="str">
        <f>"1578728390914326"</f>
        <v>1578728390914326</v>
      </c>
      <c r="C3623" t="s">
        <v>40</v>
      </c>
      <c r="D3623">
        <v>5.4472060000000004</v>
      </c>
      <c r="E3623">
        <v>0.63338450000000002</v>
      </c>
      <c r="F3623" t="s">
        <v>43</v>
      </c>
      <c r="G3623">
        <v>-313.23610000000002</v>
      </c>
      <c r="H3623">
        <v>-0.05</v>
      </c>
      <c r="I3623">
        <v>11.19087</v>
      </c>
      <c r="J3623">
        <v>-326.2319</v>
      </c>
      <c r="K3623">
        <v>1.0992599999999999</v>
      </c>
      <c r="L3623">
        <v>19.231839999999998</v>
      </c>
      <c r="M3623">
        <v>0.99873509999999999</v>
      </c>
      <c r="N3623">
        <v>0</v>
      </c>
      <c r="O3623">
        <v>-4.7279149999999999E-2</v>
      </c>
      <c r="P3623">
        <v>0.97727649999999999</v>
      </c>
      <c r="Q3623">
        <v>1.8744530000000001E-3</v>
      </c>
      <c r="R3623">
        <v>-0.21196110000000001</v>
      </c>
      <c r="S3623">
        <v>2.7210999999999999</v>
      </c>
      <c r="T3623">
        <v>-0.23542769999999999</v>
      </c>
      <c r="U3623">
        <v>-1.6511229999999999</v>
      </c>
      <c r="V3623">
        <v>0.16575689999999901</v>
      </c>
      <c r="W3623">
        <v>1.64452E-2</v>
      </c>
      <c r="X3623">
        <v>0.9860295</v>
      </c>
      <c r="Y3623">
        <v>0.4765839</v>
      </c>
      <c r="Z3623">
        <v>-1.52242E-2</v>
      </c>
      <c r="AA3623">
        <v>0.87899719999999903</v>
      </c>
      <c r="AB3623">
        <v>28</v>
      </c>
      <c r="AC3623">
        <v>12.9957999999999</v>
      </c>
      <c r="AD3623">
        <v>-1.1492599999999999</v>
      </c>
      <c r="AE3623">
        <v>-8.0409699999999908</v>
      </c>
      <c r="AF3623">
        <v>7.3757424061150401</v>
      </c>
      <c r="AG3623">
        <v>-1.1492599999999999</v>
      </c>
      <c r="AH3623">
        <v>13.286349537741</v>
      </c>
      <c r="AI3623">
        <v>94.324899969672501</v>
      </c>
      <c r="AJ3623">
        <v>60.963730608024001</v>
      </c>
      <c r="AK3623">
        <v>15.239732892278401</v>
      </c>
      <c r="AL3623">
        <v>89.057716956504606</v>
      </c>
      <c r="AM3623">
        <v>80.457490201112805</v>
      </c>
      <c r="AN3623">
        <v>0.99999998468544904</v>
      </c>
    </row>
    <row r="3624" spans="1:40" x14ac:dyDescent="0.3">
      <c r="A3624" t="str">
        <f>"20200111153950943"</f>
        <v>20200111153950943</v>
      </c>
      <c r="B3624" t="str">
        <f>"1578728390934822"</f>
        <v>1578728390934822</v>
      </c>
      <c r="C3624" t="s">
        <v>40</v>
      </c>
      <c r="D3624">
        <v>5.4199289999999998</v>
      </c>
      <c r="E3624">
        <v>0.63346819999999904</v>
      </c>
      <c r="F3624" t="s">
        <v>43</v>
      </c>
      <c r="G3624">
        <v>-313.13780000000003</v>
      </c>
      <c r="H3624">
        <v>-0.05</v>
      </c>
      <c r="I3624">
        <v>11.13541</v>
      </c>
      <c r="J3624">
        <v>-325.95179999999999</v>
      </c>
      <c r="K3624">
        <v>1.099159</v>
      </c>
      <c r="L3624">
        <v>19.21021</v>
      </c>
      <c r="M3624">
        <v>0.99834279999999997</v>
      </c>
      <c r="N3624">
        <v>0</v>
      </c>
      <c r="O3624">
        <v>-5.49877E-2</v>
      </c>
      <c r="P3624">
        <v>0.97557850000000002</v>
      </c>
      <c r="Q3624">
        <v>1.82906E-3</v>
      </c>
      <c r="R3624">
        <v>-0.21964359999999999</v>
      </c>
      <c r="S3624">
        <v>2.7071230000000002</v>
      </c>
      <c r="T3624">
        <v>-0.23760239999999999</v>
      </c>
      <c r="U3624">
        <v>-1.673889</v>
      </c>
      <c r="V3624">
        <v>0.16590360000000001</v>
      </c>
      <c r="W3624">
        <v>1.623113E-2</v>
      </c>
      <c r="X3624">
        <v>0.98600840000000001</v>
      </c>
      <c r="Y3624">
        <v>0.47717500000000002</v>
      </c>
      <c r="Z3624">
        <v>-1.480889E-2</v>
      </c>
      <c r="AA3624">
        <v>0.87868349999999995</v>
      </c>
      <c r="AB3624">
        <v>28</v>
      </c>
      <c r="AC3624">
        <v>12.813999999999901</v>
      </c>
      <c r="AD3624">
        <v>-1.149159</v>
      </c>
      <c r="AE3624">
        <v>-8.0747999999999998</v>
      </c>
      <c r="AF3624">
        <v>7.3157519354992502</v>
      </c>
      <c r="AG3624">
        <v>-1.149159</v>
      </c>
      <c r="AH3624">
        <v>13.162912440244099</v>
      </c>
      <c r="AI3624">
        <v>94.363722666111798</v>
      </c>
      <c r="AJ3624">
        <v>60.935342403829097</v>
      </c>
      <c r="AK3624">
        <v>15.1030810333049</v>
      </c>
      <c r="AL3624">
        <v>89.069983924642102</v>
      </c>
      <c r="AM3624">
        <v>80.448999679469594</v>
      </c>
      <c r="AN3624">
        <v>1.0000000094722901</v>
      </c>
    </row>
    <row r="3625" spans="1:40" x14ac:dyDescent="0.3">
      <c r="A3625" t="str">
        <f>"20200111153950965"</f>
        <v>20200111153950965</v>
      </c>
      <c r="B3625" t="str">
        <f>"1578728390954342"</f>
        <v>1578728390954342</v>
      </c>
      <c r="C3625" t="s">
        <v>40</v>
      </c>
      <c r="D3625">
        <v>5.4528939999999997</v>
      </c>
      <c r="E3625">
        <v>0.63346440000000004</v>
      </c>
      <c r="F3625" t="s">
        <v>43</v>
      </c>
      <c r="G3625">
        <v>-313.02820000000003</v>
      </c>
      <c r="H3625">
        <v>-0.05</v>
      </c>
      <c r="I3625">
        <v>11.07185</v>
      </c>
      <c r="J3625">
        <v>-325.68169999999998</v>
      </c>
      <c r="K3625">
        <v>1.0990850000000001</v>
      </c>
      <c r="L3625">
        <v>19.187100000000001</v>
      </c>
      <c r="M3625">
        <v>0.99790029999999996</v>
      </c>
      <c r="N3625">
        <v>0</v>
      </c>
      <c r="O3625">
        <v>-6.2538399999999994E-2</v>
      </c>
      <c r="P3625">
        <v>0.97394720000000001</v>
      </c>
      <c r="Q3625">
        <v>1.832789E-3</v>
      </c>
      <c r="R3625">
        <v>-0.22676850000000001</v>
      </c>
      <c r="S3625">
        <v>2.6936339999999999</v>
      </c>
      <c r="T3625">
        <v>-0.23951639999999999</v>
      </c>
      <c r="U3625">
        <v>-1.696259</v>
      </c>
      <c r="V3625">
        <v>0.16565279999999999</v>
      </c>
      <c r="W3625">
        <v>1.6099059999999998E-2</v>
      </c>
      <c r="X3625">
        <v>0.9860527</v>
      </c>
      <c r="Y3625">
        <v>0.4777401</v>
      </c>
      <c r="Z3625">
        <v>-1.437561E-2</v>
      </c>
      <c r="AA3625">
        <v>0.87838359999999904</v>
      </c>
      <c r="AB3625">
        <v>28</v>
      </c>
      <c r="AC3625">
        <v>12.6534999999999</v>
      </c>
      <c r="AD3625">
        <v>-1.1490849999999999</v>
      </c>
      <c r="AE3625">
        <v>-8.1152499999999996</v>
      </c>
      <c r="AF3625">
        <v>7.2654642006816097</v>
      </c>
      <c r="AG3625">
        <v>-1.1490849999999999</v>
      </c>
      <c r="AH3625">
        <v>13.0599980626963</v>
      </c>
      <c r="AI3625">
        <v>94.396708499115405</v>
      </c>
      <c r="AJ3625">
        <v>60.912185035303096</v>
      </c>
      <c r="AK3625">
        <v>14.9890265122937</v>
      </c>
      <c r="AL3625">
        <v>89.077551938498502</v>
      </c>
      <c r="AM3625">
        <v>80.463593315621196</v>
      </c>
      <c r="AN3625">
        <v>0.99999997852900602</v>
      </c>
    </row>
    <row r="3626" spans="1:40" x14ac:dyDescent="0.3">
      <c r="A3626" t="str">
        <f>"20200111153950987"</f>
        <v>20200111153950987</v>
      </c>
      <c r="B3626" t="str">
        <f>"1578728390984598"</f>
        <v>1578728390984598</v>
      </c>
      <c r="C3626" t="s">
        <v>40</v>
      </c>
      <c r="D3626">
        <v>5.471222</v>
      </c>
      <c r="E3626">
        <v>0.63345750000000001</v>
      </c>
      <c r="F3626" t="s">
        <v>43</v>
      </c>
      <c r="G3626">
        <v>-312.83890000000002</v>
      </c>
      <c r="H3626">
        <v>-0.05</v>
      </c>
      <c r="I3626">
        <v>10.9689</v>
      </c>
      <c r="J3626">
        <v>-325.40460000000002</v>
      </c>
      <c r="K3626">
        <v>1.099005</v>
      </c>
      <c r="L3626">
        <v>19.16122</v>
      </c>
      <c r="M3626">
        <v>0.99737849999999995</v>
      </c>
      <c r="N3626">
        <v>0</v>
      </c>
      <c r="O3626">
        <v>-7.0404199999999903E-2</v>
      </c>
      <c r="P3626">
        <v>0.97220490000000004</v>
      </c>
      <c r="Q3626">
        <v>2.146467E-3</v>
      </c>
      <c r="R3626">
        <v>-0.234122</v>
      </c>
      <c r="S3626">
        <v>2.6812130000000001</v>
      </c>
      <c r="T3626">
        <v>-0.2398962</v>
      </c>
      <c r="U3626">
        <v>-1.7157290000000001</v>
      </c>
      <c r="V3626">
        <v>0.16533529999999999</v>
      </c>
      <c r="W3626">
        <v>1.6251149999999999E-2</v>
      </c>
      <c r="X3626">
        <v>0.98610350000000002</v>
      </c>
      <c r="Y3626">
        <v>0.4772092</v>
      </c>
      <c r="Z3626">
        <v>-1.377214E-2</v>
      </c>
      <c r="AA3626">
        <v>0.87868179999999996</v>
      </c>
      <c r="AB3626">
        <v>28</v>
      </c>
      <c r="AC3626">
        <v>12.5656999999999</v>
      </c>
      <c r="AD3626">
        <v>-1.1490049999999901</v>
      </c>
      <c r="AE3626">
        <v>-8.1923200000000005</v>
      </c>
      <c r="AF3626">
        <v>7.2446768990354604</v>
      </c>
      <c r="AG3626">
        <v>-1.1490049999999901</v>
      </c>
      <c r="AH3626">
        <v>13.0348844644283</v>
      </c>
      <c r="AI3626">
        <v>94.405815178821797</v>
      </c>
      <c r="AJ3626">
        <v>60.935070328469102</v>
      </c>
      <c r="AK3626">
        <v>14.957064179257801</v>
      </c>
      <c r="AL3626">
        <v>89.068836690913898</v>
      </c>
      <c r="AM3626">
        <v>80.482017979422096</v>
      </c>
      <c r="AN3626">
        <v>0.99999998700733095</v>
      </c>
    </row>
    <row r="3627" spans="1:40" x14ac:dyDescent="0.3">
      <c r="A3627" t="str">
        <f>"20200111153951009"</f>
        <v>20200111153951009</v>
      </c>
      <c r="B3627" t="str">
        <f>"1578728391004118"</f>
        <v>1578728391004118</v>
      </c>
      <c r="C3627" t="s">
        <v>40</v>
      </c>
      <c r="D3627">
        <v>5.5032120000000004</v>
      </c>
      <c r="E3627">
        <v>0.63349180000000005</v>
      </c>
      <c r="F3627" t="s">
        <v>43</v>
      </c>
      <c r="G3627">
        <v>-312.66030000000001</v>
      </c>
      <c r="H3627">
        <v>-0.05</v>
      </c>
      <c r="I3627">
        <v>10.87016</v>
      </c>
      <c r="J3627">
        <v>-325.1223</v>
      </c>
      <c r="K3627">
        <v>1.098916</v>
      </c>
      <c r="L3627">
        <v>19.13251</v>
      </c>
      <c r="M3627">
        <v>0.99677680000000002</v>
      </c>
      <c r="N3627">
        <v>0</v>
      </c>
      <c r="O3627">
        <v>-7.8505320000000003E-2</v>
      </c>
      <c r="P3627">
        <v>0.97037530000000005</v>
      </c>
      <c r="Q3627">
        <v>3.1175059999999999E-3</v>
      </c>
      <c r="R3627">
        <v>-0.24158360000000001</v>
      </c>
      <c r="S3627">
        <v>2.6682739999999998</v>
      </c>
      <c r="T3627">
        <v>-0.24056710000000001</v>
      </c>
      <c r="U3627">
        <v>-1.7359009999999999</v>
      </c>
      <c r="V3627">
        <v>0.16491310000000001</v>
      </c>
      <c r="W3627">
        <v>1.7020179999999999E-2</v>
      </c>
      <c r="X3627">
        <v>0.98616119999999996</v>
      </c>
      <c r="Y3627">
        <v>0.4767053</v>
      </c>
      <c r="Z3627">
        <v>-1.316406E-2</v>
      </c>
      <c r="AA3627">
        <v>0.87896459999999998</v>
      </c>
      <c r="AB3627">
        <v>28</v>
      </c>
      <c r="AC3627">
        <v>12.4619999999999</v>
      </c>
      <c r="AD3627">
        <v>-1.148916</v>
      </c>
      <c r="AE3627">
        <v>-8.2623499999999996</v>
      </c>
      <c r="AF3627">
        <v>7.2157721016752898</v>
      </c>
      <c r="AG3627">
        <v>-1.148916</v>
      </c>
      <c r="AH3627">
        <v>12.995525650581399</v>
      </c>
      <c r="AI3627">
        <v>94.419775869893201</v>
      </c>
      <c r="AJ3627">
        <v>60.958753809004598</v>
      </c>
      <c r="AK3627">
        <v>14.908757893711</v>
      </c>
      <c r="AL3627">
        <v>89.024768395942999</v>
      </c>
      <c r="AM3627">
        <v>80.506425450472904</v>
      </c>
      <c r="AN3627">
        <v>0.99999996473214003</v>
      </c>
    </row>
    <row r="3628" spans="1:40" x14ac:dyDescent="0.3">
      <c r="A3628" t="str">
        <f>"20200111153951033"</f>
        <v>20200111153951033</v>
      </c>
      <c r="B3628" t="str">
        <f>"1578728391024614"</f>
        <v>1578728391024614</v>
      </c>
      <c r="C3628" t="s">
        <v>40</v>
      </c>
      <c r="D3628">
        <v>5.4812820000000002</v>
      </c>
      <c r="E3628">
        <v>0.63352779999999997</v>
      </c>
      <c r="F3628" t="s">
        <v>43</v>
      </c>
      <c r="G3628">
        <v>-312.34910000000002</v>
      </c>
      <c r="H3628">
        <v>-0.05</v>
      </c>
      <c r="I3628">
        <v>10.681789999999999</v>
      </c>
      <c r="J3628">
        <v>-324.83460000000002</v>
      </c>
      <c r="K3628">
        <v>1.098832</v>
      </c>
      <c r="L3628">
        <v>19.1008</v>
      </c>
      <c r="M3628">
        <v>0.99609020000000004</v>
      </c>
      <c r="N3628">
        <v>0</v>
      </c>
      <c r="O3628">
        <v>-8.6825020000000003E-2</v>
      </c>
      <c r="P3628">
        <v>0.96838679999999999</v>
      </c>
      <c r="Q3628">
        <v>3.869337E-3</v>
      </c>
      <c r="R3628">
        <v>-0.24942349999999999</v>
      </c>
      <c r="S3628">
        <v>2.6550289999999999</v>
      </c>
      <c r="T3628">
        <v>-0.238813</v>
      </c>
      <c r="U3628">
        <v>-1.756561</v>
      </c>
      <c r="V3628">
        <v>0.1646656</v>
      </c>
      <c r="W3628">
        <v>1.7536039999999999E-2</v>
      </c>
      <c r="X3628">
        <v>0.98619349999999995</v>
      </c>
      <c r="Y3628">
        <v>0.47618519999999998</v>
      </c>
      <c r="Z3628">
        <v>-1.2407079999999999E-2</v>
      </c>
      <c r="AA3628">
        <v>0.87925750000000003</v>
      </c>
      <c r="AB3628">
        <v>28</v>
      </c>
      <c r="AC3628">
        <v>12.4855</v>
      </c>
      <c r="AD3628">
        <v>-1.1488320000000001</v>
      </c>
      <c r="AE3628">
        <v>-8.4190100000000001</v>
      </c>
      <c r="AF3628">
        <v>7.2607514591446103</v>
      </c>
      <c r="AG3628">
        <v>-1.1488320000000001</v>
      </c>
      <c r="AH3628">
        <v>13.0932106406161</v>
      </c>
      <c r="AI3628">
        <v>94.387922121355203</v>
      </c>
      <c r="AJ3628">
        <v>60.9897367507346</v>
      </c>
      <c r="AK3628">
        <v>15.0156748631301</v>
      </c>
      <c r="AL3628">
        <v>88.995207362111003</v>
      </c>
      <c r="AM3628">
        <v>80.520719378577695</v>
      </c>
      <c r="AN3628">
        <v>0.99999994598224395</v>
      </c>
    </row>
    <row r="3629" spans="1:40" x14ac:dyDescent="0.3">
      <c r="A3629" t="str">
        <f>"20200111153951054"</f>
        <v>20200111153951054</v>
      </c>
      <c r="B3629" t="str">
        <f>"1578728391044134"</f>
        <v>1578728391044134</v>
      </c>
      <c r="C3629" t="s">
        <v>40</v>
      </c>
      <c r="D3629">
        <v>5.4804930000000001</v>
      </c>
      <c r="E3629">
        <v>0.6335326</v>
      </c>
      <c r="F3629" t="s">
        <v>43</v>
      </c>
      <c r="G3629">
        <v>-312.07690000000002</v>
      </c>
      <c r="H3629">
        <v>-0.05</v>
      </c>
      <c r="I3629">
        <v>10.511369999999999</v>
      </c>
      <c r="J3629">
        <v>-324.56689999999998</v>
      </c>
      <c r="K3629">
        <v>1.0987819999999999</v>
      </c>
      <c r="L3629">
        <v>19.069030000000001</v>
      </c>
      <c r="M3629">
        <v>0.99538479999999996</v>
      </c>
      <c r="N3629">
        <v>0</v>
      </c>
      <c r="O3629">
        <v>-9.4607449999999996E-2</v>
      </c>
      <c r="P3629">
        <v>0.96638630000000003</v>
      </c>
      <c r="Q3629">
        <v>4.2207369999999996E-3</v>
      </c>
      <c r="R3629">
        <v>-0.25706030000000002</v>
      </c>
      <c r="S3629">
        <v>2.6408999999999998</v>
      </c>
      <c r="T3629">
        <v>-0.23781289999999999</v>
      </c>
      <c r="U3629">
        <v>-1.778046</v>
      </c>
      <c r="V3629">
        <v>0.1647469</v>
      </c>
      <c r="W3629">
        <v>1.7657619999999999E-2</v>
      </c>
      <c r="X3629">
        <v>0.98617779999999999</v>
      </c>
      <c r="Y3629">
        <v>0.47644619999999999</v>
      </c>
      <c r="Z3629">
        <v>-1.1772120000000001E-2</v>
      </c>
      <c r="AA3629">
        <v>0.87912479999999904</v>
      </c>
      <c r="AB3629">
        <v>28</v>
      </c>
      <c r="AC3629">
        <v>12.489999999999901</v>
      </c>
      <c r="AD3629">
        <v>-1.148782</v>
      </c>
      <c r="AE3629">
        <v>-8.5576599999999896</v>
      </c>
      <c r="AF3629">
        <v>7.2954661153725997</v>
      </c>
      <c r="AG3629">
        <v>-1.148782</v>
      </c>
      <c r="AH3629">
        <v>13.167879006767</v>
      </c>
      <c r="AI3629">
        <v>94.363884287680605</v>
      </c>
      <c r="AJ3629">
        <v>61.012011887064602</v>
      </c>
      <c r="AK3629">
        <v>15.0975681306934</v>
      </c>
      <c r="AL3629">
        <v>88.988240309580604</v>
      </c>
      <c r="AM3629">
        <v>80.515975951391098</v>
      </c>
      <c r="AN3629">
        <v>0.99999999290825703</v>
      </c>
    </row>
    <row r="3630" spans="1:40" x14ac:dyDescent="0.3">
      <c r="A3630" t="str">
        <f>"20200111153951076"</f>
        <v>20200111153951076</v>
      </c>
      <c r="B3630" t="str">
        <f>"1578728391064630"</f>
        <v>1578728391064630</v>
      </c>
      <c r="C3630" t="s">
        <v>40</v>
      </c>
      <c r="D3630">
        <v>5.4708389999999998</v>
      </c>
      <c r="E3630">
        <v>0.63353729999999997</v>
      </c>
      <c r="F3630" t="s">
        <v>43</v>
      </c>
      <c r="G3630">
        <v>-311.9409</v>
      </c>
      <c r="H3630">
        <v>-0.05</v>
      </c>
      <c r="I3630">
        <v>10.42357</v>
      </c>
      <c r="J3630">
        <v>-324.29750000000001</v>
      </c>
      <c r="K3630">
        <v>1.0987530000000001</v>
      </c>
      <c r="L3630">
        <v>19.03473</v>
      </c>
      <c r="M3630">
        <v>0.99460930000000003</v>
      </c>
      <c r="N3630">
        <v>0</v>
      </c>
      <c r="O3630">
        <v>-0.10247100000000001</v>
      </c>
      <c r="P3630">
        <v>0.96422129999999995</v>
      </c>
      <c r="Q3630">
        <v>4.8009539999999996E-3</v>
      </c>
      <c r="R3630">
        <v>-0.265055599999999</v>
      </c>
      <c r="S3630">
        <v>2.6269529999999999</v>
      </c>
      <c r="T3630">
        <v>-0.2390147</v>
      </c>
      <c r="U3630">
        <v>-1.79876699999999</v>
      </c>
      <c r="V3630">
        <v>0.1651273</v>
      </c>
      <c r="W3630">
        <v>1.801519E-2</v>
      </c>
      <c r="X3630">
        <v>0.98610770000000003</v>
      </c>
      <c r="Y3630">
        <v>0.47640870000000002</v>
      </c>
      <c r="Z3630">
        <v>-1.122483E-2</v>
      </c>
      <c r="AA3630">
        <v>0.8791523</v>
      </c>
      <c r="AB3630">
        <v>28</v>
      </c>
      <c r="AC3630">
        <v>12.3566</v>
      </c>
      <c r="AD3630">
        <v>-1.1487529999999999</v>
      </c>
      <c r="AE3630">
        <v>-8.6111599999999999</v>
      </c>
      <c r="AF3630">
        <v>7.2572473659128303</v>
      </c>
      <c r="AG3630">
        <v>-1.1487529999999999</v>
      </c>
      <c r="AH3630">
        <v>13.0978466745365</v>
      </c>
      <c r="AI3630">
        <v>94.386933929984494</v>
      </c>
      <c r="AJ3630">
        <v>61.010065228855098</v>
      </c>
      <c r="AK3630">
        <v>15.018017855054101</v>
      </c>
      <c r="AL3630">
        <v>88.9677497887333</v>
      </c>
      <c r="AM3630">
        <v>80.493813148401102</v>
      </c>
      <c r="AN3630">
        <v>0.99999998413765701</v>
      </c>
    </row>
    <row r="3631" spans="1:40" x14ac:dyDescent="0.3">
      <c r="A3631" t="str">
        <f>"20200111153951089"</f>
        <v>20200111153951089</v>
      </c>
      <c r="B3631" t="str">
        <f>"1578728391084151"</f>
        <v>1578728391084151</v>
      </c>
      <c r="C3631" t="s">
        <v>40</v>
      </c>
      <c r="D3631">
        <v>5.4207960000000002</v>
      </c>
      <c r="E3631">
        <v>0.63348389999999999</v>
      </c>
      <c r="F3631" t="s">
        <v>43</v>
      </c>
      <c r="G3631">
        <v>-311.8227</v>
      </c>
      <c r="H3631">
        <v>-0.05</v>
      </c>
      <c r="I3631">
        <v>10.34164</v>
      </c>
      <c r="J3631">
        <v>-324.14150000000001</v>
      </c>
      <c r="K3631">
        <v>1.0987480000000001</v>
      </c>
      <c r="L3631">
        <v>19.01379</v>
      </c>
      <c r="M3631">
        <v>0.99413030000000002</v>
      </c>
      <c r="N3631">
        <v>0</v>
      </c>
      <c r="O3631">
        <v>-0.1070377</v>
      </c>
      <c r="P3631">
        <v>0.9629453</v>
      </c>
      <c r="Q3631">
        <v>4.9599620000000001E-3</v>
      </c>
      <c r="R3631">
        <v>-0.26965139999999999</v>
      </c>
      <c r="S3631">
        <v>2.612152</v>
      </c>
      <c r="T3631">
        <v>-0.24054220000000001</v>
      </c>
      <c r="U3631">
        <v>-1.820282</v>
      </c>
      <c r="V3631">
        <v>0.16530239999999999</v>
      </c>
      <c r="W3631">
        <v>1.805476E-2</v>
      </c>
      <c r="X3631">
        <v>0.98607769999999995</v>
      </c>
      <c r="Y3631">
        <v>0.47956910000000003</v>
      </c>
      <c r="Z3631">
        <v>-1.10861E-2</v>
      </c>
      <c r="AA3631">
        <v>0.87743409999999999</v>
      </c>
      <c r="AB3631">
        <v>28</v>
      </c>
      <c r="AC3631">
        <v>12.3188</v>
      </c>
      <c r="AD3631">
        <v>-1.1487479999999901</v>
      </c>
      <c r="AE3631">
        <v>-8.6721500000000002</v>
      </c>
      <c r="AF3631">
        <v>7.2613561586372102</v>
      </c>
      <c r="AG3631">
        <v>-1.1487479999999901</v>
      </c>
      <c r="AH3631">
        <v>13.100203165782</v>
      </c>
      <c r="AI3631">
        <v>94.385732524907297</v>
      </c>
      <c r="AJ3631">
        <v>61.0006859740772</v>
      </c>
      <c r="AK3631">
        <v>15.022058388078699</v>
      </c>
      <c r="AL3631">
        <v>88.965482287958096</v>
      </c>
      <c r="AM3631">
        <v>80.483632887857198</v>
      </c>
      <c r="AN3631">
        <v>1.0000000441208501</v>
      </c>
    </row>
    <row r="3632" spans="1:40" x14ac:dyDescent="0.3">
      <c r="A3632" t="str">
        <f>"20200111153951101"</f>
        <v>20200111153951101</v>
      </c>
      <c r="B3632" t="str">
        <f>"1578728391094887"</f>
        <v>1578728391094887</v>
      </c>
      <c r="C3632" t="s">
        <v>40</v>
      </c>
      <c r="D3632">
        <v>5.480988</v>
      </c>
      <c r="E3632">
        <v>0.6334419</v>
      </c>
      <c r="F3632" t="s">
        <v>43</v>
      </c>
      <c r="G3632">
        <v>-311.78050000000002</v>
      </c>
      <c r="H3632">
        <v>-0.05</v>
      </c>
      <c r="I3632">
        <v>10.314909999999999</v>
      </c>
      <c r="J3632">
        <v>-323.98259999999999</v>
      </c>
      <c r="K3632">
        <v>1.098741</v>
      </c>
      <c r="L3632">
        <v>18.991849999999999</v>
      </c>
      <c r="M3632">
        <v>0.9936199</v>
      </c>
      <c r="N3632">
        <v>0</v>
      </c>
      <c r="O3632">
        <v>-0.1116925</v>
      </c>
      <c r="P3632">
        <v>0.96152839999999995</v>
      </c>
      <c r="Q3632">
        <v>5.2304959999999899E-3</v>
      </c>
      <c r="R3632">
        <v>-0.27465640000000002</v>
      </c>
      <c r="S3632">
        <v>2.6036069999999998</v>
      </c>
      <c r="T3632">
        <v>-0.2419608</v>
      </c>
      <c r="U3632">
        <v>-1.8322449999999999</v>
      </c>
      <c r="V3632">
        <v>0.1658155</v>
      </c>
      <c r="W3632">
        <v>1.8201599999999998E-2</v>
      </c>
      <c r="X3632">
        <v>0.9859888</v>
      </c>
      <c r="Y3632">
        <v>0.47951309999999903</v>
      </c>
      <c r="Z3632">
        <v>-1.0785899999999999E-2</v>
      </c>
      <c r="AA3632">
        <v>0.87746840000000004</v>
      </c>
      <c r="AB3632">
        <v>28</v>
      </c>
      <c r="AC3632">
        <v>12.2020999999999</v>
      </c>
      <c r="AD3632">
        <v>-1.148741</v>
      </c>
      <c r="AE3632">
        <v>-8.6769399999999894</v>
      </c>
      <c r="AF3632">
        <v>7.2171015281106303</v>
      </c>
      <c r="AG3632">
        <v>-1.148741</v>
      </c>
      <c r="AH3632">
        <v>13.0183673085498</v>
      </c>
      <c r="AI3632">
        <v>94.413008270591206</v>
      </c>
      <c r="AJ3632">
        <v>60.996960988518602</v>
      </c>
      <c r="AK3632">
        <v>14.9293016491883</v>
      </c>
      <c r="AL3632">
        <v>88.957067543092194</v>
      </c>
      <c r="AM3632">
        <v>80.453791927211697</v>
      </c>
      <c r="AN3632">
        <v>0.99999999600412404</v>
      </c>
    </row>
    <row r="3633" spans="1:40" x14ac:dyDescent="0.3">
      <c r="A3633" t="str">
        <f>"20200111153951113"</f>
        <v>20200111153951113</v>
      </c>
      <c r="B3633" t="str">
        <f>"1578728391104646"</f>
        <v>1578728391104646</v>
      </c>
      <c r="C3633" t="s">
        <v>40</v>
      </c>
      <c r="D3633">
        <v>5.4822259999999998</v>
      </c>
      <c r="E3633">
        <v>0.63338329999999998</v>
      </c>
      <c r="F3633" t="s">
        <v>43</v>
      </c>
      <c r="G3633">
        <v>-311.61630000000002</v>
      </c>
      <c r="H3633">
        <v>-0.05</v>
      </c>
      <c r="I3633">
        <v>10.19365</v>
      </c>
      <c r="J3633">
        <v>-323.82990000000001</v>
      </c>
      <c r="K3633">
        <v>1.0987370000000001</v>
      </c>
      <c r="L3633">
        <v>18.970210000000002</v>
      </c>
      <c r="M3633">
        <v>0.99310869999999996</v>
      </c>
      <c r="N3633">
        <v>0</v>
      </c>
      <c r="O3633">
        <v>-0.1161658</v>
      </c>
      <c r="P3633">
        <v>0.96022240000000003</v>
      </c>
      <c r="Q3633">
        <v>5.3036439999999997E-3</v>
      </c>
      <c r="R3633">
        <v>-0.27918710000000002</v>
      </c>
      <c r="S3633">
        <v>2.5941770000000002</v>
      </c>
      <c r="T3633">
        <v>-0.24098059999999999</v>
      </c>
      <c r="U3633">
        <v>-1.8456729999999999</v>
      </c>
      <c r="V3633">
        <v>0.1660239</v>
      </c>
      <c r="W3633">
        <v>1.816489E-2</v>
      </c>
      <c r="X3633">
        <v>0.98595440000000001</v>
      </c>
      <c r="Y3633">
        <v>0.48010389999999997</v>
      </c>
      <c r="Z3633">
        <v>-1.042089E-2</v>
      </c>
      <c r="AA3633">
        <v>0.87714979999999998</v>
      </c>
      <c r="AB3633">
        <v>28</v>
      </c>
      <c r="AC3633">
        <v>12.2135999999999</v>
      </c>
      <c r="AD3633">
        <v>-1.1487369999999999</v>
      </c>
      <c r="AE3633">
        <v>-8.7765599999999999</v>
      </c>
      <c r="AF3633">
        <v>7.2558248187560599</v>
      </c>
      <c r="AG3633">
        <v>-1.1487369999999999</v>
      </c>
      <c r="AH3633">
        <v>13.0742785459441</v>
      </c>
      <c r="AI3633">
        <v>94.3930980116196</v>
      </c>
      <c r="AJ3633">
        <v>60.971064714440601</v>
      </c>
      <c r="AK3633">
        <v>14.996777987040399</v>
      </c>
      <c r="AL3633">
        <v>88.959171211403003</v>
      </c>
      <c r="AM3633">
        <v>80.441687966269797</v>
      </c>
      <c r="AN3633">
        <v>0.99999998873964102</v>
      </c>
    </row>
    <row r="3634" spans="1:40" x14ac:dyDescent="0.3">
      <c r="A3634" t="str">
        <f>"20200111153951133"</f>
        <v>20200111153951133</v>
      </c>
      <c r="B3634" t="str">
        <f>"1578728391124166"</f>
        <v>1578728391124166</v>
      </c>
      <c r="C3634" t="s">
        <v>40</v>
      </c>
      <c r="D3634">
        <v>5.4840559999999998</v>
      </c>
      <c r="E3634">
        <v>0.63337949999999998</v>
      </c>
      <c r="F3634" t="s">
        <v>43</v>
      </c>
      <c r="G3634">
        <v>-311.49639999999999</v>
      </c>
      <c r="H3634">
        <v>-0.05</v>
      </c>
      <c r="I3634">
        <v>10.11023</v>
      </c>
      <c r="J3634">
        <v>-323.58150000000001</v>
      </c>
      <c r="K3634">
        <v>1.098732</v>
      </c>
      <c r="L3634">
        <v>18.933260000000001</v>
      </c>
      <c r="M3634">
        <v>0.99223300000000003</v>
      </c>
      <c r="N3634">
        <v>0</v>
      </c>
      <c r="O3634">
        <v>-0.12344140000000001</v>
      </c>
      <c r="P3634">
        <v>0.95792239999999995</v>
      </c>
      <c r="Q3634">
        <v>4.938296E-3</v>
      </c>
      <c r="R3634">
        <v>-0.28698610000000002</v>
      </c>
      <c r="S3634">
        <v>2.5855709999999998</v>
      </c>
      <c r="T3634">
        <v>-0.24081920000000001</v>
      </c>
      <c r="U3634">
        <v>-1.857391</v>
      </c>
      <c r="V3634">
        <v>0.16680680000000001</v>
      </c>
      <c r="W3634">
        <v>1.762615E-2</v>
      </c>
      <c r="X3634">
        <v>0.98583200000000004</v>
      </c>
      <c r="Y3634">
        <v>0.47770980000000002</v>
      </c>
      <c r="Z3634">
        <v>-9.7388479999999996E-3</v>
      </c>
      <c r="AA3634">
        <v>0.87846369999999896</v>
      </c>
      <c r="AB3634">
        <v>28</v>
      </c>
      <c r="AC3634">
        <v>12.085100000000001</v>
      </c>
      <c r="AD3634">
        <v>-1.1487319999999901</v>
      </c>
      <c r="AE3634">
        <v>-8.8230299999999993</v>
      </c>
      <c r="AF3634">
        <v>7.2209978382626296</v>
      </c>
      <c r="AG3634">
        <v>-1.1487319999999901</v>
      </c>
      <c r="AH3634">
        <v>13.0052554808245</v>
      </c>
      <c r="AI3634">
        <v>94.415803183277106</v>
      </c>
      <c r="AJ3634">
        <v>60.959349023214997</v>
      </c>
      <c r="AK3634">
        <v>14.9197541906538</v>
      </c>
      <c r="AL3634">
        <v>88.9900436561622</v>
      </c>
      <c r="AM3634">
        <v>80.396282264414296</v>
      </c>
      <c r="AN3634">
        <v>0.99999996095703003</v>
      </c>
    </row>
    <row r="3635" spans="1:40" x14ac:dyDescent="0.3">
      <c r="A3635" t="str">
        <f>"20200111153951155"</f>
        <v>20200111153951155</v>
      </c>
      <c r="B3635" t="str">
        <f>"1578728391144662"</f>
        <v>1578728391144662</v>
      </c>
      <c r="C3635" t="s">
        <v>40</v>
      </c>
      <c r="D3635">
        <v>5.4742559999999996</v>
      </c>
      <c r="E3635">
        <v>0.63341619999999998</v>
      </c>
      <c r="F3635" t="s">
        <v>43</v>
      </c>
      <c r="G3635">
        <v>-311.4015</v>
      </c>
      <c r="H3635">
        <v>-0.05</v>
      </c>
      <c r="I3635">
        <v>10.031330000000001</v>
      </c>
      <c r="J3635">
        <v>-323.32749999999999</v>
      </c>
      <c r="K3635">
        <v>1.0987209999999901</v>
      </c>
      <c r="L3635">
        <v>18.89359</v>
      </c>
      <c r="M3635">
        <v>0.99128249999999996</v>
      </c>
      <c r="N3635">
        <v>0</v>
      </c>
      <c r="O3635">
        <v>-0.1308735</v>
      </c>
      <c r="P3635">
        <v>0.95550349999999995</v>
      </c>
      <c r="Q3635">
        <v>4.3855539999999998E-3</v>
      </c>
      <c r="R3635">
        <v>-0.29494720000000002</v>
      </c>
      <c r="S3635">
        <v>2.5702509999999998</v>
      </c>
      <c r="T3635">
        <v>-0.24240890000000001</v>
      </c>
      <c r="U3635">
        <v>-1.8785099999999999</v>
      </c>
      <c r="V3635">
        <v>0.16761199999999901</v>
      </c>
      <c r="W3635">
        <v>1.6909099999999899E-2</v>
      </c>
      <c r="X3635">
        <v>0.98570800000000003</v>
      </c>
      <c r="Y3635">
        <v>0.47833320000000001</v>
      </c>
      <c r="Z3635">
        <v>-9.2477610000000002E-3</v>
      </c>
      <c r="AA3635">
        <v>0.87812969999999901</v>
      </c>
      <c r="AB3635">
        <v>28</v>
      </c>
      <c r="AC3635">
        <v>11.925999999999901</v>
      </c>
      <c r="AD3635">
        <v>-1.1487210000000001</v>
      </c>
      <c r="AE3635">
        <v>-8.8622599999999991</v>
      </c>
      <c r="AF3635">
        <v>7.1821126744615196</v>
      </c>
      <c r="AG3635">
        <v>-1.1487210000000001</v>
      </c>
      <c r="AH3635">
        <v>12.906228737937999</v>
      </c>
      <c r="AI3635">
        <v>94.447160006527696</v>
      </c>
      <c r="AJ3635">
        <v>60.904752422317799</v>
      </c>
      <c r="AK3635">
        <v>14.8146225952766</v>
      </c>
      <c r="AL3635">
        <v>89.031133742899598</v>
      </c>
      <c r="AM3635">
        <v>80.349602296346404</v>
      </c>
      <c r="AN3635">
        <v>0.99999998073540397</v>
      </c>
    </row>
    <row r="3636" spans="1:40" x14ac:dyDescent="0.3">
      <c r="A3636" t="str">
        <f>"20200111153951168"</f>
        <v>20200111153951168</v>
      </c>
      <c r="B3636" t="str">
        <f>"1578728391164182"</f>
        <v>1578728391164182</v>
      </c>
      <c r="C3636" t="s">
        <v>40</v>
      </c>
      <c r="D3636">
        <v>5.488429</v>
      </c>
      <c r="E3636">
        <v>0.63347219999999904</v>
      </c>
      <c r="F3636" t="s">
        <v>43</v>
      </c>
      <c r="G3636">
        <v>-311.39449999999999</v>
      </c>
      <c r="H3636">
        <v>-0.05</v>
      </c>
      <c r="I3636">
        <v>10.01765</v>
      </c>
      <c r="J3636">
        <v>-323.1626</v>
      </c>
      <c r="K3636">
        <v>1.098716</v>
      </c>
      <c r="L3636">
        <v>18.866579999999999</v>
      </c>
      <c r="M3636">
        <v>0.99063579999999996</v>
      </c>
      <c r="N3636">
        <v>0</v>
      </c>
      <c r="O3636">
        <v>-0.135692799999999</v>
      </c>
      <c r="P3636">
        <v>0.95399639999999997</v>
      </c>
      <c r="Q3636">
        <v>3.747673E-3</v>
      </c>
      <c r="R3636">
        <v>-0.299795599999999</v>
      </c>
      <c r="S3636">
        <v>2.5543520000000002</v>
      </c>
      <c r="T3636">
        <v>-0.24589279999999999</v>
      </c>
      <c r="U3636">
        <v>-1.8999630000000001</v>
      </c>
      <c r="V3636">
        <v>0.16781279999999901</v>
      </c>
      <c r="W3636">
        <v>1.6178680000000001E-2</v>
      </c>
      <c r="X3636">
        <v>0.98568610000000001</v>
      </c>
      <c r="Y3636">
        <v>0.48140139999999998</v>
      </c>
      <c r="Z3636">
        <v>-9.1383620000000006E-3</v>
      </c>
      <c r="AA3636">
        <v>0.87645260000000003</v>
      </c>
      <c r="AB3636">
        <v>28</v>
      </c>
      <c r="AC3636">
        <v>11.7681</v>
      </c>
      <c r="AD3636">
        <v>-1.1487160000000001</v>
      </c>
      <c r="AE3636">
        <v>-8.8489299999999993</v>
      </c>
      <c r="AF3636">
        <v>7.1266605552511297</v>
      </c>
      <c r="AG3636">
        <v>-1.1487160000000001</v>
      </c>
      <c r="AH3636">
        <v>12.7823023452067</v>
      </c>
      <c r="AI3636">
        <v>94.4880720576747</v>
      </c>
      <c r="AJ3636">
        <v>60.858531211332497</v>
      </c>
      <c r="AK3636">
        <v>14.6797851606454</v>
      </c>
      <c r="AL3636">
        <v>89.072989461728397</v>
      </c>
      <c r="AM3636">
        <v>80.338048253052705</v>
      </c>
      <c r="AN3636">
        <v>0.99999998663179601</v>
      </c>
    </row>
    <row r="3637" spans="1:40" x14ac:dyDescent="0.3">
      <c r="A3637" t="str">
        <f>"20200111153951181"</f>
        <v>20200111153951181</v>
      </c>
      <c r="B3637" t="str">
        <f>"1578728391174918"</f>
        <v>1578728391174918</v>
      </c>
      <c r="C3637" t="s">
        <v>40</v>
      </c>
      <c r="D3637">
        <v>5.5191460000000001</v>
      </c>
      <c r="E3637">
        <v>0.63347100000000001</v>
      </c>
      <c r="F3637" t="s">
        <v>43</v>
      </c>
      <c r="G3637">
        <v>-311.44650000000001</v>
      </c>
      <c r="H3637">
        <v>-0.05</v>
      </c>
      <c r="I3637">
        <v>10.056609999999999</v>
      </c>
      <c r="J3637">
        <v>-323.00569999999999</v>
      </c>
      <c r="K3637">
        <v>1.098711</v>
      </c>
      <c r="L3637">
        <v>18.84027</v>
      </c>
      <c r="M3637">
        <v>0.9899983</v>
      </c>
      <c r="N3637">
        <v>0</v>
      </c>
      <c r="O3637">
        <v>-0.14027700000000001</v>
      </c>
      <c r="P3637">
        <v>0.95249240000000002</v>
      </c>
      <c r="Q3637">
        <v>3.6221999999999999E-3</v>
      </c>
      <c r="R3637">
        <v>-0.30454130000000001</v>
      </c>
      <c r="S3637">
        <v>2.544403</v>
      </c>
      <c r="T3637">
        <v>-0.2494681</v>
      </c>
      <c r="U3637">
        <v>-1.9132690000000001</v>
      </c>
      <c r="V3637">
        <v>0.1681541</v>
      </c>
      <c r="W3637">
        <v>1.5966040000000001E-2</v>
      </c>
      <c r="X3637">
        <v>0.98563140000000005</v>
      </c>
      <c r="Y3637">
        <v>0.48190169999999999</v>
      </c>
      <c r="Z3637">
        <v>-8.9228139999999994E-3</v>
      </c>
      <c r="AA3637">
        <v>0.87617990000000001</v>
      </c>
      <c r="AB3637">
        <v>28</v>
      </c>
      <c r="AC3637">
        <v>11.559199999999899</v>
      </c>
      <c r="AD3637">
        <v>-1.148711</v>
      </c>
      <c r="AE3637">
        <v>-8.7836599999999994</v>
      </c>
      <c r="AF3637">
        <v>7.0310981136530799</v>
      </c>
      <c r="AG3637">
        <v>-1.148711</v>
      </c>
      <c r="AH3637">
        <v>12.598291595053899</v>
      </c>
      <c r="AI3637">
        <v>94.552254988788405</v>
      </c>
      <c r="AJ3637">
        <v>60.834143010257897</v>
      </c>
      <c r="AK3637">
        <v>14.4731761807609</v>
      </c>
      <c r="AL3637">
        <v>89.085174410010097</v>
      </c>
      <c r="AM3637">
        <v>80.318242056425206</v>
      </c>
      <c r="AN3637">
        <v>0.99999998622302499</v>
      </c>
    </row>
    <row r="3638" spans="1:40" x14ac:dyDescent="0.3">
      <c r="A3638" t="str">
        <f>"20200111153951193"</f>
        <v>20200111153951193</v>
      </c>
      <c r="B3638" t="str">
        <f>"1578728391184680"</f>
        <v>1578728391184680</v>
      </c>
      <c r="C3638" t="s">
        <v>40</v>
      </c>
      <c r="D3638">
        <v>5.5167769999999896</v>
      </c>
      <c r="E3638">
        <v>0.63350059999999997</v>
      </c>
      <c r="F3638" t="s">
        <v>43</v>
      </c>
      <c r="G3638">
        <v>-311.37529999999998</v>
      </c>
      <c r="H3638">
        <v>-0.05</v>
      </c>
      <c r="I3638">
        <v>10.00497</v>
      </c>
      <c r="J3638">
        <v>-322.84309999999999</v>
      </c>
      <c r="K3638">
        <v>1.0987089999999999</v>
      </c>
      <c r="L3638">
        <v>18.81241</v>
      </c>
      <c r="M3638">
        <v>0.9893151</v>
      </c>
      <c r="N3638">
        <v>0</v>
      </c>
      <c r="O3638">
        <v>-0.14502579999999901</v>
      </c>
      <c r="P3638">
        <v>0.9510305</v>
      </c>
      <c r="Q3638">
        <v>3.4862510000000001E-3</v>
      </c>
      <c r="R3638">
        <v>-0.30907839999999998</v>
      </c>
      <c r="S3638">
        <v>2.5348510000000002</v>
      </c>
      <c r="T3638">
        <v>-0.25036259999999999</v>
      </c>
      <c r="U3638">
        <v>-1.925659</v>
      </c>
      <c r="V3638">
        <v>0.16811980000000001</v>
      </c>
      <c r="W3638">
        <v>1.5751009999999999E-2</v>
      </c>
      <c r="X3638">
        <v>0.98564070000000004</v>
      </c>
      <c r="Y3638">
        <v>0.48201060000000001</v>
      </c>
      <c r="Z3638">
        <v>-8.5734230000000002E-3</v>
      </c>
      <c r="AA3638">
        <v>0.8761234</v>
      </c>
      <c r="AB3638">
        <v>28</v>
      </c>
      <c r="AC3638">
        <v>11.4678</v>
      </c>
      <c r="AD3638">
        <v>-1.148709</v>
      </c>
      <c r="AE3638">
        <v>-8.8074399999999997</v>
      </c>
      <c r="AF3638">
        <v>7.0067728798936102</v>
      </c>
      <c r="AG3638">
        <v>-1.148709</v>
      </c>
      <c r="AH3638">
        <v>12.544810869938001</v>
      </c>
      <c r="AI3638">
        <v>94.570719169972094</v>
      </c>
      <c r="AJ3638">
        <v>60.814914794116902</v>
      </c>
      <c r="AK3638">
        <v>14.4148076060559</v>
      </c>
      <c r="AL3638">
        <v>89.097496261505199</v>
      </c>
      <c r="AM3638">
        <v>80.320269174785196</v>
      </c>
      <c r="AN3638">
        <v>0.99999997548227404</v>
      </c>
    </row>
    <row r="3639" spans="1:40" x14ac:dyDescent="0.3">
      <c r="A3639" t="str">
        <f>"20200111153951212"</f>
        <v>20200111153951212</v>
      </c>
      <c r="B3639" t="str">
        <f>"1578728391204201"</f>
        <v>1578728391204201</v>
      </c>
      <c r="C3639" t="s">
        <v>40</v>
      </c>
      <c r="D3639">
        <v>5.5238519999999998</v>
      </c>
      <c r="E3639">
        <v>0.60163809999999995</v>
      </c>
      <c r="F3639" t="s">
        <v>43</v>
      </c>
      <c r="G3639">
        <v>-311.30239999999998</v>
      </c>
      <c r="H3639">
        <v>-0.05</v>
      </c>
      <c r="I3639">
        <v>9.9563450000000007</v>
      </c>
      <c r="J3639">
        <v>-322.63290000000001</v>
      </c>
      <c r="K3639">
        <v>1.098698</v>
      </c>
      <c r="L3639">
        <v>18.774899999999999</v>
      </c>
      <c r="M3639">
        <v>0.98839750000000004</v>
      </c>
      <c r="N3639">
        <v>0</v>
      </c>
      <c r="O3639">
        <v>-0.15116189999999999</v>
      </c>
      <c r="P3639">
        <v>0.94920369999999998</v>
      </c>
      <c r="Q3639">
        <v>3.3787439999999999E-3</v>
      </c>
      <c r="R3639">
        <v>-0.31464490000000001</v>
      </c>
      <c r="S3639">
        <v>2.5255429999999999</v>
      </c>
      <c r="T3639">
        <v>-0.2513822</v>
      </c>
      <c r="U3639">
        <v>-1.9380489999999999</v>
      </c>
      <c r="V3639">
        <v>0.16777549999999999</v>
      </c>
      <c r="W3639">
        <v>1.555697E-2</v>
      </c>
      <c r="X3639">
        <v>0.98570250000000004</v>
      </c>
      <c r="Y3639">
        <v>0.48085450000000002</v>
      </c>
      <c r="Z3639">
        <v>-8.0505009999999998E-3</v>
      </c>
      <c r="AA3639">
        <v>0.87676350000000003</v>
      </c>
      <c r="AB3639">
        <v>28</v>
      </c>
      <c r="AC3639">
        <v>11.330500000000001</v>
      </c>
      <c r="AD3639">
        <v>-1.148698</v>
      </c>
      <c r="AE3639">
        <v>-8.8185549999999999</v>
      </c>
      <c r="AF3639">
        <v>6.9597221327039698</v>
      </c>
      <c r="AG3639">
        <v>-1.148698</v>
      </c>
      <c r="AH3639">
        <v>12.453735157368</v>
      </c>
      <c r="AI3639">
        <v>94.603359865647903</v>
      </c>
      <c r="AJ3639">
        <v>60.801525668005098</v>
      </c>
      <c r="AK3639">
        <v>14.3126782479562</v>
      </c>
      <c r="AL3639">
        <v>89.108615344197204</v>
      </c>
      <c r="AM3639">
        <v>80.340313050790499</v>
      </c>
      <c r="AN3639">
        <v>1.0000000281110399</v>
      </c>
    </row>
    <row r="3640" spans="1:40" x14ac:dyDescent="0.3">
      <c r="A3640" t="str">
        <f>"20200111153951225"</f>
        <v>20200111153951225</v>
      </c>
      <c r="B3640" t="str">
        <f>"1578728391214934"</f>
        <v>1578728391214934</v>
      </c>
      <c r="C3640" t="s">
        <v>40</v>
      </c>
      <c r="D3640">
        <v>5.4930890000000003</v>
      </c>
      <c r="E3640">
        <v>0.60163809999999995</v>
      </c>
      <c r="F3640" t="s">
        <v>43</v>
      </c>
      <c r="G3640">
        <v>-314.57990000000001</v>
      </c>
      <c r="H3640">
        <v>-0.05</v>
      </c>
      <c r="I3640">
        <v>13.46547</v>
      </c>
      <c r="J3640">
        <v>-322.46660000000003</v>
      </c>
      <c r="K3640">
        <v>1.0986940000000001</v>
      </c>
      <c r="L3640">
        <v>18.744199999999999</v>
      </c>
      <c r="M3640">
        <v>0.98764339999999995</v>
      </c>
      <c r="N3640">
        <v>0</v>
      </c>
      <c r="O3640">
        <v>-0.15602060000000001</v>
      </c>
      <c r="P3640">
        <v>0.94770500000000002</v>
      </c>
      <c r="Q3640">
        <v>3.164474E-3</v>
      </c>
      <c r="R3640">
        <v>-0.319133</v>
      </c>
      <c r="S3640">
        <v>2.594757</v>
      </c>
      <c r="T3640">
        <v>-0.37012139999999999</v>
      </c>
      <c r="U3640">
        <v>-1.7107540000000001</v>
      </c>
      <c r="V3640">
        <v>0.1675884</v>
      </c>
      <c r="W3640">
        <v>1.527948E-2</v>
      </c>
      <c r="X3640">
        <v>0.98573860000000002</v>
      </c>
      <c r="Y3640">
        <v>0.4116592</v>
      </c>
      <c r="Z3640">
        <v>-6.7306889999999998E-3</v>
      </c>
      <c r="AA3640">
        <v>0.91131300000000004</v>
      </c>
      <c r="AB3640">
        <v>28</v>
      </c>
      <c r="AC3640">
        <v>7.88670000000001</v>
      </c>
      <c r="AD3640">
        <v>-1.1486940000000001</v>
      </c>
      <c r="AE3640">
        <v>-5.2787299999999897</v>
      </c>
      <c r="AF3640">
        <v>3.9259326849291698</v>
      </c>
      <c r="AG3640">
        <v>-1.1486940000000001</v>
      </c>
      <c r="AH3640">
        <v>8.4894031298477497</v>
      </c>
      <c r="AI3640">
        <v>97.001579610878593</v>
      </c>
      <c r="AJ3640">
        <v>65.181773050865601</v>
      </c>
      <c r="AK3640">
        <v>9.4235031094227395</v>
      </c>
      <c r="AL3640">
        <v>89.124516180941001</v>
      </c>
      <c r="AM3640">
        <v>80.351229439911407</v>
      </c>
      <c r="AN3640">
        <v>0.999999960926794</v>
      </c>
    </row>
    <row r="3641" spans="1:40" x14ac:dyDescent="0.3">
      <c r="A3641" t="str">
        <f>"20200111153951240"</f>
        <v>20200111153951240</v>
      </c>
      <c r="B3641" t="str">
        <f>"1578728391234454"</f>
        <v>1578728391234454</v>
      </c>
      <c r="C3641" t="s">
        <v>40</v>
      </c>
      <c r="D3641">
        <v>5.3555380000000001</v>
      </c>
      <c r="E3641">
        <v>0.54535659999999997</v>
      </c>
      <c r="F3641" t="s">
        <v>43</v>
      </c>
      <c r="G3641">
        <v>-314.44889999999998</v>
      </c>
      <c r="H3641">
        <v>-0.05</v>
      </c>
      <c r="I3641">
        <v>13.402979999999999</v>
      </c>
      <c r="J3641">
        <v>-322.28789999999998</v>
      </c>
      <c r="K3641">
        <v>1.0986940000000001</v>
      </c>
      <c r="L3641">
        <v>18.71048</v>
      </c>
      <c r="M3641">
        <v>0.98680610000000002</v>
      </c>
      <c r="N3641">
        <v>0</v>
      </c>
      <c r="O3641">
        <v>-0.1612372</v>
      </c>
      <c r="P3641">
        <v>0.9461465</v>
      </c>
      <c r="Q3641">
        <v>2.886689E-3</v>
      </c>
      <c r="R3641">
        <v>-0.32372580000000001</v>
      </c>
      <c r="S3641">
        <v>2.5865779999999998</v>
      </c>
      <c r="T3641">
        <v>-0.37057689999999999</v>
      </c>
      <c r="U3641">
        <v>-1.723114</v>
      </c>
      <c r="V3641">
        <v>0.16715569999999999</v>
      </c>
      <c r="W3641">
        <v>1.494239E-2</v>
      </c>
      <c r="X3641">
        <v>0.98581730000000001</v>
      </c>
      <c r="Y3641">
        <v>0.41122559999999903</v>
      </c>
      <c r="Z3641">
        <v>-6.0681379999999998E-3</v>
      </c>
      <c r="AA3641">
        <v>0.91151340000000003</v>
      </c>
      <c r="AB3641">
        <v>27</v>
      </c>
      <c r="AC3641">
        <v>7.8389999999999898</v>
      </c>
      <c r="AD3641">
        <v>-1.1486940000000001</v>
      </c>
      <c r="AE3641">
        <v>-5.3075000000000001</v>
      </c>
      <c r="AF3641">
        <v>3.9163036803214899</v>
      </c>
      <c r="AG3641">
        <v>-1.1486940000000001</v>
      </c>
      <c r="AH3641">
        <v>8.4675973989754691</v>
      </c>
      <c r="AI3641">
        <v>97.019288117861507</v>
      </c>
      <c r="AJ3641">
        <v>65.179236350139007</v>
      </c>
      <c r="AK3641">
        <v>9.3998477718137501</v>
      </c>
      <c r="AL3641">
        <v>89.143832277280296</v>
      </c>
      <c r="AM3641">
        <v>80.376429198615199</v>
      </c>
      <c r="AN3641">
        <v>1.0000000260203401</v>
      </c>
    </row>
    <row r="3642" spans="1:40" x14ac:dyDescent="0.3">
      <c r="A3642" t="str">
        <f>"20200111153951255"</f>
        <v>20200111153951255</v>
      </c>
      <c r="B3642" t="str">
        <f>"1578728391244214"</f>
        <v>1578728391244214</v>
      </c>
      <c r="C3642" t="s">
        <v>40</v>
      </c>
      <c r="D3642">
        <v>5.2485119999999998</v>
      </c>
      <c r="E3642">
        <v>0.54536130000000005</v>
      </c>
      <c r="F3642" t="s">
        <v>43</v>
      </c>
      <c r="G3642">
        <v>-314.8331</v>
      </c>
      <c r="H3642">
        <v>-0.05</v>
      </c>
      <c r="I3642">
        <v>15.122310000000001</v>
      </c>
      <c r="J3642">
        <v>-322.0967</v>
      </c>
      <c r="K3642">
        <v>1.0986959999999999</v>
      </c>
      <c r="L3642">
        <v>18.67334</v>
      </c>
      <c r="M3642">
        <v>0.98587809999999998</v>
      </c>
      <c r="N3642">
        <v>0</v>
      </c>
      <c r="O3642">
        <v>-0.1668231</v>
      </c>
      <c r="P3642">
        <v>0.94447009999999998</v>
      </c>
      <c r="Q3642">
        <v>2.7290219999999998E-3</v>
      </c>
      <c r="R3642">
        <v>-0.32858609999999999</v>
      </c>
      <c r="S3642">
        <v>2.7235109999999998</v>
      </c>
      <c r="T3642">
        <v>-0.41965839999999999</v>
      </c>
      <c r="U3642">
        <v>-1.310883</v>
      </c>
      <c r="V3642">
        <v>0.1666378</v>
      </c>
      <c r="W3642">
        <v>1.472832E-2</v>
      </c>
      <c r="X3642">
        <v>0.98590820000000001</v>
      </c>
      <c r="Y3642">
        <v>0.27624539999999997</v>
      </c>
      <c r="Z3642">
        <v>3.8624950000000001E-3</v>
      </c>
      <c r="AA3642">
        <v>0.96107940000000003</v>
      </c>
      <c r="AB3642">
        <v>27</v>
      </c>
      <c r="AC3642">
        <v>7.2635999999999896</v>
      </c>
      <c r="AD3642">
        <v>-1.1486959999999999</v>
      </c>
      <c r="AE3642">
        <v>-3.5510299999999901</v>
      </c>
      <c r="AF3642">
        <v>2.2440943416151899</v>
      </c>
      <c r="AG3642">
        <v>-1.1486959999999999</v>
      </c>
      <c r="AH3642">
        <v>7.6008249868544402</v>
      </c>
      <c r="AI3642">
        <v>98.2471633535813</v>
      </c>
      <c r="AJ3642">
        <v>73.551105855691304</v>
      </c>
      <c r="AK3642">
        <v>8.0079961535502893</v>
      </c>
      <c r="AL3642">
        <v>89.156098937228606</v>
      </c>
      <c r="AM3642">
        <v>80.4065590420131</v>
      </c>
      <c r="AN3642">
        <v>1.00000002931305</v>
      </c>
    </row>
    <row r="3643" spans="1:40" x14ac:dyDescent="0.3">
      <c r="A3643" t="str">
        <f>"20200111153951278"</f>
        <v>20200111153951278</v>
      </c>
      <c r="B3643" t="str">
        <f>"1578728391274469"</f>
        <v>1578728391274469</v>
      </c>
      <c r="C3643" t="s">
        <v>40</v>
      </c>
      <c r="D3643">
        <v>5.1536790000000003</v>
      </c>
      <c r="E3643">
        <v>0.54684670000000002</v>
      </c>
      <c r="F3643" t="s">
        <v>43</v>
      </c>
      <c r="G3643">
        <v>-314.82069999999999</v>
      </c>
      <c r="H3643">
        <v>-0.05</v>
      </c>
      <c r="I3643">
        <v>15.12514</v>
      </c>
      <c r="J3643">
        <v>-321.82650000000001</v>
      </c>
      <c r="K3643">
        <v>1.098714</v>
      </c>
      <c r="L3643">
        <v>18.618680000000001</v>
      </c>
      <c r="M3643">
        <v>0.98451040000000001</v>
      </c>
      <c r="N3643">
        <v>0</v>
      </c>
      <c r="O3643">
        <v>-0.17472070000000001</v>
      </c>
      <c r="P3643">
        <v>0.94200810000000001</v>
      </c>
      <c r="Q3643">
        <v>3.2519340000000002E-3</v>
      </c>
      <c r="R3643">
        <v>-0.335574599999999</v>
      </c>
      <c r="S3643">
        <v>2.7167050000000001</v>
      </c>
      <c r="T3643">
        <v>-0.42890030000000001</v>
      </c>
      <c r="U3643">
        <v>-1.324829</v>
      </c>
      <c r="V3643">
        <v>0.16604569999999999</v>
      </c>
      <c r="W3643">
        <v>1.518078E-2</v>
      </c>
      <c r="X3643">
        <v>0.98600120000000002</v>
      </c>
      <c r="Y3643">
        <v>0.27353290000000002</v>
      </c>
      <c r="Z3643">
        <v>5.289083E-3</v>
      </c>
      <c r="AA3643">
        <v>0.96184809999999998</v>
      </c>
      <c r="AB3643">
        <v>27</v>
      </c>
      <c r="AC3643">
        <v>7.0058000000000202</v>
      </c>
      <c r="AD3643">
        <v>-1.148714</v>
      </c>
      <c r="AE3643">
        <v>-3.4935399999999901</v>
      </c>
      <c r="AF3643">
        <v>2.1689045290892199</v>
      </c>
      <c r="AG3643">
        <v>-1.148714</v>
      </c>
      <c r="AH3643">
        <v>7.3502157140183302</v>
      </c>
      <c r="AI3643">
        <v>98.524793660849994</v>
      </c>
      <c r="AJ3643">
        <v>73.559703538732407</v>
      </c>
      <c r="AK3643">
        <v>7.7491523247837799</v>
      </c>
      <c r="AL3643">
        <v>89.130171963257496</v>
      </c>
      <c r="AM3643">
        <v>80.440901425035705</v>
      </c>
      <c r="AN3643">
        <v>0.99999999848566901</v>
      </c>
    </row>
    <row r="3644" spans="1:40" x14ac:dyDescent="0.3">
      <c r="A3644" t="str">
        <f>"20200111153951293"</f>
        <v>20200111153951293</v>
      </c>
      <c r="B3644" t="str">
        <f>"1578728391284231"</f>
        <v>1578728391284231</v>
      </c>
      <c r="C3644" t="s">
        <v>40</v>
      </c>
      <c r="D3644">
        <v>5.150493</v>
      </c>
      <c r="E3644">
        <v>0.54726640000000004</v>
      </c>
      <c r="F3644" t="s">
        <v>43</v>
      </c>
      <c r="G3644">
        <v>-314.62540000000001</v>
      </c>
      <c r="H3644">
        <v>-0.05</v>
      </c>
      <c r="I3644">
        <v>15.0054</v>
      </c>
      <c r="J3644">
        <v>-321.63529999999997</v>
      </c>
      <c r="K3644">
        <v>1.098727</v>
      </c>
      <c r="L3644">
        <v>18.578769999999999</v>
      </c>
      <c r="M3644">
        <v>0.98350320000000002</v>
      </c>
      <c r="N3644">
        <v>0</v>
      </c>
      <c r="O3644">
        <v>-0.18030860000000001</v>
      </c>
      <c r="P3644">
        <v>0.94015219999999999</v>
      </c>
      <c r="Q3644">
        <v>3.7174880000000001E-3</v>
      </c>
      <c r="R3644">
        <v>-0.34073490000000001</v>
      </c>
      <c r="S3644">
        <v>2.7030029999999998</v>
      </c>
      <c r="T3644">
        <v>-0.43118479999999998</v>
      </c>
      <c r="U3644">
        <v>-1.356293</v>
      </c>
      <c r="V3644">
        <v>0.16585929999999999</v>
      </c>
      <c r="W3644">
        <v>1.5597969999999999E-2</v>
      </c>
      <c r="X3644">
        <v>0.98602599999999996</v>
      </c>
      <c r="Y3644">
        <v>0.27896199999999999</v>
      </c>
      <c r="Z3644">
        <v>5.724799E-3</v>
      </c>
      <c r="AA3644">
        <v>0.9602851</v>
      </c>
      <c r="AB3644">
        <v>27</v>
      </c>
      <c r="AC3644">
        <v>7.0098999999999503</v>
      </c>
      <c r="AD3644">
        <v>-1.1487270000000001</v>
      </c>
      <c r="AE3644">
        <v>-3.5733700000000002</v>
      </c>
      <c r="AF3644">
        <v>2.2037390937476999</v>
      </c>
      <c r="AG3644">
        <v>-1.1487270000000001</v>
      </c>
      <c r="AH3644">
        <v>7.3820121103708498</v>
      </c>
      <c r="AI3644">
        <v>98.480842090880799</v>
      </c>
      <c r="AJ3644">
        <v>73.378149961575104</v>
      </c>
      <c r="AK3644">
        <v>7.7891040891429197</v>
      </c>
      <c r="AL3644">
        <v>89.106265852023597</v>
      </c>
      <c r="AM3644">
        <v>80.451670343934595</v>
      </c>
      <c r="AN3644">
        <v>0.99999993837030299</v>
      </c>
    </row>
    <row r="3645" spans="1:40" x14ac:dyDescent="0.3">
      <c r="A3645" t="str">
        <f>"20200111153951306"</f>
        <v>20200111153951306</v>
      </c>
      <c r="B3645" t="str">
        <f>"1578728391294967"</f>
        <v>1578728391294967</v>
      </c>
      <c r="C3645" t="s">
        <v>40</v>
      </c>
      <c r="D3645">
        <v>5.1485640000000004</v>
      </c>
      <c r="E3645">
        <v>0.54779359999999999</v>
      </c>
      <c r="F3645" t="s">
        <v>43</v>
      </c>
      <c r="G3645">
        <v>-314.45659999999998</v>
      </c>
      <c r="H3645">
        <v>-0.05</v>
      </c>
      <c r="I3645">
        <v>14.917479999999999</v>
      </c>
      <c r="J3645">
        <v>-321.48039999999997</v>
      </c>
      <c r="K3645">
        <v>1.0987370000000001</v>
      </c>
      <c r="L3645">
        <v>18.545349999999999</v>
      </c>
      <c r="M3645">
        <v>0.98266200000000004</v>
      </c>
      <c r="N3645">
        <v>0</v>
      </c>
      <c r="O3645">
        <v>-0.1848408</v>
      </c>
      <c r="P3645">
        <v>0.93862440000000003</v>
      </c>
      <c r="Q3645">
        <v>4.3932820000000001E-3</v>
      </c>
      <c r="R3645">
        <v>-0.34491319999999998</v>
      </c>
      <c r="S3645">
        <v>2.6945800000000002</v>
      </c>
      <c r="T3645">
        <v>-0.43118459999999997</v>
      </c>
      <c r="U3645">
        <v>-1.374298</v>
      </c>
      <c r="V3645">
        <v>0.16570889999999999</v>
      </c>
      <c r="W3645">
        <v>1.6239710000000001E-2</v>
      </c>
      <c r="X3645">
        <v>0.98604099999999995</v>
      </c>
      <c r="Y3645">
        <v>0.28086840000000002</v>
      </c>
      <c r="Z3645">
        <v>6.2422399999999996E-3</v>
      </c>
      <c r="AA3645">
        <v>0.95972599999999997</v>
      </c>
      <c r="AB3645">
        <v>27</v>
      </c>
      <c r="AC3645">
        <v>7.0237999999999898</v>
      </c>
      <c r="AD3645">
        <v>-1.1487369999999999</v>
      </c>
      <c r="AE3645">
        <v>-3.6278700000000002</v>
      </c>
      <c r="AF3645">
        <v>2.2200457580002499</v>
      </c>
      <c r="AG3645">
        <v>-1.1487369999999999</v>
      </c>
      <c r="AH3645">
        <v>7.4167855799386997</v>
      </c>
      <c r="AI3645">
        <v>98.439902555921194</v>
      </c>
      <c r="AJ3645">
        <v>73.336127309782796</v>
      </c>
      <c r="AK3645">
        <v>7.82667925761434</v>
      </c>
      <c r="AL3645">
        <v>89.069492263198896</v>
      </c>
      <c r="AM3645">
        <v>80.460311948024994</v>
      </c>
      <c r="AN3645">
        <v>1.00000001070054</v>
      </c>
    </row>
    <row r="3646" spans="1:40" x14ac:dyDescent="0.3">
      <c r="A3646" t="str">
        <f>"20200111153951324"</f>
        <v>20200111153951324</v>
      </c>
      <c r="B3646" t="str">
        <f>"1578728391314486"</f>
        <v>1578728391314486</v>
      </c>
      <c r="C3646" t="s">
        <v>40</v>
      </c>
      <c r="D3646">
        <v>5.1776619999999998</v>
      </c>
      <c r="E3646">
        <v>0.54894739999999997</v>
      </c>
      <c r="F3646" t="s">
        <v>43</v>
      </c>
      <c r="G3646">
        <v>-314.31229999999999</v>
      </c>
      <c r="H3646">
        <v>-0.05</v>
      </c>
      <c r="I3646">
        <v>14.83647</v>
      </c>
      <c r="J3646">
        <v>-321.262</v>
      </c>
      <c r="K3646">
        <v>1.0987340000000001</v>
      </c>
      <c r="L3646">
        <v>18.497340000000001</v>
      </c>
      <c r="M3646">
        <v>0.9813482</v>
      </c>
      <c r="N3646">
        <v>0</v>
      </c>
      <c r="O3646">
        <v>-0.19171369999999999</v>
      </c>
      <c r="P3646">
        <v>0.93636589999999997</v>
      </c>
      <c r="Q3646">
        <v>6.4337569999999896E-3</v>
      </c>
      <c r="R3646">
        <v>-0.35096650000000001</v>
      </c>
      <c r="S3646">
        <v>2.6872859999999998</v>
      </c>
      <c r="T3646">
        <v>-0.4306566</v>
      </c>
      <c r="U3646">
        <v>-1.390442</v>
      </c>
      <c r="V3646">
        <v>0.1652015</v>
      </c>
      <c r="W3646">
        <v>1.803712E-2</v>
      </c>
      <c r="X3646">
        <v>0.9860949</v>
      </c>
      <c r="Y3646">
        <v>0.2798448</v>
      </c>
      <c r="Z3646">
        <v>7.3084119999999898E-3</v>
      </c>
      <c r="AA3646">
        <v>0.96001740000000002</v>
      </c>
      <c r="AB3646">
        <v>27</v>
      </c>
      <c r="AC3646">
        <v>6.9497</v>
      </c>
      <c r="AD3646">
        <v>-1.1487339999999999</v>
      </c>
      <c r="AE3646">
        <v>-3.6608699999999899</v>
      </c>
      <c r="AF3646">
        <v>2.2131308859586398</v>
      </c>
      <c r="AG3646">
        <v>-1.1487339999999999</v>
      </c>
      <c r="AH3646">
        <v>7.3651535248697799</v>
      </c>
      <c r="AI3646">
        <v>98.495514724964394</v>
      </c>
      <c r="AJ3646">
        <v>73.275174354145193</v>
      </c>
      <c r="AK3646">
        <v>7.7757973588592098</v>
      </c>
      <c r="AL3646">
        <v>88.966493117445097</v>
      </c>
      <c r="AM3646">
        <v>80.4894983584241</v>
      </c>
      <c r="AN3646">
        <v>1.0000000125530699</v>
      </c>
    </row>
    <row r="3647" spans="1:40" x14ac:dyDescent="0.3">
      <c r="A3647" t="str">
        <f>"20200111153951338"</f>
        <v>20200111153951338</v>
      </c>
      <c r="B3647" t="str">
        <f>"1578728391334983"</f>
        <v>1578728391334983</v>
      </c>
      <c r="C3647" t="s">
        <v>40</v>
      </c>
      <c r="D3647">
        <v>5.1746639999999999</v>
      </c>
      <c r="E3647">
        <v>0.54987149999999996</v>
      </c>
      <c r="F3647" t="s">
        <v>43</v>
      </c>
      <c r="G3647">
        <v>-313.99020000000002</v>
      </c>
      <c r="H3647">
        <v>-0.05</v>
      </c>
      <c r="I3647">
        <v>14.647220000000001</v>
      </c>
      <c r="J3647">
        <v>-321.09190000000001</v>
      </c>
      <c r="K3647">
        <v>1.098698</v>
      </c>
      <c r="L3647">
        <v>18.459140000000001</v>
      </c>
      <c r="M3647">
        <v>0.98021659999999999</v>
      </c>
      <c r="N3647">
        <v>0</v>
      </c>
      <c r="O3647">
        <v>-0.19744059999999999</v>
      </c>
      <c r="P3647">
        <v>0.93429739999999994</v>
      </c>
      <c r="Q3647">
        <v>7.4784990000000004E-3</v>
      </c>
      <c r="R3647">
        <v>-0.35641650000000002</v>
      </c>
      <c r="S3647">
        <v>2.6757200000000001</v>
      </c>
      <c r="T3647">
        <v>-0.4226838</v>
      </c>
      <c r="U3647">
        <v>-1.416687</v>
      </c>
      <c r="V3647">
        <v>0.16520099999999999</v>
      </c>
      <c r="W3647">
        <v>1.8798499999999999E-2</v>
      </c>
      <c r="X3647">
        <v>0.98608079999999998</v>
      </c>
      <c r="Y3647">
        <v>0.2833677</v>
      </c>
      <c r="Z3647">
        <v>7.7327919999999996E-3</v>
      </c>
      <c r="AA3647">
        <v>0.9589801</v>
      </c>
      <c r="AB3647">
        <v>27</v>
      </c>
      <c r="AC3647">
        <v>7.1016999999999904</v>
      </c>
      <c r="AD3647">
        <v>-1.148698</v>
      </c>
      <c r="AE3647">
        <v>-3.81191999999999</v>
      </c>
      <c r="AF3647">
        <v>2.28809453257655</v>
      </c>
      <c r="AG3647">
        <v>-1.148698</v>
      </c>
      <c r="AH3647">
        <v>7.5610028847057302</v>
      </c>
      <c r="AI3647">
        <v>98.273485196900197</v>
      </c>
      <c r="AJ3647">
        <v>73.163247325062898</v>
      </c>
      <c r="AK3647">
        <v>7.9827093337875601</v>
      </c>
      <c r="AL3647">
        <v>88.922861894833403</v>
      </c>
      <c r="AM3647">
        <v>80.489393110834698</v>
      </c>
      <c r="AN3647">
        <v>1.00000004906594</v>
      </c>
    </row>
    <row r="3648" spans="1:40" x14ac:dyDescent="0.3">
      <c r="A3648" t="str">
        <f>"20200111153951356"</f>
        <v>20200111153951356</v>
      </c>
      <c r="B3648" t="str">
        <f>"1578728391344742"</f>
        <v>1578728391344742</v>
      </c>
      <c r="C3648" t="s">
        <v>40</v>
      </c>
      <c r="D3648">
        <v>5.2019669999999998</v>
      </c>
      <c r="E3648">
        <v>0.55033009999999905</v>
      </c>
      <c r="F3648" t="s">
        <v>43</v>
      </c>
      <c r="G3648">
        <v>-313.7876</v>
      </c>
      <c r="H3648">
        <v>-0.05</v>
      </c>
      <c r="I3648">
        <v>14.514659999999999</v>
      </c>
      <c r="J3648">
        <v>-320.87150000000003</v>
      </c>
      <c r="K3648">
        <v>1.0985469999999999</v>
      </c>
      <c r="L3648">
        <v>18.408390000000001</v>
      </c>
      <c r="M3648">
        <v>0.97868129999999998</v>
      </c>
      <c r="N3648">
        <v>0</v>
      </c>
      <c r="O3648">
        <v>-0.20492489999999999</v>
      </c>
      <c r="P3648">
        <v>0.93142619999999998</v>
      </c>
      <c r="Q3648">
        <v>8.7956259999999904E-3</v>
      </c>
      <c r="R3648">
        <v>-0.36382429999999999</v>
      </c>
      <c r="S3648">
        <v>2.6652529999999999</v>
      </c>
      <c r="T3648">
        <v>-0.41914849999999998</v>
      </c>
      <c r="U3648">
        <v>-1.4393009999999999</v>
      </c>
      <c r="V3648">
        <v>0.16551979999999999</v>
      </c>
      <c r="W3648">
        <v>1.9932680000000001E-2</v>
      </c>
      <c r="X3648">
        <v>0.98600500000000002</v>
      </c>
      <c r="Y3648">
        <v>0.283995099999999</v>
      </c>
      <c r="Z3648">
        <v>8.6813350000000001E-3</v>
      </c>
      <c r="AA3648">
        <v>0.95878640000000004</v>
      </c>
      <c r="AB3648">
        <v>28</v>
      </c>
      <c r="AC3648">
        <v>7.0839000000000203</v>
      </c>
      <c r="AD3648">
        <v>-1.148547</v>
      </c>
      <c r="AE3648">
        <v>-3.8937300000000001</v>
      </c>
      <c r="AF3648">
        <v>2.3125885878649401</v>
      </c>
      <c r="AG3648">
        <v>-1.148547</v>
      </c>
      <c r="AH3648">
        <v>7.5785343814272901</v>
      </c>
      <c r="AI3648">
        <v>98.2478083484568</v>
      </c>
      <c r="AJ3648">
        <v>73.030439675407294</v>
      </c>
      <c r="AK3648">
        <v>8.0063355886702503</v>
      </c>
      <c r="AL3648">
        <v>88.857865908818297</v>
      </c>
      <c r="AM3648">
        <v>80.470656959488394</v>
      </c>
      <c r="AN3648">
        <v>0.99999998797451095</v>
      </c>
    </row>
    <row r="3649" spans="1:40" x14ac:dyDescent="0.3">
      <c r="A3649" t="str">
        <f>"20200111153951372"</f>
        <v>20200111153951372</v>
      </c>
      <c r="B3649" t="str">
        <f>"1578728391364262"</f>
        <v>1578728391364262</v>
      </c>
      <c r="C3649" t="s">
        <v>40</v>
      </c>
      <c r="D3649">
        <v>5.2119150000000003</v>
      </c>
      <c r="E3649">
        <v>0.5509288</v>
      </c>
      <c r="F3649" t="s">
        <v>43</v>
      </c>
      <c r="G3649">
        <v>-313.53809999999999</v>
      </c>
      <c r="H3649">
        <v>-0.05</v>
      </c>
      <c r="I3649">
        <v>14.36205</v>
      </c>
      <c r="J3649">
        <v>-320.67649999999998</v>
      </c>
      <c r="K3649">
        <v>1.0981459999999901</v>
      </c>
      <c r="L3649">
        <v>18.36206</v>
      </c>
      <c r="M3649">
        <v>0.97741270000000002</v>
      </c>
      <c r="N3649">
        <v>0</v>
      </c>
      <c r="O3649">
        <v>-0.21089569999999999</v>
      </c>
      <c r="P3649">
        <v>0.92901029999999996</v>
      </c>
      <c r="Q3649">
        <v>9.0931919999999999E-3</v>
      </c>
      <c r="R3649">
        <v>-0.36994260000000001</v>
      </c>
      <c r="S3649">
        <v>2.6530149999999999</v>
      </c>
      <c r="T3649">
        <v>-0.4155084</v>
      </c>
      <c r="U3649">
        <v>-1.4638370000000001</v>
      </c>
      <c r="V3649">
        <v>0.16600299999999901</v>
      </c>
      <c r="W3649">
        <v>2.0066649999999998E-2</v>
      </c>
      <c r="X3649">
        <v>0.98592100000000005</v>
      </c>
      <c r="Y3649">
        <v>0.28685250000000001</v>
      </c>
      <c r="Z3649">
        <v>9.2406759999999998E-3</v>
      </c>
      <c r="AA3649">
        <v>0.95793019999999995</v>
      </c>
      <c r="AB3649">
        <v>27</v>
      </c>
      <c r="AC3649">
        <v>7.1383999999999901</v>
      </c>
      <c r="AD3649">
        <v>-1.1481460000000001</v>
      </c>
      <c r="AE3649">
        <v>-4.0000099999999996</v>
      </c>
      <c r="AF3649">
        <v>2.3580038988634402</v>
      </c>
      <c r="AG3649">
        <v>-1.1481460000000001</v>
      </c>
      <c r="AH3649">
        <v>7.6704653732019397</v>
      </c>
      <c r="AI3649">
        <v>98.142393265906705</v>
      </c>
      <c r="AJ3649">
        <v>72.911869932525406</v>
      </c>
      <c r="AK3649">
        <v>8.1064456246780097</v>
      </c>
      <c r="AL3649">
        <v>88.850188405075301</v>
      </c>
      <c r="AM3649">
        <v>80.442551228542101</v>
      </c>
      <c r="AN3649">
        <v>0.99999994234610901</v>
      </c>
    </row>
    <row r="3650" spans="1:40" x14ac:dyDescent="0.3">
      <c r="A3650" t="str">
        <f>"20200111153951390"</f>
        <v>20200111153951390</v>
      </c>
      <c r="B3650" t="str">
        <f>"1578728391384758"</f>
        <v>1578728391384758</v>
      </c>
      <c r="C3650" t="s">
        <v>40</v>
      </c>
      <c r="D3650">
        <v>5.1646080000000003</v>
      </c>
      <c r="E3650">
        <v>0.55108760000000001</v>
      </c>
      <c r="F3650" t="s">
        <v>43</v>
      </c>
      <c r="G3650">
        <v>-313.38549999999998</v>
      </c>
      <c r="H3650">
        <v>-0.05</v>
      </c>
      <c r="I3650">
        <v>14.26132</v>
      </c>
      <c r="J3650">
        <v>-320.4547</v>
      </c>
      <c r="K3650">
        <v>1.097467</v>
      </c>
      <c r="L3650">
        <v>18.30789</v>
      </c>
      <c r="M3650">
        <v>0.97605869999999995</v>
      </c>
      <c r="N3650">
        <v>0</v>
      </c>
      <c r="O3650">
        <v>-0.21706710000000001</v>
      </c>
      <c r="P3650">
        <v>0.92633650000000001</v>
      </c>
      <c r="Q3650">
        <v>7.9053560000000005E-3</v>
      </c>
      <c r="R3650">
        <v>-0.37661430000000001</v>
      </c>
      <c r="S3650">
        <v>2.641632</v>
      </c>
      <c r="T3650">
        <v>-0.41598809999999897</v>
      </c>
      <c r="U3650">
        <v>-1.4857479999999901</v>
      </c>
      <c r="V3650">
        <v>0.16686479999999901</v>
      </c>
      <c r="W3650">
        <v>1.8836160000000001E-2</v>
      </c>
      <c r="X3650">
        <v>0.9857998</v>
      </c>
      <c r="Y3650">
        <v>0.28863810000000001</v>
      </c>
      <c r="Z3650">
        <v>9.9921709999999993E-3</v>
      </c>
      <c r="AA3650">
        <v>0.95738610000000002</v>
      </c>
      <c r="AB3650">
        <v>27</v>
      </c>
      <c r="AC3650">
        <v>7.0692000000000199</v>
      </c>
      <c r="AD3650">
        <v>-1.147467</v>
      </c>
      <c r="AE3650">
        <v>-4.0465699999999902</v>
      </c>
      <c r="AF3650">
        <v>2.3684287405198301</v>
      </c>
      <c r="AG3650">
        <v>-1.147467</v>
      </c>
      <c r="AH3650">
        <v>7.6277038640183497</v>
      </c>
      <c r="AI3650">
        <v>98.175614826368204</v>
      </c>
      <c r="AJ3650">
        <v>72.750248446403901</v>
      </c>
      <c r="AK3650">
        <v>8.0689529340658392</v>
      </c>
      <c r="AL3650">
        <v>88.920703651186898</v>
      </c>
      <c r="AM3650">
        <v>80.392697252591702</v>
      </c>
      <c r="AN3650">
        <v>0.99999995404131103</v>
      </c>
    </row>
    <row r="3651" spans="1:40" x14ac:dyDescent="0.3">
      <c r="A3651" t="str">
        <f>"20200111153951413"</f>
        <v>20200111153951413</v>
      </c>
      <c r="B3651" t="str">
        <f>"1578728391404298"</f>
        <v>1578728391404298</v>
      </c>
      <c r="C3651" t="s">
        <v>40</v>
      </c>
      <c r="D3651">
        <v>5.1538890000000004</v>
      </c>
      <c r="E3651">
        <v>0.55136229999999997</v>
      </c>
      <c r="F3651" t="s">
        <v>43</v>
      </c>
      <c r="G3651">
        <v>-313.27569999999997</v>
      </c>
      <c r="H3651">
        <v>-0.05</v>
      </c>
      <c r="I3651">
        <v>14.19576</v>
      </c>
      <c r="J3651">
        <v>-320.18180000000001</v>
      </c>
      <c r="K3651">
        <v>1.09649</v>
      </c>
      <c r="L3651">
        <v>18.239170000000001</v>
      </c>
      <c r="M3651">
        <v>0.97441350000000004</v>
      </c>
      <c r="N3651">
        <v>0</v>
      </c>
      <c r="O3651">
        <v>-0.2243029</v>
      </c>
      <c r="P3651">
        <v>0.92347199999999996</v>
      </c>
      <c r="Q3651">
        <v>6.6386500000000003E-3</v>
      </c>
      <c r="R3651">
        <v>-0.38360810000000001</v>
      </c>
      <c r="S3651">
        <v>2.6297299999999999</v>
      </c>
      <c r="T3651">
        <v>-0.42032890000000001</v>
      </c>
      <c r="U3651">
        <v>-1.5063169999999999</v>
      </c>
      <c r="V3651">
        <v>0.1670104</v>
      </c>
      <c r="W3651">
        <v>1.7893619999999999E-2</v>
      </c>
      <c r="X3651">
        <v>0.98579280000000002</v>
      </c>
      <c r="Y3651">
        <v>0.28908689999999998</v>
      </c>
      <c r="Z3651">
        <v>1.109603E-2</v>
      </c>
      <c r="AA3651">
        <v>0.95723860000000005</v>
      </c>
      <c r="AB3651">
        <v>27</v>
      </c>
      <c r="AC3651">
        <v>6.9061000000000297</v>
      </c>
      <c r="AD3651">
        <v>-1.14649</v>
      </c>
      <c r="AE3651">
        <v>-4.0434099999999997</v>
      </c>
      <c r="AF3651">
        <v>2.3430526910045399</v>
      </c>
      <c r="AG3651">
        <v>-1.14649</v>
      </c>
      <c r="AH3651">
        <v>7.4835406862082703</v>
      </c>
      <c r="AI3651">
        <v>98.317886312777603</v>
      </c>
      <c r="AJ3651">
        <v>72.614967828473297</v>
      </c>
      <c r="AK3651">
        <v>7.9251319506402096</v>
      </c>
      <c r="AL3651">
        <v>88.974716427199795</v>
      </c>
      <c r="AM3651">
        <v>80.384403725401199</v>
      </c>
      <c r="AN3651">
        <v>1.0000000499383499</v>
      </c>
    </row>
    <row r="3652" spans="1:40" x14ac:dyDescent="0.3">
      <c r="A3652" t="str">
        <f>"20200111153951426"</f>
        <v>20200111153951426</v>
      </c>
      <c r="B3652" t="str">
        <f>"1578728391415015"</f>
        <v>1578728391415015</v>
      </c>
      <c r="C3652" t="s">
        <v>40</v>
      </c>
      <c r="D3652">
        <v>5.2233029999999996</v>
      </c>
      <c r="E3652">
        <v>0.55136229999999997</v>
      </c>
      <c r="F3652" t="s">
        <v>43</v>
      </c>
      <c r="G3652">
        <v>-313.09879999999998</v>
      </c>
      <c r="H3652">
        <v>-0.05</v>
      </c>
      <c r="I3652">
        <v>14.099</v>
      </c>
      <c r="J3652">
        <v>-320.02010000000001</v>
      </c>
      <c r="K3652">
        <v>1.0958540000000001</v>
      </c>
      <c r="L3652">
        <v>18.197140000000001</v>
      </c>
      <c r="M3652">
        <v>0.97343729999999995</v>
      </c>
      <c r="N3652">
        <v>0</v>
      </c>
      <c r="O3652">
        <v>-0.22846639999999999</v>
      </c>
      <c r="P3652">
        <v>0.92182549999999996</v>
      </c>
      <c r="Q3652">
        <v>5.5780419999999897E-3</v>
      </c>
      <c r="R3652">
        <v>-0.3875652</v>
      </c>
      <c r="S3652">
        <v>2.6163639999999999</v>
      </c>
      <c r="T3652">
        <v>-0.42349940000000003</v>
      </c>
      <c r="U3652">
        <v>-1.5293270000000001</v>
      </c>
      <c r="V3652">
        <v>0.16702110000000001</v>
      </c>
      <c r="W3652">
        <v>1.7295749999999999E-2</v>
      </c>
      <c r="X3652">
        <v>0.98580159999999994</v>
      </c>
      <c r="Y3652">
        <v>0.29338320000000001</v>
      </c>
      <c r="Z3652">
        <v>1.1467440000000001E-2</v>
      </c>
      <c r="AA3652">
        <v>0.9559261</v>
      </c>
      <c r="AB3652">
        <v>27</v>
      </c>
      <c r="AC3652">
        <v>6.9213000000000298</v>
      </c>
      <c r="AD3652">
        <v>-1.1458539999999999</v>
      </c>
      <c r="AE3652">
        <v>-4.0981399999999999</v>
      </c>
      <c r="AF3652">
        <v>2.3603658675502901</v>
      </c>
      <c r="AG3652">
        <v>-1.1458539999999999</v>
      </c>
      <c r="AH3652">
        <v>7.5219466577329097</v>
      </c>
      <c r="AI3652">
        <v>98.269842024741394</v>
      </c>
      <c r="AJ3652">
        <v>72.578288300279695</v>
      </c>
      <c r="AK3652">
        <v>7.9664289327020201</v>
      </c>
      <c r="AL3652">
        <v>89.008977100462701</v>
      </c>
      <c r="AM3652">
        <v>80.3838834165186</v>
      </c>
      <c r="AN3652">
        <v>0.99999999268791595</v>
      </c>
    </row>
    <row r="3653" spans="1:40" x14ac:dyDescent="0.3">
      <c r="A3653" t="str">
        <f>"20200111153951442"</f>
        <v>20200111153951442</v>
      </c>
      <c r="B3653" t="str">
        <f>"1578728391434534"</f>
        <v>1578728391434534</v>
      </c>
      <c r="C3653" t="s">
        <v>40</v>
      </c>
      <c r="D3653">
        <v>5.1469230000000001</v>
      </c>
      <c r="E3653">
        <v>0.51903580000000005</v>
      </c>
      <c r="F3653" t="s">
        <v>43</v>
      </c>
      <c r="G3653">
        <v>-313.00349999999997</v>
      </c>
      <c r="H3653">
        <v>-0.05</v>
      </c>
      <c r="I3653">
        <v>14.053100000000001</v>
      </c>
      <c r="J3653">
        <v>-319.83609999999999</v>
      </c>
      <c r="K3653">
        <v>1.095078</v>
      </c>
      <c r="L3653">
        <v>18.14847</v>
      </c>
      <c r="M3653">
        <v>0.97230640000000002</v>
      </c>
      <c r="N3653">
        <v>0</v>
      </c>
      <c r="O3653">
        <v>-0.23318449999999999</v>
      </c>
      <c r="P3653">
        <v>0.91996100000000003</v>
      </c>
      <c r="Q3653">
        <v>4.268534E-3</v>
      </c>
      <c r="R3653">
        <v>-0.39198709999999998</v>
      </c>
      <c r="S3653">
        <v>2.6091310000000001</v>
      </c>
      <c r="T3653">
        <v>-0.42608430000000003</v>
      </c>
      <c r="U3653">
        <v>-1.5409550000000001</v>
      </c>
      <c r="V3653">
        <v>0.1669678</v>
      </c>
      <c r="W3653">
        <v>1.6619220000000001E-2</v>
      </c>
      <c r="X3653">
        <v>0.98582230000000004</v>
      </c>
      <c r="Y3653">
        <v>0.29310120000000001</v>
      </c>
      <c r="Z3653">
        <v>1.224243E-2</v>
      </c>
      <c r="AA3653">
        <v>0.95600300000000005</v>
      </c>
      <c r="AB3653">
        <v>27</v>
      </c>
      <c r="AC3653">
        <v>6.83260000000001</v>
      </c>
      <c r="AD3653">
        <v>-1.145078</v>
      </c>
      <c r="AE3653">
        <v>-4.0953699999999902</v>
      </c>
      <c r="AF3653">
        <v>2.34062656298424</v>
      </c>
      <c r="AG3653">
        <v>-1.145078</v>
      </c>
      <c r="AH3653">
        <v>7.4454439555788898</v>
      </c>
      <c r="AI3653">
        <v>98.346696487122898</v>
      </c>
      <c r="AJ3653">
        <v>72.548400159696399</v>
      </c>
      <c r="AK3653">
        <v>7.8882426451712098</v>
      </c>
      <c r="AL3653">
        <v>89.047745021247295</v>
      </c>
      <c r="AM3653">
        <v>80.387092935601203</v>
      </c>
      <c r="AN3653">
        <v>1.00000002594376</v>
      </c>
    </row>
    <row r="3654" spans="1:40" x14ac:dyDescent="0.3">
      <c r="A3654" t="str">
        <f>"20200111153951456"</f>
        <v>20200111153951456</v>
      </c>
      <c r="B3654" t="str">
        <f>"1578728391444294"</f>
        <v>1578728391444294</v>
      </c>
      <c r="C3654" t="s">
        <v>40</v>
      </c>
      <c r="D3654">
        <v>5.4851219999999996</v>
      </c>
      <c r="E3654">
        <v>0.51113330000000001</v>
      </c>
      <c r="F3654" t="s">
        <v>41</v>
      </c>
      <c r="G3654">
        <v>-319.0806</v>
      </c>
      <c r="H3654">
        <v>0.91469940000000005</v>
      </c>
      <c r="I3654">
        <v>17.779949999999999</v>
      </c>
      <c r="J3654">
        <v>-319.66550000000001</v>
      </c>
      <c r="K3654">
        <v>1.0943099999999999</v>
      </c>
      <c r="L3654">
        <v>18.10257</v>
      </c>
      <c r="M3654">
        <v>0.97123579999999998</v>
      </c>
      <c r="N3654">
        <v>0</v>
      </c>
      <c r="O3654">
        <v>-0.2375545</v>
      </c>
      <c r="P3654">
        <v>0.91840080000000002</v>
      </c>
      <c r="Q3654">
        <v>2.2354850000000002E-3</v>
      </c>
      <c r="R3654">
        <v>-0.39564569999999999</v>
      </c>
      <c r="S3654">
        <v>2.7027589999999999</v>
      </c>
      <c r="T3654">
        <v>-0.64437029999999995</v>
      </c>
      <c r="U3654">
        <v>-1.317169</v>
      </c>
      <c r="V3654">
        <v>0.16643540000000001</v>
      </c>
      <c r="W3654">
        <v>1.5269939999999999E-2</v>
      </c>
      <c r="X3654">
        <v>0.98593410000000004</v>
      </c>
      <c r="Y3654">
        <v>0.21244569999999999</v>
      </c>
      <c r="Z3654">
        <v>2.8213909999999998E-2</v>
      </c>
      <c r="AA3654">
        <v>0.97676549999999995</v>
      </c>
      <c r="AB3654">
        <v>27</v>
      </c>
      <c r="AC3654">
        <v>0.58490000000000397</v>
      </c>
      <c r="AD3654">
        <v>-0.17961060000000001</v>
      </c>
      <c r="AE3654">
        <v>-0.32262000000000002</v>
      </c>
      <c r="AF3654">
        <v>0.16265765573249799</v>
      </c>
      <c r="AG3654">
        <v>-0.17961060000000001</v>
      </c>
      <c r="AH3654">
        <v>0.60132605442846498</v>
      </c>
      <c r="AI3654">
        <v>106.08378777447901</v>
      </c>
      <c r="AJ3654">
        <v>74.863819392448306</v>
      </c>
      <c r="AK3654">
        <v>0.64831358487637503</v>
      </c>
      <c r="AL3654">
        <v>89.125062864470195</v>
      </c>
      <c r="AM3654">
        <v>80.418242203054604</v>
      </c>
      <c r="AN3654">
        <v>0.99999998149178604</v>
      </c>
    </row>
    <row r="3655" spans="1:40" x14ac:dyDescent="0.3">
      <c r="A3655" t="str">
        <f>"20200111153951479"</f>
        <v>20200111153951479</v>
      </c>
      <c r="B3655" t="str">
        <f>"1578728391474550"</f>
        <v>1578728391474550</v>
      </c>
      <c r="C3655" t="s">
        <v>40</v>
      </c>
      <c r="D3655">
        <v>5.1716069999999998</v>
      </c>
      <c r="E3655">
        <v>0.50316759999999905</v>
      </c>
      <c r="F3655" t="s">
        <v>41</v>
      </c>
      <c r="G3655">
        <v>-318.85250000000002</v>
      </c>
      <c r="H3655">
        <v>0.89024340000000002</v>
      </c>
      <c r="I3655">
        <v>17.72268</v>
      </c>
      <c r="J3655">
        <v>-319.3974</v>
      </c>
      <c r="K3655">
        <v>1.0930219999999999</v>
      </c>
      <c r="L3655">
        <v>18.028199999999998</v>
      </c>
      <c r="M3655">
        <v>0.96946960000000004</v>
      </c>
      <c r="N3655">
        <v>0</v>
      </c>
      <c r="O3655">
        <v>-0.2445715</v>
      </c>
      <c r="P3655">
        <v>0.91576559999999996</v>
      </c>
      <c r="Q3655">
        <v>7.4681309999999996E-4</v>
      </c>
      <c r="R3655">
        <v>-0.40171289999999998</v>
      </c>
      <c r="S3655">
        <v>2.720764</v>
      </c>
      <c r="T3655">
        <v>-0.6825135</v>
      </c>
      <c r="U3655">
        <v>-1.2707820000000001</v>
      </c>
      <c r="V3655">
        <v>0.1658229</v>
      </c>
      <c r="W3655">
        <v>1.5040130000000001E-2</v>
      </c>
      <c r="X3655">
        <v>0.98604080000000005</v>
      </c>
      <c r="Y3655">
        <v>0.18995970000000001</v>
      </c>
      <c r="Z3655">
        <v>3.401361E-2</v>
      </c>
      <c r="AA3655">
        <v>0.98120249999999998</v>
      </c>
      <c r="AB3655">
        <v>27</v>
      </c>
      <c r="AC3655">
        <v>0.54489999999998395</v>
      </c>
      <c r="AD3655">
        <v>-0.202778599999999</v>
      </c>
      <c r="AE3655">
        <v>-0.30551999999999702</v>
      </c>
      <c r="AF3655">
        <v>0.14741831401646799</v>
      </c>
      <c r="AG3655">
        <v>-0.202778599999999</v>
      </c>
      <c r="AH3655">
        <v>0.54559407589735898</v>
      </c>
      <c r="AI3655">
        <v>109.737935868995</v>
      </c>
      <c r="AJ3655">
        <v>74.879862833099196</v>
      </c>
      <c r="AK3655">
        <v>0.60043668740318601</v>
      </c>
      <c r="AL3655">
        <v>89.1382314925781</v>
      </c>
      <c r="AM3655">
        <v>80.453867927697303</v>
      </c>
      <c r="AN3655">
        <v>0.99999994946973203</v>
      </c>
    </row>
    <row r="3656" spans="1:40" x14ac:dyDescent="0.3">
      <c r="A3656" t="str">
        <f>"20200111153951501"</f>
        <v>20200111153951501</v>
      </c>
      <c r="B3656" t="str">
        <f>"1578728391495052"</f>
        <v>1578728391495052</v>
      </c>
      <c r="C3656" t="s">
        <v>40</v>
      </c>
      <c r="D3656">
        <v>5.1300350000000003</v>
      </c>
      <c r="E3656">
        <v>0.50182059999999995</v>
      </c>
      <c r="F3656" t="s">
        <v>41</v>
      </c>
      <c r="G3656">
        <v>-318.613</v>
      </c>
      <c r="H3656">
        <v>0.88705029999999996</v>
      </c>
      <c r="I3656">
        <v>17.675179999999902</v>
      </c>
      <c r="J3656">
        <v>-319.12979999999999</v>
      </c>
      <c r="K3656">
        <v>1.091753</v>
      </c>
      <c r="L3656">
        <v>17.951599999999999</v>
      </c>
      <c r="M3656">
        <v>0.96752669999999996</v>
      </c>
      <c r="N3656">
        <v>0</v>
      </c>
      <c r="O3656">
        <v>-0.25203629999999999</v>
      </c>
      <c r="P3656">
        <v>0.91288199999999997</v>
      </c>
      <c r="Q3656">
        <v>-5.1161399999999997E-4</v>
      </c>
      <c r="R3656">
        <v>-0.40822350000000002</v>
      </c>
      <c r="S3656">
        <v>2.7367249999999999</v>
      </c>
      <c r="T3656">
        <v>-0.71788529999999995</v>
      </c>
      <c r="U3656">
        <v>-1.2306820000000001</v>
      </c>
      <c r="V3656">
        <v>0.1652392</v>
      </c>
      <c r="W3656">
        <v>1.531619E-2</v>
      </c>
      <c r="X3656">
        <v>0.98613459999999997</v>
      </c>
      <c r="Y3656">
        <v>0.1691385</v>
      </c>
      <c r="Z3656">
        <v>3.9986720000000003E-2</v>
      </c>
      <c r="AA3656">
        <v>0.98478080000000001</v>
      </c>
      <c r="AB3656">
        <v>27</v>
      </c>
      <c r="AC3656">
        <v>0.51679999999998905</v>
      </c>
      <c r="AD3656">
        <v>-0.20470269999999899</v>
      </c>
      <c r="AE3656">
        <v>-0.276420000000001</v>
      </c>
      <c r="AF3656">
        <v>0.12229739292531</v>
      </c>
      <c r="AG3656">
        <v>-0.20470269999999899</v>
      </c>
      <c r="AH3656">
        <v>0.50783859258139097</v>
      </c>
      <c r="AI3656">
        <v>111.39936154067399</v>
      </c>
      <c r="AJ3656">
        <v>76.459882926006998</v>
      </c>
      <c r="AK3656">
        <v>0.56103465473949699</v>
      </c>
      <c r="AL3656">
        <v>89.122412653307293</v>
      </c>
      <c r="AM3656">
        <v>80.487743626391193</v>
      </c>
      <c r="AN3656">
        <v>1.0000000141049501</v>
      </c>
    </row>
    <row r="3657" spans="1:40" x14ac:dyDescent="0.3">
      <c r="A3657" t="str">
        <f>"20200111153951524"</f>
        <v>20200111153951524</v>
      </c>
      <c r="B3657" t="str">
        <f>"1578728391514566"</f>
        <v>1578728391514566</v>
      </c>
      <c r="C3657" t="s">
        <v>40</v>
      </c>
      <c r="D3657">
        <v>5.0871320000000004</v>
      </c>
      <c r="E3657">
        <v>0.50116720000000003</v>
      </c>
      <c r="F3657" t="s">
        <v>41</v>
      </c>
      <c r="G3657">
        <v>-318.37439999999998</v>
      </c>
      <c r="H3657">
        <v>0.89129419999999904</v>
      </c>
      <c r="I3657">
        <v>17.608450000000001</v>
      </c>
      <c r="J3657">
        <v>-318.86619999999999</v>
      </c>
      <c r="K3657">
        <v>1.0904860000000001</v>
      </c>
      <c r="L3657">
        <v>17.873899999999999</v>
      </c>
      <c r="M3657">
        <v>0.9653912</v>
      </c>
      <c r="N3657">
        <v>0</v>
      </c>
      <c r="O3657">
        <v>-0.25997379999999998</v>
      </c>
      <c r="P3657">
        <v>0.90990139999999997</v>
      </c>
      <c r="Q3657">
        <v>-1.3702689999999999E-3</v>
      </c>
      <c r="R3657">
        <v>-0.41482249999999998</v>
      </c>
      <c r="S3657">
        <v>2.7312620000000001</v>
      </c>
      <c r="T3657">
        <v>-0.72446690000000002</v>
      </c>
      <c r="U3657">
        <v>-1.2402949999999999</v>
      </c>
      <c r="V3657">
        <v>0.1642797</v>
      </c>
      <c r="W3657">
        <v>1.6116700000000001E-2</v>
      </c>
      <c r="X3657">
        <v>0.98628210000000005</v>
      </c>
      <c r="Y3657">
        <v>0.1650124</v>
      </c>
      <c r="Z3657">
        <v>4.276978E-2</v>
      </c>
      <c r="AA3657">
        <v>0.98536369999999895</v>
      </c>
      <c r="AB3657">
        <v>27</v>
      </c>
      <c r="AC3657">
        <v>0.49180000000001201</v>
      </c>
      <c r="AD3657">
        <v>-0.1991918</v>
      </c>
      <c r="AE3657">
        <v>-0.26544999999999702</v>
      </c>
      <c r="AF3657">
        <v>0.113958898750702</v>
      </c>
      <c r="AG3657">
        <v>-0.1991918</v>
      </c>
      <c r="AH3657">
        <v>0.48259964700817398</v>
      </c>
      <c r="AI3657">
        <v>111.88532955301601</v>
      </c>
      <c r="AJ3657">
        <v>76.7138110766398</v>
      </c>
      <c r="AK3657">
        <v>0.53438415309973997</v>
      </c>
      <c r="AL3657">
        <v>89.076541105889802</v>
      </c>
      <c r="AM3657">
        <v>80.543366887456401</v>
      </c>
      <c r="AN3657">
        <v>0.99999997431569398</v>
      </c>
    </row>
    <row r="3658" spans="1:40" x14ac:dyDescent="0.3">
      <c r="A3658" t="str">
        <f>"20200111153951545"</f>
        <v>20200111153951545</v>
      </c>
      <c r="B3658" t="str">
        <f>"1578728391534086"</f>
        <v>1578728391534086</v>
      </c>
      <c r="C3658" t="s">
        <v>40</v>
      </c>
      <c r="D3658">
        <v>5.0864010000000004</v>
      </c>
      <c r="E3658">
        <v>0.50055709999999998</v>
      </c>
      <c r="F3658" t="s">
        <v>41</v>
      </c>
      <c r="G3658">
        <v>-318.13679999999999</v>
      </c>
      <c r="H3658">
        <v>0.89630409999999905</v>
      </c>
      <c r="I3658">
        <v>17.537420000000001</v>
      </c>
      <c r="J3658">
        <v>-318.61250000000001</v>
      </c>
      <c r="K3658">
        <v>1.0891729999999999</v>
      </c>
      <c r="L3658">
        <v>17.79691</v>
      </c>
      <c r="M3658">
        <v>0.96307739999999997</v>
      </c>
      <c r="N3658">
        <v>0</v>
      </c>
      <c r="O3658">
        <v>-0.26830959999999998</v>
      </c>
      <c r="P3658">
        <v>0.90654290000000004</v>
      </c>
      <c r="Q3658">
        <v>-2.4096320000000001E-3</v>
      </c>
      <c r="R3658">
        <v>-0.42210740000000002</v>
      </c>
      <c r="S3658">
        <v>2.7234500000000001</v>
      </c>
      <c r="T3658">
        <v>-0.72461119999999901</v>
      </c>
      <c r="U3658">
        <v>-1.255768</v>
      </c>
      <c r="V3658">
        <v>0.16365569999999999</v>
      </c>
      <c r="W3658">
        <v>1.6496690000000001E-2</v>
      </c>
      <c r="X3658">
        <v>0.98637960000000002</v>
      </c>
      <c r="Y3658">
        <v>0.16246099999999999</v>
      </c>
      <c r="Z3658">
        <v>4.5113300000000002E-2</v>
      </c>
      <c r="AA3658">
        <v>0.98568310000000003</v>
      </c>
      <c r="AB3658">
        <v>27</v>
      </c>
      <c r="AC3658">
        <v>0.475700000000017</v>
      </c>
      <c r="AD3658">
        <v>-0.19286889999999901</v>
      </c>
      <c r="AE3658">
        <v>-0.259489999999999</v>
      </c>
      <c r="AF3658">
        <v>0.108552071807798</v>
      </c>
      <c r="AG3658">
        <v>-0.19286889999999901</v>
      </c>
      <c r="AH3658">
        <v>0.46853263225166902</v>
      </c>
      <c r="AI3658">
        <v>111.85188032801901</v>
      </c>
      <c r="AJ3658">
        <v>76.955566147108698</v>
      </c>
      <c r="AK3658">
        <v>0.51817448061985105</v>
      </c>
      <c r="AL3658">
        <v>89.054766431890997</v>
      </c>
      <c r="AM3658">
        <v>80.579556352676406</v>
      </c>
      <c r="AN3658">
        <v>1.0000000221098</v>
      </c>
    </row>
    <row r="3659" spans="1:40" x14ac:dyDescent="0.3">
      <c r="A3659" t="str">
        <f>"20200111153951568"</f>
        <v>20200111153951568</v>
      </c>
      <c r="B3659" t="str">
        <f>"1578728391564342"</f>
        <v>1578728391564342</v>
      </c>
      <c r="C3659" t="s">
        <v>40</v>
      </c>
      <c r="D3659">
        <v>5.0961780000000001</v>
      </c>
      <c r="E3659">
        <v>0.49985279999999999</v>
      </c>
      <c r="F3659" t="s">
        <v>41</v>
      </c>
      <c r="G3659">
        <v>-317.90039999999999</v>
      </c>
      <c r="H3659">
        <v>0.8985533</v>
      </c>
      <c r="I3659">
        <v>17.462949999999999</v>
      </c>
      <c r="J3659">
        <v>-318.34640000000002</v>
      </c>
      <c r="K3659">
        <v>1.087577</v>
      </c>
      <c r="L3659">
        <v>17.713750000000001</v>
      </c>
      <c r="M3659">
        <v>0.96041080000000001</v>
      </c>
      <c r="N3659">
        <v>0</v>
      </c>
      <c r="O3659">
        <v>-0.27761059999999999</v>
      </c>
      <c r="P3659">
        <v>0.90255079999999999</v>
      </c>
      <c r="Q3659">
        <v>-3.4264949999999999E-3</v>
      </c>
      <c r="R3659">
        <v>-0.43057050000000002</v>
      </c>
      <c r="S3659">
        <v>2.7145079999999999</v>
      </c>
      <c r="T3659">
        <v>-0.72687440000000003</v>
      </c>
      <c r="U3659">
        <v>-1.2732540000000001</v>
      </c>
      <c r="V3659">
        <v>0.16333839999999999</v>
      </c>
      <c r="W3659">
        <v>1.663829E-2</v>
      </c>
      <c r="X3659">
        <v>0.98642980000000002</v>
      </c>
      <c r="Y3659">
        <v>0.15970399999999901</v>
      </c>
      <c r="Z3659">
        <v>4.7853069999999998E-2</v>
      </c>
      <c r="AA3659">
        <v>0.9860044</v>
      </c>
      <c r="AB3659">
        <v>27</v>
      </c>
      <c r="AC3659">
        <v>0.44600000000002599</v>
      </c>
      <c r="AD3659">
        <v>-0.18902369999999899</v>
      </c>
      <c r="AE3659">
        <v>-0.25080000000000102</v>
      </c>
      <c r="AF3659">
        <v>0.10302830985377399</v>
      </c>
      <c r="AG3659">
        <v>-0.18902369999999899</v>
      </c>
      <c r="AH3659">
        <v>0.43829013066336098</v>
      </c>
      <c r="AI3659">
        <v>112.774215624655</v>
      </c>
      <c r="AJ3659">
        <v>76.771716339991997</v>
      </c>
      <c r="AK3659">
        <v>0.48830628751831701</v>
      </c>
      <c r="AL3659">
        <v>89.046652222526006</v>
      </c>
      <c r="AM3659">
        <v>80.597964452257003</v>
      </c>
      <c r="AN3659">
        <v>1.00000000796836</v>
      </c>
    </row>
    <row r="3660" spans="1:40" x14ac:dyDescent="0.3">
      <c r="A3660" t="str">
        <f>"20200111153951591"</f>
        <v>20200111153951591</v>
      </c>
      <c r="B3660" t="str">
        <f>"1578728391584838"</f>
        <v>1578728391584838</v>
      </c>
      <c r="C3660" t="s">
        <v>40</v>
      </c>
      <c r="D3660">
        <v>5.082376</v>
      </c>
      <c r="E3660">
        <v>0.49957279999999998</v>
      </c>
      <c r="F3660" t="s">
        <v>41</v>
      </c>
      <c r="G3660">
        <v>-317.66309999999999</v>
      </c>
      <c r="H3660">
        <v>0.9031768</v>
      </c>
      <c r="I3660">
        <v>17.386579999999999</v>
      </c>
      <c r="J3660">
        <v>-318.07420000000002</v>
      </c>
      <c r="K3660">
        <v>1.0855410000000001</v>
      </c>
      <c r="L3660">
        <v>17.626010000000001</v>
      </c>
      <c r="M3660">
        <v>0.9576886</v>
      </c>
      <c r="N3660">
        <v>0</v>
      </c>
      <c r="O3660">
        <v>-0.28678219999999999</v>
      </c>
      <c r="P3660">
        <v>0.89836249999999995</v>
      </c>
      <c r="Q3660">
        <v>-3.5264129999999999E-3</v>
      </c>
      <c r="R3660">
        <v>-0.4392414</v>
      </c>
      <c r="S3660">
        <v>2.704132</v>
      </c>
      <c r="T3660">
        <v>-0.72862919999999998</v>
      </c>
      <c r="U3660">
        <v>-1.293396</v>
      </c>
      <c r="V3660">
        <v>0.1634227</v>
      </c>
      <c r="W3660">
        <v>1.7363460000000001E-2</v>
      </c>
      <c r="X3660">
        <v>0.98640329999999998</v>
      </c>
      <c r="Y3660">
        <v>0.1580125</v>
      </c>
      <c r="Z3660">
        <v>5.041905E-2</v>
      </c>
      <c r="AA3660">
        <v>0.9861491</v>
      </c>
      <c r="AB3660">
        <v>27</v>
      </c>
      <c r="AC3660">
        <v>0.41110000000003299</v>
      </c>
      <c r="AD3660">
        <v>-0.1823642</v>
      </c>
      <c r="AE3660">
        <v>-0.239430000000002</v>
      </c>
      <c r="AF3660">
        <v>9.71594929929495E-2</v>
      </c>
      <c r="AG3660">
        <v>-0.1823642</v>
      </c>
      <c r="AH3660">
        <v>0.40325261314718602</v>
      </c>
      <c r="AI3660">
        <v>113.73278096394399</v>
      </c>
      <c r="AJ3660">
        <v>76.453378559172606</v>
      </c>
      <c r="AK3660">
        <v>0.45311073539513602</v>
      </c>
      <c r="AL3660">
        <v>89.005096997398496</v>
      </c>
      <c r="AM3660">
        <v>80.592950509691207</v>
      </c>
      <c r="AN3660">
        <v>0.99999996943467495</v>
      </c>
    </row>
    <row r="3661" spans="1:40" x14ac:dyDescent="0.3">
      <c r="A3661" t="str">
        <f>"20200111153951604"</f>
        <v>20200111153951604</v>
      </c>
      <c r="B3661" t="str">
        <f>"1578728391594598"</f>
        <v>1578728391594598</v>
      </c>
      <c r="C3661" t="s">
        <v>40</v>
      </c>
      <c r="D3661">
        <v>5.0944260000000003</v>
      </c>
      <c r="E3661">
        <v>0.49949759999999999</v>
      </c>
      <c r="F3661" t="s">
        <v>41</v>
      </c>
      <c r="G3661">
        <v>-317.42520000000002</v>
      </c>
      <c r="H3661">
        <v>0.90977600000000003</v>
      </c>
      <c r="I3661">
        <v>17.3081</v>
      </c>
      <c r="J3661">
        <v>-317.92079999999999</v>
      </c>
      <c r="K3661">
        <v>1.0842000000000001</v>
      </c>
      <c r="L3661">
        <v>17.57498</v>
      </c>
      <c r="M3661">
        <v>0.95621400000000001</v>
      </c>
      <c r="N3661">
        <v>0</v>
      </c>
      <c r="O3661">
        <v>-0.29162680000000002</v>
      </c>
      <c r="P3661">
        <v>0.89615730000000005</v>
      </c>
      <c r="Q3661">
        <v>-3.546287E-3</v>
      </c>
      <c r="R3661">
        <v>-0.44372230000000001</v>
      </c>
      <c r="S3661">
        <v>2.691986</v>
      </c>
      <c r="T3661">
        <v>-0.72878259999999995</v>
      </c>
      <c r="U3661">
        <v>-1.318268</v>
      </c>
      <c r="V3661">
        <v>0.1633713</v>
      </c>
      <c r="W3661">
        <v>1.7637590000000002E-2</v>
      </c>
      <c r="X3661">
        <v>0.98640700000000003</v>
      </c>
      <c r="Y3661">
        <v>0.16213720000000001</v>
      </c>
      <c r="Z3661">
        <v>5.113587E-2</v>
      </c>
      <c r="AA3661">
        <v>0.98544229999999999</v>
      </c>
      <c r="AB3661">
        <v>27</v>
      </c>
      <c r="AC3661">
        <v>0.49559999999996701</v>
      </c>
      <c r="AD3661">
        <v>-0.174424</v>
      </c>
      <c r="AE3661">
        <v>-0.26688000000000001</v>
      </c>
      <c r="AF3661">
        <v>0.100999736559871</v>
      </c>
      <c r="AG3661">
        <v>-0.174424</v>
      </c>
      <c r="AH3661">
        <v>0.503545958006825</v>
      </c>
      <c r="AI3661">
        <v>108.758874046553</v>
      </c>
      <c r="AJ3661">
        <v>78.658283032765596</v>
      </c>
      <c r="AK3661">
        <v>0.54238658757953695</v>
      </c>
      <c r="AL3661">
        <v>88.989388148109597</v>
      </c>
      <c r="AM3661">
        <v>80.595891015807396</v>
      </c>
      <c r="AN3661">
        <v>1.00000001794684</v>
      </c>
    </row>
    <row r="3662" spans="1:40" x14ac:dyDescent="0.3">
      <c r="A3662" t="str">
        <f>"20200111153951618"</f>
        <v>20200111153951618</v>
      </c>
      <c r="B3662" t="str">
        <f>"1578728391614119"</f>
        <v>1578728391614119</v>
      </c>
      <c r="C3662" t="s">
        <v>40</v>
      </c>
      <c r="D3662">
        <v>5.0963099999999999</v>
      </c>
      <c r="E3662">
        <v>0.49940659999999998</v>
      </c>
      <c r="F3662" t="s">
        <v>41</v>
      </c>
      <c r="G3662">
        <v>-317.20370000000003</v>
      </c>
      <c r="H3662">
        <v>0.88956900000000005</v>
      </c>
      <c r="I3662">
        <v>17.219159999999999</v>
      </c>
      <c r="J3662">
        <v>-317.74700000000001</v>
      </c>
      <c r="K3662">
        <v>1.082584</v>
      </c>
      <c r="L3662">
        <v>17.516200000000001</v>
      </c>
      <c r="M3662">
        <v>0.95455319999999999</v>
      </c>
      <c r="N3662">
        <v>0</v>
      </c>
      <c r="O3662">
        <v>-0.29698570000000002</v>
      </c>
      <c r="P3662">
        <v>0.89361380000000001</v>
      </c>
      <c r="Q3662">
        <v>-3.579573E-3</v>
      </c>
      <c r="R3662">
        <v>-0.44882300000000003</v>
      </c>
      <c r="S3662">
        <v>2.6852719999999999</v>
      </c>
      <c r="T3662">
        <v>-0.72842259999999903</v>
      </c>
      <c r="U3662">
        <v>-1.331909</v>
      </c>
      <c r="V3662">
        <v>0.1634796</v>
      </c>
      <c r="W3662">
        <v>1.7843560000000001E-2</v>
      </c>
      <c r="X3662">
        <v>0.98638530000000002</v>
      </c>
      <c r="Y3662">
        <v>0.1617478</v>
      </c>
      <c r="Z3662">
        <v>5.2469189999999999E-2</v>
      </c>
      <c r="AA3662">
        <v>0.98543630000000004</v>
      </c>
      <c r="AB3662">
        <v>27</v>
      </c>
      <c r="AC3662">
        <v>0.54329999999998702</v>
      </c>
      <c r="AD3662">
        <v>-0.19301499999999899</v>
      </c>
      <c r="AE3662">
        <v>-0.29703999999999903</v>
      </c>
      <c r="AF3662">
        <v>0.11140186848395001</v>
      </c>
      <c r="AG3662">
        <v>-0.19301499999999899</v>
      </c>
      <c r="AH3662">
        <v>0.55325725842414897</v>
      </c>
      <c r="AI3662">
        <v>108.88099213620799</v>
      </c>
      <c r="AJ3662">
        <v>78.615362261369697</v>
      </c>
      <c r="AK3662">
        <v>0.596455162208963</v>
      </c>
      <c r="AL3662">
        <v>88.977585026109296</v>
      </c>
      <c r="AM3662">
        <v>80.589565115593601</v>
      </c>
      <c r="AN3662">
        <v>0.99999996615286102</v>
      </c>
    </row>
    <row r="3663" spans="1:40" x14ac:dyDescent="0.3">
      <c r="A3663" t="str">
        <f>"20200111153951634"</f>
        <v>20200111153951634</v>
      </c>
      <c r="B3663" t="str">
        <f>"1578728391624854"</f>
        <v>1578728391624854</v>
      </c>
      <c r="C3663" t="s">
        <v>40</v>
      </c>
      <c r="D3663">
        <v>5.0839879999999997</v>
      </c>
      <c r="E3663">
        <v>0.49943070000000001</v>
      </c>
      <c r="F3663" t="s">
        <v>41</v>
      </c>
      <c r="G3663">
        <v>-316.9803</v>
      </c>
      <c r="H3663">
        <v>0.87407080000000004</v>
      </c>
      <c r="I3663">
        <v>17.130210000000002</v>
      </c>
      <c r="J3663">
        <v>-317.56369999999998</v>
      </c>
      <c r="K3663">
        <v>1.0808089999999999</v>
      </c>
      <c r="L3663">
        <v>17.452850000000002</v>
      </c>
      <c r="M3663">
        <v>0.95279539999999996</v>
      </c>
      <c r="N3663">
        <v>0</v>
      </c>
      <c r="O3663">
        <v>-0.3025524</v>
      </c>
      <c r="P3663">
        <v>0.89097150000000003</v>
      </c>
      <c r="Q3663">
        <v>-2.6985529999999998E-3</v>
      </c>
      <c r="R3663">
        <v>-0.4540516</v>
      </c>
      <c r="S3663">
        <v>2.67746</v>
      </c>
      <c r="T3663">
        <v>-0.72779369999999999</v>
      </c>
      <c r="U3663">
        <v>-1.347504</v>
      </c>
      <c r="V3663">
        <v>0.1635404</v>
      </c>
      <c r="W3663">
        <v>1.887287E-2</v>
      </c>
      <c r="X3663">
        <v>0.98635609999999996</v>
      </c>
      <c r="Y3663">
        <v>0.16185840000000001</v>
      </c>
      <c r="Z3663">
        <v>5.3775389999999999E-2</v>
      </c>
      <c r="AA3663">
        <v>0.98534770000000005</v>
      </c>
      <c r="AB3663">
        <v>27</v>
      </c>
      <c r="AC3663">
        <v>0.58339999999998304</v>
      </c>
      <c r="AD3663">
        <v>-0.20673819999999901</v>
      </c>
      <c r="AE3663">
        <v>-0.32263999999999898</v>
      </c>
      <c r="AF3663">
        <v>0.119455515996838</v>
      </c>
      <c r="AG3663">
        <v>-0.20673819999999901</v>
      </c>
      <c r="AH3663">
        <v>0.59633960395089303</v>
      </c>
      <c r="AI3663">
        <v>108.774221843218</v>
      </c>
      <c r="AJ3663">
        <v>78.672737824069102</v>
      </c>
      <c r="AK3663">
        <v>0.64236378079840295</v>
      </c>
      <c r="AL3663">
        <v>88.918600000751098</v>
      </c>
      <c r="AM3663">
        <v>80.585854200988905</v>
      </c>
      <c r="AN3663">
        <v>1.0000000018307</v>
      </c>
    </row>
    <row r="3664" spans="1:40" x14ac:dyDescent="0.3">
      <c r="A3664" t="str">
        <f>"20200111153951668"</f>
        <v>20200111153951668</v>
      </c>
      <c r="B3664" t="str">
        <f>"1578728391664871"</f>
        <v>1578728391664871</v>
      </c>
      <c r="C3664" t="s">
        <v>40</v>
      </c>
      <c r="D3664">
        <v>5.2377940000000001</v>
      </c>
      <c r="E3664">
        <v>0.52956809999999999</v>
      </c>
      <c r="F3664" t="s">
        <v>41</v>
      </c>
      <c r="G3664">
        <v>-316.75650000000002</v>
      </c>
      <c r="H3664">
        <v>0.86138799999999904</v>
      </c>
      <c r="I3664">
        <v>17.039950000000001</v>
      </c>
      <c r="J3664">
        <v>-317.17239999999998</v>
      </c>
      <c r="K3664">
        <v>1.076894</v>
      </c>
      <c r="L3664">
        <v>17.312010000000001</v>
      </c>
      <c r="M3664">
        <v>0.94885629999999999</v>
      </c>
      <c r="N3664">
        <v>0</v>
      </c>
      <c r="O3664">
        <v>-0.314662</v>
      </c>
      <c r="P3664">
        <v>0.88426479999999996</v>
      </c>
      <c r="Q3664">
        <v>-1.9240489999999999E-3</v>
      </c>
      <c r="R3664">
        <v>-0.4669818</v>
      </c>
      <c r="S3664">
        <v>2.6694339999999999</v>
      </c>
      <c r="T3664">
        <v>-0.72505719999999996</v>
      </c>
      <c r="U3664">
        <v>-1.3647769999999999</v>
      </c>
      <c r="V3664">
        <v>0.16539699999999999</v>
      </c>
      <c r="W3664">
        <v>1.9656650000000001E-2</v>
      </c>
      <c r="X3664">
        <v>0.9860312</v>
      </c>
      <c r="Y3664">
        <v>0.15598199999999901</v>
      </c>
      <c r="Z3664">
        <v>5.7198550000000001E-2</v>
      </c>
      <c r="AA3664">
        <v>0.98610240000000005</v>
      </c>
      <c r="AB3664">
        <v>27</v>
      </c>
      <c r="AC3664">
        <v>0.41589999999996502</v>
      </c>
      <c r="AD3664">
        <v>-0.215506</v>
      </c>
      <c r="AE3664">
        <v>-0.27205999999999902</v>
      </c>
      <c r="AF3664">
        <v>0.107168422923188</v>
      </c>
      <c r="AG3664">
        <v>-0.215506</v>
      </c>
      <c r="AH3664">
        <v>0.40436051258158601</v>
      </c>
      <c r="AI3664">
        <v>117.25611645920701</v>
      </c>
      <c r="AJ3664">
        <v>75.156066741038003</v>
      </c>
      <c r="AK3664">
        <v>0.47056915649358699</v>
      </c>
      <c r="AL3664">
        <v>88.873684420413099</v>
      </c>
      <c r="AM3664">
        <v>80.477845700154504</v>
      </c>
      <c r="AN3664">
        <v>1.0000000394358299</v>
      </c>
    </row>
    <row r="3665" spans="1:40" x14ac:dyDescent="0.3">
      <c r="A3665" t="str">
        <f>"20200111153951692"</f>
        <v>20200111153951692</v>
      </c>
      <c r="B3665" t="str">
        <f>"1578728391684390"</f>
        <v>1578728391684390</v>
      </c>
      <c r="C3665" t="s">
        <v>40</v>
      </c>
      <c r="D3665">
        <v>5.23142</v>
      </c>
      <c r="E3665">
        <v>0.58856359999999996</v>
      </c>
      <c r="F3665" t="s">
        <v>41</v>
      </c>
      <c r="G3665">
        <v>-316.52179999999998</v>
      </c>
      <c r="H3665">
        <v>0.90529269999999995</v>
      </c>
      <c r="I3665">
        <v>16.896999999999998</v>
      </c>
      <c r="J3665">
        <v>-316.90800000000002</v>
      </c>
      <c r="K3665">
        <v>1.0742499999999999</v>
      </c>
      <c r="L3665">
        <v>17.213349999999998</v>
      </c>
      <c r="M3665">
        <v>0.94604670000000002</v>
      </c>
      <c r="N3665">
        <v>0</v>
      </c>
      <c r="O3665">
        <v>-0.32300839999999997</v>
      </c>
      <c r="P3665">
        <v>0.87924400000000003</v>
      </c>
      <c r="Q3665">
        <v>-1.425834E-3</v>
      </c>
      <c r="R3665">
        <v>-0.47637020000000002</v>
      </c>
      <c r="S3665">
        <v>2.5369869999999999</v>
      </c>
      <c r="T3665">
        <v>-0.668606699999999</v>
      </c>
      <c r="U3665">
        <v>-1.6175539999999999</v>
      </c>
      <c r="V3665">
        <v>0.16723399999999999</v>
      </c>
      <c r="W3665">
        <v>2.0024690000000001E-2</v>
      </c>
      <c r="X3665">
        <v>0.98571379999999997</v>
      </c>
      <c r="Y3665">
        <v>0.2380814</v>
      </c>
      <c r="Z3665">
        <v>4.5786979999999998E-2</v>
      </c>
      <c r="AA3665">
        <v>0.97016539999999996</v>
      </c>
      <c r="AB3665">
        <v>27</v>
      </c>
      <c r="AC3665">
        <v>0.38620000000003002</v>
      </c>
      <c r="AD3665">
        <v>-0.16895729999999901</v>
      </c>
      <c r="AE3665">
        <v>-0.31634999999999602</v>
      </c>
      <c r="AF3665">
        <v>0.15665094803240101</v>
      </c>
      <c r="AG3665">
        <v>-0.16895729999999901</v>
      </c>
      <c r="AH3665">
        <v>0.41963640445080802</v>
      </c>
      <c r="AI3665">
        <v>110.666595678768</v>
      </c>
      <c r="AJ3665">
        <v>69.529315449091797</v>
      </c>
      <c r="AK3665">
        <v>0.47872831614929801</v>
      </c>
      <c r="AL3665">
        <v>88.852593024906497</v>
      </c>
      <c r="AM3665">
        <v>80.371013623586407</v>
      </c>
      <c r="AN3665">
        <v>0.999999947238016</v>
      </c>
    </row>
    <row r="3666" spans="1:40" x14ac:dyDescent="0.3">
      <c r="A3666" t="str">
        <f>"20200111153951714"</f>
        <v>20200111153951714</v>
      </c>
      <c r="B3666" t="str">
        <f>"1578728391704401"</f>
        <v>1578728391704401</v>
      </c>
      <c r="C3666" t="s">
        <v>40</v>
      </c>
      <c r="D3666">
        <v>5.4436470000000003</v>
      </c>
      <c r="E3666">
        <v>0.60841109999999998</v>
      </c>
      <c r="F3666" t="s">
        <v>43</v>
      </c>
      <c r="G3666">
        <v>-311.24869999999999</v>
      </c>
      <c r="H3666">
        <v>-0.05</v>
      </c>
      <c r="I3666">
        <v>12.14545</v>
      </c>
      <c r="J3666">
        <v>-316.65429999999998</v>
      </c>
      <c r="K3666">
        <v>1.0717509999999999</v>
      </c>
      <c r="L3666">
        <v>17.115879999999901</v>
      </c>
      <c r="M3666">
        <v>0.94319719999999996</v>
      </c>
      <c r="N3666">
        <v>0</v>
      </c>
      <c r="O3666">
        <v>-0.33124959999999998</v>
      </c>
      <c r="P3666">
        <v>0.87409249999999905</v>
      </c>
      <c r="Q3666">
        <v>-2.0589760000000001E-3</v>
      </c>
      <c r="R3666">
        <v>-0.48575560000000001</v>
      </c>
      <c r="S3666">
        <v>2.2969059999999999</v>
      </c>
      <c r="T3666">
        <v>-0.45628740000000001</v>
      </c>
      <c r="U3666">
        <v>-2.056854</v>
      </c>
      <c r="V3666">
        <v>0.16917679999999999</v>
      </c>
      <c r="W3666">
        <v>1.9117930000000002E-2</v>
      </c>
      <c r="X3666">
        <v>0.98540030000000001</v>
      </c>
      <c r="Y3666">
        <v>0.38194790000000001</v>
      </c>
      <c r="Z3666">
        <v>2.1197919999999999E-2</v>
      </c>
      <c r="AA3666">
        <v>0.92394069999999995</v>
      </c>
      <c r="AB3666">
        <v>27</v>
      </c>
      <c r="AC3666">
        <v>5.40559999999999</v>
      </c>
      <c r="AD3666">
        <v>-1.1217509999999999</v>
      </c>
      <c r="AE3666">
        <v>-4.9704299999999897</v>
      </c>
      <c r="AF3666">
        <v>2.8323477170684499</v>
      </c>
      <c r="AG3666">
        <v>-1.1217509999999999</v>
      </c>
      <c r="AH3666">
        <v>6.5933501054868797</v>
      </c>
      <c r="AI3666">
        <v>98.884607812514801</v>
      </c>
      <c r="AJ3666">
        <v>66.752780652577897</v>
      </c>
      <c r="AK3666">
        <v>7.2631112142048098</v>
      </c>
      <c r="AL3666">
        <v>88.904556580966897</v>
      </c>
      <c r="AM3666">
        <v>80.258242450268099</v>
      </c>
      <c r="AN3666">
        <v>1.0000000180729001</v>
      </c>
    </row>
    <row r="3667" spans="1:40" x14ac:dyDescent="0.3">
      <c r="A3667" t="str">
        <f>"20200111153951736"</f>
        <v>20200111153951736</v>
      </c>
      <c r="B3667" t="str">
        <f>"1578728391724900"</f>
        <v>1578728391724900</v>
      </c>
      <c r="C3667" t="s">
        <v>40</v>
      </c>
      <c r="D3667">
        <v>5.74472</v>
      </c>
      <c r="E3667">
        <v>0.6164328</v>
      </c>
      <c r="F3667" t="s">
        <v>43</v>
      </c>
      <c r="G3667">
        <v>-308.30200000000002</v>
      </c>
      <c r="H3667">
        <v>-0.05</v>
      </c>
      <c r="I3667">
        <v>8.6909789999999898</v>
      </c>
      <c r="J3667">
        <v>-316.411</v>
      </c>
      <c r="K3667">
        <v>1.069437</v>
      </c>
      <c r="L3667">
        <v>17.019500000000001</v>
      </c>
      <c r="M3667">
        <v>0.94028719999999999</v>
      </c>
      <c r="N3667">
        <v>0</v>
      </c>
      <c r="O3667">
        <v>-0.33944790000000002</v>
      </c>
      <c r="P3667">
        <v>0.86903580000000002</v>
      </c>
      <c r="Q3667">
        <v>-3.0430819999999999E-3</v>
      </c>
      <c r="R3667">
        <v>-0.49474040000000002</v>
      </c>
      <c r="S3667">
        <v>2.1988219999999998</v>
      </c>
      <c r="T3667">
        <v>-0.29531030000000003</v>
      </c>
      <c r="U3667">
        <v>-2.2179259999999998</v>
      </c>
      <c r="V3667">
        <v>0.17072950000000001</v>
      </c>
      <c r="W3667">
        <v>1.7740099999999901E-2</v>
      </c>
      <c r="X3667">
        <v>0.98515819999999998</v>
      </c>
      <c r="Y3667">
        <v>0.42848920000000001</v>
      </c>
      <c r="Z3667">
        <v>1.2058610000000001E-2</v>
      </c>
      <c r="AA3667">
        <v>0.9034664</v>
      </c>
      <c r="AB3667">
        <v>27</v>
      </c>
      <c r="AC3667">
        <v>8.1089999999999804</v>
      </c>
      <c r="AD3667">
        <v>-1.119437</v>
      </c>
      <c r="AE3667">
        <v>-8.3285210000000003</v>
      </c>
      <c r="AF3667">
        <v>5.0335497224237198</v>
      </c>
      <c r="AG3667">
        <v>-1.119437</v>
      </c>
      <c r="AH3667">
        <v>10.359135169565199</v>
      </c>
      <c r="AI3667">
        <v>95.551487929386894</v>
      </c>
      <c r="AJ3667">
        <v>64.084677549702704</v>
      </c>
      <c r="AK3667">
        <v>11.571579125875701</v>
      </c>
      <c r="AL3667">
        <v>88.983513796293593</v>
      </c>
      <c r="AM3667">
        <v>80.168200764220401</v>
      </c>
      <c r="AN3667">
        <v>0.99999997617274905</v>
      </c>
    </row>
    <row r="3668" spans="1:40" x14ac:dyDescent="0.3">
      <c r="A3668" t="str">
        <f>"20200111153951759"</f>
        <v>20200111153951759</v>
      </c>
      <c r="B3668" t="str">
        <f>"1578728391755154"</f>
        <v>1578728391755154</v>
      </c>
      <c r="C3668" t="s">
        <v>40</v>
      </c>
      <c r="D3668">
        <v>5.5227190000000004</v>
      </c>
      <c r="E3668">
        <v>0.62038199999999999</v>
      </c>
      <c r="F3668" t="s">
        <v>43</v>
      </c>
      <c r="G3668">
        <v>-308.31889999999999</v>
      </c>
      <c r="H3668">
        <v>-0.05</v>
      </c>
      <c r="I3668">
        <v>8.3527679999999993</v>
      </c>
      <c r="J3668">
        <v>-316.1499</v>
      </c>
      <c r="K3668">
        <v>1.0670820000000001</v>
      </c>
      <c r="L3668">
        <v>16.9129</v>
      </c>
      <c r="M3668">
        <v>0.93694840000000001</v>
      </c>
      <c r="N3668">
        <v>0</v>
      </c>
      <c r="O3668">
        <v>-0.34859770000000001</v>
      </c>
      <c r="P3668">
        <v>0.86315819999999999</v>
      </c>
      <c r="Q3668">
        <v>-1.983018E-3</v>
      </c>
      <c r="R3668">
        <v>-0.50493029999999905</v>
      </c>
      <c r="S3668">
        <v>2.1439210000000002</v>
      </c>
      <c r="T3668">
        <v>-0.29658069999999997</v>
      </c>
      <c r="U3668">
        <v>-2.2961429999999998</v>
      </c>
      <c r="V3668">
        <v>0.17272760000000001</v>
      </c>
      <c r="W3668">
        <v>1.8243079999999998E-2</v>
      </c>
      <c r="X3668">
        <v>0.98480069999999997</v>
      </c>
      <c r="Y3668">
        <v>0.44661260000000003</v>
      </c>
      <c r="Z3668">
        <v>1.2035870000000001E-2</v>
      </c>
      <c r="AA3668">
        <v>0.89464650000000001</v>
      </c>
      <c r="AB3668">
        <v>27</v>
      </c>
      <c r="AC3668">
        <v>7.8310000000000102</v>
      </c>
      <c r="AD3668">
        <v>-1.1170819999999999</v>
      </c>
      <c r="AE3668">
        <v>-8.5601319999999994</v>
      </c>
      <c r="AF3668">
        <v>5.2435282720650802</v>
      </c>
      <c r="AG3668">
        <v>-1.1170819999999999</v>
      </c>
      <c r="AH3668">
        <v>10.2295831031108</v>
      </c>
      <c r="AI3668">
        <v>95.550482037235099</v>
      </c>
      <c r="AJ3668">
        <v>62.861014907110103</v>
      </c>
      <c r="AK3668">
        <v>11.549321685628099</v>
      </c>
      <c r="AL3668">
        <v>88.954690551080404</v>
      </c>
      <c r="AM3668">
        <v>80.051882364035905</v>
      </c>
      <c r="AN3668">
        <v>1.0000000262450599</v>
      </c>
    </row>
    <row r="3669" spans="1:40" x14ac:dyDescent="0.3">
      <c r="A3669" t="str">
        <f>"20200111153951781"</f>
        <v>20200111153951781</v>
      </c>
      <c r="B3669" t="str">
        <f>"1578728391774673"</f>
        <v>1578728391774673</v>
      </c>
      <c r="C3669" t="s">
        <v>40</v>
      </c>
      <c r="D3669">
        <v>5.5207879999999996</v>
      </c>
      <c r="E3669">
        <v>0.6193649</v>
      </c>
      <c r="F3669" t="s">
        <v>43</v>
      </c>
      <c r="G3669">
        <v>-308.2364</v>
      </c>
      <c r="H3669">
        <v>-0.05</v>
      </c>
      <c r="I3669">
        <v>8.0672759999999997</v>
      </c>
      <c r="J3669">
        <v>-315.90030000000002</v>
      </c>
      <c r="K3669">
        <v>1.0649869999999999</v>
      </c>
      <c r="L3669">
        <v>16.808139999999899</v>
      </c>
      <c r="M3669">
        <v>0.93353090000000005</v>
      </c>
      <c r="N3669">
        <v>0</v>
      </c>
      <c r="O3669">
        <v>-0.35769099999999998</v>
      </c>
      <c r="P3669">
        <v>0.85732090000000005</v>
      </c>
      <c r="Q3669">
        <v>-7.3700580000000005E-4</v>
      </c>
      <c r="R3669">
        <v>-0.51478239999999997</v>
      </c>
      <c r="S3669">
        <v>2.1010740000000001</v>
      </c>
      <c r="T3669">
        <v>-0.296593</v>
      </c>
      <c r="U3669">
        <v>-2.3485719999999999</v>
      </c>
      <c r="V3669">
        <v>0.17444109999999999</v>
      </c>
      <c r="W3669">
        <v>1.8916260000000001E-2</v>
      </c>
      <c r="X3669">
        <v>0.98448590000000002</v>
      </c>
      <c r="Y3669">
        <v>0.4569336</v>
      </c>
      <c r="Z3669">
        <v>1.2392480000000001E-2</v>
      </c>
      <c r="AA3669">
        <v>0.8894145</v>
      </c>
      <c r="AB3669">
        <v>27</v>
      </c>
      <c r="AC3669">
        <v>7.6639000000000097</v>
      </c>
      <c r="AD3669">
        <v>-1.114987</v>
      </c>
      <c r="AE3669">
        <v>-8.7408639999999895</v>
      </c>
      <c r="AF3669">
        <v>5.3707154417488701</v>
      </c>
      <c r="AG3669">
        <v>-1.114987</v>
      </c>
      <c r="AH3669">
        <v>10.1902396636338</v>
      </c>
      <c r="AI3669">
        <v>95.528784904120897</v>
      </c>
      <c r="AJ3669">
        <v>62.2087490580791</v>
      </c>
      <c r="AK3669">
        <v>11.5727596004023</v>
      </c>
      <c r="AL3669">
        <v>88.916113496192693</v>
      </c>
      <c r="AM3669">
        <v>79.9520482974293</v>
      </c>
      <c r="AN3669">
        <v>1.0000000047802</v>
      </c>
    </row>
    <row r="3670" spans="1:40" x14ac:dyDescent="0.3">
      <c r="A3670" t="str">
        <f>"20200111153951803"</f>
        <v>20200111153951803</v>
      </c>
      <c r="B3670" t="str">
        <f>"1578728391794193"</f>
        <v>1578728391794193</v>
      </c>
      <c r="C3670" t="s">
        <v>40</v>
      </c>
      <c r="D3670">
        <v>5.5208259999999996</v>
      </c>
      <c r="E3670">
        <v>0.61855769999999899</v>
      </c>
      <c r="F3670" t="s">
        <v>43</v>
      </c>
      <c r="G3670">
        <v>-308.55439999999999</v>
      </c>
      <c r="H3670">
        <v>-0.05</v>
      </c>
      <c r="I3670">
        <v>8.4459990000000005</v>
      </c>
      <c r="J3670">
        <v>-315.64999999999998</v>
      </c>
      <c r="K3670">
        <v>1.0630269999999999</v>
      </c>
      <c r="L3670">
        <v>16.700039999999898</v>
      </c>
      <c r="M3670">
        <v>0.92985879999999999</v>
      </c>
      <c r="N3670">
        <v>0</v>
      </c>
      <c r="O3670">
        <v>-0.36717349999999999</v>
      </c>
      <c r="P3670">
        <v>0.85147390000000001</v>
      </c>
      <c r="Q3670">
        <v>2.146987E-4</v>
      </c>
      <c r="R3670">
        <v>-0.52439709999999995</v>
      </c>
      <c r="S3670">
        <v>2.0783689999999999</v>
      </c>
      <c r="T3670">
        <v>-0.31546000000000002</v>
      </c>
      <c r="U3670">
        <v>-2.365875</v>
      </c>
      <c r="V3670">
        <v>0.17550060000000001</v>
      </c>
      <c r="W3670">
        <v>1.9303379999999998E-2</v>
      </c>
      <c r="X3670">
        <v>0.98429009999999995</v>
      </c>
      <c r="Y3670">
        <v>0.45590839999999999</v>
      </c>
      <c r="Z3670">
        <v>1.4278030000000001E-2</v>
      </c>
      <c r="AA3670">
        <v>0.88991219999999904</v>
      </c>
      <c r="AB3670">
        <v>27</v>
      </c>
      <c r="AC3670">
        <v>7.0955999999999904</v>
      </c>
      <c r="AD3670">
        <v>-1.113027</v>
      </c>
      <c r="AE3670">
        <v>-8.2540409999999902</v>
      </c>
      <c r="AF3670">
        <v>5.0186846713514202</v>
      </c>
      <c r="AG3670">
        <v>-1.113027</v>
      </c>
      <c r="AH3670">
        <v>9.5315373415746496</v>
      </c>
      <c r="AI3670">
        <v>95.899170041404702</v>
      </c>
      <c r="AJ3670">
        <v>62.231640658836703</v>
      </c>
      <c r="AK3670">
        <v>10.8294149900638</v>
      </c>
      <c r="AL3670">
        <v>88.893929143006403</v>
      </c>
      <c r="AM3670">
        <v>79.890305671804498</v>
      </c>
      <c r="AN3670">
        <v>1.0000000410188901</v>
      </c>
    </row>
    <row r="3671" spans="1:40" x14ac:dyDescent="0.3">
      <c r="A3671" t="str">
        <f>"20200111153951824"</f>
        <v>20200111153951824</v>
      </c>
      <c r="B3671" t="str">
        <f>"1578728391814224"</f>
        <v>1578728391814224</v>
      </c>
      <c r="C3671" t="s">
        <v>40</v>
      </c>
      <c r="D3671">
        <v>5.5246570000000004</v>
      </c>
      <c r="E3671">
        <v>0.618116</v>
      </c>
      <c r="F3671" t="s">
        <v>43</v>
      </c>
      <c r="G3671">
        <v>-308.6148</v>
      </c>
      <c r="H3671">
        <v>-0.05</v>
      </c>
      <c r="I3671">
        <v>8.5386349999999993</v>
      </c>
      <c r="J3671">
        <v>-315.41289999999998</v>
      </c>
      <c r="K3671">
        <v>1.0612699999999999</v>
      </c>
      <c r="L3671">
        <v>16.594760000000001</v>
      </c>
      <c r="M3671">
        <v>0.92618500000000004</v>
      </c>
      <c r="N3671">
        <v>0</v>
      </c>
      <c r="O3671">
        <v>-0.37638379999999999</v>
      </c>
      <c r="P3671">
        <v>0.84585959999999905</v>
      </c>
      <c r="Q3671">
        <v>2.4604200000000001E-3</v>
      </c>
      <c r="R3671">
        <v>-0.53340050000000006</v>
      </c>
      <c r="S3671">
        <v>2.0551149999999998</v>
      </c>
      <c r="T3671">
        <v>-0.32513550000000002</v>
      </c>
      <c r="U3671">
        <v>-2.3840940000000002</v>
      </c>
      <c r="V3671">
        <v>0.17620549999999999</v>
      </c>
      <c r="W3671">
        <v>2.1000580000000001E-2</v>
      </c>
      <c r="X3671">
        <v>0.98412940000000004</v>
      </c>
      <c r="Y3671">
        <v>0.45543349999999999</v>
      </c>
      <c r="Z3671">
        <v>1.5787099999999998E-2</v>
      </c>
      <c r="AA3671">
        <v>0.89012979999999997</v>
      </c>
      <c r="AB3671">
        <v>27</v>
      </c>
      <c r="AC3671">
        <v>6.7980999999999696</v>
      </c>
      <c r="AD3671">
        <v>-1.11127</v>
      </c>
      <c r="AE3671">
        <v>-8.0561249999999998</v>
      </c>
      <c r="AF3671">
        <v>4.8501305368600596</v>
      </c>
      <c r="AG3671">
        <v>-1.11127</v>
      </c>
      <c r="AH3671">
        <v>9.2283410128708692</v>
      </c>
      <c r="AI3671">
        <v>96.084410629512007</v>
      </c>
      <c r="AJ3671">
        <v>62.274973242177602</v>
      </c>
      <c r="AK3671">
        <v>10.484319963036</v>
      </c>
      <c r="AL3671">
        <v>88.796666985011299</v>
      </c>
      <c r="AM3671">
        <v>79.848919618172999</v>
      </c>
      <c r="AN3671">
        <v>1.0000000392674699</v>
      </c>
    </row>
    <row r="3672" spans="1:40" x14ac:dyDescent="0.3">
      <c r="A3672" t="str">
        <f>"20200111153951847"</f>
        <v>20200111153951847</v>
      </c>
      <c r="B3672" t="str">
        <f>"1578728391844477"</f>
        <v>1578728391844477</v>
      </c>
      <c r="C3672" t="s">
        <v>40</v>
      </c>
      <c r="D3672">
        <v>5.5260160000000003</v>
      </c>
      <c r="E3672">
        <v>0.61757519999999999</v>
      </c>
      <c r="F3672" t="s">
        <v>43</v>
      </c>
      <c r="G3672">
        <v>-308.47089999999997</v>
      </c>
      <c r="H3672">
        <v>-0.05</v>
      </c>
      <c r="I3672">
        <v>8.385605</v>
      </c>
      <c r="J3672">
        <v>-315.1687</v>
      </c>
      <c r="K3672">
        <v>1.059537</v>
      </c>
      <c r="L3672">
        <v>16.483339999999998</v>
      </c>
      <c r="M3672">
        <v>0.92225409999999997</v>
      </c>
      <c r="N3672">
        <v>0</v>
      </c>
      <c r="O3672">
        <v>-0.38595410000000002</v>
      </c>
      <c r="P3672">
        <v>0.83963889999999997</v>
      </c>
      <c r="Q3672">
        <v>5.5896909999999999E-3</v>
      </c>
      <c r="R3672">
        <v>-0.5431163</v>
      </c>
      <c r="S3672">
        <v>2.0321959999999999</v>
      </c>
      <c r="T3672">
        <v>-0.32531169999999998</v>
      </c>
      <c r="U3672">
        <v>-2.4031370000000001</v>
      </c>
      <c r="V3672">
        <v>0.17741609999999999</v>
      </c>
      <c r="W3672">
        <v>2.3515270000000001E-2</v>
      </c>
      <c r="X3672">
        <v>0.98385489999999998</v>
      </c>
      <c r="Y3672">
        <v>0.4546924</v>
      </c>
      <c r="Z3672">
        <v>1.6923000000000001E-2</v>
      </c>
      <c r="AA3672">
        <v>0.89048769999999999</v>
      </c>
      <c r="AB3672">
        <v>27</v>
      </c>
      <c r="AC3672">
        <v>6.6978000000000204</v>
      </c>
      <c r="AD3672">
        <v>-1.109537</v>
      </c>
      <c r="AE3672">
        <v>-8.0977349999999895</v>
      </c>
      <c r="AF3672">
        <v>4.83046682242259</v>
      </c>
      <c r="AG3672">
        <v>-1.109537</v>
      </c>
      <c r="AH3672">
        <v>9.2021111451204494</v>
      </c>
      <c r="AI3672">
        <v>96.093769581496701</v>
      </c>
      <c r="AJ3672">
        <v>62.303658607691297</v>
      </c>
      <c r="AK3672">
        <v>10.451953482677</v>
      </c>
      <c r="AL3672">
        <v>88.652550008456203</v>
      </c>
      <c r="AM3672">
        <v>79.777851523116894</v>
      </c>
      <c r="AN3672">
        <v>0.99999995235819505</v>
      </c>
    </row>
    <row r="3673" spans="1:40" x14ac:dyDescent="0.3">
      <c r="A3673" t="str">
        <f>"20200111153951870"</f>
        <v>20200111153951870</v>
      </c>
      <c r="B3673" t="str">
        <f>"1578728391864974"</f>
        <v>1578728391864974</v>
      </c>
      <c r="C3673" t="s">
        <v>40</v>
      </c>
      <c r="D3673">
        <v>5.4684339999999896</v>
      </c>
      <c r="E3673">
        <v>0.61727270000000001</v>
      </c>
      <c r="F3673" t="s">
        <v>43</v>
      </c>
      <c r="G3673">
        <v>-308.28179999999998</v>
      </c>
      <c r="H3673">
        <v>-0.05</v>
      </c>
      <c r="I3673">
        <v>8.1704559999999997</v>
      </c>
      <c r="J3673">
        <v>-314.9135</v>
      </c>
      <c r="K3673">
        <v>1.0578270000000001</v>
      </c>
      <c r="L3673">
        <v>16.36346</v>
      </c>
      <c r="M3673">
        <v>0.91801730000000004</v>
      </c>
      <c r="N3673">
        <v>0</v>
      </c>
      <c r="O3673">
        <v>-0.39596510000000001</v>
      </c>
      <c r="P3673">
        <v>0.83325709999999997</v>
      </c>
      <c r="Q3673">
        <v>8.4045530000000004E-3</v>
      </c>
      <c r="R3673">
        <v>-0.55282219999999904</v>
      </c>
      <c r="S3673">
        <v>2.0076290000000001</v>
      </c>
      <c r="T3673">
        <v>-0.32344420000000002</v>
      </c>
      <c r="U3673">
        <v>-2.4233090000000002</v>
      </c>
      <c r="V3673">
        <v>0.1781809</v>
      </c>
      <c r="W3673">
        <v>2.5668969999999999E-2</v>
      </c>
      <c r="X3673">
        <v>0.98366290000000001</v>
      </c>
      <c r="Y3673">
        <v>0.4540537</v>
      </c>
      <c r="Z3673">
        <v>1.799357E-2</v>
      </c>
      <c r="AA3673">
        <v>0.89079259999999905</v>
      </c>
      <c r="AB3673">
        <v>27</v>
      </c>
      <c r="AC3673">
        <v>6.6317000000000199</v>
      </c>
      <c r="AD3673">
        <v>-1.1078269999999999</v>
      </c>
      <c r="AE3673">
        <v>-8.1930040000000002</v>
      </c>
      <c r="AF3673">
        <v>4.8430171574237999</v>
      </c>
      <c r="AG3673">
        <v>-1.1078269999999999</v>
      </c>
      <c r="AH3673">
        <v>9.2323053617408899</v>
      </c>
      <c r="AI3673">
        <v>96.065583066069095</v>
      </c>
      <c r="AJ3673">
        <v>62.319714316902903</v>
      </c>
      <c r="AK3673">
        <v>10.484157483625401</v>
      </c>
      <c r="AL3673">
        <v>88.529114819707303</v>
      </c>
      <c r="AM3673">
        <v>79.732760140497604</v>
      </c>
      <c r="AN3673">
        <v>1.00000001499104</v>
      </c>
    </row>
    <row r="3674" spans="1:40" x14ac:dyDescent="0.3">
      <c r="A3674" t="str">
        <f>"20200111153951893"</f>
        <v>20200111153951893</v>
      </c>
      <c r="B3674" t="str">
        <f>"1578728391884494"</f>
        <v>1578728391884494</v>
      </c>
      <c r="C3674" t="s">
        <v>40</v>
      </c>
      <c r="D3674">
        <v>5.460674</v>
      </c>
      <c r="E3674">
        <v>0.61685310000000004</v>
      </c>
      <c r="F3674" t="s">
        <v>43</v>
      </c>
      <c r="G3674">
        <v>-307.95949999999999</v>
      </c>
      <c r="H3674">
        <v>-0.05</v>
      </c>
      <c r="I3674">
        <v>7.7827909999999996</v>
      </c>
      <c r="J3674">
        <v>-314.661</v>
      </c>
      <c r="K3674">
        <v>1.05627</v>
      </c>
      <c r="L3674">
        <v>16.24146</v>
      </c>
      <c r="M3674">
        <v>0.91369339999999999</v>
      </c>
      <c r="N3674">
        <v>0</v>
      </c>
      <c r="O3674">
        <v>-0.40587830000000003</v>
      </c>
      <c r="P3674">
        <v>0.82670859999999902</v>
      </c>
      <c r="Q3674">
        <v>1.133603E-2</v>
      </c>
      <c r="R3674">
        <v>-0.56251649999999997</v>
      </c>
      <c r="S3674">
        <v>1.9814449999999999</v>
      </c>
      <c r="T3674">
        <v>-0.31566420000000001</v>
      </c>
      <c r="U3674">
        <v>-2.4449770000000002</v>
      </c>
      <c r="V3674">
        <v>0.17908350000000001</v>
      </c>
      <c r="W3674">
        <v>2.7939800000000001E-2</v>
      </c>
      <c r="X3674">
        <v>0.98343709999999995</v>
      </c>
      <c r="Y3674">
        <v>0.45409389999999999</v>
      </c>
      <c r="Z3674">
        <v>1.8654960000000002E-2</v>
      </c>
      <c r="AA3674">
        <v>0.89075849999999901</v>
      </c>
      <c r="AB3674">
        <v>27</v>
      </c>
      <c r="AC3674">
        <v>6.7015000000000002</v>
      </c>
      <c r="AD3674">
        <v>-1.1062700000000001</v>
      </c>
      <c r="AE3674">
        <v>-8.4586690000000004</v>
      </c>
      <c r="AF3674">
        <v>4.9576087715546899</v>
      </c>
      <c r="AG3674">
        <v>-1.1062700000000001</v>
      </c>
      <c r="AH3674">
        <v>9.4589471508652796</v>
      </c>
      <c r="AI3674">
        <v>95.914127670740399</v>
      </c>
      <c r="AJ3674">
        <v>62.340136874974597</v>
      </c>
      <c r="AK3674">
        <v>10.736545033089399</v>
      </c>
      <c r="AL3674">
        <v>88.398959079074402</v>
      </c>
      <c r="AM3674">
        <v>79.679546343879196</v>
      </c>
      <c r="AN3674">
        <v>1.0000000310263399</v>
      </c>
    </row>
    <row r="3675" spans="1:40" x14ac:dyDescent="0.3">
      <c r="A3675" t="str">
        <f>"20200111153951914"</f>
        <v>20200111153951914</v>
      </c>
      <c r="B3675" t="str">
        <f>"1578728391904521"</f>
        <v>1578728391904521</v>
      </c>
      <c r="C3675" t="s">
        <v>40</v>
      </c>
      <c r="D3675">
        <v>5.4509210000000001</v>
      </c>
      <c r="E3675">
        <v>0.61636979999999997</v>
      </c>
      <c r="F3675" t="s">
        <v>43</v>
      </c>
      <c r="G3675">
        <v>-307.65699999999998</v>
      </c>
      <c r="H3675">
        <v>-0.05</v>
      </c>
      <c r="I3675">
        <v>7.4088440000000002</v>
      </c>
      <c r="J3675">
        <v>-314.43459999999999</v>
      </c>
      <c r="K3675">
        <v>1.055023</v>
      </c>
      <c r="L3675">
        <v>16.12894</v>
      </c>
      <c r="M3675">
        <v>0.90968340000000003</v>
      </c>
      <c r="N3675">
        <v>0</v>
      </c>
      <c r="O3675">
        <v>-0.41481689999999999</v>
      </c>
      <c r="P3675">
        <v>0.82099</v>
      </c>
      <c r="Q3675">
        <v>1.323065E-2</v>
      </c>
      <c r="R3675">
        <v>-0.5707892</v>
      </c>
      <c r="S3675">
        <v>1.9552609999999999</v>
      </c>
      <c r="T3675">
        <v>-0.3088322</v>
      </c>
      <c r="U3675">
        <v>-2.4657589999999998</v>
      </c>
      <c r="V3675">
        <v>0.17935429999999999</v>
      </c>
      <c r="W3675">
        <v>2.9278209999999999E-2</v>
      </c>
      <c r="X3675">
        <v>0.98334880000000002</v>
      </c>
      <c r="Y3675">
        <v>0.45487040000000001</v>
      </c>
      <c r="Z3675">
        <v>1.9181900000000002E-2</v>
      </c>
      <c r="AA3675">
        <v>0.89035109999999995</v>
      </c>
      <c r="AB3675">
        <v>27</v>
      </c>
      <c r="AC3675">
        <v>6.7775999999999996</v>
      </c>
      <c r="AD3675">
        <v>-1.1050229999999901</v>
      </c>
      <c r="AE3675">
        <v>-8.7200959999999998</v>
      </c>
      <c r="AF3675">
        <v>5.0713278807550299</v>
      </c>
      <c r="AG3675">
        <v>-1.1050229999999901</v>
      </c>
      <c r="AH3675">
        <v>9.6877038689728803</v>
      </c>
      <c r="AI3675">
        <v>95.770467707747102</v>
      </c>
      <c r="AJ3675">
        <v>62.368801787141898</v>
      </c>
      <c r="AK3675">
        <v>10.990498103250999</v>
      </c>
      <c r="AL3675">
        <v>88.322242412001799</v>
      </c>
      <c r="AM3675">
        <v>79.663368361464293</v>
      </c>
      <c r="AN3675">
        <v>1.0000000204853601</v>
      </c>
    </row>
    <row r="3676" spans="1:40" x14ac:dyDescent="0.3">
      <c r="A3676" t="str">
        <f>"20200111153951937"</f>
        <v>20200111153951937</v>
      </c>
      <c r="B3676" t="str">
        <f>"1578728391934779"</f>
        <v>1578728391934779</v>
      </c>
      <c r="C3676" t="s">
        <v>40</v>
      </c>
      <c r="D3676">
        <v>5.7168859999999997</v>
      </c>
      <c r="E3676">
        <v>0.61553619999999898</v>
      </c>
      <c r="F3676" t="s">
        <v>43</v>
      </c>
      <c r="G3676">
        <v>-307.42559999999997</v>
      </c>
      <c r="H3676">
        <v>-0.05</v>
      </c>
      <c r="I3676">
        <v>7.1271209999999998</v>
      </c>
      <c r="J3676">
        <v>-314.19479999999999</v>
      </c>
      <c r="K3676">
        <v>1.053868</v>
      </c>
      <c r="L3676">
        <v>16.006409999999999</v>
      </c>
      <c r="M3676">
        <v>0.90527150000000001</v>
      </c>
      <c r="N3676">
        <v>0</v>
      </c>
      <c r="O3676">
        <v>-0.42438720000000002</v>
      </c>
      <c r="P3676">
        <v>0.81482580000000004</v>
      </c>
      <c r="Q3676">
        <v>1.397351E-2</v>
      </c>
      <c r="R3676">
        <v>-0.57953779999999999</v>
      </c>
      <c r="S3676">
        <v>1.933014</v>
      </c>
      <c r="T3676">
        <v>-0.30475340000000001</v>
      </c>
      <c r="U3676">
        <v>-2.482605</v>
      </c>
      <c r="V3676">
        <v>0.17950859999999999</v>
      </c>
      <c r="W3676">
        <v>2.9476970000000002E-2</v>
      </c>
      <c r="X3676">
        <v>0.98331469999999999</v>
      </c>
      <c r="Y3676">
        <v>0.4534263</v>
      </c>
      <c r="Z3676">
        <v>2.0034329999999999E-2</v>
      </c>
      <c r="AA3676">
        <v>0.89106859999999999</v>
      </c>
      <c r="AB3676">
        <v>27</v>
      </c>
      <c r="AC3676">
        <v>6.7692000000000103</v>
      </c>
      <c r="AD3676">
        <v>-1.1038680000000001</v>
      </c>
      <c r="AE3676">
        <v>-8.8792889999999893</v>
      </c>
      <c r="AF3676">
        <v>5.1163746854063001</v>
      </c>
      <c r="AG3676">
        <v>-1.1038680000000001</v>
      </c>
      <c r="AH3676">
        <v>9.8022841232372802</v>
      </c>
      <c r="AI3676">
        <v>95.701082290798993</v>
      </c>
      <c r="AJ3676">
        <v>62.437359465387402</v>
      </c>
      <c r="AK3676">
        <v>11.1121819871508</v>
      </c>
      <c r="AL3676">
        <v>88.310849375124107</v>
      </c>
      <c r="AM3676">
        <v>79.654316599789396</v>
      </c>
      <c r="AN3676">
        <v>1.0000000142352099</v>
      </c>
    </row>
    <row r="3677" spans="1:40" x14ac:dyDescent="0.3">
      <c r="A3677" t="str">
        <f>"20200111153951960"</f>
        <v>20200111153951960</v>
      </c>
      <c r="B3677" t="str">
        <f>"1578728391954298"</f>
        <v>1578728391954298</v>
      </c>
      <c r="C3677" t="s">
        <v>40</v>
      </c>
      <c r="D3677">
        <v>5.5190539999999997</v>
      </c>
      <c r="E3677">
        <v>0.65394259999999904</v>
      </c>
      <c r="F3677" t="s">
        <v>43</v>
      </c>
      <c r="G3677">
        <v>-307.37720000000002</v>
      </c>
      <c r="H3677">
        <v>-0.05</v>
      </c>
      <c r="I3677">
        <v>7.0894779999999997</v>
      </c>
      <c r="J3677">
        <v>-313.95280000000002</v>
      </c>
      <c r="K3677">
        <v>1.052853</v>
      </c>
      <c r="L3677">
        <v>15.87946</v>
      </c>
      <c r="M3677">
        <v>0.90064449999999996</v>
      </c>
      <c r="N3677">
        <v>0</v>
      </c>
      <c r="O3677">
        <v>-0.4341448</v>
      </c>
      <c r="P3677">
        <v>0.80819790000000002</v>
      </c>
      <c r="Q3677">
        <v>1.5059670000000001E-2</v>
      </c>
      <c r="R3677">
        <v>-0.58871870000000004</v>
      </c>
      <c r="S3677">
        <v>1.910156</v>
      </c>
      <c r="T3677">
        <v>-0.3092781</v>
      </c>
      <c r="U3677">
        <v>-2.4983219999999999</v>
      </c>
      <c r="V3677">
        <v>0.18002470000000001</v>
      </c>
      <c r="W3677">
        <v>3.0049389999999999E-2</v>
      </c>
      <c r="X3677">
        <v>0.98320300000000005</v>
      </c>
      <c r="Y3677">
        <v>0.45168219999999998</v>
      </c>
      <c r="Z3677">
        <v>2.1496359999999999E-2</v>
      </c>
      <c r="AA3677">
        <v>0.89191989999999999</v>
      </c>
      <c r="AB3677">
        <v>27</v>
      </c>
      <c r="AC3677">
        <v>6.5755999999999997</v>
      </c>
      <c r="AD3677">
        <v>-1.1028530000000001</v>
      </c>
      <c r="AE3677">
        <v>-8.7899820000000002</v>
      </c>
      <c r="AF3677">
        <v>5.0122017123859104</v>
      </c>
      <c r="AG3677">
        <v>-1.1028530000000001</v>
      </c>
      <c r="AH3677">
        <v>9.6428161610754799</v>
      </c>
      <c r="AI3677">
        <v>95.794553021229206</v>
      </c>
      <c r="AJ3677">
        <v>62.535216667880803</v>
      </c>
      <c r="AK3677">
        <v>10.923477205613199</v>
      </c>
      <c r="AL3677">
        <v>88.278037562167299</v>
      </c>
      <c r="AM3677">
        <v>79.624063991490004</v>
      </c>
      <c r="AN3677">
        <v>0.99999999882923096</v>
      </c>
    </row>
    <row r="3678" spans="1:40" x14ac:dyDescent="0.3">
      <c r="A3678" t="str">
        <f>"20200111153951982"</f>
        <v>20200111153951982</v>
      </c>
      <c r="B3678" t="str">
        <f>"1578728391974793"</f>
        <v>1578728391974793</v>
      </c>
      <c r="C3678" t="s">
        <v>40</v>
      </c>
      <c r="D3678">
        <v>5.6293800000000003</v>
      </c>
      <c r="E3678">
        <v>0.6611148</v>
      </c>
      <c r="F3678" t="s">
        <v>43</v>
      </c>
      <c r="G3678">
        <v>-305.08319999999998</v>
      </c>
      <c r="H3678">
        <v>-0.05</v>
      </c>
      <c r="I3678">
        <v>1.4669490000000001</v>
      </c>
      <c r="J3678">
        <v>-313.71390000000002</v>
      </c>
      <c r="K3678">
        <v>1.051984</v>
      </c>
      <c r="L3678">
        <v>15.75076</v>
      </c>
      <c r="M3678">
        <v>0.89590899999999996</v>
      </c>
      <c r="N3678">
        <v>0</v>
      </c>
      <c r="O3678">
        <v>-0.44385609999999998</v>
      </c>
      <c r="P3678">
        <v>0.80102779999999996</v>
      </c>
      <c r="Q3678">
        <v>1.548947E-2</v>
      </c>
      <c r="R3678">
        <v>-0.59842709999999999</v>
      </c>
      <c r="S3678">
        <v>1.7016910000000001</v>
      </c>
      <c r="T3678">
        <v>-0.21158979999999999</v>
      </c>
      <c r="U3678">
        <v>-2.7651370000000002</v>
      </c>
      <c r="V3678">
        <v>0.18125869999999999</v>
      </c>
      <c r="W3678">
        <v>2.9997449999999998E-2</v>
      </c>
      <c r="X3678">
        <v>0.98297789999999996</v>
      </c>
      <c r="Y3678">
        <v>0.53024780000000005</v>
      </c>
      <c r="Z3678">
        <v>1.215919E-2</v>
      </c>
      <c r="AA3678">
        <v>0.84775560000000005</v>
      </c>
      <c r="AB3678">
        <v>26</v>
      </c>
      <c r="AC3678">
        <v>8.63070000000004</v>
      </c>
      <c r="AD3678">
        <v>-1.1019840000000001</v>
      </c>
      <c r="AE3678">
        <v>-14.283811</v>
      </c>
      <c r="AF3678">
        <v>8.9287946052819507</v>
      </c>
      <c r="AG3678">
        <v>-1.1019840000000001</v>
      </c>
      <c r="AH3678">
        <v>14.0135620451547</v>
      </c>
      <c r="AI3678">
        <v>93.794255976062502</v>
      </c>
      <c r="AJ3678">
        <v>57.496594625421601</v>
      </c>
      <c r="AK3678">
        <v>16.6528575035328</v>
      </c>
      <c r="AL3678">
        <v>88.281014948206604</v>
      </c>
      <c r="AM3678">
        <v>79.552161941001501</v>
      </c>
      <c r="AN3678">
        <v>1.0000000576102901</v>
      </c>
    </row>
    <row r="3679" spans="1:40" x14ac:dyDescent="0.3">
      <c r="A3679" t="str">
        <f>"20200111153952004"</f>
        <v>20200111153952004</v>
      </c>
      <c r="B3679" t="str">
        <f>"1578728391994314"</f>
        <v>1578728391994314</v>
      </c>
      <c r="C3679" t="s">
        <v>40</v>
      </c>
      <c r="D3679">
        <v>5.4350269999999998</v>
      </c>
      <c r="E3679">
        <v>0.66784209999999899</v>
      </c>
      <c r="F3679" t="s">
        <v>43</v>
      </c>
      <c r="G3679">
        <v>-306.75970000000001</v>
      </c>
      <c r="H3679">
        <v>-0.05</v>
      </c>
      <c r="I3679">
        <v>3.6946560000000002</v>
      </c>
      <c r="J3679">
        <v>-313.48110000000003</v>
      </c>
      <c r="K3679">
        <v>1.0512349999999999</v>
      </c>
      <c r="L3679">
        <v>15.62219</v>
      </c>
      <c r="M3679">
        <v>0.89113519999999902</v>
      </c>
      <c r="N3679">
        <v>0</v>
      </c>
      <c r="O3679">
        <v>-0.4533819</v>
      </c>
      <c r="P3679">
        <v>0.79415159999999996</v>
      </c>
      <c r="Q3679">
        <v>1.4697299999999899E-2</v>
      </c>
      <c r="R3679">
        <v>-0.60754209999999997</v>
      </c>
      <c r="S3679">
        <v>1.633972</v>
      </c>
      <c r="T3679">
        <v>-0.25892480000000001</v>
      </c>
      <c r="U3679">
        <v>-2.8327330000000002</v>
      </c>
      <c r="V3679">
        <v>0.1819809</v>
      </c>
      <c r="W3679">
        <v>2.8784420000000002E-2</v>
      </c>
      <c r="X3679">
        <v>0.98288070000000005</v>
      </c>
      <c r="Y3679">
        <v>0.54514739999999995</v>
      </c>
      <c r="Z3679">
        <v>1.49502E-2</v>
      </c>
      <c r="AA3679">
        <v>0.83820689999999998</v>
      </c>
      <c r="AB3679">
        <v>26</v>
      </c>
      <c r="AC3679">
        <v>6.7214000000000098</v>
      </c>
      <c r="AD3679">
        <v>-1.101235</v>
      </c>
      <c r="AE3679">
        <v>-11.927534</v>
      </c>
      <c r="AF3679">
        <v>7.5341642303378098</v>
      </c>
      <c r="AG3679">
        <v>-1.101235</v>
      </c>
      <c r="AH3679">
        <v>11.325968137914201</v>
      </c>
      <c r="AI3679">
        <v>94.628309204968403</v>
      </c>
      <c r="AJ3679">
        <v>56.367692420262799</v>
      </c>
      <c r="AK3679">
        <v>13.6474870740358</v>
      </c>
      <c r="AL3679">
        <v>88.350546441459898</v>
      </c>
      <c r="AM3679">
        <v>79.510441775485205</v>
      </c>
      <c r="AN3679">
        <v>1.0000000306160099</v>
      </c>
    </row>
    <row r="3680" spans="1:40" x14ac:dyDescent="0.3">
      <c r="A3680" t="str">
        <f>"20200111153952025"</f>
        <v>20200111153952025</v>
      </c>
      <c r="B3680" t="str">
        <f>"1578728392015085"</f>
        <v>1578728392015085</v>
      </c>
      <c r="C3680" t="s">
        <v>40</v>
      </c>
      <c r="D3680">
        <v>5.3951849999999997</v>
      </c>
      <c r="E3680">
        <v>0.66894430000000005</v>
      </c>
      <c r="F3680" t="s">
        <v>43</v>
      </c>
      <c r="G3680">
        <v>-304.8272</v>
      </c>
      <c r="H3680">
        <v>-0.05</v>
      </c>
      <c r="I3680">
        <v>-0.33717350000000001</v>
      </c>
      <c r="J3680">
        <v>-313.25810000000001</v>
      </c>
      <c r="K3680">
        <v>1.0505990000000001</v>
      </c>
      <c r="L3680">
        <v>15.495939999999999</v>
      </c>
      <c r="M3680">
        <v>0.8864071</v>
      </c>
      <c r="N3680">
        <v>0</v>
      </c>
      <c r="O3680">
        <v>-0.46257239999999999</v>
      </c>
      <c r="P3680">
        <v>0.78773919999999997</v>
      </c>
      <c r="Q3680">
        <v>1.439786E-2</v>
      </c>
      <c r="R3680">
        <v>-0.61584079999999997</v>
      </c>
      <c r="S3680">
        <v>1.568451</v>
      </c>
      <c r="T3680">
        <v>-0.19959070000000001</v>
      </c>
      <c r="U3680">
        <v>-2.8925169999999998</v>
      </c>
      <c r="V3680">
        <v>0.182114</v>
      </c>
      <c r="W3680">
        <v>2.812427E-2</v>
      </c>
      <c r="X3680">
        <v>0.9828751</v>
      </c>
      <c r="Y3680">
        <v>0.55860889999999996</v>
      </c>
      <c r="Z3680">
        <v>1.163084E-2</v>
      </c>
      <c r="AA3680">
        <v>0.82934969999999997</v>
      </c>
      <c r="AB3680">
        <v>26</v>
      </c>
      <c r="AC3680">
        <v>8.4308999999999994</v>
      </c>
      <c r="AD3680">
        <v>-1.1005989999999899</v>
      </c>
      <c r="AE3680">
        <v>-15.8331135</v>
      </c>
      <c r="AF3680">
        <v>10.0982343385456</v>
      </c>
      <c r="AG3680">
        <v>-1.1005989999999899</v>
      </c>
      <c r="AH3680">
        <v>14.743954584480701</v>
      </c>
      <c r="AI3680">
        <v>93.524230415273806</v>
      </c>
      <c r="AJ3680">
        <v>55.592492418976903</v>
      </c>
      <c r="AK3680">
        <v>17.9044645746309</v>
      </c>
      <c r="AL3680">
        <v>88.388385478084899</v>
      </c>
      <c r="AM3680">
        <v>79.502881748657799</v>
      </c>
      <c r="AN3680">
        <v>0.99999997287952103</v>
      </c>
    </row>
    <row r="3681" spans="1:40" x14ac:dyDescent="0.3">
      <c r="A3681" t="str">
        <f>"20200111153952049"</f>
        <v>20200111153952049</v>
      </c>
      <c r="B3681" t="str">
        <f>"1578728392044365"</f>
        <v>1578728392044365</v>
      </c>
      <c r="C3681" t="s">
        <v>40</v>
      </c>
      <c r="D3681">
        <v>5.4131090000000004</v>
      </c>
      <c r="E3681">
        <v>0.66898019999999903</v>
      </c>
      <c r="F3681" t="s">
        <v>42</v>
      </c>
      <c r="G3681">
        <v>-304.30360000000002</v>
      </c>
      <c r="H3681" s="1">
        <v>-4.6088980000000004E-6</v>
      </c>
      <c r="I3681">
        <v>-1.5358579999999999</v>
      </c>
      <c r="J3681">
        <v>-313.0224</v>
      </c>
      <c r="K3681">
        <v>1.05</v>
      </c>
      <c r="L3681">
        <v>15.35919</v>
      </c>
      <c r="M3681">
        <v>0.88124210000000003</v>
      </c>
      <c r="N3681">
        <v>0</v>
      </c>
      <c r="O3681">
        <v>-0.47235129999999997</v>
      </c>
      <c r="P3681">
        <v>0.780447</v>
      </c>
      <c r="Q3681">
        <v>1.371817E-2</v>
      </c>
      <c r="R3681">
        <v>-0.62507139999999894</v>
      </c>
      <c r="S3681">
        <v>1.532654</v>
      </c>
      <c r="T3681">
        <v>-0.17982110000000001</v>
      </c>
      <c r="U3681">
        <v>-2.9151609999999999</v>
      </c>
      <c r="V3681">
        <v>0.18278520000000001</v>
      </c>
      <c r="W3681">
        <v>2.708182E-2</v>
      </c>
      <c r="X3681">
        <v>0.98277979999999998</v>
      </c>
      <c r="Y3681">
        <v>0.56012379999999995</v>
      </c>
      <c r="Z3681">
        <v>1.104232E-2</v>
      </c>
      <c r="AA3681">
        <v>0.8283353</v>
      </c>
      <c r="AB3681">
        <v>26</v>
      </c>
      <c r="AC3681">
        <v>8.7187999999999803</v>
      </c>
      <c r="AD3681">
        <v>-1.050004608898</v>
      </c>
      <c r="AE3681">
        <v>-16.895047999999999</v>
      </c>
      <c r="AF3681">
        <v>10.739132683490199</v>
      </c>
      <c r="AG3681">
        <v>-1.050004608898</v>
      </c>
      <c r="AH3681">
        <v>15.6184563199248</v>
      </c>
      <c r="AI3681">
        <v>93.170754589215704</v>
      </c>
      <c r="AJ3681">
        <v>55.4878801764374</v>
      </c>
      <c r="AK3681">
        <v>18.983352135218801</v>
      </c>
      <c r="AL3681">
        <v>88.448136269026904</v>
      </c>
      <c r="AM3681">
        <v>79.464059403009202</v>
      </c>
      <c r="AN3681">
        <v>0.99999999480079604</v>
      </c>
    </row>
    <row r="3682" spans="1:40" x14ac:dyDescent="0.3">
      <c r="A3682" t="str">
        <f>"20200111153952072"</f>
        <v>20200111153952072</v>
      </c>
      <c r="B3682" t="str">
        <f>"1578728392064861"</f>
        <v>1578728392064861</v>
      </c>
      <c r="C3682" t="s">
        <v>40</v>
      </c>
      <c r="D3682">
        <v>5.3928339999999997</v>
      </c>
      <c r="E3682">
        <v>0.668937</v>
      </c>
      <c r="F3682" t="s">
        <v>42</v>
      </c>
      <c r="G3682">
        <v>-303.93180000000001</v>
      </c>
      <c r="H3682" s="1">
        <v>-4.196962E-6</v>
      </c>
      <c r="I3682">
        <v>-2.436823</v>
      </c>
      <c r="J3682">
        <v>-312.77749999999997</v>
      </c>
      <c r="K3682">
        <v>1.0494559999999999</v>
      </c>
      <c r="L3682">
        <v>15.21332</v>
      </c>
      <c r="M3682">
        <v>0.87568400000000002</v>
      </c>
      <c r="N3682">
        <v>0</v>
      </c>
      <c r="O3682">
        <v>-0.48258960000000001</v>
      </c>
      <c r="P3682">
        <v>0.77321819999999997</v>
      </c>
      <c r="Q3682">
        <v>1.295929E-2</v>
      </c>
      <c r="R3682">
        <v>-0.63400800000000002</v>
      </c>
      <c r="S3682">
        <v>1.498108</v>
      </c>
      <c r="T3682">
        <v>-0.1730381</v>
      </c>
      <c r="U3682">
        <v>-2.9327390000000002</v>
      </c>
      <c r="V3682">
        <v>0.18261150000000001</v>
      </c>
      <c r="W3682">
        <v>2.599549E-2</v>
      </c>
      <c r="X3682">
        <v>0.98284139999999998</v>
      </c>
      <c r="Y3682">
        <v>0.56024209999999997</v>
      </c>
      <c r="Z3682">
        <v>1.1250639999999999E-2</v>
      </c>
      <c r="AA3682">
        <v>0.82825249999999995</v>
      </c>
      <c r="AB3682">
        <v>26</v>
      </c>
      <c r="AC3682">
        <v>8.8456999999999599</v>
      </c>
      <c r="AD3682">
        <v>-1.0494601969620001</v>
      </c>
      <c r="AE3682">
        <v>-17.650143</v>
      </c>
      <c r="AF3682">
        <v>11.1571721202998</v>
      </c>
      <c r="AG3682">
        <v>-1.0494601969620001</v>
      </c>
      <c r="AH3682">
        <v>16.2202969909426</v>
      </c>
      <c r="AI3682">
        <v>93.051383310008703</v>
      </c>
      <c r="AJ3682">
        <v>55.477764075003201</v>
      </c>
      <c r="AK3682">
        <v>19.715016888184099</v>
      </c>
      <c r="AL3682">
        <v>88.5104002920081</v>
      </c>
      <c r="AM3682">
        <v>79.4744927771752</v>
      </c>
      <c r="AN3682">
        <v>0.99999997149327402</v>
      </c>
    </row>
    <row r="3683" spans="1:40" x14ac:dyDescent="0.3">
      <c r="A3683" t="str">
        <f>"20200111153952094"</f>
        <v>20200111153952094</v>
      </c>
      <c r="B3683" t="str">
        <f>"1578728392084381"</f>
        <v>1578728392084381</v>
      </c>
      <c r="C3683" t="s">
        <v>40</v>
      </c>
      <c r="D3683">
        <v>5.4348080000000003</v>
      </c>
      <c r="E3683">
        <v>0.66882569999999997</v>
      </c>
      <c r="F3683" t="s">
        <v>42</v>
      </c>
      <c r="G3683">
        <v>-303.78140000000002</v>
      </c>
      <c r="H3683" s="1">
        <v>-3.9918889999999998E-6</v>
      </c>
      <c r="I3683">
        <v>-2.9013429999999998</v>
      </c>
      <c r="J3683">
        <v>-312.55849999999998</v>
      </c>
      <c r="K3683">
        <v>1.049034</v>
      </c>
      <c r="L3683">
        <v>15.079499999999999</v>
      </c>
      <c r="M3683">
        <v>0.87053899999999995</v>
      </c>
      <c r="N3683">
        <v>0</v>
      </c>
      <c r="O3683">
        <v>-0.49181920000000001</v>
      </c>
      <c r="P3683">
        <v>0.76676630000000001</v>
      </c>
      <c r="Q3683">
        <v>1.339421E-2</v>
      </c>
      <c r="R3683">
        <v>-0.64178679999999999</v>
      </c>
      <c r="S3683">
        <v>1.4645999999999999</v>
      </c>
      <c r="T3683">
        <v>-0.1708556</v>
      </c>
      <c r="U3683">
        <v>-2.9491269999999998</v>
      </c>
      <c r="V3683">
        <v>0.18216070000000001</v>
      </c>
      <c r="W3683">
        <v>2.6169950000000001E-2</v>
      </c>
      <c r="X3683">
        <v>0.98292049999999997</v>
      </c>
      <c r="Y3683">
        <v>0.56088099999999996</v>
      </c>
      <c r="Z3683">
        <v>1.165157E-2</v>
      </c>
      <c r="AA3683">
        <v>0.82781450000000001</v>
      </c>
      <c r="AB3683">
        <v>26</v>
      </c>
      <c r="AC3683">
        <v>8.7770999999999599</v>
      </c>
      <c r="AD3683">
        <v>-1.049037991889</v>
      </c>
      <c r="AE3683">
        <v>-17.980843</v>
      </c>
      <c r="AF3683">
        <v>11.306761821383899</v>
      </c>
      <c r="AG3683">
        <v>-1.049037991889</v>
      </c>
      <c r="AH3683">
        <v>16.441210934268302</v>
      </c>
      <c r="AI3683">
        <v>93.009452002364995</v>
      </c>
      <c r="AJ3683">
        <v>55.483362710620199</v>
      </c>
      <c r="AK3683">
        <v>19.981410375122099</v>
      </c>
      <c r="AL3683">
        <v>88.500401183086794</v>
      </c>
      <c r="AM3683">
        <v>79.500723984961297</v>
      </c>
      <c r="AN3683">
        <v>1.00000004811387</v>
      </c>
    </row>
    <row r="3684" spans="1:40" x14ac:dyDescent="0.3">
      <c r="A3684" t="str">
        <f>"20200111153952115"</f>
        <v>20200111153952115</v>
      </c>
      <c r="B3684" t="str">
        <f>"1578728392104408"</f>
        <v>1578728392104408</v>
      </c>
      <c r="C3684" t="s">
        <v>40</v>
      </c>
      <c r="D3684">
        <v>5.4207179999999999</v>
      </c>
      <c r="E3684">
        <v>0.66851349999999998</v>
      </c>
      <c r="F3684" t="s">
        <v>42</v>
      </c>
      <c r="G3684">
        <v>-303.56279999999998</v>
      </c>
      <c r="H3684" s="1">
        <v>-3.7261429999999999E-6</v>
      </c>
      <c r="I3684">
        <v>-3.4924059999999999</v>
      </c>
      <c r="J3684">
        <v>-312.3415</v>
      </c>
      <c r="K3684">
        <v>1.048664</v>
      </c>
      <c r="L3684">
        <v>14.9436</v>
      </c>
      <c r="M3684">
        <v>0.86527129999999997</v>
      </c>
      <c r="N3684">
        <v>0</v>
      </c>
      <c r="O3684">
        <v>-0.5010367</v>
      </c>
      <c r="P3684">
        <v>0.76028479999999998</v>
      </c>
      <c r="Q3684">
        <v>1.3701339999999999E-2</v>
      </c>
      <c r="R3684">
        <v>-0.64944599999999997</v>
      </c>
      <c r="S3684">
        <v>1.4352720000000001</v>
      </c>
      <c r="T3684">
        <v>-0.16737489999999999</v>
      </c>
      <c r="U3684">
        <v>-2.963165</v>
      </c>
      <c r="V3684">
        <v>0.18158859999999999</v>
      </c>
      <c r="W3684">
        <v>2.6246220000000001E-2</v>
      </c>
      <c r="X3684">
        <v>0.98302429999999996</v>
      </c>
      <c r="Y3684">
        <v>0.56027850000000001</v>
      </c>
      <c r="Z3684">
        <v>1.198338E-2</v>
      </c>
      <c r="AA3684">
        <v>0.8282176</v>
      </c>
      <c r="AB3684">
        <v>26</v>
      </c>
      <c r="AC3684">
        <v>8.7787000000000095</v>
      </c>
      <c r="AD3684">
        <v>-1.048667726143</v>
      </c>
      <c r="AE3684">
        <v>-18.436005999999999</v>
      </c>
      <c r="AF3684">
        <v>11.5248467655647</v>
      </c>
      <c r="AG3684">
        <v>-1.048667726143</v>
      </c>
      <c r="AH3684">
        <v>16.7910410877092</v>
      </c>
      <c r="AI3684">
        <v>92.947664875669105</v>
      </c>
      <c r="AJ3684">
        <v>55.535511097009497</v>
      </c>
      <c r="AK3684">
        <v>20.392666764764702</v>
      </c>
      <c r="AL3684">
        <v>88.496029703964894</v>
      </c>
      <c r="AM3684">
        <v>79.534049306923094</v>
      </c>
      <c r="AN3684">
        <v>1.0000000290523601</v>
      </c>
    </row>
    <row r="3685" spans="1:40" x14ac:dyDescent="0.3">
      <c r="A3685" t="str">
        <f>"20200111153952137"</f>
        <v>20200111153952137</v>
      </c>
      <c r="B3685" t="str">
        <f>"1578728392134664"</f>
        <v>1578728392134664</v>
      </c>
      <c r="C3685" t="s">
        <v>40</v>
      </c>
      <c r="D3685">
        <v>5.441427</v>
      </c>
      <c r="E3685">
        <v>0.66795119999999997</v>
      </c>
      <c r="F3685" t="s">
        <v>42</v>
      </c>
      <c r="G3685">
        <v>-303.55990000000003</v>
      </c>
      <c r="H3685" s="1">
        <v>-3.6745210000000001E-6</v>
      </c>
      <c r="I3685">
        <v>-3.625499</v>
      </c>
      <c r="J3685">
        <v>-312.11649999999997</v>
      </c>
      <c r="K3685">
        <v>1.048343</v>
      </c>
      <c r="L3685">
        <v>14.798979999999901</v>
      </c>
      <c r="M3685">
        <v>0.85961639999999995</v>
      </c>
      <c r="N3685">
        <v>0</v>
      </c>
      <c r="O3685">
        <v>-0.51068469999999999</v>
      </c>
      <c r="P3685">
        <v>0.75286569999999997</v>
      </c>
      <c r="Q3685">
        <v>1.349794E-2</v>
      </c>
      <c r="R3685">
        <v>-0.6580357</v>
      </c>
      <c r="S3685">
        <v>1.4071659999999999</v>
      </c>
      <c r="T3685">
        <v>-0.1680392</v>
      </c>
      <c r="U3685">
        <v>-2.9755250000000002</v>
      </c>
      <c r="V3685">
        <v>0.1817462</v>
      </c>
      <c r="W3685">
        <v>2.581102E-2</v>
      </c>
      <c r="X3685">
        <v>0.98300670000000001</v>
      </c>
      <c r="Y3685">
        <v>0.5587434</v>
      </c>
      <c r="Z3685">
        <v>1.265937E-2</v>
      </c>
      <c r="AA3685">
        <v>0.82924399999999998</v>
      </c>
      <c r="AB3685">
        <v>26</v>
      </c>
      <c r="AC3685">
        <v>8.5565999999999391</v>
      </c>
      <c r="AD3685">
        <v>-1.0483466745209999</v>
      </c>
      <c r="AE3685">
        <v>-18.424479000000002</v>
      </c>
      <c r="AF3685">
        <v>11.4392904204608</v>
      </c>
      <c r="AG3685">
        <v>-1.0483466745209999</v>
      </c>
      <c r="AH3685">
        <v>16.722145580531802</v>
      </c>
      <c r="AI3685">
        <v>92.962036698551202</v>
      </c>
      <c r="AJ3685">
        <v>55.6247376673413</v>
      </c>
      <c r="AK3685">
        <v>20.287595936683299</v>
      </c>
      <c r="AL3685">
        <v>88.520973280650693</v>
      </c>
      <c r="AM3685">
        <v>79.524983522625007</v>
      </c>
      <c r="AN3685">
        <v>1.0000000311063799</v>
      </c>
    </row>
    <row r="3686" spans="1:40" x14ac:dyDescent="0.3">
      <c r="A3686" t="str">
        <f>"20200111153952161"</f>
        <v>20200111153952161</v>
      </c>
      <c r="B3686" t="str">
        <f>"1578728392155160"</f>
        <v>1578728392155160</v>
      </c>
      <c r="C3686" t="s">
        <v>40</v>
      </c>
      <c r="D3686">
        <v>5.4612669999999897</v>
      </c>
      <c r="E3686">
        <v>0.6674715</v>
      </c>
      <c r="F3686" t="s">
        <v>42</v>
      </c>
      <c r="G3686">
        <v>-303.65539999999999</v>
      </c>
      <c r="H3686" s="1">
        <v>-3.7164000000000001E-6</v>
      </c>
      <c r="I3686">
        <v>-3.5605340000000001</v>
      </c>
      <c r="J3686">
        <v>-311.88619999999997</v>
      </c>
      <c r="K3686">
        <v>1.048055</v>
      </c>
      <c r="L3686">
        <v>14.64709</v>
      </c>
      <c r="M3686">
        <v>0.853629999999999</v>
      </c>
      <c r="N3686">
        <v>0</v>
      </c>
      <c r="O3686">
        <v>-0.52063609999999905</v>
      </c>
      <c r="P3686">
        <v>0.74447469999999905</v>
      </c>
      <c r="Q3686">
        <v>1.3675E-2</v>
      </c>
      <c r="R3686">
        <v>-0.66751130000000003</v>
      </c>
      <c r="S3686">
        <v>1.37677</v>
      </c>
      <c r="T3686">
        <v>-0.1705834</v>
      </c>
      <c r="U3686">
        <v>-2.9873959999999999</v>
      </c>
      <c r="V3686">
        <v>0.1827722</v>
      </c>
      <c r="W3686">
        <v>2.5756680000000001E-2</v>
      </c>
      <c r="X3686">
        <v>0.98281779999999996</v>
      </c>
      <c r="Y3686">
        <v>0.55732389999999998</v>
      </c>
      <c r="Z3686">
        <v>1.351057E-2</v>
      </c>
      <c r="AA3686">
        <v>0.83018519999999896</v>
      </c>
      <c r="AB3686">
        <v>26</v>
      </c>
      <c r="AC3686">
        <v>8.2307999999999808</v>
      </c>
      <c r="AD3686">
        <v>-1.0480587163999999</v>
      </c>
      <c r="AE3686">
        <v>-18.207623999999999</v>
      </c>
      <c r="AF3686">
        <v>11.2278623746494</v>
      </c>
      <c r="AG3686">
        <v>-1.0480587163999999</v>
      </c>
      <c r="AH3686">
        <v>16.4624094630421</v>
      </c>
      <c r="AI3686">
        <v>93.0107281570928</v>
      </c>
      <c r="AJ3686">
        <v>55.704826515363401</v>
      </c>
      <c r="AK3686">
        <v>19.954303944411301</v>
      </c>
      <c r="AL3686">
        <v>88.524087657521505</v>
      </c>
      <c r="AM3686">
        <v>79.4651901787486</v>
      </c>
      <c r="AN3686">
        <v>0.99999995582714996</v>
      </c>
    </row>
    <row r="3687" spans="1:40" x14ac:dyDescent="0.3">
      <c r="A3687" t="str">
        <f>"20200111153952182"</f>
        <v>20200111153952182</v>
      </c>
      <c r="B3687" t="str">
        <f>"1578728392174683"</f>
        <v>1578728392174683</v>
      </c>
      <c r="C3687" t="s">
        <v>40</v>
      </c>
      <c r="D3687">
        <v>5.4449949999999996</v>
      </c>
      <c r="E3687">
        <v>0.66693279999999999</v>
      </c>
      <c r="F3687" t="s">
        <v>42</v>
      </c>
      <c r="G3687">
        <v>-303.78809999999999</v>
      </c>
      <c r="H3687" s="1">
        <v>-3.7727159999999999E-6</v>
      </c>
      <c r="I3687">
        <v>-3.4751799999999999</v>
      </c>
      <c r="J3687">
        <v>-311.66669999999999</v>
      </c>
      <c r="K3687">
        <v>1.0478179999999999</v>
      </c>
      <c r="L3687">
        <v>14.498749999999999</v>
      </c>
      <c r="M3687">
        <v>0.84773600000000005</v>
      </c>
      <c r="N3687">
        <v>0</v>
      </c>
      <c r="O3687">
        <v>-0.53018409999999905</v>
      </c>
      <c r="P3687">
        <v>0.73541540000000005</v>
      </c>
      <c r="Q3687">
        <v>1.37407E-2</v>
      </c>
      <c r="R3687">
        <v>-0.67747769999999996</v>
      </c>
      <c r="S3687">
        <v>1.3413999999999999</v>
      </c>
      <c r="T3687">
        <v>-0.173603799999999</v>
      </c>
      <c r="U3687">
        <v>-3.0018310000000001</v>
      </c>
      <c r="V3687">
        <v>0.18498000000000001</v>
      </c>
      <c r="W3687">
        <v>2.5596029999999999E-2</v>
      </c>
      <c r="X3687">
        <v>0.98240890000000003</v>
      </c>
      <c r="Y3687">
        <v>0.55764780000000003</v>
      </c>
      <c r="Z3687">
        <v>1.4344279999999999E-2</v>
      </c>
      <c r="AA3687">
        <v>0.82995370000000002</v>
      </c>
      <c r="AB3687">
        <v>26</v>
      </c>
      <c r="AC3687">
        <v>7.8785999999999996</v>
      </c>
      <c r="AD3687">
        <v>-1.047821772716</v>
      </c>
      <c r="AE3687">
        <v>-17.973929999999999</v>
      </c>
      <c r="AF3687">
        <v>11.029969583879</v>
      </c>
      <c r="AG3687">
        <v>-1.047821772716</v>
      </c>
      <c r="AH3687">
        <v>16.164397976149001</v>
      </c>
      <c r="AI3687">
        <v>93.064965709721406</v>
      </c>
      <c r="AJ3687">
        <v>55.691861274780898</v>
      </c>
      <c r="AK3687">
        <v>19.597089616062998</v>
      </c>
      <c r="AL3687">
        <v>88.533295328290393</v>
      </c>
      <c r="AM3687">
        <v>79.3364990751883</v>
      </c>
      <c r="AN3687">
        <v>1.00000000197548</v>
      </c>
    </row>
    <row r="3688" spans="1:40" x14ac:dyDescent="0.3">
      <c r="A3688" t="str">
        <f>"20200111153952203"</f>
        <v>20200111153952203</v>
      </c>
      <c r="B3688" t="str">
        <f>"1578728392195179"</f>
        <v>1578728392195179</v>
      </c>
      <c r="C3688" t="s">
        <v>40</v>
      </c>
      <c r="D3688">
        <v>5.4480309999999896</v>
      </c>
      <c r="E3688">
        <v>0.66642009999999996</v>
      </c>
      <c r="F3688" t="s">
        <v>42</v>
      </c>
      <c r="G3688">
        <v>-303.91390000000001</v>
      </c>
      <c r="H3688" s="1">
        <v>-3.8132970000000001E-6</v>
      </c>
      <c r="I3688">
        <v>-3.4276369999999998</v>
      </c>
      <c r="J3688">
        <v>-311.46359999999999</v>
      </c>
      <c r="K3688">
        <v>1.0476209999999999</v>
      </c>
      <c r="L3688">
        <v>14.35815</v>
      </c>
      <c r="M3688">
        <v>0.8421073</v>
      </c>
      <c r="N3688">
        <v>0</v>
      </c>
      <c r="O3688">
        <v>-0.53908350000000005</v>
      </c>
      <c r="P3688">
        <v>0.72682080000000004</v>
      </c>
      <c r="Q3688">
        <v>1.299587E-2</v>
      </c>
      <c r="R3688">
        <v>-0.68670419999999999</v>
      </c>
      <c r="S3688">
        <v>1.3043209999999901</v>
      </c>
      <c r="T3688">
        <v>-0.17628350000000001</v>
      </c>
      <c r="U3688">
        <v>-3.0158999999999998</v>
      </c>
      <c r="V3688">
        <v>0.1870079</v>
      </c>
      <c r="W3688">
        <v>2.4658389999999999E-2</v>
      </c>
      <c r="X3688">
        <v>0.9820489</v>
      </c>
      <c r="Y3688">
        <v>0.55891000000000002</v>
      </c>
      <c r="Z3688">
        <v>1.510566E-2</v>
      </c>
      <c r="AA3688">
        <v>0.82909080000000002</v>
      </c>
      <c r="AB3688">
        <v>26</v>
      </c>
      <c r="AC3688">
        <v>7.5496999999999703</v>
      </c>
      <c r="AD3688">
        <v>-1.0476248132970001</v>
      </c>
      <c r="AE3688">
        <v>-17.785786999999999</v>
      </c>
      <c r="AF3688">
        <v>10.876978825178499</v>
      </c>
      <c r="AG3688">
        <v>-1.0476248132970001</v>
      </c>
      <c r="AH3688">
        <v>15.9008844737108</v>
      </c>
      <c r="AI3688">
        <v>93.112633697234997</v>
      </c>
      <c r="AJ3688">
        <v>55.6259724810281</v>
      </c>
      <c r="AK3688">
        <v>19.293634006042399</v>
      </c>
      <c r="AL3688">
        <v>88.587035132983402</v>
      </c>
      <c r="AM3688">
        <v>79.218462756770407</v>
      </c>
      <c r="AN3688">
        <v>1.0000000164255001</v>
      </c>
    </row>
    <row r="3689" spans="1:40" x14ac:dyDescent="0.3">
      <c r="A3689" t="str">
        <f>"20200111153952226"</f>
        <v>20200111153952226</v>
      </c>
      <c r="B3689" t="str">
        <f>"1578728392215152"</f>
        <v>1578728392215152</v>
      </c>
      <c r="C3689" t="s">
        <v>40</v>
      </c>
      <c r="D3689">
        <v>5.4225570000000003</v>
      </c>
      <c r="E3689">
        <v>0.66578169999999903</v>
      </c>
      <c r="F3689" t="s">
        <v>42</v>
      </c>
      <c r="G3689">
        <v>-304.10250000000002</v>
      </c>
      <c r="H3689" s="1">
        <v>-3.9300450000000002E-6</v>
      </c>
      <c r="I3689">
        <v>-3.2107450000000002</v>
      </c>
      <c r="J3689">
        <v>-311.24099999999999</v>
      </c>
      <c r="K3689">
        <v>1.0474319999999999</v>
      </c>
      <c r="L3689">
        <v>14.20035</v>
      </c>
      <c r="M3689">
        <v>0.83574099999999996</v>
      </c>
      <c r="N3689">
        <v>0</v>
      </c>
      <c r="O3689">
        <v>-0.54890539999999999</v>
      </c>
      <c r="P3689">
        <v>0.71734310000000001</v>
      </c>
      <c r="Q3689">
        <v>1.168222E-2</v>
      </c>
      <c r="R3689">
        <v>-0.69662209999999902</v>
      </c>
      <c r="S3689">
        <v>1.2690729999999999</v>
      </c>
      <c r="T3689">
        <v>-0.18061379999999999</v>
      </c>
      <c r="U3689">
        <v>-3.028931</v>
      </c>
      <c r="V3689">
        <v>0.18896060000000001</v>
      </c>
      <c r="W3689">
        <v>2.3156779999999998E-2</v>
      </c>
      <c r="X3689">
        <v>0.98171160000000002</v>
      </c>
      <c r="Y3689">
        <v>0.55868169999999995</v>
      </c>
      <c r="Z3689">
        <v>1.613788E-2</v>
      </c>
      <c r="AA3689">
        <v>0.82922510000000005</v>
      </c>
      <c r="AB3689">
        <v>26</v>
      </c>
      <c r="AC3689">
        <v>7.1384999999999597</v>
      </c>
      <c r="AD3689">
        <v>-1.047435930045</v>
      </c>
      <c r="AE3689">
        <v>-17.411095</v>
      </c>
      <c r="AF3689">
        <v>10.6012342645821</v>
      </c>
      <c r="AG3689">
        <v>-1.047435930045</v>
      </c>
      <c r="AH3689">
        <v>15.476891000435799</v>
      </c>
      <c r="AI3689">
        <v>93.195782585735898</v>
      </c>
      <c r="AJ3689">
        <v>55.589955402339399</v>
      </c>
      <c r="AK3689">
        <v>18.788758474137399</v>
      </c>
      <c r="AL3689">
        <v>88.673095638673303</v>
      </c>
      <c r="AM3689">
        <v>79.104910554600295</v>
      </c>
      <c r="AN3689">
        <v>1.0000000051934399</v>
      </c>
    </row>
    <row r="3690" spans="1:40" x14ac:dyDescent="0.3">
      <c r="A3690" t="str">
        <f>"20200111153952251"</f>
        <v>20200111153952251</v>
      </c>
      <c r="B3690" t="str">
        <f>"1578728392244432"</f>
        <v>1578728392244432</v>
      </c>
      <c r="C3690" t="s">
        <v>40</v>
      </c>
      <c r="D3690">
        <v>5.451632</v>
      </c>
      <c r="E3690">
        <v>0.66482010000000002</v>
      </c>
      <c r="F3690" t="s">
        <v>42</v>
      </c>
      <c r="G3690">
        <v>-304.29739999999998</v>
      </c>
      <c r="H3690" s="1">
        <v>-4.0595249999999999E-6</v>
      </c>
      <c r="I3690">
        <v>-2.9635669999999998</v>
      </c>
      <c r="J3690">
        <v>-311.01330000000002</v>
      </c>
      <c r="K3690">
        <v>1.047256</v>
      </c>
      <c r="L3690">
        <v>14.034789999999999</v>
      </c>
      <c r="M3690">
        <v>0.82900969999999996</v>
      </c>
      <c r="N3690">
        <v>0</v>
      </c>
      <c r="O3690">
        <v>-0.5590233</v>
      </c>
      <c r="P3690">
        <v>0.70732090000000003</v>
      </c>
      <c r="Q3690">
        <v>9.7382949999999992E-3</v>
      </c>
      <c r="R3690">
        <v>-0.70682599999999995</v>
      </c>
      <c r="S3690">
        <v>1.2307429999999999</v>
      </c>
      <c r="T3690">
        <v>-0.18565580000000001</v>
      </c>
      <c r="U3690">
        <v>-3.0422669999999998</v>
      </c>
      <c r="V3690">
        <v>0.1910346</v>
      </c>
      <c r="W3690">
        <v>2.1032990000000001E-2</v>
      </c>
      <c r="X3690">
        <v>0.98135790000000001</v>
      </c>
      <c r="Y3690">
        <v>0.55884149999999999</v>
      </c>
      <c r="Z3690">
        <v>1.728178E-2</v>
      </c>
      <c r="AA3690">
        <v>0.82909449999999996</v>
      </c>
      <c r="AB3690">
        <v>26</v>
      </c>
      <c r="AC3690">
        <v>6.7159000000000297</v>
      </c>
      <c r="AD3690">
        <v>-1.0472600595249999</v>
      </c>
      <c r="AE3690">
        <v>-16.998356999999999</v>
      </c>
      <c r="AF3690">
        <v>10.3048444628187</v>
      </c>
      <c r="AG3690">
        <v>-1.0472600595249999</v>
      </c>
      <c r="AH3690">
        <v>15.022479236753901</v>
      </c>
      <c r="AI3690">
        <v>93.290174286850103</v>
      </c>
      <c r="AJ3690">
        <v>55.551372163799499</v>
      </c>
      <c r="AK3690">
        <v>18.2472314462733</v>
      </c>
      <c r="AL3690">
        <v>88.794809530883597</v>
      </c>
      <c r="AM3690">
        <v>78.984363883309697</v>
      </c>
      <c r="AN3690">
        <v>0.99999996647895395</v>
      </c>
    </row>
    <row r="3691" spans="1:40" x14ac:dyDescent="0.3">
      <c r="A3691" t="str">
        <f>"20200111153952272"</f>
        <v>20200111153952272</v>
      </c>
      <c r="B3691" t="str">
        <f>"1578728392264928"</f>
        <v>1578728392264928</v>
      </c>
      <c r="C3691" t="s">
        <v>40</v>
      </c>
      <c r="D3691">
        <v>5.4245460000000003</v>
      </c>
      <c r="E3691">
        <v>0.66406709999999902</v>
      </c>
      <c r="F3691" t="s">
        <v>42</v>
      </c>
      <c r="G3691">
        <v>-304.52019999999999</v>
      </c>
      <c r="H3691" s="1">
        <v>-4.2415550000000004E-6</v>
      </c>
      <c r="I3691">
        <v>-2.59246</v>
      </c>
      <c r="J3691">
        <v>-310.80020000000002</v>
      </c>
      <c r="K3691">
        <v>1.0471079999999999</v>
      </c>
      <c r="L3691">
        <v>13.87585</v>
      </c>
      <c r="M3691">
        <v>0.82249689999999998</v>
      </c>
      <c r="N3691">
        <v>0</v>
      </c>
      <c r="O3691">
        <v>-0.56856470000000003</v>
      </c>
      <c r="P3691">
        <v>0.69769119999999996</v>
      </c>
      <c r="Q3691">
        <v>8.4604119999999901E-3</v>
      </c>
      <c r="R3691">
        <v>-0.71634880000000001</v>
      </c>
      <c r="S3691">
        <v>1.1925049999999999</v>
      </c>
      <c r="T3691">
        <v>-0.1923347</v>
      </c>
      <c r="U3691">
        <v>-3.0536799999999999</v>
      </c>
      <c r="V3691">
        <v>0.19296350000000001</v>
      </c>
      <c r="W3691">
        <v>1.9598959999999999E-2</v>
      </c>
      <c r="X3691">
        <v>0.98101020000000005</v>
      </c>
      <c r="Y3691">
        <v>0.55931090000000006</v>
      </c>
      <c r="Z3691">
        <v>1.8581980000000001E-2</v>
      </c>
      <c r="AA3691">
        <v>0.82874969999999903</v>
      </c>
      <c r="AB3691">
        <v>26</v>
      </c>
      <c r="AC3691">
        <v>6.2800000000000296</v>
      </c>
      <c r="AD3691">
        <v>-1.0471122415549901</v>
      </c>
      <c r="AE3691">
        <v>-16.468309999999999</v>
      </c>
      <c r="AF3691">
        <v>9.9406236956228895</v>
      </c>
      <c r="AG3691">
        <v>-1.0471122415549901</v>
      </c>
      <c r="AH3691">
        <v>14.479167873004601</v>
      </c>
      <c r="AI3691">
        <v>93.411937279948305</v>
      </c>
      <c r="AJ3691">
        <v>55.528586307242001</v>
      </c>
      <c r="AK3691">
        <v>17.5942816221363</v>
      </c>
      <c r="AL3691">
        <v>88.876990431145799</v>
      </c>
      <c r="AM3691">
        <v>78.872054110937995</v>
      </c>
      <c r="AN3691">
        <v>1.0000000220346801</v>
      </c>
    </row>
    <row r="3692" spans="1:40" x14ac:dyDescent="0.3">
      <c r="A3692" t="str">
        <f>"20200111153952294"</f>
        <v>20200111153952294</v>
      </c>
      <c r="B3692" t="str">
        <f>"1578728392284448"</f>
        <v>1578728392284448</v>
      </c>
      <c r="C3692" t="s">
        <v>40</v>
      </c>
      <c r="D3692">
        <v>5.44489</v>
      </c>
      <c r="E3692">
        <v>0.66375169999999994</v>
      </c>
      <c r="F3692" t="s">
        <v>42</v>
      </c>
      <c r="G3692">
        <v>-304.67590000000001</v>
      </c>
      <c r="H3692" s="1">
        <v>-4.3531139999999998E-6</v>
      </c>
      <c r="I3692">
        <v>-2.373875</v>
      </c>
      <c r="J3692">
        <v>-310.5967</v>
      </c>
      <c r="K3692">
        <v>1.0469729999999999</v>
      </c>
      <c r="L3692">
        <v>13.72043</v>
      </c>
      <c r="M3692">
        <v>0.81607869999999905</v>
      </c>
      <c r="N3692">
        <v>0</v>
      </c>
      <c r="O3692">
        <v>-0.57774179999999997</v>
      </c>
      <c r="P3692">
        <v>0.68867</v>
      </c>
      <c r="Q3692">
        <v>8.1782690000000002E-3</v>
      </c>
      <c r="R3692">
        <v>-0.72502919999999904</v>
      </c>
      <c r="S3692">
        <v>1.1552119999999999</v>
      </c>
      <c r="T3692">
        <v>-0.19751279999999999</v>
      </c>
      <c r="U3692">
        <v>-3.0651250000000001</v>
      </c>
      <c r="V3692">
        <v>0.19425249999999999</v>
      </c>
      <c r="W3692">
        <v>1.9189910000000001E-2</v>
      </c>
      <c r="X3692">
        <v>0.98076390000000002</v>
      </c>
      <c r="Y3692">
        <v>0.55987330000000002</v>
      </c>
      <c r="Z3692">
        <v>1.974909E-2</v>
      </c>
      <c r="AA3692">
        <v>0.82834279999999905</v>
      </c>
      <c r="AB3692">
        <v>26</v>
      </c>
      <c r="AC3692">
        <v>5.9207999999999803</v>
      </c>
      <c r="AD3692">
        <v>-1.0469773531140001</v>
      </c>
      <c r="AE3692">
        <v>-16.094304999999999</v>
      </c>
      <c r="AF3692">
        <v>9.6785671074001698</v>
      </c>
      <c r="AG3692">
        <v>-1.0469773531140001</v>
      </c>
      <c r="AH3692">
        <v>14.0793372894145</v>
      </c>
      <c r="AI3692">
        <v>93.506697827540506</v>
      </c>
      <c r="AJ3692">
        <v>55.494177683488601</v>
      </c>
      <c r="AK3692">
        <v>17.117200744849601</v>
      </c>
      <c r="AL3692">
        <v>88.900431716882196</v>
      </c>
      <c r="AM3692">
        <v>78.796850931384697</v>
      </c>
      <c r="AN3692">
        <v>1.0000000569726299</v>
      </c>
    </row>
    <row r="3693" spans="1:40" x14ac:dyDescent="0.3">
      <c r="A3693" t="str">
        <f>"20200111153952316"</f>
        <v>20200111153952316</v>
      </c>
      <c r="B3693" t="str">
        <f>"1578728392304944"</f>
        <v>1578728392304944</v>
      </c>
      <c r="C3693" t="s">
        <v>40</v>
      </c>
      <c r="D3693">
        <v>5.433662</v>
      </c>
      <c r="E3693">
        <v>0.64873829999999999</v>
      </c>
      <c r="F3693" t="s">
        <v>42</v>
      </c>
      <c r="G3693">
        <v>-304.74889999999999</v>
      </c>
      <c r="H3693" s="1">
        <v>-4.3708450000000003E-6</v>
      </c>
      <c r="I3693">
        <v>-2.361453</v>
      </c>
      <c r="J3693">
        <v>-310.39400000000001</v>
      </c>
      <c r="K3693">
        <v>1.0468360000000001</v>
      </c>
      <c r="L3693">
        <v>13.561680000000001</v>
      </c>
      <c r="M3693">
        <v>0.80947590000000003</v>
      </c>
      <c r="N3693">
        <v>0</v>
      </c>
      <c r="O3693">
        <v>-0.586958599999999</v>
      </c>
      <c r="P3693">
        <v>0.67930819999999903</v>
      </c>
      <c r="Q3693">
        <v>7.754759E-3</v>
      </c>
      <c r="R3693">
        <v>-0.73381219999999903</v>
      </c>
      <c r="S3693">
        <v>1.1189579999999999</v>
      </c>
      <c r="T3693">
        <v>-0.20033519999999999</v>
      </c>
      <c r="U3693">
        <v>-3.0772089999999999</v>
      </c>
      <c r="V3693">
        <v>0.195714</v>
      </c>
      <c r="W3693">
        <v>1.864594E-2</v>
      </c>
      <c r="X3693">
        <v>0.98048369999999996</v>
      </c>
      <c r="Y3693">
        <v>0.56014629999999999</v>
      </c>
      <c r="Z3693">
        <v>2.0715890000000001E-2</v>
      </c>
      <c r="AA3693">
        <v>0.8281347</v>
      </c>
      <c r="AB3693">
        <v>26</v>
      </c>
      <c r="AC3693">
        <v>5.64510000000001</v>
      </c>
      <c r="AD3693">
        <v>-1.046840370845</v>
      </c>
      <c r="AE3693">
        <v>-15.923132999999901</v>
      </c>
      <c r="AF3693">
        <v>9.54041460123028</v>
      </c>
      <c r="AG3693">
        <v>-1.046840370845</v>
      </c>
      <c r="AH3693">
        <v>13.8641486260675</v>
      </c>
      <c r="AI3693">
        <v>93.559353516443096</v>
      </c>
      <c r="AJ3693">
        <v>55.466754398237697</v>
      </c>
      <c r="AK3693">
        <v>16.8620877310934</v>
      </c>
      <c r="AL3693">
        <v>88.931604379385902</v>
      </c>
      <c r="AM3693">
        <v>78.711574799104596</v>
      </c>
      <c r="AN3693">
        <v>0.99999996342008601</v>
      </c>
    </row>
    <row r="3694" spans="1:40" x14ac:dyDescent="0.3">
      <c r="A3694" t="str">
        <f>"20200111153952338"</f>
        <v>20200111153952338</v>
      </c>
      <c r="B3694" t="str">
        <f>"1578728392335200"</f>
        <v>1578728392335200</v>
      </c>
      <c r="C3694" t="s">
        <v>40</v>
      </c>
      <c r="D3694">
        <v>5.4868199999999998</v>
      </c>
      <c r="E3694">
        <v>0.64780470000000001</v>
      </c>
      <c r="F3694" t="s">
        <v>42</v>
      </c>
      <c r="G3694">
        <v>-304.48360000000002</v>
      </c>
      <c r="H3694" s="1">
        <v>-4.5861909999999998E-6</v>
      </c>
      <c r="I3694">
        <v>-1.678123</v>
      </c>
      <c r="J3694">
        <v>-310.18869999999998</v>
      </c>
      <c r="K3694">
        <v>1.0467040000000001</v>
      </c>
      <c r="L3694">
        <v>13.39676</v>
      </c>
      <c r="M3694">
        <v>0.80255989999999999</v>
      </c>
      <c r="N3694">
        <v>0</v>
      </c>
      <c r="O3694">
        <v>-0.59638179999999996</v>
      </c>
      <c r="P3694">
        <v>0.66955929999999997</v>
      </c>
      <c r="Q3694">
        <v>5.8455740000000001E-3</v>
      </c>
      <c r="R3694">
        <v>-0.74273599999999995</v>
      </c>
      <c r="S3694">
        <v>1.167297</v>
      </c>
      <c r="T3694">
        <v>-0.20674870000000001</v>
      </c>
      <c r="U3694">
        <v>-3.009827</v>
      </c>
      <c r="V3694">
        <v>0.19717499999999999</v>
      </c>
      <c r="W3694">
        <v>1.6622080000000001E-2</v>
      </c>
      <c r="X3694">
        <v>0.98022739999999997</v>
      </c>
      <c r="Y3694">
        <v>0.53264440000000002</v>
      </c>
      <c r="Z3694">
        <v>2.3336829999999999E-2</v>
      </c>
      <c r="AA3694">
        <v>0.84601740000000003</v>
      </c>
      <c r="AB3694">
        <v>26</v>
      </c>
      <c r="AC3694">
        <v>5.7050999999999599</v>
      </c>
      <c r="AD3694">
        <v>-1.0467085861909999</v>
      </c>
      <c r="AE3694">
        <v>-15.0748829999999</v>
      </c>
      <c r="AF3694">
        <v>8.6605409493978591</v>
      </c>
      <c r="AG3694">
        <v>-1.0467085861909999</v>
      </c>
      <c r="AH3694">
        <v>13.5136182930682</v>
      </c>
      <c r="AI3694">
        <v>93.731141474538305</v>
      </c>
      <c r="AJ3694">
        <v>57.3452025940949</v>
      </c>
      <c r="AK3694">
        <v>16.084727158747501</v>
      </c>
      <c r="AL3694">
        <v>89.047581122202303</v>
      </c>
      <c r="AM3694">
        <v>78.626598771611</v>
      </c>
      <c r="AN3694">
        <v>1.00000001493964</v>
      </c>
    </row>
    <row r="3695" spans="1:40" x14ac:dyDescent="0.3">
      <c r="A3695" t="str">
        <f>"20200111153952361"</f>
        <v>20200111153952361</v>
      </c>
      <c r="B3695" t="str">
        <f>"1578728392354723"</f>
        <v>1578728392354723</v>
      </c>
      <c r="C3695" t="s">
        <v>40</v>
      </c>
      <c r="D3695">
        <v>5.3797689999999996</v>
      </c>
      <c r="E3695">
        <v>0.67636839999999998</v>
      </c>
      <c r="F3695" t="s">
        <v>42</v>
      </c>
      <c r="G3695">
        <v>-304.63569999999999</v>
      </c>
      <c r="H3695" s="1">
        <v>-4.7189870000000003E-6</v>
      </c>
      <c r="I3695">
        <v>-1.4025399999999999</v>
      </c>
      <c r="J3695">
        <v>-309.97590000000002</v>
      </c>
      <c r="K3695">
        <v>1.0465869999999999</v>
      </c>
      <c r="L3695">
        <v>13.22153</v>
      </c>
      <c r="M3695">
        <v>0.79515609999999903</v>
      </c>
      <c r="N3695">
        <v>0</v>
      </c>
      <c r="O3695">
        <v>-0.60621950000000002</v>
      </c>
      <c r="P3695">
        <v>0.65941759999999905</v>
      </c>
      <c r="Q3695">
        <v>3.582698E-3</v>
      </c>
      <c r="R3695">
        <v>-0.75176829999999994</v>
      </c>
      <c r="S3695">
        <v>1.132965</v>
      </c>
      <c r="T3695">
        <v>-0.21355569999999999</v>
      </c>
      <c r="U3695">
        <v>-3.0194399999999999</v>
      </c>
      <c r="V3695">
        <v>0.19837360000000001</v>
      </c>
      <c r="W3695">
        <v>1.42582E-2</v>
      </c>
      <c r="X3695">
        <v>0.98002279999999997</v>
      </c>
      <c r="Y3695">
        <v>0.53154279999999998</v>
      </c>
      <c r="Z3695">
        <v>2.495557E-2</v>
      </c>
      <c r="AA3695">
        <v>0.84666369999999902</v>
      </c>
      <c r="AB3695">
        <v>26</v>
      </c>
      <c r="AC3695">
        <v>5.3402000000000296</v>
      </c>
      <c r="AD3695">
        <v>-1.046591718987</v>
      </c>
      <c r="AE3695">
        <v>-14.62407</v>
      </c>
      <c r="AF3695">
        <v>8.3542738401151908</v>
      </c>
      <c r="AG3695">
        <v>-1.046591718987</v>
      </c>
      <c r="AH3695">
        <v>13.0541687117382</v>
      </c>
      <c r="AI3695">
        <v>93.863223864666793</v>
      </c>
      <c r="AJ3695">
        <v>57.381984167145902</v>
      </c>
      <c r="AK3695">
        <v>15.533852270972901</v>
      </c>
      <c r="AL3695">
        <v>89.183037662632898</v>
      </c>
      <c r="AM3695">
        <v>78.556953787229503</v>
      </c>
      <c r="AN3695">
        <v>1.00000003498201</v>
      </c>
    </row>
    <row r="3696" spans="1:40" x14ac:dyDescent="0.3">
      <c r="A3696" t="str">
        <f>"20200111153952384"</f>
        <v>20200111153952384</v>
      </c>
      <c r="B3696" t="str">
        <f>"1578728392374243"</f>
        <v>1578728392374243</v>
      </c>
      <c r="C3696" t="s">
        <v>40</v>
      </c>
      <c r="D3696">
        <v>5.3812059999999997</v>
      </c>
      <c r="E3696">
        <v>0.68062480000000003</v>
      </c>
      <c r="F3696" t="s">
        <v>42</v>
      </c>
      <c r="G3696">
        <v>-302.72590000000002</v>
      </c>
      <c r="H3696" s="1">
        <v>-4.2857929999999997E-6</v>
      </c>
      <c r="I3696">
        <v>-11.84009</v>
      </c>
      <c r="J3696">
        <v>-309.7715</v>
      </c>
      <c r="K3696">
        <v>1.0464910000000001</v>
      </c>
      <c r="L3696">
        <v>13.049010000000001</v>
      </c>
      <c r="M3696">
        <v>0.78780810000000001</v>
      </c>
      <c r="N3696">
        <v>0</v>
      </c>
      <c r="O3696">
        <v>-0.6157397</v>
      </c>
      <c r="P3696">
        <v>0.64968729999999997</v>
      </c>
      <c r="Q3696">
        <v>1.577405E-3</v>
      </c>
      <c r="R3696">
        <v>-0.76020030000000005</v>
      </c>
      <c r="S3696">
        <v>0.920929</v>
      </c>
      <c r="T3696">
        <v>-0.1329428</v>
      </c>
      <c r="U3696">
        <v>-3.1834410000000002</v>
      </c>
      <c r="V3696">
        <v>0.1991648</v>
      </c>
      <c r="W3696">
        <v>1.2172219999999999E-2</v>
      </c>
      <c r="X3696">
        <v>0.97989040000000005</v>
      </c>
      <c r="Y3696">
        <v>0.58569359999999904</v>
      </c>
      <c r="Z3696">
        <v>1.4471060000000001E-2</v>
      </c>
      <c r="AA3696">
        <v>0.81040330000000005</v>
      </c>
      <c r="AB3696">
        <v>26</v>
      </c>
      <c r="AC3696">
        <v>7.0455999999999701</v>
      </c>
      <c r="AD3696">
        <v>-1.0464952857930001</v>
      </c>
      <c r="AE3696">
        <v>-24.889099999999999</v>
      </c>
      <c r="AF3696">
        <v>15.2463277383094</v>
      </c>
      <c r="AG3696">
        <v>-1.0464952857930001</v>
      </c>
      <c r="AH3696">
        <v>20.843999846776502</v>
      </c>
      <c r="AI3696">
        <v>92.320515985672799</v>
      </c>
      <c r="AJ3696">
        <v>53.816424637640701</v>
      </c>
      <c r="AK3696">
        <v>25.846044020305101</v>
      </c>
      <c r="AL3696">
        <v>89.302565935467399</v>
      </c>
      <c r="AM3696">
        <v>78.511014050037303</v>
      </c>
      <c r="AN3696">
        <v>0.99999998825546399</v>
      </c>
    </row>
    <row r="3697" spans="1:40" x14ac:dyDescent="0.3">
      <c r="A3697" t="str">
        <f>"20200111153952405"</f>
        <v>20200111153952405</v>
      </c>
      <c r="B3697" t="str">
        <f>"1578728392394736"</f>
        <v>1578728392394736</v>
      </c>
      <c r="C3697" t="s">
        <v>40</v>
      </c>
      <c r="D3697">
        <v>5.3986419999999997</v>
      </c>
      <c r="E3697">
        <v>0.67925719999999901</v>
      </c>
      <c r="F3697" t="s">
        <v>42</v>
      </c>
      <c r="G3697">
        <v>-302.18369999999999</v>
      </c>
      <c r="H3697" s="1">
        <v>-2.66824E-6</v>
      </c>
      <c r="I3697">
        <v>-15.54552</v>
      </c>
      <c r="J3697">
        <v>-309.57960000000003</v>
      </c>
      <c r="K3697">
        <v>1.046416</v>
      </c>
      <c r="L3697">
        <v>12.88297</v>
      </c>
      <c r="M3697">
        <v>0.78067799999999998</v>
      </c>
      <c r="N3697">
        <v>0</v>
      </c>
      <c r="O3697">
        <v>-0.62475559999999997</v>
      </c>
      <c r="P3697">
        <v>0.64056400000000002</v>
      </c>
      <c r="Q3697">
        <v>-2.0990280000000001E-4</v>
      </c>
      <c r="R3697">
        <v>-0.76790480000000005</v>
      </c>
      <c r="S3697">
        <v>0.85366819999999899</v>
      </c>
      <c r="T3697">
        <v>-0.1177351</v>
      </c>
      <c r="U3697">
        <v>-3.2170100000000001</v>
      </c>
      <c r="V3697">
        <v>0.1995652</v>
      </c>
      <c r="W3697">
        <v>1.032221E-2</v>
      </c>
      <c r="X3697">
        <v>0.97983019999999998</v>
      </c>
      <c r="Y3697">
        <v>0.59435590000000005</v>
      </c>
      <c r="Z3697">
        <v>1.2998330000000001E-2</v>
      </c>
      <c r="AA3697">
        <v>0.80409710000000001</v>
      </c>
      <c r="AB3697">
        <v>26</v>
      </c>
      <c r="AC3697">
        <v>7.3959000000000401</v>
      </c>
      <c r="AD3697">
        <v>-1.0464186682400001</v>
      </c>
      <c r="AE3697">
        <v>-28.42849</v>
      </c>
      <c r="AF3697">
        <v>17.552546161023098</v>
      </c>
      <c r="AG3697">
        <v>-1.0464186682400001</v>
      </c>
      <c r="AH3697">
        <v>23.507460119861001</v>
      </c>
      <c r="AI3697">
        <v>92.042772561821806</v>
      </c>
      <c r="AJ3697">
        <v>53.252045072089601</v>
      </c>
      <c r="AK3697">
        <v>29.356218251861801</v>
      </c>
      <c r="AL3697">
        <v>89.408570440035604</v>
      </c>
      <c r="AM3697">
        <v>78.487844247202105</v>
      </c>
      <c r="AN3697">
        <v>1.00000001895118</v>
      </c>
    </row>
    <row r="3698" spans="1:40" x14ac:dyDescent="0.3">
      <c r="A3698" t="str">
        <f>"20200111153952428"</f>
        <v>20200111153952428</v>
      </c>
      <c r="B3698" t="str">
        <f>"1578728392424524"</f>
        <v>1578728392424524</v>
      </c>
      <c r="C3698" t="s">
        <v>40</v>
      </c>
      <c r="D3698">
        <v>5.4227309999999997</v>
      </c>
      <c r="E3698">
        <v>0.67663229999999996</v>
      </c>
      <c r="F3698" t="s">
        <v>42</v>
      </c>
      <c r="G3698">
        <v>-302.34649999999999</v>
      </c>
      <c r="H3698" s="1">
        <v>-2.7766600000000002E-6</v>
      </c>
      <c r="I3698">
        <v>-15.393800000000001</v>
      </c>
      <c r="J3698">
        <v>-309.38319999999999</v>
      </c>
      <c r="K3698">
        <v>1.046354</v>
      </c>
      <c r="L3698">
        <v>12.70905</v>
      </c>
      <c r="M3698">
        <v>0.77315119999999904</v>
      </c>
      <c r="N3698">
        <v>0</v>
      </c>
      <c r="O3698">
        <v>-0.63404759999999905</v>
      </c>
      <c r="P3698">
        <v>0.63152819999999898</v>
      </c>
      <c r="Q3698">
        <v>-9.1379639999999995E-4</v>
      </c>
      <c r="R3698">
        <v>-0.77535310000000002</v>
      </c>
      <c r="S3698">
        <v>0.82357789999999997</v>
      </c>
      <c r="T3698">
        <v>-0.11914909999999999</v>
      </c>
      <c r="U3698">
        <v>-3.2196959999999999</v>
      </c>
      <c r="V3698">
        <v>0.1993066</v>
      </c>
      <c r="W3698">
        <v>9.5750469999999997E-3</v>
      </c>
      <c r="X3698">
        <v>0.97989040000000005</v>
      </c>
      <c r="Y3698">
        <v>0.59194230000000003</v>
      </c>
      <c r="Z3698">
        <v>1.3641850000000001E-2</v>
      </c>
      <c r="AA3698">
        <v>0.8058649</v>
      </c>
      <c r="AB3698">
        <v>26</v>
      </c>
      <c r="AC3698">
        <v>7.03669999999999</v>
      </c>
      <c r="AD3698">
        <v>-1.0463567766599999</v>
      </c>
      <c r="AE3698">
        <v>-28.10285</v>
      </c>
      <c r="AF3698">
        <v>17.2455593593434</v>
      </c>
      <c r="AG3698">
        <v>-1.0463567766599999</v>
      </c>
      <c r="AH3698">
        <v>23.231241029040799</v>
      </c>
      <c r="AI3698">
        <v>92.071211985235493</v>
      </c>
      <c r="AJ3698">
        <v>53.411896446952298</v>
      </c>
      <c r="AK3698">
        <v>28.951593045462801</v>
      </c>
      <c r="AL3698">
        <v>89.451381834562596</v>
      </c>
      <c r="AM3698">
        <v>78.503051934819297</v>
      </c>
      <c r="AN3698">
        <v>0.99999999917038596</v>
      </c>
    </row>
    <row r="3699" spans="1:40" x14ac:dyDescent="0.3">
      <c r="A3699" t="str">
        <f>"20200111153952450"</f>
        <v>20200111153952450</v>
      </c>
      <c r="B3699" t="str">
        <f>"1578728392445018"</f>
        <v>1578728392445018</v>
      </c>
      <c r="C3699" t="s">
        <v>40</v>
      </c>
      <c r="D3699">
        <v>5.4374699999999896</v>
      </c>
      <c r="E3699">
        <v>0.67482379999999997</v>
      </c>
      <c r="F3699" t="s">
        <v>42</v>
      </c>
      <c r="G3699">
        <v>-302.06790000000001</v>
      </c>
      <c r="H3699" s="1">
        <v>-2.1721159999999999E-6</v>
      </c>
      <c r="I3699">
        <v>-16.630220000000001</v>
      </c>
      <c r="J3699">
        <v>-309.18619999999999</v>
      </c>
      <c r="K3699">
        <v>1.0462990000000001</v>
      </c>
      <c r="L3699">
        <v>12.53018</v>
      </c>
      <c r="M3699">
        <v>0.76534409999999997</v>
      </c>
      <c r="N3699">
        <v>0</v>
      </c>
      <c r="O3699">
        <v>-0.64345010000000002</v>
      </c>
      <c r="P3699">
        <v>0.62251800000000002</v>
      </c>
      <c r="Q3699">
        <v>-1.1465259999999999E-3</v>
      </c>
      <c r="R3699">
        <v>-0.78260509999999905</v>
      </c>
      <c r="S3699">
        <v>0.80184940000000005</v>
      </c>
      <c r="T3699">
        <v>-0.1146945</v>
      </c>
      <c r="U3699">
        <v>-3.215973</v>
      </c>
      <c r="V3699">
        <v>0.1986589</v>
      </c>
      <c r="W3699">
        <v>9.3118430000000002E-3</v>
      </c>
      <c r="X3699">
        <v>0.98002449999999997</v>
      </c>
      <c r="Y3699">
        <v>0.58698059999999996</v>
      </c>
      <c r="Z3699">
        <v>1.3671279999999999E-2</v>
      </c>
      <c r="AA3699">
        <v>0.80948560000000003</v>
      </c>
      <c r="AB3699">
        <v>26</v>
      </c>
      <c r="AC3699">
        <v>7.1182999999999703</v>
      </c>
      <c r="AD3699">
        <v>-1.0463011721159901</v>
      </c>
      <c r="AE3699">
        <v>-29.160399999999999</v>
      </c>
      <c r="AF3699">
        <v>17.717896161430701</v>
      </c>
      <c r="AG3699">
        <v>-1.0463011721159901</v>
      </c>
      <c r="AH3699">
        <v>24.184494420792898</v>
      </c>
      <c r="AI3699">
        <v>91.998795182190307</v>
      </c>
      <c r="AJ3699">
        <v>53.772977643686801</v>
      </c>
      <c r="AK3699">
        <v>29.998472643109299</v>
      </c>
      <c r="AL3699">
        <v>89.466463009780696</v>
      </c>
      <c r="AM3699">
        <v>78.540950861064999</v>
      </c>
      <c r="AN3699">
        <v>1.0000000447847499</v>
      </c>
    </row>
    <row r="3700" spans="1:40" x14ac:dyDescent="0.3">
      <c r="A3700" t="str">
        <f>"20200111153952474"</f>
        <v>20200111153952474</v>
      </c>
      <c r="B3700" t="str">
        <f>"1578728392464538"</f>
        <v>1578728392464538</v>
      </c>
      <c r="C3700" t="s">
        <v>40</v>
      </c>
      <c r="D3700">
        <v>5.4523679999999999</v>
      </c>
      <c r="E3700">
        <v>0.67332829999999999</v>
      </c>
      <c r="F3700" t="s">
        <v>42</v>
      </c>
      <c r="G3700">
        <v>-302.10969999999998</v>
      </c>
      <c r="H3700" s="1">
        <v>-2.109651E-6</v>
      </c>
      <c r="I3700">
        <v>-16.801729999999999</v>
      </c>
      <c r="J3700">
        <v>-308.98559999999998</v>
      </c>
      <c r="K3700">
        <v>1.046238</v>
      </c>
      <c r="L3700">
        <v>12.34338</v>
      </c>
      <c r="M3700">
        <v>0.75712139999999895</v>
      </c>
      <c r="N3700">
        <v>0</v>
      </c>
      <c r="O3700">
        <v>-0.65310619999999997</v>
      </c>
      <c r="P3700">
        <v>0.61308079999999998</v>
      </c>
      <c r="Q3700">
        <v>2.4973660000000001E-4</v>
      </c>
      <c r="R3700">
        <v>-0.79002050000000001</v>
      </c>
      <c r="S3700">
        <v>0.77587890000000004</v>
      </c>
      <c r="T3700">
        <v>-0.1147183</v>
      </c>
      <c r="U3700">
        <v>-3.2160030000000002</v>
      </c>
      <c r="V3700">
        <v>0.19802020000000001</v>
      </c>
      <c r="W3700">
        <v>1.0680769999999999E-2</v>
      </c>
      <c r="X3700">
        <v>0.98013969999999995</v>
      </c>
      <c r="Y3700">
        <v>0.5828757</v>
      </c>
      <c r="Z3700">
        <v>1.4199989999999999E-2</v>
      </c>
      <c r="AA3700">
        <v>0.81243719999999997</v>
      </c>
      <c r="AB3700">
        <v>26</v>
      </c>
      <c r="AC3700">
        <v>6.8758999999999997</v>
      </c>
      <c r="AD3700">
        <v>-1.0462401096509999</v>
      </c>
      <c r="AE3700">
        <v>-29.145109999999999</v>
      </c>
      <c r="AF3700">
        <v>17.5561918142722</v>
      </c>
      <c r="AG3700">
        <v>-1.0462401096509999</v>
      </c>
      <c r="AH3700">
        <v>24.213845874789101</v>
      </c>
      <c r="AI3700">
        <v>92.003454306025105</v>
      </c>
      <c r="AJ3700">
        <v>54.056099008271602</v>
      </c>
      <c r="AK3700">
        <v>29.9269915199407</v>
      </c>
      <c r="AL3700">
        <v>89.388025293564397</v>
      </c>
      <c r="AM3700">
        <v>78.578129653762204</v>
      </c>
      <c r="AN3700">
        <v>0.99999995498595995</v>
      </c>
    </row>
    <row r="3701" spans="1:40" x14ac:dyDescent="0.3">
      <c r="A3701" t="str">
        <f>"20200111153952494"</f>
        <v>20200111153952494</v>
      </c>
      <c r="B3701" t="str">
        <f>"1578728392485034"</f>
        <v>1578728392485034</v>
      </c>
      <c r="C3701" t="s">
        <v>40</v>
      </c>
      <c r="D3701">
        <v>5.4895389999999997</v>
      </c>
      <c r="E3701">
        <v>0.67203269999999904</v>
      </c>
      <c r="F3701" t="s">
        <v>42</v>
      </c>
      <c r="G3701">
        <v>-302.38249999999999</v>
      </c>
      <c r="H3701" s="1">
        <v>-2.4797149999999999E-6</v>
      </c>
      <c r="I3701">
        <v>-16.108319999999999</v>
      </c>
      <c r="J3701">
        <v>-308.80900000000003</v>
      </c>
      <c r="K3701">
        <v>1.0461879999999999</v>
      </c>
      <c r="L3701">
        <v>12.17468</v>
      </c>
      <c r="M3701">
        <v>0.74964090000000005</v>
      </c>
      <c r="N3701">
        <v>0</v>
      </c>
      <c r="O3701">
        <v>-0.66167909999999996</v>
      </c>
      <c r="P3701">
        <v>0.60443019999999903</v>
      </c>
      <c r="Q3701">
        <v>1.0945950000000001E-3</v>
      </c>
      <c r="R3701">
        <v>-0.79665769999999902</v>
      </c>
      <c r="S3701">
        <v>0.74679569999999995</v>
      </c>
      <c r="T3701">
        <v>-0.1183289</v>
      </c>
      <c r="U3701">
        <v>-3.2178650000000002</v>
      </c>
      <c r="V3701">
        <v>0.19757240000000001</v>
      </c>
      <c r="W3701">
        <v>1.150232E-2</v>
      </c>
      <c r="X3701">
        <v>0.9802208</v>
      </c>
      <c r="Y3701">
        <v>0.58068999999999904</v>
      </c>
      <c r="Z3701">
        <v>1.510097E-2</v>
      </c>
      <c r="AA3701">
        <v>0.81398470000000001</v>
      </c>
      <c r="AB3701">
        <v>26</v>
      </c>
      <c r="AC3701">
        <v>6.4265000000000301</v>
      </c>
      <c r="AD3701">
        <v>-1.0461904797149999</v>
      </c>
      <c r="AE3701">
        <v>-28.283000000000001</v>
      </c>
      <c r="AF3701">
        <v>16.929644588416</v>
      </c>
      <c r="AG3701">
        <v>-1.0461904797149999</v>
      </c>
      <c r="AH3701">
        <v>23.503837157180399</v>
      </c>
      <c r="AI3701">
        <v>92.068485553097901</v>
      </c>
      <c r="AJ3701">
        <v>54.235065814578398</v>
      </c>
      <c r="AK3701">
        <v>28.985129661969498</v>
      </c>
      <c r="AL3701">
        <v>89.340951067668797</v>
      </c>
      <c r="AM3701">
        <v>78.6042004992659</v>
      </c>
      <c r="AN3701">
        <v>0.99999998667989098</v>
      </c>
    </row>
    <row r="3702" spans="1:40" x14ac:dyDescent="0.3">
      <c r="A3702" t="str">
        <f>"20200111153952517"</f>
        <v>20200111153952517</v>
      </c>
      <c r="B3702" t="str">
        <f>"1578728392505062"</f>
        <v>1578728392505062</v>
      </c>
      <c r="C3702" t="s">
        <v>40</v>
      </c>
      <c r="D3702">
        <v>5.4614919999999998</v>
      </c>
      <c r="E3702">
        <v>0.6708115</v>
      </c>
      <c r="F3702" t="s">
        <v>42</v>
      </c>
      <c r="G3702">
        <v>-302.57389999999998</v>
      </c>
      <c r="H3702" s="1">
        <v>-2.7048579999999998E-6</v>
      </c>
      <c r="I3702">
        <v>-15.702209999999999</v>
      </c>
      <c r="J3702">
        <v>-308.62220000000002</v>
      </c>
      <c r="K3702">
        <v>1.0461199999999999</v>
      </c>
      <c r="L3702">
        <v>11.99164</v>
      </c>
      <c r="M3702">
        <v>0.74146800000000002</v>
      </c>
      <c r="N3702">
        <v>0</v>
      </c>
      <c r="O3702">
        <v>-0.67082509999999995</v>
      </c>
      <c r="P3702">
        <v>0.59450449999999999</v>
      </c>
      <c r="Q3702">
        <v>8.3666329999999996E-4</v>
      </c>
      <c r="R3702">
        <v>-0.80409219999999904</v>
      </c>
      <c r="S3702">
        <v>0.72009279999999998</v>
      </c>
      <c r="T3702">
        <v>-0.12082610000000001</v>
      </c>
      <c r="U3702">
        <v>-3.2195429999999998</v>
      </c>
      <c r="V3702">
        <v>0.1976995</v>
      </c>
      <c r="W3702">
        <v>1.121051E-2</v>
      </c>
      <c r="X3702">
        <v>0.98019860000000003</v>
      </c>
      <c r="Y3702">
        <v>0.57721250000000002</v>
      </c>
      <c r="Z3702">
        <v>1.593371E-2</v>
      </c>
      <c r="AA3702">
        <v>0.81643859999999902</v>
      </c>
      <c r="AB3702">
        <v>26</v>
      </c>
      <c r="AC3702">
        <v>6.0483000000000402</v>
      </c>
      <c r="AD3702">
        <v>-1.046122704858</v>
      </c>
      <c r="AE3702">
        <v>-27.693850000000001</v>
      </c>
      <c r="AF3702">
        <v>16.4561432031484</v>
      </c>
      <c r="AG3702">
        <v>-1.046122704858</v>
      </c>
      <c r="AH3702">
        <v>23.033504499162301</v>
      </c>
      <c r="AI3702">
        <v>92.116398158474993</v>
      </c>
      <c r="AJ3702">
        <v>54.456327132790001</v>
      </c>
      <c r="AK3702">
        <v>28.3273957742161</v>
      </c>
      <c r="AL3702">
        <v>89.357671656494603</v>
      </c>
      <c r="AM3702">
        <v>78.596809985011703</v>
      </c>
      <c r="AN3702">
        <v>1.00000003163833</v>
      </c>
    </row>
    <row r="3703" spans="1:40" x14ac:dyDescent="0.3">
      <c r="A3703" t="str">
        <f>"20200111153952540"</f>
        <v>20200111153952540</v>
      </c>
      <c r="B3703" t="str">
        <f>"1578728392534342"</f>
        <v>1578728392534342</v>
      </c>
      <c r="C3703" t="s">
        <v>40</v>
      </c>
      <c r="D3703">
        <v>5.4984019999999996</v>
      </c>
      <c r="E3703">
        <v>0.66908310000000004</v>
      </c>
      <c r="F3703" t="s">
        <v>42</v>
      </c>
      <c r="G3703">
        <v>-302.80869999999999</v>
      </c>
      <c r="H3703" s="1">
        <v>-2.9708489999999999E-6</v>
      </c>
      <c r="I3703">
        <v>-15.227779999999999</v>
      </c>
      <c r="J3703">
        <v>-308.43299999999999</v>
      </c>
      <c r="K3703">
        <v>1.046062</v>
      </c>
      <c r="L3703">
        <v>11.80142</v>
      </c>
      <c r="M3703">
        <v>0.73291569999999995</v>
      </c>
      <c r="N3703">
        <v>0</v>
      </c>
      <c r="O3703">
        <v>-0.6801587</v>
      </c>
      <c r="P3703">
        <v>0.5843469</v>
      </c>
      <c r="Q3703">
        <v>1.596034E-4</v>
      </c>
      <c r="R3703">
        <v>-0.81150409999999995</v>
      </c>
      <c r="S3703">
        <v>0.68820190000000003</v>
      </c>
      <c r="T3703">
        <v>-0.1238398</v>
      </c>
      <c r="U3703">
        <v>-3.222229</v>
      </c>
      <c r="V3703">
        <v>0.19760130000000001</v>
      </c>
      <c r="W3703">
        <v>1.051008E-2</v>
      </c>
      <c r="X3703">
        <v>0.98022609999999999</v>
      </c>
      <c r="Y3703">
        <v>0.57473079999999999</v>
      </c>
      <c r="Z3703">
        <v>1.6850099999999899E-2</v>
      </c>
      <c r="AA3703">
        <v>0.81816909999999998</v>
      </c>
      <c r="AB3703">
        <v>26</v>
      </c>
      <c r="AC3703">
        <v>5.6242999999999999</v>
      </c>
      <c r="AD3703">
        <v>-1.046064970849</v>
      </c>
      <c r="AE3703">
        <v>-27.029199999999999</v>
      </c>
      <c r="AF3703">
        <v>15.9635391011241</v>
      </c>
      <c r="AG3703">
        <v>-1.046064970849</v>
      </c>
      <c r="AH3703">
        <v>22.476477092000501</v>
      </c>
      <c r="AI3703">
        <v>92.172994358091302</v>
      </c>
      <c r="AJ3703">
        <v>54.616367777445099</v>
      </c>
      <c r="AK3703">
        <v>27.588418856896801</v>
      </c>
      <c r="AL3703">
        <v>89.3978056694678</v>
      </c>
      <c r="AM3703">
        <v>78.602637209107897</v>
      </c>
      <c r="AN3703">
        <v>0.99999997133225205</v>
      </c>
    </row>
    <row r="3704" spans="1:40" x14ac:dyDescent="0.3">
      <c r="A3704" t="str">
        <f>"20200111153952562"</f>
        <v>20200111153952562</v>
      </c>
      <c r="B3704" t="str">
        <f>"1578728392554837"</f>
        <v>1578728392554837</v>
      </c>
      <c r="C3704" t="s">
        <v>40</v>
      </c>
      <c r="D3704">
        <v>5.5042589999999896</v>
      </c>
      <c r="E3704">
        <v>0.66802510000000004</v>
      </c>
      <c r="F3704" t="s">
        <v>42</v>
      </c>
      <c r="G3704">
        <v>-303.12639999999999</v>
      </c>
      <c r="H3704" s="1">
        <v>-3.5149079999999998E-6</v>
      </c>
      <c r="I3704">
        <v>-14.156599999999999</v>
      </c>
      <c r="J3704">
        <v>-308.24369999999999</v>
      </c>
      <c r="K3704">
        <v>1.0460119999999999</v>
      </c>
      <c r="L3704">
        <v>11.606199999999999</v>
      </c>
      <c r="M3704">
        <v>0.72408790000000001</v>
      </c>
      <c r="N3704">
        <v>0</v>
      </c>
      <c r="O3704">
        <v>-0.68954959999999998</v>
      </c>
      <c r="P3704">
        <v>0.57364680000000001</v>
      </c>
      <c r="Q3704">
        <v>-6.9704520000000005E-4</v>
      </c>
      <c r="R3704">
        <v>-0.81910289999999997</v>
      </c>
      <c r="S3704">
        <v>0.65878300000000001</v>
      </c>
      <c r="T3704">
        <v>-0.12986159999999999</v>
      </c>
      <c r="U3704">
        <v>-3.2225039999999998</v>
      </c>
      <c r="V3704">
        <v>0.19781270000000001</v>
      </c>
      <c r="W3704">
        <v>9.6284490000000007E-3</v>
      </c>
      <c r="X3704">
        <v>0.98019250000000002</v>
      </c>
      <c r="Y3704">
        <v>0.57135059999999904</v>
      </c>
      <c r="Z3704">
        <v>1.8244719999999999E-2</v>
      </c>
      <c r="AA3704">
        <v>0.82050330000000005</v>
      </c>
      <c r="AB3704">
        <v>26</v>
      </c>
      <c r="AC3704">
        <v>5.1173000000000002</v>
      </c>
      <c r="AD3704">
        <v>-1.0460155149079999</v>
      </c>
      <c r="AE3704">
        <v>-25.762799999999999</v>
      </c>
      <c r="AF3704">
        <v>15.103595763088199</v>
      </c>
      <c r="AG3704">
        <v>-1.0460155149079999</v>
      </c>
      <c r="AH3704">
        <v>21.4384448127838</v>
      </c>
      <c r="AI3704">
        <v>92.284141638116296</v>
      </c>
      <c r="AJ3704">
        <v>54.8349268669349</v>
      </c>
      <c r="AK3704">
        <v>26.245374248102799</v>
      </c>
      <c r="AL3704">
        <v>89.448321959470803</v>
      </c>
      <c r="AM3704">
        <v>78.590382733597593</v>
      </c>
      <c r="AN3704">
        <v>0.99999995418384102</v>
      </c>
    </row>
    <row r="3705" spans="1:40" x14ac:dyDescent="0.3">
      <c r="A3705" t="str">
        <f>"20200111153952584"</f>
        <v>20200111153952584</v>
      </c>
      <c r="B3705" t="str">
        <f>"1578728392574358"</f>
        <v>1578728392574358</v>
      </c>
      <c r="C3705" t="s">
        <v>40</v>
      </c>
      <c r="D3705">
        <v>5.4889419999999998</v>
      </c>
      <c r="E3705">
        <v>0.65526039999999997</v>
      </c>
      <c r="F3705" t="s">
        <v>42</v>
      </c>
      <c r="G3705">
        <v>-303.34859999999998</v>
      </c>
      <c r="H3705" s="1">
        <v>-3.7472100000000002E-6</v>
      </c>
      <c r="I3705">
        <v>-13.7473299999999</v>
      </c>
      <c r="J3705">
        <v>-308.07369999999997</v>
      </c>
      <c r="K3705">
        <v>1.0459799999999999</v>
      </c>
      <c r="L3705">
        <v>11.426450000000001</v>
      </c>
      <c r="M3705">
        <v>0.715916199999999</v>
      </c>
      <c r="N3705">
        <v>0</v>
      </c>
      <c r="O3705">
        <v>-0.69803009999999999</v>
      </c>
      <c r="P3705">
        <v>0.56395689999999998</v>
      </c>
      <c r="Q3705">
        <v>-1.829792E-3</v>
      </c>
      <c r="R3705">
        <v>-0.82580239999999905</v>
      </c>
      <c r="S3705">
        <v>0.62289430000000001</v>
      </c>
      <c r="T3705">
        <v>-0.133103799999999</v>
      </c>
      <c r="U3705">
        <v>-3.2261959999999998</v>
      </c>
      <c r="V3705">
        <v>0.19779089999999999</v>
      </c>
      <c r="W3705">
        <v>8.4826559999999999E-3</v>
      </c>
      <c r="X3705">
        <v>0.98020750000000001</v>
      </c>
      <c r="Y3705">
        <v>0.57065109999999997</v>
      </c>
      <c r="Z3705">
        <v>1.9179470000000001E-2</v>
      </c>
      <c r="AA3705">
        <v>0.82096859999999905</v>
      </c>
      <c r="AB3705">
        <v>26</v>
      </c>
      <c r="AC3705">
        <v>4.7250999999999896</v>
      </c>
      <c r="AD3705">
        <v>-1.04598374721</v>
      </c>
      <c r="AE3705">
        <v>-25.173779999999901</v>
      </c>
      <c r="AF3705">
        <v>14.7011429131054</v>
      </c>
      <c r="AG3705">
        <v>-1.04598374721</v>
      </c>
      <c r="AH3705">
        <v>20.9222241689519</v>
      </c>
      <c r="AI3705">
        <v>92.342405675279494</v>
      </c>
      <c r="AJ3705">
        <v>54.905944205139697</v>
      </c>
      <c r="AK3705">
        <v>25.592130609366102</v>
      </c>
      <c r="AL3705">
        <v>89.513973768400106</v>
      </c>
      <c r="AM3705">
        <v>78.591777163477602</v>
      </c>
      <c r="AN3705">
        <v>0.99999996931593604</v>
      </c>
    </row>
    <row r="3706" spans="1:40" x14ac:dyDescent="0.3">
      <c r="A3706" t="str">
        <f>"20200111153952606"</f>
        <v>20200111153952606</v>
      </c>
      <c r="B3706" t="str">
        <f>"1578728392594854"</f>
        <v>1578728392594854</v>
      </c>
      <c r="C3706" t="s">
        <v>40</v>
      </c>
      <c r="D3706">
        <v>5.5254000000000003</v>
      </c>
      <c r="E3706">
        <v>0.65466420000000003</v>
      </c>
      <c r="F3706" t="s">
        <v>42</v>
      </c>
      <c r="G3706">
        <v>-303.87419999999997</v>
      </c>
      <c r="H3706" s="1">
        <v>-1.4784150000000001E-6</v>
      </c>
      <c r="I3706">
        <v>-8.5158179999999994</v>
      </c>
      <c r="J3706">
        <v>-307.90109999999999</v>
      </c>
      <c r="K3706">
        <v>1.0459499999999999</v>
      </c>
      <c r="L3706">
        <v>11.23944</v>
      </c>
      <c r="M3706">
        <v>0.70738199999999996</v>
      </c>
      <c r="N3706">
        <v>0</v>
      </c>
      <c r="O3706">
        <v>-0.70667729999999995</v>
      </c>
      <c r="P3706">
        <v>0.55411769999999905</v>
      </c>
      <c r="Q3706">
        <v>-2.813922E-3</v>
      </c>
      <c r="R3706">
        <v>-0.8324338</v>
      </c>
      <c r="S3706">
        <v>0.66876219999999997</v>
      </c>
      <c r="T3706">
        <v>-0.16656960000000001</v>
      </c>
      <c r="U3706">
        <v>-3.175751</v>
      </c>
      <c r="V3706">
        <v>0.19749</v>
      </c>
      <c r="W3706">
        <v>7.4956349999999996E-3</v>
      </c>
      <c r="X3706">
        <v>0.98027620000000004</v>
      </c>
      <c r="Y3706">
        <v>0.54663569999999995</v>
      </c>
      <c r="Z3706">
        <v>2.5445539999999999E-2</v>
      </c>
      <c r="AA3706">
        <v>0.83698380000000006</v>
      </c>
      <c r="AB3706">
        <v>26</v>
      </c>
      <c r="AC3706">
        <v>4.0269000000000101</v>
      </c>
      <c r="AD3706">
        <v>-1.0459514784149999</v>
      </c>
      <c r="AE3706">
        <v>-19.755258000000001</v>
      </c>
      <c r="AF3706">
        <v>11.1001329393888</v>
      </c>
      <c r="AG3706">
        <v>-1.0459514784149999</v>
      </c>
      <c r="AH3706">
        <v>16.765857081435801</v>
      </c>
      <c r="AI3706">
        <v>92.977743773311701</v>
      </c>
      <c r="AJ3706">
        <v>56.4927427279545</v>
      </c>
      <c r="AK3706">
        <v>20.1345705055368</v>
      </c>
      <c r="AL3706">
        <v>89.570527709350799</v>
      </c>
      <c r="AM3706">
        <v>78.609455917671895</v>
      </c>
      <c r="AN3706">
        <v>0.99999995646524498</v>
      </c>
    </row>
    <row r="3707" spans="1:40" x14ac:dyDescent="0.3">
      <c r="A3707" t="str">
        <f>"20200111153952628"</f>
        <v>20200111153952628</v>
      </c>
      <c r="B3707" t="str">
        <f>"1578728392624641"</f>
        <v>1578728392624641</v>
      </c>
      <c r="C3707" t="s">
        <v>40</v>
      </c>
      <c r="D3707">
        <v>5.5323609999999999</v>
      </c>
      <c r="E3707">
        <v>0.65288559999999995</v>
      </c>
      <c r="F3707" t="s">
        <v>42</v>
      </c>
      <c r="G3707">
        <v>-303.8417</v>
      </c>
      <c r="H3707" s="1">
        <v>-1.1947439999999999E-6</v>
      </c>
      <c r="I3707">
        <v>-9.0976280000000003</v>
      </c>
      <c r="J3707">
        <v>-307.72359999999998</v>
      </c>
      <c r="K3707">
        <v>1.045933</v>
      </c>
      <c r="L3707">
        <v>11.04233</v>
      </c>
      <c r="M3707">
        <v>0.69835509999999901</v>
      </c>
      <c r="N3707">
        <v>0</v>
      </c>
      <c r="O3707">
        <v>-0.71559930000000005</v>
      </c>
      <c r="P3707">
        <v>0.54375580000000001</v>
      </c>
      <c r="Q3707">
        <v>-4.3654549999999999E-3</v>
      </c>
      <c r="R3707">
        <v>-0.83923210000000004</v>
      </c>
      <c r="S3707">
        <v>0.63488769999999894</v>
      </c>
      <c r="T3707">
        <v>-0.16358719999999999</v>
      </c>
      <c r="U3707">
        <v>-3.1807249999999998</v>
      </c>
      <c r="V3707">
        <v>0.19716149999999999</v>
      </c>
      <c r="W3707">
        <v>5.9445189999999997E-3</v>
      </c>
      <c r="X3707">
        <v>0.98035300000000003</v>
      </c>
      <c r="Y3707">
        <v>0.54482969999999997</v>
      </c>
      <c r="Z3707">
        <v>2.5631629999999999E-2</v>
      </c>
      <c r="AA3707">
        <v>0.83815490000000004</v>
      </c>
      <c r="AB3707">
        <v>26</v>
      </c>
      <c r="AC3707">
        <v>3.8818999999999702</v>
      </c>
      <c r="AD3707">
        <v>-1.045934194744</v>
      </c>
      <c r="AE3707">
        <v>-20.139958</v>
      </c>
      <c r="AF3707">
        <v>11.258908488682399</v>
      </c>
      <c r="AG3707">
        <v>-1.045934194744</v>
      </c>
      <c r="AH3707">
        <v>17.080532305785098</v>
      </c>
      <c r="AI3707">
        <v>92.926828869779897</v>
      </c>
      <c r="AJ3707">
        <v>56.608481641905598</v>
      </c>
      <c r="AK3707">
        <v>20.484178835023599</v>
      </c>
      <c r="AL3707">
        <v>89.659402143905297</v>
      </c>
      <c r="AM3707">
        <v>78.628776250228796</v>
      </c>
      <c r="AN3707">
        <v>0.999999999498695</v>
      </c>
    </row>
    <row r="3708" spans="1:40" x14ac:dyDescent="0.3">
      <c r="A3708" t="str">
        <f>"20200111153952651"</f>
        <v>20200111153952651</v>
      </c>
      <c r="B3708" t="str">
        <f>"1578728392645136"</f>
        <v>1578728392645136</v>
      </c>
      <c r="C3708" t="s">
        <v>40</v>
      </c>
      <c r="D3708">
        <v>5.5803089999999997</v>
      </c>
      <c r="E3708">
        <v>0.65203599999999995</v>
      </c>
      <c r="F3708" t="s">
        <v>42</v>
      </c>
      <c r="G3708">
        <v>-303.96839999999997</v>
      </c>
      <c r="H3708" s="1">
        <v>-1.4494639999999999E-6</v>
      </c>
      <c r="I3708">
        <v>-8.6300469999999994</v>
      </c>
      <c r="J3708">
        <v>-307.54759999999999</v>
      </c>
      <c r="K3708">
        <v>1.0459270000000001</v>
      </c>
      <c r="L3708">
        <v>10.84183</v>
      </c>
      <c r="M3708">
        <v>0.68914690000000001</v>
      </c>
      <c r="N3708">
        <v>0</v>
      </c>
      <c r="O3708">
        <v>-0.72447159999999999</v>
      </c>
      <c r="P3708">
        <v>0.53297850000000002</v>
      </c>
      <c r="Q3708">
        <v>-4.7581530000000002E-3</v>
      </c>
      <c r="R3708">
        <v>-0.84611550000000002</v>
      </c>
      <c r="S3708">
        <v>0.60711669999999995</v>
      </c>
      <c r="T3708">
        <v>-0.1690971</v>
      </c>
      <c r="U3708">
        <v>-3.18045</v>
      </c>
      <c r="V3708">
        <v>0.19715240000000001</v>
      </c>
      <c r="W3708">
        <v>5.5482739999999997E-3</v>
      </c>
      <c r="X3708">
        <v>0.98035720000000004</v>
      </c>
      <c r="Y3708">
        <v>0.54114300000000004</v>
      </c>
      <c r="Z3708">
        <v>2.7229590000000001E-2</v>
      </c>
      <c r="AA3708">
        <v>0.84048959999999995</v>
      </c>
      <c r="AB3708">
        <v>26</v>
      </c>
      <c r="AC3708">
        <v>3.5792000000000099</v>
      </c>
      <c r="AD3708">
        <v>-1.045928449464</v>
      </c>
      <c r="AE3708">
        <v>-19.471876999999999</v>
      </c>
      <c r="AF3708">
        <v>10.7969979437401</v>
      </c>
      <c r="AG3708">
        <v>-1.045928449464</v>
      </c>
      <c r="AH3708">
        <v>16.529086334593298</v>
      </c>
      <c r="AI3708">
        <v>93.032534617675495</v>
      </c>
      <c r="AJ3708">
        <v>56.846947623351902</v>
      </c>
      <c r="AK3708">
        <v>19.770680968923799</v>
      </c>
      <c r="AL3708">
        <v>89.682105699814002</v>
      </c>
      <c r="AM3708">
        <v>78.629334861876004</v>
      </c>
      <c r="AN3708">
        <v>1.0000000458809799</v>
      </c>
    </row>
    <row r="3709" spans="1:40" x14ac:dyDescent="0.3">
      <c r="A3709" t="str">
        <f>"20200111153952673"</f>
        <v>20200111153952673</v>
      </c>
      <c r="B3709" t="str">
        <f>"1578728392664656"</f>
        <v>1578728392664656</v>
      </c>
      <c r="C3709" t="s">
        <v>40</v>
      </c>
      <c r="D3709">
        <v>5.5652609999999996</v>
      </c>
      <c r="E3709">
        <v>0.65116160000000001</v>
      </c>
      <c r="F3709" t="s">
        <v>42</v>
      </c>
      <c r="G3709">
        <v>-304.23450000000003</v>
      </c>
      <c r="H3709" s="1">
        <v>-2.0062520000000001E-6</v>
      </c>
      <c r="I3709">
        <v>-7.6020089999999998</v>
      </c>
      <c r="J3709">
        <v>-307.38139999999999</v>
      </c>
      <c r="K3709">
        <v>1.0459270000000001</v>
      </c>
      <c r="L3709">
        <v>10.647550000000001</v>
      </c>
      <c r="M3709">
        <v>0.68020760000000002</v>
      </c>
      <c r="N3709">
        <v>0</v>
      </c>
      <c r="O3709">
        <v>-0.73287139999999995</v>
      </c>
      <c r="P3709">
        <v>0.52315780000000001</v>
      </c>
      <c r="Q3709">
        <v>-5.2956779999999998E-3</v>
      </c>
      <c r="R3709">
        <v>-0.85221979999999997</v>
      </c>
      <c r="S3709">
        <v>0.57199100000000003</v>
      </c>
      <c r="T3709">
        <v>-0.18057609999999999</v>
      </c>
      <c r="U3709">
        <v>-3.1842649999999999</v>
      </c>
      <c r="V3709">
        <v>0.19644980000000001</v>
      </c>
      <c r="W3709">
        <v>5.0266219999999997E-3</v>
      </c>
      <c r="X3709">
        <v>0.98050099999999996</v>
      </c>
      <c r="Y3709">
        <v>0.53998080000000004</v>
      </c>
      <c r="Z3709">
        <v>2.9740309999999999E-2</v>
      </c>
      <c r="AA3709">
        <v>0.84115180000000001</v>
      </c>
      <c r="AB3709">
        <v>26</v>
      </c>
      <c r="AC3709">
        <v>3.1468999999999601</v>
      </c>
      <c r="AD3709">
        <v>-1.0459290062519999</v>
      </c>
      <c r="AE3709">
        <v>-18.249559000000001</v>
      </c>
      <c r="AF3709">
        <v>10.0761714174823</v>
      </c>
      <c r="AG3709">
        <v>-1.0459290062519999</v>
      </c>
      <c r="AH3709">
        <v>15.4674704597975</v>
      </c>
      <c r="AI3709">
        <v>93.242865087035995</v>
      </c>
      <c r="AJ3709">
        <v>56.918059528811597</v>
      </c>
      <c r="AK3709">
        <v>18.489614391471601</v>
      </c>
      <c r="AL3709">
        <v>89.711994561614503</v>
      </c>
      <c r="AM3709">
        <v>78.670425653754194</v>
      </c>
      <c r="AN3709">
        <v>1.00000000092488</v>
      </c>
    </row>
    <row r="3710" spans="1:40" x14ac:dyDescent="0.3">
      <c r="A3710" t="str">
        <f>"20200111153952706"</f>
        <v>20200111153952706</v>
      </c>
      <c r="B3710" t="str">
        <f>"1578728392694912"</f>
        <v>1578728392694912</v>
      </c>
      <c r="C3710" t="s">
        <v>40</v>
      </c>
      <c r="D3710">
        <v>5.5921180000000001</v>
      </c>
      <c r="E3710">
        <v>0.64961689999999905</v>
      </c>
      <c r="F3710" t="s">
        <v>42</v>
      </c>
      <c r="G3710">
        <v>-304.35910000000001</v>
      </c>
      <c r="H3710" s="1">
        <v>-2.2517540000000002E-6</v>
      </c>
      <c r="I3710">
        <v>-7.1527509999999896</v>
      </c>
      <c r="J3710">
        <v>-307.13690000000003</v>
      </c>
      <c r="K3710">
        <v>1.0459510000000001</v>
      </c>
      <c r="L3710">
        <v>10.352259999999999</v>
      </c>
      <c r="M3710">
        <v>0.66660790000000003</v>
      </c>
      <c r="N3710">
        <v>0</v>
      </c>
      <c r="O3710">
        <v>-0.7452628</v>
      </c>
      <c r="P3710">
        <v>0.50848530000000003</v>
      </c>
      <c r="Q3710">
        <v>-3.8364039999999999E-3</v>
      </c>
      <c r="R3710">
        <v>-0.861062199999999</v>
      </c>
      <c r="S3710">
        <v>0.54110719999999901</v>
      </c>
      <c r="T3710">
        <v>-0.1872605</v>
      </c>
      <c r="U3710">
        <v>-3.1869200000000002</v>
      </c>
      <c r="V3710">
        <v>0.19523689999999999</v>
      </c>
      <c r="W3710">
        <v>6.5167130000000004E-3</v>
      </c>
      <c r="X3710">
        <v>0.98073449999999995</v>
      </c>
      <c r="Y3710">
        <v>0.53251680000000001</v>
      </c>
      <c r="Z3710">
        <v>3.1996030000000002E-2</v>
      </c>
      <c r="AA3710">
        <v>0.84581450000000002</v>
      </c>
      <c r="AB3710">
        <v>26</v>
      </c>
      <c r="AC3710">
        <v>2.7778000000000098</v>
      </c>
      <c r="AD3710">
        <v>-1.045953251754</v>
      </c>
      <c r="AE3710">
        <v>-17.505011</v>
      </c>
      <c r="AF3710">
        <v>9.5665145339846909</v>
      </c>
      <c r="AG3710">
        <v>-1.045953251754</v>
      </c>
      <c r="AH3710">
        <v>14.847448377855001</v>
      </c>
      <c r="AI3710">
        <v>93.389027736685193</v>
      </c>
      <c r="AJ3710">
        <v>57.205488898868602</v>
      </c>
      <c r="AK3710">
        <v>17.693471730185198</v>
      </c>
      <c r="AL3710">
        <v>89.626617219840099</v>
      </c>
      <c r="AM3710">
        <v>78.741195268627706</v>
      </c>
      <c r="AN3710">
        <v>1.0000000370800901</v>
      </c>
    </row>
    <row r="3711" spans="1:40" x14ac:dyDescent="0.3">
      <c r="A3711" t="str">
        <f>"20200111153952730"</f>
        <v>20200111153952730</v>
      </c>
      <c r="B3711" t="str">
        <f>"1578728392724475"</f>
        <v>1578728392724475</v>
      </c>
      <c r="C3711" t="s">
        <v>40</v>
      </c>
      <c r="D3711">
        <v>5.656771</v>
      </c>
      <c r="E3711">
        <v>0.63994439999999997</v>
      </c>
      <c r="F3711" t="s">
        <v>42</v>
      </c>
      <c r="G3711">
        <v>-304.30549999999999</v>
      </c>
      <c r="H3711" s="1">
        <v>-1.9242149999999999E-6</v>
      </c>
      <c r="I3711">
        <v>-7.8155320000000001</v>
      </c>
      <c r="J3711">
        <v>-306.96480000000003</v>
      </c>
      <c r="K3711">
        <v>1.0459879999999999</v>
      </c>
      <c r="L3711">
        <v>10.13776</v>
      </c>
      <c r="M3711">
        <v>0.65670709999999999</v>
      </c>
      <c r="N3711">
        <v>0</v>
      </c>
      <c r="O3711">
        <v>-0.75400199999999995</v>
      </c>
      <c r="P3711">
        <v>0.49730920000000001</v>
      </c>
      <c r="Q3711">
        <v>-1.7844029999999999E-3</v>
      </c>
      <c r="R3711">
        <v>-0.86757209999999996</v>
      </c>
      <c r="S3711">
        <v>0.49710080000000001</v>
      </c>
      <c r="T3711">
        <v>-0.18363650000000001</v>
      </c>
      <c r="U3711">
        <v>-3.1896969999999998</v>
      </c>
      <c r="V3711">
        <v>0.19501250000000001</v>
      </c>
      <c r="W3711">
        <v>8.5775439999999994E-3</v>
      </c>
      <c r="X3711">
        <v>0.9807633</v>
      </c>
      <c r="Y3711">
        <v>0.53283159999999996</v>
      </c>
      <c r="Z3711">
        <v>3.2071259999999997E-2</v>
      </c>
      <c r="AA3711">
        <v>0.84561330000000001</v>
      </c>
      <c r="AB3711">
        <v>25</v>
      </c>
      <c r="AC3711">
        <v>2.65930000000002</v>
      </c>
      <c r="AD3711">
        <v>-1.0459899242149999</v>
      </c>
      <c r="AE3711">
        <v>-17.953292000000001</v>
      </c>
      <c r="AF3711">
        <v>9.7536004112020294</v>
      </c>
      <c r="AG3711">
        <v>-1.0459899242149999</v>
      </c>
      <c r="AH3711">
        <v>15.2342546093431</v>
      </c>
      <c r="AI3711">
        <v>93.309405863716904</v>
      </c>
      <c r="AJ3711">
        <v>57.370946092417697</v>
      </c>
      <c r="AK3711">
        <v>18.119308193340402</v>
      </c>
      <c r="AL3711">
        <v>89.508536928165498</v>
      </c>
      <c r="AM3711">
        <v>78.754127655030004</v>
      </c>
      <c r="AN3711">
        <v>1.0000000500221</v>
      </c>
    </row>
    <row r="3712" spans="1:40" x14ac:dyDescent="0.3">
      <c r="A3712" t="str">
        <f>"20200111153952775"</f>
        <v>20200111153952775</v>
      </c>
      <c r="B3712" t="str">
        <f>"1578728392764490"</f>
        <v>1578728392764490</v>
      </c>
      <c r="C3712" t="s">
        <v>40</v>
      </c>
      <c r="D3712">
        <v>5.60527</v>
      </c>
      <c r="E3712">
        <v>0.6312991</v>
      </c>
      <c r="F3712" t="s">
        <v>42</v>
      </c>
      <c r="G3712">
        <v>-304.17860000000002</v>
      </c>
      <c r="H3712" s="1">
        <v>-2.4258900000000001E-6</v>
      </c>
      <c r="I3712">
        <v>-6.6827969999999999</v>
      </c>
      <c r="J3712">
        <v>-306.65030000000002</v>
      </c>
      <c r="K3712">
        <v>1.046071</v>
      </c>
      <c r="L3712">
        <v>9.7305299999999999</v>
      </c>
      <c r="M3712">
        <v>0.63788500000000004</v>
      </c>
      <c r="N3712">
        <v>0</v>
      </c>
      <c r="O3712">
        <v>-0.76999090000000003</v>
      </c>
      <c r="P3712">
        <v>0.47571829999999998</v>
      </c>
      <c r="Q3712">
        <v>2.8735779999999999E-3</v>
      </c>
      <c r="R3712">
        <v>-0.87959310000000002</v>
      </c>
      <c r="S3712">
        <v>0.52304079999999997</v>
      </c>
      <c r="T3712">
        <v>-0.19636329999999999</v>
      </c>
      <c r="U3712">
        <v>-3.157715</v>
      </c>
      <c r="V3712">
        <v>0.19512060000000001</v>
      </c>
      <c r="W3712">
        <v>1.3240729999999999E-2</v>
      </c>
      <c r="X3712">
        <v>0.9806899</v>
      </c>
      <c r="Y3712">
        <v>0.50358320000000001</v>
      </c>
      <c r="Z3712">
        <v>3.6612520000000003E-2</v>
      </c>
      <c r="AA3712">
        <v>0.86317060000000001</v>
      </c>
      <c r="AB3712">
        <v>25</v>
      </c>
      <c r="AC3712">
        <v>2.47169999999999</v>
      </c>
      <c r="AD3712">
        <v>-1.04607342589</v>
      </c>
      <c r="AE3712">
        <v>-16.413326999999999</v>
      </c>
      <c r="AF3712">
        <v>8.5336627170996895</v>
      </c>
      <c r="AG3712">
        <v>-1.04607342589</v>
      </c>
      <c r="AH3712">
        <v>14.160071878498</v>
      </c>
      <c r="AI3712">
        <v>93.620443480217901</v>
      </c>
      <c r="AJ3712">
        <v>58.924448298377001</v>
      </c>
      <c r="AK3712">
        <v>16.565787170726299</v>
      </c>
      <c r="AL3712">
        <v>89.241339901802704</v>
      </c>
      <c r="AM3712">
        <v>78.747232142407498</v>
      </c>
      <c r="AN3712">
        <v>1.0000000227186501</v>
      </c>
    </row>
    <row r="3713" spans="1:40" x14ac:dyDescent="0.3">
      <c r="A3713" t="str">
        <f>"20200111153952801"</f>
        <v>20200111153952801</v>
      </c>
      <c r="B3713" t="str">
        <f>"1578728392794747"</f>
        <v>1578728392794747</v>
      </c>
      <c r="C3713" t="s">
        <v>40</v>
      </c>
      <c r="D3713">
        <v>5.6012309999999896</v>
      </c>
      <c r="E3713">
        <v>0.62765079999999995</v>
      </c>
      <c r="F3713" t="s">
        <v>42</v>
      </c>
      <c r="G3713">
        <v>-304.03719999999998</v>
      </c>
      <c r="H3713" s="1">
        <v>-2.485501E-6</v>
      </c>
      <c r="I3713">
        <v>-6.4770979999999998</v>
      </c>
      <c r="J3713">
        <v>-306.47879999999998</v>
      </c>
      <c r="K3713">
        <v>1.0461009999999999</v>
      </c>
      <c r="L3713">
        <v>9.4986270000000008</v>
      </c>
      <c r="M3713">
        <v>0.62716070000000002</v>
      </c>
      <c r="N3713">
        <v>0</v>
      </c>
      <c r="O3713">
        <v>-0.77875109999999903</v>
      </c>
      <c r="P3713">
        <v>0.46343220000000002</v>
      </c>
      <c r="Q3713">
        <v>4.429311E-3</v>
      </c>
      <c r="R3713">
        <v>-0.88612179999999996</v>
      </c>
      <c r="S3713">
        <v>0.5058899</v>
      </c>
      <c r="T3713">
        <v>-0.20251520000000001</v>
      </c>
      <c r="U3713">
        <v>-3.1377259999999998</v>
      </c>
      <c r="V3713">
        <v>0.1952141</v>
      </c>
      <c r="W3713">
        <v>1.4799349999999999E-2</v>
      </c>
      <c r="X3713">
        <v>0.98064899999999999</v>
      </c>
      <c r="Y3713">
        <v>0.49531829999999999</v>
      </c>
      <c r="Z3713">
        <v>3.8967099999999998E-2</v>
      </c>
      <c r="AA3713">
        <v>0.86783719999999998</v>
      </c>
      <c r="AB3713">
        <v>25</v>
      </c>
      <c r="AC3713">
        <v>2.44159999999999</v>
      </c>
      <c r="AD3713">
        <v>-1.0461034855010001</v>
      </c>
      <c r="AE3713">
        <v>-15.975725000000001</v>
      </c>
      <c r="AF3713">
        <v>8.0849508943700599</v>
      </c>
      <c r="AG3713">
        <v>-1.0461034855010001</v>
      </c>
      <c r="AH3713">
        <v>13.9155949481673</v>
      </c>
      <c r="AI3713">
        <v>93.719018287539896</v>
      </c>
      <c r="AJ3713">
        <v>59.843442306110397</v>
      </c>
      <c r="AK3713">
        <v>16.127757011692999</v>
      </c>
      <c r="AL3713">
        <v>89.152028761021</v>
      </c>
      <c r="AM3713">
        <v>78.741520063077402</v>
      </c>
      <c r="AN3713">
        <v>1.0000000134001099</v>
      </c>
    </row>
    <row r="3714" spans="1:40" x14ac:dyDescent="0.3">
      <c r="A3714" t="str">
        <f>"20200111153952818"</f>
        <v>20200111153952818</v>
      </c>
      <c r="B3714" t="str">
        <f>"1578728392814775"</f>
        <v>1578728392814775</v>
      </c>
      <c r="C3714" t="s">
        <v>40</v>
      </c>
      <c r="D3714">
        <v>5.5658529999999997</v>
      </c>
      <c r="E3714">
        <v>0.62533319999999903</v>
      </c>
      <c r="F3714" t="s">
        <v>42</v>
      </c>
      <c r="G3714">
        <v>-303.73899999999998</v>
      </c>
      <c r="H3714" s="1">
        <v>-1.6548020000000001E-6</v>
      </c>
      <c r="I3714">
        <v>-8.0665739999999992</v>
      </c>
      <c r="J3714">
        <v>-306.35000000000002</v>
      </c>
      <c r="K3714">
        <v>1.046119</v>
      </c>
      <c r="L3714">
        <v>9.3203739999999993</v>
      </c>
      <c r="M3714">
        <v>0.61890480000000003</v>
      </c>
      <c r="N3714">
        <v>0</v>
      </c>
      <c r="O3714">
        <v>-0.78532819999999903</v>
      </c>
      <c r="P3714">
        <v>0.45394640000000003</v>
      </c>
      <c r="Q3714">
        <v>4.1650630000000001E-3</v>
      </c>
      <c r="R3714">
        <v>-0.89101949999999996</v>
      </c>
      <c r="S3714">
        <v>0.4883728</v>
      </c>
      <c r="T3714">
        <v>-0.1864722</v>
      </c>
      <c r="U3714">
        <v>-3.1310730000000002</v>
      </c>
      <c r="V3714">
        <v>0.19532479999999999</v>
      </c>
      <c r="W3714">
        <v>1.45357E-2</v>
      </c>
      <c r="X3714">
        <v>0.98063089999999997</v>
      </c>
      <c r="Y3714">
        <v>0.49058499999999999</v>
      </c>
      <c r="Z3714">
        <v>3.6615170000000002E-2</v>
      </c>
      <c r="AA3714">
        <v>0.87062379999999995</v>
      </c>
      <c r="AB3714">
        <v>25</v>
      </c>
      <c r="AC3714">
        <v>2.61099999999999</v>
      </c>
      <c r="AD3714">
        <v>-1.0461206548019999</v>
      </c>
      <c r="AE3714">
        <v>-17.386948</v>
      </c>
      <c r="AF3714">
        <v>8.6805852570233704</v>
      </c>
      <c r="AG3714">
        <v>-1.0461206548019999</v>
      </c>
      <c r="AH3714">
        <v>15.2181980811353</v>
      </c>
      <c r="AI3714">
        <v>93.417102447331402</v>
      </c>
      <c r="AJ3714">
        <v>60.299209362436599</v>
      </c>
      <c r="AK3714">
        <v>17.551082065374899</v>
      </c>
      <c r="AL3714">
        <v>89.167136418031205</v>
      </c>
      <c r="AM3714">
        <v>78.735096327345104</v>
      </c>
      <c r="AN3714">
        <v>1.00000001305217</v>
      </c>
    </row>
    <row r="3715" spans="1:40" x14ac:dyDescent="0.3">
      <c r="A3715" t="str">
        <f>"20200111153952842"</f>
        <v>20200111153952842</v>
      </c>
      <c r="B3715" t="str">
        <f>"1578728392834295"</f>
        <v>1578728392834295</v>
      </c>
      <c r="C3715" t="s">
        <v>40</v>
      </c>
      <c r="D3715">
        <v>5.706016</v>
      </c>
      <c r="E3715">
        <v>0.62395049999999996</v>
      </c>
      <c r="F3715" t="s">
        <v>42</v>
      </c>
      <c r="G3715">
        <v>-303.75470000000001</v>
      </c>
      <c r="H3715" s="1">
        <v>-1.7370029999999999E-6</v>
      </c>
      <c r="I3715">
        <v>-7.901491</v>
      </c>
      <c r="J3715">
        <v>-306.19569999999999</v>
      </c>
      <c r="K3715">
        <v>1.046135</v>
      </c>
      <c r="L3715">
        <v>9.1012880000000003</v>
      </c>
      <c r="M3715">
        <v>0.60875279999999998</v>
      </c>
      <c r="N3715">
        <v>0</v>
      </c>
      <c r="O3715">
        <v>-0.79322389999999998</v>
      </c>
      <c r="P3715">
        <v>0.44282250000000001</v>
      </c>
      <c r="Q3715">
        <v>3.341765E-3</v>
      </c>
      <c r="R3715">
        <v>-0.8966035</v>
      </c>
      <c r="S3715">
        <v>0.47134399999999999</v>
      </c>
      <c r="T3715">
        <v>-0.1899873</v>
      </c>
      <c r="U3715">
        <v>-3.1276860000000002</v>
      </c>
      <c r="V3715">
        <v>0.19489989999999999</v>
      </c>
      <c r="W3715">
        <v>1.372658E-2</v>
      </c>
      <c r="X3715">
        <v>0.98072709999999996</v>
      </c>
      <c r="Y3715">
        <v>0.4838597</v>
      </c>
      <c r="Z3715">
        <v>3.8155870000000001E-2</v>
      </c>
      <c r="AA3715">
        <v>0.87431340000000002</v>
      </c>
      <c r="AB3715">
        <v>25</v>
      </c>
      <c r="AC3715">
        <v>2.4409999999999701</v>
      </c>
      <c r="AD3715">
        <v>-1.0461367370029999</v>
      </c>
      <c r="AE3715">
        <v>-17.002779</v>
      </c>
      <c r="AF3715">
        <v>8.3840402905982003</v>
      </c>
      <c r="AG3715">
        <v>-1.0461367370029999</v>
      </c>
      <c r="AH3715">
        <v>14.9192545728437</v>
      </c>
      <c r="AI3715">
        <v>93.498073297027702</v>
      </c>
      <c r="AJ3715">
        <v>60.6657083790328</v>
      </c>
      <c r="AK3715">
        <v>17.145573500941801</v>
      </c>
      <c r="AL3715">
        <v>89.213500212592294</v>
      </c>
      <c r="AM3715">
        <v>78.760051352913095</v>
      </c>
      <c r="AN3715">
        <v>1.0000000173464501</v>
      </c>
    </row>
    <row r="3716" spans="1:40" x14ac:dyDescent="0.3">
      <c r="A3716" t="str">
        <f>"20200111153952864"</f>
        <v>20200111153952864</v>
      </c>
      <c r="B3716" t="str">
        <f>"1578728392854791"</f>
        <v>1578728392854791</v>
      </c>
      <c r="C3716" t="s">
        <v>40</v>
      </c>
      <c r="D3716">
        <v>5.5977699999999997</v>
      </c>
      <c r="E3716">
        <v>0.62290230000000002</v>
      </c>
      <c r="F3716" t="s">
        <v>42</v>
      </c>
      <c r="G3716">
        <v>-303.78109999999998</v>
      </c>
      <c r="H3716" s="1">
        <v>-1.7063939999999999E-6</v>
      </c>
      <c r="I3716">
        <v>-7.9811030000000001</v>
      </c>
      <c r="J3716">
        <v>-306.05149999999998</v>
      </c>
      <c r="K3716">
        <v>1.046144</v>
      </c>
      <c r="L3716">
        <v>8.8909909999999996</v>
      </c>
      <c r="M3716">
        <v>0.59899740000000001</v>
      </c>
      <c r="N3716">
        <v>0</v>
      </c>
      <c r="O3716">
        <v>-0.80061599999999999</v>
      </c>
      <c r="P3716">
        <v>0.4329036</v>
      </c>
      <c r="Q3716">
        <v>2.6570230000000001E-3</v>
      </c>
      <c r="R3716">
        <v>-0.90143669999999998</v>
      </c>
      <c r="S3716">
        <v>0.44219969999999997</v>
      </c>
      <c r="T3716">
        <v>-0.19157879999999999</v>
      </c>
      <c r="U3716">
        <v>-3.1282960000000002</v>
      </c>
      <c r="V3716">
        <v>0.19370129999999999</v>
      </c>
      <c r="W3716">
        <v>1.3074799999999999E-2</v>
      </c>
      <c r="X3716">
        <v>0.9809734</v>
      </c>
      <c r="Y3716">
        <v>0.4811513</v>
      </c>
      <c r="Z3716">
        <v>3.917764E-2</v>
      </c>
      <c r="AA3716">
        <v>0.87576169999999998</v>
      </c>
      <c r="AB3716">
        <v>25</v>
      </c>
      <c r="AC3716">
        <v>2.2703999999999902</v>
      </c>
      <c r="AD3716">
        <v>-1.0461457063940001</v>
      </c>
      <c r="AE3716">
        <v>-16.872094000000001</v>
      </c>
      <c r="AF3716">
        <v>8.2583328047625102</v>
      </c>
      <c r="AG3716">
        <v>-1.0461457063940001</v>
      </c>
      <c r="AH3716">
        <v>14.8136999351913</v>
      </c>
      <c r="AI3716">
        <v>93.529684825024404</v>
      </c>
      <c r="AJ3716">
        <v>60.861232994217197</v>
      </c>
      <c r="AK3716">
        <v>16.992356732457999</v>
      </c>
      <c r="AL3716">
        <v>89.250847779683696</v>
      </c>
      <c r="AM3716">
        <v>78.830165547230493</v>
      </c>
      <c r="AN3716">
        <v>0.999999977762144</v>
      </c>
    </row>
    <row r="3717" spans="1:40" x14ac:dyDescent="0.3">
      <c r="A3717" t="str">
        <f>"20200111153952886"</f>
        <v>20200111153952886</v>
      </c>
      <c r="B3717" t="str">
        <f>"1578728392875288"</f>
        <v>1578728392875288</v>
      </c>
      <c r="C3717" t="s">
        <v>40</v>
      </c>
      <c r="D3717">
        <v>5.6328269999999998</v>
      </c>
      <c r="E3717">
        <v>0.62155260000000001</v>
      </c>
      <c r="F3717" t="s">
        <v>42</v>
      </c>
      <c r="G3717">
        <v>-303.77089999999998</v>
      </c>
      <c r="H3717" s="1">
        <v>-1.5542910000000001E-6</v>
      </c>
      <c r="I3717">
        <v>-8.2971780000000006</v>
      </c>
      <c r="J3717">
        <v>-305.90530000000001</v>
      </c>
      <c r="K3717">
        <v>1.0461530000000001</v>
      </c>
      <c r="L3717">
        <v>8.6720579999999998</v>
      </c>
      <c r="M3717">
        <v>0.58883079999999999</v>
      </c>
      <c r="N3717">
        <v>0</v>
      </c>
      <c r="O3717">
        <v>-0.80812289999999998</v>
      </c>
      <c r="P3717">
        <v>0.42255769999999998</v>
      </c>
      <c r="Q3717">
        <v>1.721202E-3</v>
      </c>
      <c r="R3717">
        <v>-0.90633459999999999</v>
      </c>
      <c r="S3717">
        <v>0.4151917</v>
      </c>
      <c r="T3717">
        <v>-0.19045709999999999</v>
      </c>
      <c r="U3717">
        <v>-3.1292110000000002</v>
      </c>
      <c r="V3717">
        <v>0.19251209999999999</v>
      </c>
      <c r="W3717">
        <v>1.217127E-2</v>
      </c>
      <c r="X3717">
        <v>0.98121910000000001</v>
      </c>
      <c r="Y3717">
        <v>0.47752739999999999</v>
      </c>
      <c r="Z3717">
        <v>3.9669759999999998E-2</v>
      </c>
      <c r="AA3717">
        <v>0.87772079999999997</v>
      </c>
      <c r="AB3717">
        <v>25</v>
      </c>
      <c r="AC3717">
        <v>2.1344000000000198</v>
      </c>
      <c r="AD3717">
        <v>-1.046154554291</v>
      </c>
      <c r="AE3717">
        <v>-16.969235999999999</v>
      </c>
      <c r="AF3717">
        <v>8.23722303896092</v>
      </c>
      <c r="AG3717">
        <v>-1.046154554291</v>
      </c>
      <c r="AH3717">
        <v>14.9158350535181</v>
      </c>
      <c r="AI3717">
        <v>93.513376849064599</v>
      </c>
      <c r="AJ3717">
        <v>61.090462829608498</v>
      </c>
      <c r="AK3717">
        <v>17.0712746474541</v>
      </c>
      <c r="AL3717">
        <v>89.302620368452395</v>
      </c>
      <c r="AM3717">
        <v>78.899743253775995</v>
      </c>
      <c r="AN3717">
        <v>0.99999998533231604</v>
      </c>
    </row>
    <row r="3718" spans="1:40" x14ac:dyDescent="0.3">
      <c r="A3718" t="str">
        <f>"20200111153952911"</f>
        <v>20200111153952911</v>
      </c>
      <c r="B3718" t="str">
        <f>"1578728392905076"</f>
        <v>1578728392905076</v>
      </c>
      <c r="C3718" t="s">
        <v>40</v>
      </c>
      <c r="D3718">
        <v>5.3822919999999996</v>
      </c>
      <c r="E3718">
        <v>0.61276989999999998</v>
      </c>
      <c r="F3718" t="s">
        <v>42</v>
      </c>
      <c r="G3718">
        <v>-303.85489999999999</v>
      </c>
      <c r="H3718" s="1">
        <v>-1.799236E-6</v>
      </c>
      <c r="I3718">
        <v>-7.8262669999999996</v>
      </c>
      <c r="J3718">
        <v>-305.74669999999998</v>
      </c>
      <c r="K3718">
        <v>1.046162</v>
      </c>
      <c r="L3718">
        <v>8.4277649999999902</v>
      </c>
      <c r="M3718">
        <v>0.57747299999999901</v>
      </c>
      <c r="N3718">
        <v>0</v>
      </c>
      <c r="O3718">
        <v>-0.816277699999999</v>
      </c>
      <c r="P3718">
        <v>0.41159249999999997</v>
      </c>
      <c r="Q3718">
        <v>-2.6521249999999998E-4</v>
      </c>
      <c r="R3718">
        <v>-0.91136810000000001</v>
      </c>
      <c r="S3718">
        <v>0.3888855</v>
      </c>
      <c r="T3718">
        <v>-0.1984147</v>
      </c>
      <c r="U3718">
        <v>-3.129089</v>
      </c>
      <c r="V3718">
        <v>0.19058829999999999</v>
      </c>
      <c r="W3718">
        <v>1.023496E-2</v>
      </c>
      <c r="X3718">
        <v>0.98161670000000001</v>
      </c>
      <c r="Y3718">
        <v>0.4724989</v>
      </c>
      <c r="Z3718">
        <v>4.217046E-2</v>
      </c>
      <c r="AA3718">
        <v>0.88032180000000004</v>
      </c>
      <c r="AB3718">
        <v>25</v>
      </c>
      <c r="AC3718">
        <v>1.8917999999999799</v>
      </c>
      <c r="AD3718">
        <v>-1.046163799236</v>
      </c>
      <c r="AE3718">
        <v>-16.254031999999999</v>
      </c>
      <c r="AF3718">
        <v>7.8109507006236703</v>
      </c>
      <c r="AG3718">
        <v>-1.046163799236</v>
      </c>
      <c r="AH3718">
        <v>14.303354241056701</v>
      </c>
      <c r="AI3718">
        <v>93.672952801512494</v>
      </c>
      <c r="AJ3718">
        <v>61.3613888090781</v>
      </c>
      <c r="AK3718">
        <v>16.3306874346294</v>
      </c>
      <c r="AL3718">
        <v>89.413569749750494</v>
      </c>
      <c r="AM3718">
        <v>79.012298624415905</v>
      </c>
      <c r="AN3718">
        <v>1.0000000001109901</v>
      </c>
    </row>
    <row r="3719" spans="1:40" x14ac:dyDescent="0.3">
      <c r="A3719" t="str">
        <f>"20200111153952935"</f>
        <v>20200111153952935</v>
      </c>
      <c r="B3719" t="str">
        <f>"1578728392924596"</f>
        <v>1578728392924596</v>
      </c>
      <c r="C3719" t="s">
        <v>40</v>
      </c>
      <c r="D3719">
        <v>5.3908829999999996</v>
      </c>
      <c r="E3719">
        <v>0.61892749999999996</v>
      </c>
      <c r="F3719" t="s">
        <v>42</v>
      </c>
      <c r="G3719">
        <v>-303.44549999999998</v>
      </c>
      <c r="H3719" s="1">
        <v>-1.230557E-6</v>
      </c>
      <c r="I3719">
        <v>-8.7988610000000005</v>
      </c>
      <c r="J3719">
        <v>-305.6071</v>
      </c>
      <c r="K3719">
        <v>1.04617</v>
      </c>
      <c r="L3719">
        <v>8.2063600000000001</v>
      </c>
      <c r="M3719">
        <v>0.56717740000000005</v>
      </c>
      <c r="N3719">
        <v>0</v>
      </c>
      <c r="O3719">
        <v>-0.8234648</v>
      </c>
      <c r="P3719">
        <v>0.40336729999999998</v>
      </c>
      <c r="Q3719">
        <v>-9.5543220000000005E-4</v>
      </c>
      <c r="R3719">
        <v>-0.91503809999999997</v>
      </c>
      <c r="S3719">
        <v>0.4147034</v>
      </c>
      <c r="T3719">
        <v>-0.18853030000000001</v>
      </c>
      <c r="U3719">
        <v>-3.1044309999999999</v>
      </c>
      <c r="V3719">
        <v>0.18708730000000001</v>
      </c>
      <c r="W3719">
        <v>9.6327410000000002E-3</v>
      </c>
      <c r="X3719">
        <v>0.98229599999999995</v>
      </c>
      <c r="Y3719">
        <v>0.45327260000000003</v>
      </c>
      <c r="Z3719">
        <v>4.1325189999999998E-2</v>
      </c>
      <c r="AA3719">
        <v>0.89041349999999997</v>
      </c>
      <c r="AB3719">
        <v>25</v>
      </c>
      <c r="AC3719">
        <v>2.1616000000000199</v>
      </c>
      <c r="AD3719">
        <v>-1.0461712305569999</v>
      </c>
      <c r="AE3719">
        <v>-17.005220999999999</v>
      </c>
      <c r="AF3719">
        <v>7.8366348498129401</v>
      </c>
      <c r="AG3719">
        <v>-1.0461712305569999</v>
      </c>
      <c r="AH3719">
        <v>15.174334599930299</v>
      </c>
      <c r="AI3719">
        <v>93.505377149217907</v>
      </c>
      <c r="AJ3719">
        <v>62.686355888656998</v>
      </c>
      <c r="AK3719">
        <v>17.110457345249099</v>
      </c>
      <c r="AL3719">
        <v>89.448076026502093</v>
      </c>
      <c r="AM3719">
        <v>79.216642116465906</v>
      </c>
      <c r="AN3719">
        <v>0.99999993956822897</v>
      </c>
    </row>
    <row r="3720" spans="1:40" x14ac:dyDescent="0.3">
      <c r="A3720" t="str">
        <f>"20200111153952957"</f>
        <v>20200111153952957</v>
      </c>
      <c r="B3720" t="str">
        <f>"1578728392954851"</f>
        <v>1578728392954851</v>
      </c>
      <c r="C3720" t="s">
        <v>40</v>
      </c>
      <c r="D3720">
        <v>5.3941660000000002</v>
      </c>
      <c r="E3720">
        <v>0.61904169999999903</v>
      </c>
      <c r="F3720" t="s">
        <v>42</v>
      </c>
      <c r="G3720">
        <v>-302.01870000000002</v>
      </c>
      <c r="H3720" s="1">
        <v>-3.0233599999999999E-6</v>
      </c>
      <c r="I3720">
        <v>-24.61543</v>
      </c>
      <c r="J3720">
        <v>-305.47219999999999</v>
      </c>
      <c r="K3720">
        <v>1.046197</v>
      </c>
      <c r="L3720">
        <v>7.9857479999999903</v>
      </c>
      <c r="M3720">
        <v>0.55692769999999903</v>
      </c>
      <c r="N3720">
        <v>0</v>
      </c>
      <c r="O3720">
        <v>-0.83043140000000004</v>
      </c>
      <c r="P3720">
        <v>0.39600970000000002</v>
      </c>
      <c r="Q3720">
        <v>-1.7029379999999999E-4</v>
      </c>
      <c r="R3720">
        <v>-0.91824640000000002</v>
      </c>
      <c r="S3720">
        <v>0.34194950000000002</v>
      </c>
      <c r="T3720">
        <v>-9.9693889999999993E-2</v>
      </c>
      <c r="U3720">
        <v>-3.1277159999999999</v>
      </c>
      <c r="V3720">
        <v>0.1828111</v>
      </c>
      <c r="W3720">
        <v>1.052343E-2</v>
      </c>
      <c r="X3720">
        <v>0.98309170000000001</v>
      </c>
      <c r="Y3720">
        <v>0.46344000000000002</v>
      </c>
      <c r="Z3720">
        <v>2.196938E-2</v>
      </c>
      <c r="AA3720">
        <v>0.88585590000000003</v>
      </c>
      <c r="AB3720">
        <v>25</v>
      </c>
      <c r="AC3720">
        <v>3.45349999999996</v>
      </c>
      <c r="AD3720">
        <v>-1.04620002336</v>
      </c>
      <c r="AE3720">
        <v>-32.601177999999997</v>
      </c>
      <c r="AF3720">
        <v>15.274694083072401</v>
      </c>
      <c r="AG3720">
        <v>-1.04620002336</v>
      </c>
      <c r="AH3720">
        <v>28.970009672093301</v>
      </c>
      <c r="AI3720">
        <v>91.829680691771003</v>
      </c>
      <c r="AJ3720">
        <v>62.199163213708303</v>
      </c>
      <c r="AK3720">
        <v>32.766938737415003</v>
      </c>
      <c r="AL3720">
        <v>89.397040725111395</v>
      </c>
      <c r="AM3720">
        <v>79.465868232776103</v>
      </c>
      <c r="AN3720">
        <v>0.99999996573553196</v>
      </c>
    </row>
    <row r="3721" spans="1:40" x14ac:dyDescent="0.3">
      <c r="A3721" t="str">
        <f>"20200111153952978"</f>
        <v>20200111153952978</v>
      </c>
      <c r="B3721" t="str">
        <f>"1578728392974371"</f>
        <v>1578728392974371</v>
      </c>
      <c r="C3721" t="s">
        <v>40</v>
      </c>
      <c r="D3721">
        <v>5.4131239999999998</v>
      </c>
      <c r="E3721">
        <v>0.61876819999999999</v>
      </c>
      <c r="F3721" t="s">
        <v>66</v>
      </c>
      <c r="G3721">
        <v>-300.4513</v>
      </c>
      <c r="H3721" s="1">
        <v>-9.1181410000000001E-7</v>
      </c>
      <c r="I3721">
        <v>-41.71255</v>
      </c>
      <c r="J3721">
        <v>-305.34890000000001</v>
      </c>
      <c r="K3721">
        <v>1.046219</v>
      </c>
      <c r="L3721">
        <v>7.7790220000000003</v>
      </c>
      <c r="M3721">
        <v>0.54732510000000001</v>
      </c>
      <c r="N3721">
        <v>0</v>
      </c>
      <c r="O3721">
        <v>-0.83679159999999997</v>
      </c>
      <c r="P3721">
        <v>0.3885923</v>
      </c>
      <c r="Q3721">
        <v>-1.7217600000000001E-4</v>
      </c>
      <c r="R3721">
        <v>-0.92140999999999995</v>
      </c>
      <c r="S3721">
        <v>0.31628420000000002</v>
      </c>
      <c r="T3721">
        <v>-6.5903779999999995E-2</v>
      </c>
      <c r="U3721">
        <v>-3.1306759999999998</v>
      </c>
      <c r="V3721">
        <v>0.17941270000000001</v>
      </c>
      <c r="W3721">
        <v>1.060735E-2</v>
      </c>
      <c r="X3721">
        <v>0.9837167</v>
      </c>
      <c r="Y3721">
        <v>0.4604974</v>
      </c>
      <c r="Z3721">
        <v>1.472828E-2</v>
      </c>
      <c r="AA3721">
        <v>0.88753890000000002</v>
      </c>
      <c r="AB3721">
        <v>25</v>
      </c>
      <c r="AC3721">
        <v>4.8976000000000104</v>
      </c>
      <c r="AD3721">
        <v>-1.0462199118141</v>
      </c>
      <c r="AE3721">
        <v>-49.491571999999998</v>
      </c>
      <c r="AF3721">
        <v>22.982011028033899</v>
      </c>
      <c r="AG3721">
        <v>-1.0462199118141</v>
      </c>
      <c r="AH3721">
        <v>44.079946166148197</v>
      </c>
      <c r="AI3721">
        <v>91.205663976032</v>
      </c>
      <c r="AJ3721">
        <v>62.463764644775203</v>
      </c>
      <c r="AK3721">
        <v>49.722319545723899</v>
      </c>
      <c r="AL3721">
        <v>89.392232209077704</v>
      </c>
      <c r="AM3721">
        <v>79.663858872265607</v>
      </c>
      <c r="AN3721">
        <v>0.99999998932710099</v>
      </c>
    </row>
    <row r="3722" spans="1:40" x14ac:dyDescent="0.3">
      <c r="A3722" t="str">
        <f>"20200111153953020"</f>
        <v>20200111153953020</v>
      </c>
      <c r="B3722" t="str">
        <f>"1578728393014387"</f>
        <v>1578728393014387</v>
      </c>
      <c r="C3722" t="s">
        <v>40</v>
      </c>
      <c r="D3722">
        <v>5.3774620000000004</v>
      </c>
      <c r="E3722">
        <v>0.61899579999999998</v>
      </c>
      <c r="F3722" t="s">
        <v>66</v>
      </c>
      <c r="G3722">
        <v>-299.42309999999998</v>
      </c>
      <c r="H3722" s="1">
        <v>-6.89422199999999E-6</v>
      </c>
      <c r="I3722">
        <v>-55.543640000000003</v>
      </c>
      <c r="J3722">
        <v>-305.11509999999998</v>
      </c>
      <c r="K3722">
        <v>1.0462880000000001</v>
      </c>
      <c r="L3722">
        <v>7.3714289999999902</v>
      </c>
      <c r="M3722">
        <v>0.52843339999999905</v>
      </c>
      <c r="N3722">
        <v>0</v>
      </c>
      <c r="O3722">
        <v>-0.84884839999999995</v>
      </c>
      <c r="P3722">
        <v>0.37383739999999999</v>
      </c>
      <c r="Q3722">
        <v>-1.937389E-4</v>
      </c>
      <c r="R3722">
        <v>-0.92749440000000005</v>
      </c>
      <c r="S3722">
        <v>0.29312129999999997</v>
      </c>
      <c r="T3722">
        <v>-5.175167E-2</v>
      </c>
      <c r="U3722">
        <v>-3.132263</v>
      </c>
      <c r="V3722">
        <v>0.17305870000000001</v>
      </c>
      <c r="W3722">
        <v>1.0748000000000001E-2</v>
      </c>
      <c r="X3722">
        <v>0.98485290000000003</v>
      </c>
      <c r="Y3722">
        <v>0.44709539999999998</v>
      </c>
      <c r="Z3722">
        <v>1.191211E-2</v>
      </c>
      <c r="AA3722">
        <v>0.89440699999999995</v>
      </c>
      <c r="AB3722">
        <v>25</v>
      </c>
      <c r="AC3722">
        <v>5.6920000000000002</v>
      </c>
      <c r="AD3722">
        <v>-1.0462948942219901</v>
      </c>
      <c r="AE3722">
        <v>-62.915068999999903</v>
      </c>
      <c r="AF3722">
        <v>28.410033750253401</v>
      </c>
      <c r="AG3722">
        <v>-1.0462948942219901</v>
      </c>
      <c r="AH3722">
        <v>56.4037781373491</v>
      </c>
      <c r="AI3722">
        <v>90.949142300107496</v>
      </c>
      <c r="AJ3722">
        <v>63.266049506114904</v>
      </c>
      <c r="AK3722">
        <v>63.163367064015098</v>
      </c>
      <c r="AL3722">
        <v>89.384173125609394</v>
      </c>
      <c r="AM3722">
        <v>80.033712599997401</v>
      </c>
      <c r="AN3722">
        <v>1.00000003389404</v>
      </c>
    </row>
    <row r="3723" spans="1:40" x14ac:dyDescent="0.3">
      <c r="A3723" t="str">
        <f>"20200111153953044"</f>
        <v>20200111153953044</v>
      </c>
      <c r="B3723" t="str">
        <f>"1578728393034884"</f>
        <v>1578728393034884</v>
      </c>
      <c r="C3723" t="s">
        <v>40</v>
      </c>
      <c r="D3723">
        <v>5.361777</v>
      </c>
      <c r="E3723">
        <v>0.6190696</v>
      </c>
      <c r="F3723" t="s">
        <v>76</v>
      </c>
      <c r="G3723">
        <v>-297.5034</v>
      </c>
      <c r="H3723">
        <v>0.45434190000000002</v>
      </c>
      <c r="I3723">
        <v>-91.564989999999995</v>
      </c>
      <c r="J3723">
        <v>-304.97930000000002</v>
      </c>
      <c r="K3723">
        <v>1.0463530000000001</v>
      </c>
      <c r="L3723">
        <v>7.1244199999999998</v>
      </c>
      <c r="M3723">
        <v>0.51703759999999999</v>
      </c>
      <c r="N3723">
        <v>0</v>
      </c>
      <c r="O3723">
        <v>-0.85583759999999998</v>
      </c>
      <c r="P3723">
        <v>0.36470849999999999</v>
      </c>
      <c r="Q3723">
        <v>3.518886E-4</v>
      </c>
      <c r="R3723">
        <v>-0.9311218</v>
      </c>
      <c r="S3723">
        <v>0.24136350000000001</v>
      </c>
      <c r="T3723">
        <v>-1.8769979999999999E-2</v>
      </c>
      <c r="U3723">
        <v>-3.137238</v>
      </c>
      <c r="V3723">
        <v>0.16957439999999999</v>
      </c>
      <c r="W3723">
        <v>1.1385019999999999E-2</v>
      </c>
      <c r="X3723">
        <v>0.98545159999999998</v>
      </c>
      <c r="Y3723">
        <v>0.4499129</v>
      </c>
      <c r="Z3723">
        <v>4.3727330000000002E-3</v>
      </c>
      <c r="AA3723">
        <v>0.89306180000000002</v>
      </c>
      <c r="AB3723">
        <v>25</v>
      </c>
      <c r="AC3723">
        <v>7.4759000000000198</v>
      </c>
      <c r="AD3723">
        <v>-0.59201110000000001</v>
      </c>
      <c r="AE3723">
        <v>-98.689409999999995</v>
      </c>
      <c r="AF3723">
        <v>44.631161197034501</v>
      </c>
      <c r="AG3723">
        <v>-0.59201110000000001</v>
      </c>
      <c r="AH3723">
        <v>88.333726630858294</v>
      </c>
      <c r="AI3723">
        <v>90.342728157449798</v>
      </c>
      <c r="AJ3723">
        <v>63.1945302103899</v>
      </c>
      <c r="AK3723">
        <v>98.970390963325002</v>
      </c>
      <c r="AL3723">
        <v>89.347672295765904</v>
      </c>
      <c r="AM3723">
        <v>80.236286061811299</v>
      </c>
      <c r="AN3723">
        <v>0.99999997587915901</v>
      </c>
    </row>
    <row r="3724" spans="1:40" x14ac:dyDescent="0.3">
      <c r="A3724" t="str">
        <f>"20200111153953067"</f>
        <v>20200111153953067</v>
      </c>
      <c r="B3724" t="str">
        <f>"1578728393054404"</f>
        <v>1578728393054404</v>
      </c>
      <c r="C3724" t="s">
        <v>40</v>
      </c>
      <c r="D3724">
        <v>5.7127780000000001</v>
      </c>
      <c r="E3724">
        <v>0.61714579999999997</v>
      </c>
      <c r="F3724" t="s">
        <v>76</v>
      </c>
      <c r="G3724">
        <v>-298.3766</v>
      </c>
      <c r="H3724">
        <v>0.74824709999999905</v>
      </c>
      <c r="I3724">
        <v>-91.564989999999995</v>
      </c>
      <c r="J3724">
        <v>-304.85579999999999</v>
      </c>
      <c r="K3724">
        <v>1.046419</v>
      </c>
      <c r="L3724">
        <v>6.8931579999999997</v>
      </c>
      <c r="M3724">
        <v>0.50641210000000003</v>
      </c>
      <c r="N3724">
        <v>0</v>
      </c>
      <c r="O3724">
        <v>-0.86216749999999998</v>
      </c>
      <c r="P3724">
        <v>0.35639490000000001</v>
      </c>
      <c r="Q3724">
        <v>2.588426E-3</v>
      </c>
      <c r="R3724">
        <v>-0.93433219999999995</v>
      </c>
      <c r="S3724">
        <v>0.2100525</v>
      </c>
      <c r="T3724">
        <v>-9.4833369999999997E-3</v>
      </c>
      <c r="U3724">
        <v>-3.1396480000000002</v>
      </c>
      <c r="V3724">
        <v>0.16620850000000001</v>
      </c>
      <c r="W3724">
        <v>1.3709890000000001E-2</v>
      </c>
      <c r="X3724">
        <v>0.98599539999999997</v>
      </c>
      <c r="Y3724">
        <v>0.44777739999999999</v>
      </c>
      <c r="Z3724">
        <v>2.2378089999999999E-3</v>
      </c>
      <c r="AA3724">
        <v>0.89414229999999995</v>
      </c>
      <c r="AB3724">
        <v>25</v>
      </c>
      <c r="AC3724">
        <v>6.4791999999999899</v>
      </c>
      <c r="AD3724">
        <v>-0.29817189999999999</v>
      </c>
      <c r="AE3724">
        <v>-98.458147999999994</v>
      </c>
      <c r="AF3724">
        <v>44.278575299091102</v>
      </c>
      <c r="AG3724">
        <v>-0.29817189999999999</v>
      </c>
      <c r="AH3724">
        <v>88.177190356601301</v>
      </c>
      <c r="AI3724">
        <v>90.173141827707695</v>
      </c>
      <c r="AJ3724">
        <v>63.336277721844198</v>
      </c>
      <c r="AK3724">
        <v>98.670654382057904</v>
      </c>
      <c r="AL3724">
        <v>89.214456616532701</v>
      </c>
      <c r="AM3724">
        <v>80.431647134500594</v>
      </c>
      <c r="AN3724">
        <v>1.0000000776886</v>
      </c>
    </row>
    <row r="3725" spans="1:40" x14ac:dyDescent="0.3">
      <c r="A3725" t="str">
        <f>"20200111153953091"</f>
        <v>20200111153953091</v>
      </c>
      <c r="B3725" t="str">
        <f>"1578728393084661"</f>
        <v>1578728393084661</v>
      </c>
      <c r="C3725" t="s">
        <v>40</v>
      </c>
      <c r="D3725">
        <v>5.399044</v>
      </c>
      <c r="E3725">
        <v>0.61466969999999899</v>
      </c>
      <c r="F3725" t="s">
        <v>76</v>
      </c>
      <c r="G3725">
        <v>-298.6823</v>
      </c>
      <c r="H3725">
        <v>0.54436110000000004</v>
      </c>
      <c r="I3725">
        <v>-91.564989999999995</v>
      </c>
      <c r="J3725">
        <v>-304.73050000000001</v>
      </c>
      <c r="K3725">
        <v>1.0465040000000001</v>
      </c>
      <c r="L3725">
        <v>6.6516419999999998</v>
      </c>
      <c r="M3725">
        <v>0.49539100000000003</v>
      </c>
      <c r="N3725">
        <v>0</v>
      </c>
      <c r="O3725">
        <v>-0.86854730000000002</v>
      </c>
      <c r="P3725">
        <v>0.34793439999999998</v>
      </c>
      <c r="Q3725">
        <v>2.7334389999999998E-3</v>
      </c>
      <c r="R3725">
        <v>-0.93751510000000005</v>
      </c>
      <c r="S3725">
        <v>0.19662479999999999</v>
      </c>
      <c r="T3725">
        <v>-1.599014E-2</v>
      </c>
      <c r="U3725">
        <v>-3.1358950000000001</v>
      </c>
      <c r="V3725">
        <v>0.16256279999999901</v>
      </c>
      <c r="W3725">
        <v>1.395353E-2</v>
      </c>
      <c r="X3725">
        <v>0.98659949999999996</v>
      </c>
      <c r="Y3725">
        <v>0.44011489999999998</v>
      </c>
      <c r="Z3725">
        <v>3.83585E-3</v>
      </c>
      <c r="AA3725">
        <v>0.89793330000000005</v>
      </c>
      <c r="AB3725">
        <v>25</v>
      </c>
      <c r="AC3725">
        <v>6.0481999999999996</v>
      </c>
      <c r="AD3725">
        <v>-0.50214289999999995</v>
      </c>
      <c r="AE3725">
        <v>-98.216631999999905</v>
      </c>
      <c r="AF3725">
        <v>43.405988059888799</v>
      </c>
      <c r="AG3725">
        <v>-0.50214289999999995</v>
      </c>
      <c r="AH3725">
        <v>88.309135710419199</v>
      </c>
      <c r="AI3725">
        <v>90.292381957346805</v>
      </c>
      <c r="AJ3725">
        <v>63.824813113850702</v>
      </c>
      <c r="AK3725">
        <v>98.401399364381305</v>
      </c>
      <c r="AL3725">
        <v>89.200495651562093</v>
      </c>
      <c r="AM3725">
        <v>80.643398890421494</v>
      </c>
      <c r="AN3725">
        <v>0.99999996917177503</v>
      </c>
    </row>
    <row r="3726" spans="1:40" x14ac:dyDescent="0.3">
      <c r="A3726" t="str">
        <f>"20200111153953111"</f>
        <v>20200111153953111</v>
      </c>
      <c r="B3726" t="str">
        <f>"1578728393105157"</f>
        <v>1578728393105157</v>
      </c>
      <c r="C3726" t="s">
        <v>40</v>
      </c>
      <c r="D3726">
        <v>5.3991629999999997</v>
      </c>
      <c r="E3726">
        <v>0.61385429999999996</v>
      </c>
      <c r="F3726" t="s">
        <v>76</v>
      </c>
      <c r="G3726">
        <v>-298.88099999999997</v>
      </c>
      <c r="H3726">
        <v>0.23311809999999999</v>
      </c>
      <c r="I3726">
        <v>-91.564989999999995</v>
      </c>
      <c r="J3726">
        <v>-304.62549999999999</v>
      </c>
      <c r="K3726">
        <v>1.046589</v>
      </c>
      <c r="L3726">
        <v>6.4431760000000002</v>
      </c>
      <c r="M3726">
        <v>0.48597010000000002</v>
      </c>
      <c r="N3726">
        <v>0</v>
      </c>
      <c r="O3726">
        <v>-0.87385360000000001</v>
      </c>
      <c r="P3726">
        <v>0.34203</v>
      </c>
      <c r="Q3726">
        <v>2.9413159999999998E-3</v>
      </c>
      <c r="R3726">
        <v>-0.93968479999999999</v>
      </c>
      <c r="S3726">
        <v>0.1864624</v>
      </c>
      <c r="T3726">
        <v>-2.5927660000000002E-2</v>
      </c>
      <c r="U3726">
        <v>-3.1308289999999999</v>
      </c>
      <c r="V3726">
        <v>0.15809960000000001</v>
      </c>
      <c r="W3726">
        <v>1.427728E-2</v>
      </c>
      <c r="X3726">
        <v>0.98731990000000003</v>
      </c>
      <c r="Y3726">
        <v>0.43320520000000001</v>
      </c>
      <c r="Z3726">
        <v>6.3090560000000004E-3</v>
      </c>
      <c r="AA3726">
        <v>0.90127330000000005</v>
      </c>
      <c r="AB3726">
        <v>25</v>
      </c>
      <c r="AC3726">
        <v>5.7445000000000102</v>
      </c>
      <c r="AD3726">
        <v>-0.8134709</v>
      </c>
      <c r="AE3726">
        <v>-98.008166000000003</v>
      </c>
      <c r="AF3726">
        <v>42.610798284520499</v>
      </c>
      <c r="AG3726">
        <v>-0.8134709</v>
      </c>
      <c r="AH3726">
        <v>88.439789794866996</v>
      </c>
      <c r="AI3726">
        <v>90.474763752103797</v>
      </c>
      <c r="AJ3726">
        <v>64.274965956362195</v>
      </c>
      <c r="AK3726">
        <v>98.173001809609005</v>
      </c>
      <c r="AL3726">
        <v>89.181944282140805</v>
      </c>
      <c r="AM3726">
        <v>80.902457051409797</v>
      </c>
      <c r="AN3726">
        <v>0.99999995459018298</v>
      </c>
    </row>
    <row r="3727" spans="1:40" x14ac:dyDescent="0.3">
      <c r="A3727" t="str">
        <f>"20200111153953154"</f>
        <v>20200111153953154</v>
      </c>
      <c r="B3727" t="str">
        <f>"1578728393145171"</f>
        <v>1578728393145171</v>
      </c>
      <c r="C3727" t="s">
        <v>40</v>
      </c>
      <c r="D3727">
        <v>5.3755660000000001</v>
      </c>
      <c r="E3727">
        <v>0.61197460000000004</v>
      </c>
      <c r="F3727" t="s">
        <v>76</v>
      </c>
      <c r="G3727">
        <v>-299.24020000000002</v>
      </c>
      <c r="H3727">
        <v>0.2798195</v>
      </c>
      <c r="I3727">
        <v>-90.976820000000004</v>
      </c>
      <c r="J3727">
        <v>-304.41359999999997</v>
      </c>
      <c r="K3727">
        <v>1.0468299999999999</v>
      </c>
      <c r="L3727">
        <v>6.0061339999999896</v>
      </c>
      <c r="M3727">
        <v>0.46658090000000002</v>
      </c>
      <c r="N3727">
        <v>0</v>
      </c>
      <c r="O3727">
        <v>-0.88435900000000001</v>
      </c>
      <c r="P3727">
        <v>0.32802219999999999</v>
      </c>
      <c r="Q3727">
        <v>3.3007660000000001E-3</v>
      </c>
      <c r="R3727">
        <v>-0.94466470000000002</v>
      </c>
      <c r="S3727">
        <v>0.1730042</v>
      </c>
      <c r="T3727">
        <v>-2.463245E-2</v>
      </c>
      <c r="U3727">
        <v>-3.1296689999999998</v>
      </c>
      <c r="V3727">
        <v>0.15099589999999999</v>
      </c>
      <c r="W3727">
        <v>1.4837019999999999E-2</v>
      </c>
      <c r="X3727">
        <v>0.98842300000000005</v>
      </c>
      <c r="Y3727">
        <v>0.41710249999999999</v>
      </c>
      <c r="Z3727">
        <v>6.1491189999999998E-3</v>
      </c>
      <c r="AA3727">
        <v>0.90883860000000005</v>
      </c>
      <c r="AB3727">
        <v>25</v>
      </c>
      <c r="AC3727">
        <v>5.1733999999999503</v>
      </c>
      <c r="AD3727">
        <v>-0.76701049999999904</v>
      </c>
      <c r="AE3727">
        <v>-96.982954000000007</v>
      </c>
      <c r="AF3727">
        <v>40.677014595358003</v>
      </c>
      <c r="AG3727">
        <v>-0.76701049999999904</v>
      </c>
      <c r="AH3727">
        <v>88.185380974343204</v>
      </c>
      <c r="AI3727">
        <v>90.452511448176907</v>
      </c>
      <c r="AJ3727">
        <v>65.237678454569206</v>
      </c>
      <c r="AK3727">
        <v>97.117811132089102</v>
      </c>
      <c r="AL3727">
        <v>89.149870149145997</v>
      </c>
      <c r="AM3727">
        <v>81.314391399671607</v>
      </c>
      <c r="AN3727">
        <v>0.99999996295414395</v>
      </c>
    </row>
    <row r="3728" spans="1:40" x14ac:dyDescent="0.3">
      <c r="A3728" t="str">
        <f>"20200111153953182"</f>
        <v>20200111153953182</v>
      </c>
      <c r="B3728" t="str">
        <f>"1578728393174452"</f>
        <v>1578728393174452</v>
      </c>
      <c r="C3728" t="s">
        <v>40</v>
      </c>
      <c r="D3728">
        <v>5.4125500000000004</v>
      </c>
      <c r="E3728">
        <v>0.61064859999999999</v>
      </c>
      <c r="F3728" t="s">
        <v>76</v>
      </c>
      <c r="G3728">
        <v>-300.04829999999998</v>
      </c>
      <c r="H3728">
        <v>0.23385049999999999</v>
      </c>
      <c r="I3728">
        <v>-90.976820000000004</v>
      </c>
      <c r="J3728">
        <v>-304.28410000000002</v>
      </c>
      <c r="K3728">
        <v>1.047018</v>
      </c>
      <c r="L3728">
        <v>5.7263489999999999</v>
      </c>
      <c r="M3728">
        <v>0.45449499999999998</v>
      </c>
      <c r="N3728">
        <v>0</v>
      </c>
      <c r="O3728">
        <v>-0.89063130000000001</v>
      </c>
      <c r="P3728">
        <v>0.31827800000000001</v>
      </c>
      <c r="Q3728">
        <v>3.4613069999999998E-3</v>
      </c>
      <c r="R3728">
        <v>-0.94799149999999999</v>
      </c>
      <c r="S3728">
        <v>0.14074710000000001</v>
      </c>
      <c r="T3728">
        <v>-2.621186E-2</v>
      </c>
      <c r="U3728">
        <v>-3.1269529999999999</v>
      </c>
      <c r="V3728">
        <v>0.14770739999999999</v>
      </c>
      <c r="W3728">
        <v>1.50983E-2</v>
      </c>
      <c r="X3728">
        <v>0.98891589999999996</v>
      </c>
      <c r="Y3728">
        <v>0.4140317</v>
      </c>
      <c r="Z3728">
        <v>6.633786E-3</v>
      </c>
      <c r="AA3728">
        <v>0.91023829999999994</v>
      </c>
      <c r="AB3728">
        <v>25</v>
      </c>
      <c r="AC3728">
        <v>4.2358000000000402</v>
      </c>
      <c r="AD3728">
        <v>-0.81316750000000004</v>
      </c>
      <c r="AE3728">
        <v>-96.703169000000003</v>
      </c>
      <c r="AF3728">
        <v>40.179958145051401</v>
      </c>
      <c r="AG3728">
        <v>-0.81316750000000004</v>
      </c>
      <c r="AH3728">
        <v>88.055059576182202</v>
      </c>
      <c r="AI3728">
        <v>90.481355729635695</v>
      </c>
      <c r="AJ3728">
        <v>65.472551988550805</v>
      </c>
      <c r="AK3728">
        <v>96.792477987115006</v>
      </c>
      <c r="AL3728">
        <v>89.134898301924807</v>
      </c>
      <c r="AM3728">
        <v>81.504934594021805</v>
      </c>
      <c r="AN3728">
        <v>1.0000000459752201</v>
      </c>
    </row>
    <row r="3729" spans="1:40" x14ac:dyDescent="0.3">
      <c r="A3729" t="str">
        <f>"20200111153953204"</f>
        <v>20200111153953204</v>
      </c>
      <c r="B3729" t="str">
        <f>"1578728393194948"</f>
        <v>1578728393194948</v>
      </c>
      <c r="C3729" t="s">
        <v>40</v>
      </c>
      <c r="D3729">
        <v>5.4358120000000003</v>
      </c>
      <c r="E3729">
        <v>0.60969910000000005</v>
      </c>
      <c r="F3729" t="s">
        <v>76</v>
      </c>
      <c r="G3729">
        <v>-300.61900000000003</v>
      </c>
      <c r="H3729">
        <v>0.1555309</v>
      </c>
      <c r="I3729">
        <v>-90.976820000000004</v>
      </c>
      <c r="J3729">
        <v>-304.17829999999998</v>
      </c>
      <c r="K3729">
        <v>1.047188</v>
      </c>
      <c r="L3729">
        <v>5.4909359999999996</v>
      </c>
      <c r="M3729">
        <v>0.44454949999999999</v>
      </c>
      <c r="N3729">
        <v>0</v>
      </c>
      <c r="O3729">
        <v>-0.89563749999999998</v>
      </c>
      <c r="P3729">
        <v>0.30971470000000001</v>
      </c>
      <c r="Q3729">
        <v>3.864681E-3</v>
      </c>
      <c r="R3729">
        <v>-0.95082180000000005</v>
      </c>
      <c r="S3729">
        <v>0.11843869999999999</v>
      </c>
      <c r="T3729">
        <v>-2.8807760000000002E-2</v>
      </c>
      <c r="U3729">
        <v>-3.1249389999999999</v>
      </c>
      <c r="V3729">
        <v>0.14561370000000001</v>
      </c>
      <c r="W3729">
        <v>1.557508E-2</v>
      </c>
      <c r="X3729">
        <v>0.98921890000000001</v>
      </c>
      <c r="Y3729">
        <v>0.41035240000000001</v>
      </c>
      <c r="Z3729">
        <v>7.3721890000000003E-3</v>
      </c>
      <c r="AA3729">
        <v>0.91189719999999996</v>
      </c>
      <c r="AB3729">
        <v>25</v>
      </c>
      <c r="AC3729">
        <v>3.5592999999999502</v>
      </c>
      <c r="AD3729">
        <v>-0.89165709999999998</v>
      </c>
      <c r="AE3729">
        <v>-96.467755999999994</v>
      </c>
      <c r="AF3729">
        <v>39.697616375115999</v>
      </c>
      <c r="AG3729">
        <v>-0.89165709999999998</v>
      </c>
      <c r="AH3729">
        <v>87.984123096188995</v>
      </c>
      <c r="AI3729">
        <v>90.529258227645599</v>
      </c>
      <c r="AJ3729">
        <v>65.715547353660497</v>
      </c>
      <c r="AK3729">
        <v>96.529279056953499</v>
      </c>
      <c r="AL3729">
        <v>89.107577551158201</v>
      </c>
      <c r="AM3729">
        <v>81.626158016568795</v>
      </c>
      <c r="AN3729">
        <v>0.999999982430953</v>
      </c>
    </row>
    <row r="3730" spans="1:40" x14ac:dyDescent="0.3">
      <c r="A3730" t="str">
        <f>"20200111153953227"</f>
        <v>20200111153953227</v>
      </c>
      <c r="B3730" t="str">
        <f>"1578728393214468"</f>
        <v>1578728393214468</v>
      </c>
      <c r="C3730" t="s">
        <v>40</v>
      </c>
      <c r="D3730">
        <v>5.4126130000000003</v>
      </c>
      <c r="E3730">
        <v>0.60878589999999999</v>
      </c>
      <c r="F3730" t="s">
        <v>76</v>
      </c>
      <c r="G3730">
        <v>-301.16789999999997</v>
      </c>
      <c r="H3730">
        <v>7.4508669999999999E-2</v>
      </c>
      <c r="I3730">
        <v>-90.976820000000004</v>
      </c>
      <c r="J3730">
        <v>-304.0779</v>
      </c>
      <c r="K3730">
        <v>1.0473699999999999</v>
      </c>
      <c r="L3730">
        <v>5.262054</v>
      </c>
      <c r="M3730">
        <v>0.4350967</v>
      </c>
      <c r="N3730">
        <v>0</v>
      </c>
      <c r="O3730">
        <v>-0.90026799999999996</v>
      </c>
      <c r="P3730">
        <v>0.30144290000000001</v>
      </c>
      <c r="Q3730">
        <v>2.9009159999999999E-3</v>
      </c>
      <c r="R3730">
        <v>-0.95347999999999999</v>
      </c>
      <c r="S3730">
        <v>9.747314E-2</v>
      </c>
      <c r="T3730">
        <v>-3.1494019999999998E-2</v>
      </c>
      <c r="U3730">
        <v>-3.123535</v>
      </c>
      <c r="V3730">
        <v>0.1437705</v>
      </c>
      <c r="W3730">
        <v>1.467778E-2</v>
      </c>
      <c r="X3730">
        <v>0.9895022</v>
      </c>
      <c r="Y3730">
        <v>0.40684740000000003</v>
      </c>
      <c r="Z3730">
        <v>8.1409689999999996E-3</v>
      </c>
      <c r="AA3730">
        <v>0.91345980000000004</v>
      </c>
      <c r="AB3730">
        <v>25</v>
      </c>
      <c r="AC3730">
        <v>2.9100000000000201</v>
      </c>
      <c r="AD3730">
        <v>-0.97286132999999997</v>
      </c>
      <c r="AE3730">
        <v>-96.238873999999996</v>
      </c>
      <c r="AF3730">
        <v>39.253519673824997</v>
      </c>
      <c r="AG3730">
        <v>-0.97286132999999997</v>
      </c>
      <c r="AH3730">
        <v>87.907096036191007</v>
      </c>
      <c r="AI3730">
        <v>90.578967452595904</v>
      </c>
      <c r="AJ3730">
        <v>65.937607192715205</v>
      </c>
      <c r="AK3730">
        <v>96.277945550717305</v>
      </c>
      <c r="AL3730">
        <v>89.158994953269101</v>
      </c>
      <c r="AM3730">
        <v>81.733015152983398</v>
      </c>
      <c r="AN3730">
        <v>0.99999999885040902</v>
      </c>
    </row>
    <row r="3731" spans="1:40" x14ac:dyDescent="0.3">
      <c r="A3731" t="str">
        <f>"20200111153953249"</f>
        <v>20200111153953249</v>
      </c>
      <c r="B3731" t="str">
        <f>"1578728393244725"</f>
        <v>1578728393244725</v>
      </c>
      <c r="C3731" t="s">
        <v>40</v>
      </c>
      <c r="D3731">
        <v>5.4497059999999999</v>
      </c>
      <c r="E3731">
        <v>0.60726950000000002</v>
      </c>
      <c r="F3731" t="s">
        <v>66</v>
      </c>
      <c r="G3731">
        <v>-302.09059999999999</v>
      </c>
      <c r="H3731">
        <v>7.9986559999999998E-2</v>
      </c>
      <c r="I3731">
        <v>-75.131460000000004</v>
      </c>
      <c r="J3731">
        <v>-303.97710000000001</v>
      </c>
      <c r="K3731">
        <v>1.04758</v>
      </c>
      <c r="L3731">
        <v>5.0258789999999998</v>
      </c>
      <c r="M3731">
        <v>0.42560759999999997</v>
      </c>
      <c r="N3731">
        <v>0</v>
      </c>
      <c r="O3731">
        <v>-0.90479339999999997</v>
      </c>
      <c r="P3731">
        <v>0.29345510000000002</v>
      </c>
      <c r="Q3731">
        <v>2.2148390000000001E-3</v>
      </c>
      <c r="R3731">
        <v>-0.9559706</v>
      </c>
      <c r="S3731">
        <v>7.7178960000000005E-2</v>
      </c>
      <c r="T3731">
        <v>-3.7568570000000003E-2</v>
      </c>
      <c r="U3731">
        <v>-3.1221009999999998</v>
      </c>
      <c r="V3731">
        <v>0.1416259</v>
      </c>
      <c r="W3731">
        <v>1.4066540000000001E-2</v>
      </c>
      <c r="X3731">
        <v>0.98982029999999999</v>
      </c>
      <c r="Y3731">
        <v>0.4031594</v>
      </c>
      <c r="Z3731">
        <v>9.8067090000000003E-3</v>
      </c>
      <c r="AA3731">
        <v>0.91507720000000004</v>
      </c>
      <c r="AB3731">
        <v>25</v>
      </c>
      <c r="AC3731">
        <v>1.8865000000000101</v>
      </c>
      <c r="AD3731">
        <v>-0.96759344000000003</v>
      </c>
      <c r="AE3731">
        <v>-80.157338999999993</v>
      </c>
      <c r="AF3731">
        <v>32.407316382574002</v>
      </c>
      <c r="AG3731">
        <v>-0.96759344000000003</v>
      </c>
      <c r="AH3731">
        <v>73.325654838678801</v>
      </c>
      <c r="AI3731">
        <v>90.691503159123997</v>
      </c>
      <c r="AJ3731">
        <v>66.156286000504394</v>
      </c>
      <c r="AK3731">
        <v>80.173699239254503</v>
      </c>
      <c r="AL3731">
        <v>89.194020040335701</v>
      </c>
      <c r="AM3731">
        <v>81.857247850194497</v>
      </c>
      <c r="AN3731">
        <v>0.99999999469523504</v>
      </c>
    </row>
    <row r="3732" spans="1:40" x14ac:dyDescent="0.3">
      <c r="A3732" t="str">
        <f>"20200111153953288"</f>
        <v>20200111153953288</v>
      </c>
      <c r="B3732" t="str">
        <f>"1578728393284740"</f>
        <v>1578728393284740</v>
      </c>
      <c r="C3732" t="s">
        <v>40</v>
      </c>
      <c r="D3732">
        <v>5.4639639999999998</v>
      </c>
      <c r="E3732">
        <v>0.60516300000000001</v>
      </c>
      <c r="F3732" t="s">
        <v>66</v>
      </c>
      <c r="G3732">
        <v>-302.48719999999997</v>
      </c>
      <c r="H3732" s="1">
        <v>-9.4321129999999996E-6</v>
      </c>
      <c r="I3732">
        <v>-69.216149999999999</v>
      </c>
      <c r="J3732">
        <v>-303.81110000000001</v>
      </c>
      <c r="K3732">
        <v>1.0480160000000001</v>
      </c>
      <c r="L3732">
        <v>4.6232300000000004</v>
      </c>
      <c r="M3732">
        <v>0.41014850000000003</v>
      </c>
      <c r="N3732">
        <v>0</v>
      </c>
      <c r="O3732">
        <v>-0.91190640000000001</v>
      </c>
      <c r="P3732">
        <v>0.28172970000000003</v>
      </c>
      <c r="Q3732">
        <v>3.846712E-3</v>
      </c>
      <c r="R3732">
        <v>-0.95948619999999996</v>
      </c>
      <c r="S3732">
        <v>6.2591549999999996E-2</v>
      </c>
      <c r="T3732">
        <v>-4.401124E-2</v>
      </c>
      <c r="U3732">
        <v>-3.119049</v>
      </c>
      <c r="V3732">
        <v>0.1369049</v>
      </c>
      <c r="W3732">
        <v>1.5849229999999999E-2</v>
      </c>
      <c r="X3732">
        <v>0.99045740000000004</v>
      </c>
      <c r="Y3732">
        <v>0.39180989999999999</v>
      </c>
      <c r="Z3732">
        <v>1.1684180000000001E-2</v>
      </c>
      <c r="AA3732">
        <v>0.91997200000000001</v>
      </c>
      <c r="AB3732">
        <v>25</v>
      </c>
      <c r="AC3732">
        <v>1.3239000000000301</v>
      </c>
      <c r="AD3732">
        <v>-1.048025432113</v>
      </c>
      <c r="AE3732">
        <v>-73.839380000000006</v>
      </c>
      <c r="AF3732">
        <v>29.074962646626599</v>
      </c>
      <c r="AG3732">
        <v>-1.048025432113</v>
      </c>
      <c r="AH3732">
        <v>67.8708865853406</v>
      </c>
      <c r="AI3732">
        <v>90.813195389266497</v>
      </c>
      <c r="AJ3732">
        <v>66.810367918464806</v>
      </c>
      <c r="AK3732">
        <v>73.8438152866526</v>
      </c>
      <c r="AL3732">
        <v>89.091867994562804</v>
      </c>
      <c r="AM3732">
        <v>82.130219797719406</v>
      </c>
      <c r="AN3732">
        <v>1.0000000054751801</v>
      </c>
    </row>
    <row r="3733" spans="1:40" x14ac:dyDescent="0.3">
      <c r="A3733" t="str">
        <f>"20200111153953318"</f>
        <v>20200111153953318</v>
      </c>
      <c r="B3733" t="str">
        <f>"1578728393314995"</f>
        <v>1578728393314995</v>
      </c>
      <c r="C3733" t="s">
        <v>40</v>
      </c>
      <c r="D3733">
        <v>5.5008319999999999</v>
      </c>
      <c r="E3733">
        <v>0.58260509999999999</v>
      </c>
      <c r="F3733" t="s">
        <v>66</v>
      </c>
      <c r="G3733">
        <v>-302.90960000000001</v>
      </c>
      <c r="H3733" s="1">
        <v>-9.7596080000000008E-6</v>
      </c>
      <c r="I3733">
        <v>-64.400369999999995</v>
      </c>
      <c r="J3733">
        <v>-303.68419999999998</v>
      </c>
      <c r="K3733">
        <v>1.0483690000000001</v>
      </c>
      <c r="L3733">
        <v>4.3040770000000004</v>
      </c>
      <c r="M3733">
        <v>0.39849980000000002</v>
      </c>
      <c r="N3733">
        <v>0</v>
      </c>
      <c r="O3733">
        <v>-0.91705789999999998</v>
      </c>
      <c r="P3733">
        <v>0.27151720000000001</v>
      </c>
      <c r="Q3733">
        <v>6.1132809999999999E-3</v>
      </c>
      <c r="R3733">
        <v>-0.96241469999999996</v>
      </c>
      <c r="S3733">
        <v>4.0679930000000003E-2</v>
      </c>
      <c r="T3733">
        <v>-4.7295810000000001E-2</v>
      </c>
      <c r="U3733">
        <v>-3.1149290000000001</v>
      </c>
      <c r="V3733">
        <v>0.13482910000000001</v>
      </c>
      <c r="W3733">
        <v>1.819875E-2</v>
      </c>
      <c r="X3733">
        <v>0.99070170000000002</v>
      </c>
      <c r="Y3733">
        <v>0.38652890000000001</v>
      </c>
      <c r="Z3733">
        <v>1.270639E-2</v>
      </c>
      <c r="AA3733">
        <v>0.92218979999999995</v>
      </c>
      <c r="AB3733">
        <v>25</v>
      </c>
      <c r="AC3733">
        <v>0.77459999999996398</v>
      </c>
      <c r="AD3733">
        <v>-1.0483787596080001</v>
      </c>
      <c r="AE3733">
        <v>-68.704446999999902</v>
      </c>
      <c r="AF3733">
        <v>26.664850835349899</v>
      </c>
      <c r="AG3733">
        <v>-1.0483787596080001</v>
      </c>
      <c r="AH3733">
        <v>63.306313619096798</v>
      </c>
      <c r="AI3733">
        <v>90.874371070767396</v>
      </c>
      <c r="AJ3733">
        <v>67.158996136466996</v>
      </c>
      <c r="AK3733">
        <v>68.700820316314307</v>
      </c>
      <c r="AL3733">
        <v>88.957230835523106</v>
      </c>
      <c r="AM3733">
        <v>82.249970700009001</v>
      </c>
      <c r="AN3733">
        <v>0.99999996954562997</v>
      </c>
    </row>
    <row r="3734" spans="1:40" x14ac:dyDescent="0.3">
      <c r="A3734" t="str">
        <f>"20200111153953341"</f>
        <v>20200111153953341</v>
      </c>
      <c r="B3734" t="str">
        <f>"1578728393334516"</f>
        <v>1578728393334516</v>
      </c>
      <c r="C3734" t="s">
        <v>40</v>
      </c>
      <c r="D3734">
        <v>5.4925940000000004</v>
      </c>
      <c r="E3734">
        <v>0.58134969999999997</v>
      </c>
      <c r="F3734" t="s">
        <v>42</v>
      </c>
      <c r="G3734">
        <v>-302.09339999999997</v>
      </c>
      <c r="H3734" s="1">
        <v>-3.9080870000000002E-6</v>
      </c>
      <c r="I3734">
        <v>-22.599409999999999</v>
      </c>
      <c r="J3734">
        <v>-303.59249999999997</v>
      </c>
      <c r="K3734">
        <v>1.0486230000000001</v>
      </c>
      <c r="L3734">
        <v>4.0668639999999998</v>
      </c>
      <c r="M3734">
        <v>0.39022089999999998</v>
      </c>
      <c r="N3734">
        <v>0</v>
      </c>
      <c r="O3734">
        <v>-0.92061170000000003</v>
      </c>
      <c r="P3734">
        <v>0.26522030000000002</v>
      </c>
      <c r="Q3734">
        <v>6.9231569999999897E-3</v>
      </c>
      <c r="R3734">
        <v>-0.9641634</v>
      </c>
      <c r="S3734">
        <v>0.18133540000000001</v>
      </c>
      <c r="T3734">
        <v>-0.1195058</v>
      </c>
      <c r="U3734">
        <v>-3.0667719999999998</v>
      </c>
      <c r="V3734">
        <v>0.13237599999999999</v>
      </c>
      <c r="W3734">
        <v>1.9080739999999999E-2</v>
      </c>
      <c r="X3734">
        <v>0.99101589999999995</v>
      </c>
      <c r="Y3734">
        <v>0.33526070000000002</v>
      </c>
      <c r="Z3734">
        <v>3.3170900000000003E-2</v>
      </c>
      <c r="AA3734">
        <v>0.94154130000000003</v>
      </c>
      <c r="AB3734">
        <v>25</v>
      </c>
      <c r="AC3734">
        <v>1.4990999999999901</v>
      </c>
      <c r="AD3734">
        <v>-1.0486269080870001</v>
      </c>
      <c r="AE3734">
        <v>-26.666274000000001</v>
      </c>
      <c r="AF3734">
        <v>9.0126658929325405</v>
      </c>
      <c r="AG3734">
        <v>-1.0486269080870001</v>
      </c>
      <c r="AH3734">
        <v>25.098110713045902</v>
      </c>
      <c r="AI3734">
        <v>92.251859918624703</v>
      </c>
      <c r="AJ3734">
        <v>70.246919479692906</v>
      </c>
      <c r="AK3734">
        <v>26.687879763186601</v>
      </c>
      <c r="AL3734">
        <v>88.906687776716893</v>
      </c>
      <c r="AM3734">
        <v>82.391692734678401</v>
      </c>
      <c r="AN3734">
        <v>0.99999999703387799</v>
      </c>
    </row>
    <row r="3735" spans="1:40" x14ac:dyDescent="0.3">
      <c r="A3735" t="str">
        <f>"20200111153953377"</f>
        <v>20200111153953377</v>
      </c>
      <c r="B3735" t="str">
        <f>"1578728393374531"</f>
        <v>1578728393374531</v>
      </c>
      <c r="C3735" t="s">
        <v>40</v>
      </c>
      <c r="D3735">
        <v>5.5271910000000002</v>
      </c>
      <c r="E3735">
        <v>0.57844249999999997</v>
      </c>
      <c r="F3735" t="s">
        <v>42</v>
      </c>
      <c r="G3735">
        <v>-301.8843</v>
      </c>
      <c r="H3735" s="1">
        <v>-2.1726379999999999E-6</v>
      </c>
      <c r="I3735">
        <v>-26.51512</v>
      </c>
      <c r="J3735">
        <v>-303.4513</v>
      </c>
      <c r="K3735">
        <v>1.0489869999999999</v>
      </c>
      <c r="L3735">
        <v>3.6911930000000002</v>
      </c>
      <c r="M3735">
        <v>0.37768269999999998</v>
      </c>
      <c r="N3735">
        <v>0</v>
      </c>
      <c r="O3735">
        <v>-0.92582730000000002</v>
      </c>
      <c r="P3735">
        <v>0.25808029999999998</v>
      </c>
      <c r="Q3735">
        <v>7.8810419999999996E-3</v>
      </c>
      <c r="R3735">
        <v>-0.96609140000000004</v>
      </c>
      <c r="S3735">
        <v>0.17120360000000001</v>
      </c>
      <c r="T3735">
        <v>-0.1051021</v>
      </c>
      <c r="U3735">
        <v>-3.0651860000000002</v>
      </c>
      <c r="V3735">
        <v>0.12623789999999999</v>
      </c>
      <c r="W3735">
        <v>2.017391E-2</v>
      </c>
      <c r="X3735">
        <v>0.99179479999999998</v>
      </c>
      <c r="Y3735">
        <v>0.32551649999999999</v>
      </c>
      <c r="Z3735">
        <v>2.9519320000000002E-2</v>
      </c>
      <c r="AA3735">
        <v>0.94507549999999996</v>
      </c>
      <c r="AB3735">
        <v>25</v>
      </c>
      <c r="AC3735">
        <v>1.5669999999999999</v>
      </c>
      <c r="AD3735">
        <v>-1.0489891726379901</v>
      </c>
      <c r="AE3735">
        <v>-30.206313000000002</v>
      </c>
      <c r="AF3735">
        <v>9.9466608788332493</v>
      </c>
      <c r="AG3735">
        <v>-1.0489891726379901</v>
      </c>
      <c r="AH3735">
        <v>28.5261981162169</v>
      </c>
      <c r="AI3735">
        <v>91.988657148687096</v>
      </c>
      <c r="AJ3735">
        <v>70.777096594222698</v>
      </c>
      <c r="AK3735">
        <v>30.2288011652543</v>
      </c>
      <c r="AL3735">
        <v>88.844041635125294</v>
      </c>
      <c r="AM3735">
        <v>82.746266976837902</v>
      </c>
      <c r="AN3735">
        <v>0.99999995967406796</v>
      </c>
    </row>
    <row r="3736" spans="1:40" x14ac:dyDescent="0.3">
      <c r="A3736" t="str">
        <f>"20200111153953422"</f>
        <v>20200111153953422</v>
      </c>
      <c r="B3736" t="str">
        <f>"1578728393414547"</f>
        <v>1578728393414547</v>
      </c>
      <c r="C3736" t="s">
        <v>40</v>
      </c>
      <c r="D3736">
        <v>5.552416</v>
      </c>
      <c r="E3736">
        <v>0.57546759999999997</v>
      </c>
      <c r="F3736" t="s">
        <v>42</v>
      </c>
      <c r="G3736">
        <v>-301.99959999999999</v>
      </c>
      <c r="H3736" s="1">
        <v>-3.9997769999999998E-6</v>
      </c>
      <c r="I3736">
        <v>-22.30198</v>
      </c>
      <c r="J3736">
        <v>-303.27980000000002</v>
      </c>
      <c r="K3736">
        <v>1.04942</v>
      </c>
      <c r="L3736">
        <v>3.2158509999999998</v>
      </c>
      <c r="M3736">
        <v>0.36287199999999997</v>
      </c>
      <c r="N3736">
        <v>0</v>
      </c>
      <c r="O3736">
        <v>-0.93173340000000004</v>
      </c>
      <c r="P3736">
        <v>0.24857290000000001</v>
      </c>
      <c r="Q3736">
        <v>7.5699729999999998E-3</v>
      </c>
      <c r="R3736">
        <v>-0.96858379999999999</v>
      </c>
      <c r="S3736">
        <v>0.170929</v>
      </c>
      <c r="T3736">
        <v>-0.1235163</v>
      </c>
      <c r="U3736">
        <v>-3.060638</v>
      </c>
      <c r="V3736">
        <v>0.1201414</v>
      </c>
      <c r="W3736">
        <v>1.998894E-2</v>
      </c>
      <c r="X3736">
        <v>0.99255559999999998</v>
      </c>
      <c r="Y3736">
        <v>0.31041350000000001</v>
      </c>
      <c r="Z3736">
        <v>3.5192189999999998E-2</v>
      </c>
      <c r="AA3736">
        <v>0.94994999999999996</v>
      </c>
      <c r="AB3736">
        <v>25</v>
      </c>
      <c r="AC3736">
        <v>1.28020000000003</v>
      </c>
      <c r="AD3736">
        <v>-1.0494239997769901</v>
      </c>
      <c r="AE3736">
        <v>-25.517831000000001</v>
      </c>
      <c r="AF3736">
        <v>8.0541075836222404</v>
      </c>
      <c r="AG3736">
        <v>-1.0494239997769901</v>
      </c>
      <c r="AH3736">
        <v>24.201920208390899</v>
      </c>
      <c r="AI3736">
        <v>92.355977813453904</v>
      </c>
      <c r="AJ3736">
        <v>71.593178758534606</v>
      </c>
      <c r="AK3736">
        <v>25.528471976857301</v>
      </c>
      <c r="AL3736">
        <v>88.8546418957052</v>
      </c>
      <c r="AM3736">
        <v>83.098351570946804</v>
      </c>
      <c r="AN3736">
        <v>1.00000006640381</v>
      </c>
    </row>
    <row r="3737" spans="1:40" x14ac:dyDescent="0.3">
      <c r="A3737" t="str">
        <f>"20200111153953448"</f>
        <v>20200111153953448</v>
      </c>
      <c r="B3737" t="str">
        <f>"1578728393444805"</f>
        <v>1578728393444805</v>
      </c>
      <c r="C3737" t="s">
        <v>40</v>
      </c>
      <c r="D3737">
        <v>5.5455639999999997</v>
      </c>
      <c r="E3737">
        <v>0.5736462</v>
      </c>
      <c r="F3737" t="s">
        <v>42</v>
      </c>
      <c r="G3737">
        <v>-302.09010000000001</v>
      </c>
      <c r="H3737" s="1">
        <v>-1.2023060000000001E-6</v>
      </c>
      <c r="I3737">
        <v>-18.904640000000001</v>
      </c>
      <c r="J3737">
        <v>-303.18200000000002</v>
      </c>
      <c r="K3737">
        <v>1.0496559999999999</v>
      </c>
      <c r="L3737">
        <v>2.935883</v>
      </c>
      <c r="M3737">
        <v>0.35461120000000002</v>
      </c>
      <c r="N3737">
        <v>0</v>
      </c>
      <c r="O3737">
        <v>-0.93490949999999995</v>
      </c>
      <c r="P3737">
        <v>0.2428854</v>
      </c>
      <c r="Q3737">
        <v>8.1504969999999996E-3</v>
      </c>
      <c r="R3737">
        <v>-0.97002109999999997</v>
      </c>
      <c r="S3737">
        <v>0.16436770000000001</v>
      </c>
      <c r="T3737">
        <v>-0.14499319999999999</v>
      </c>
      <c r="U3737">
        <v>-3.0562740000000002</v>
      </c>
      <c r="V3737">
        <v>0.1171721</v>
      </c>
      <c r="W3737">
        <v>2.062777E-2</v>
      </c>
      <c r="X3737">
        <v>0.99289740000000004</v>
      </c>
      <c r="Y3737">
        <v>0.30396190000000001</v>
      </c>
      <c r="Z3737">
        <v>4.1633450000000002E-2</v>
      </c>
      <c r="AA3737">
        <v>0.95177409999999996</v>
      </c>
      <c r="AB3737">
        <v>25</v>
      </c>
      <c r="AC3737">
        <v>1.0919000000000001</v>
      </c>
      <c r="AD3737">
        <v>-1.049657202306</v>
      </c>
      <c r="AE3737">
        <v>-21.840523000000001</v>
      </c>
      <c r="AF3737">
        <v>6.7092642678254304</v>
      </c>
      <c r="AG3737">
        <v>-1.049657202306</v>
      </c>
      <c r="AH3737">
        <v>20.760310576696501</v>
      </c>
      <c r="AI3737">
        <v>92.754417372226698</v>
      </c>
      <c r="AJ3737">
        <v>72.090337168538596</v>
      </c>
      <c r="AK3737">
        <v>21.8427677389741</v>
      </c>
      <c r="AL3737">
        <v>88.818032037163206</v>
      </c>
      <c r="AM3737">
        <v>83.269637138134698</v>
      </c>
      <c r="AN3737">
        <v>1.0000000264201701</v>
      </c>
    </row>
    <row r="3738" spans="1:40" x14ac:dyDescent="0.3">
      <c r="A3738" t="str">
        <f>"20200111153953474"</f>
        <v>20200111153953474</v>
      </c>
      <c r="B3738" t="str">
        <f>"1578728393464324"</f>
        <v>1578728393464324</v>
      </c>
      <c r="C3738" t="s">
        <v>40</v>
      </c>
      <c r="D3738">
        <v>5.5912139999999999</v>
      </c>
      <c r="E3738">
        <v>0.57268949999999996</v>
      </c>
      <c r="F3738" t="s">
        <v>42</v>
      </c>
      <c r="G3738">
        <v>-302.07260000000002</v>
      </c>
      <c r="H3738" s="1">
        <v>-1.5115310000000001E-6</v>
      </c>
      <c r="I3738">
        <v>-18.172979999999999</v>
      </c>
      <c r="J3738">
        <v>-303.09300000000002</v>
      </c>
      <c r="K3738">
        <v>1.049885</v>
      </c>
      <c r="L3738">
        <v>2.6752929999999999</v>
      </c>
      <c r="M3738">
        <v>0.34724719999999998</v>
      </c>
      <c r="N3738">
        <v>0</v>
      </c>
      <c r="O3738">
        <v>-0.93767020000000001</v>
      </c>
      <c r="P3738">
        <v>0.23829520000000001</v>
      </c>
      <c r="Q3738">
        <v>8.6108720000000003E-3</v>
      </c>
      <c r="R3738">
        <v>-0.97115499999999999</v>
      </c>
      <c r="S3738">
        <v>0.16049189999999999</v>
      </c>
      <c r="T3738">
        <v>-0.15185470000000001</v>
      </c>
      <c r="U3738">
        <v>-3.053833</v>
      </c>
      <c r="V3738">
        <v>0.11404930000000001</v>
      </c>
      <c r="W3738">
        <v>2.1146930000000001E-2</v>
      </c>
      <c r="X3738">
        <v>0.99324999999999997</v>
      </c>
      <c r="Y3738">
        <v>0.29763070000000003</v>
      </c>
      <c r="Z3738">
        <v>4.3888940000000001E-2</v>
      </c>
      <c r="AA3738">
        <v>0.95367170000000001</v>
      </c>
      <c r="AB3738">
        <v>25</v>
      </c>
      <c r="AC3738">
        <v>1.02039999999999</v>
      </c>
      <c r="AD3738">
        <v>-1.0498865115310001</v>
      </c>
      <c r="AE3738">
        <v>-20.848272999999999</v>
      </c>
      <c r="AF3738">
        <v>6.2674590742177401</v>
      </c>
      <c r="AG3738">
        <v>-1.0498865115310001</v>
      </c>
      <c r="AH3738">
        <v>19.8548350374855</v>
      </c>
      <c r="AI3738">
        <v>92.886722186998099</v>
      </c>
      <c r="AJ3738">
        <v>72.480962695992204</v>
      </c>
      <c r="AK3738">
        <v>20.8470088813683</v>
      </c>
      <c r="AL3738">
        <v>88.788279836613</v>
      </c>
      <c r="AM3738">
        <v>83.449735624078201</v>
      </c>
      <c r="AN3738">
        <v>0.99999999898945702</v>
      </c>
    </row>
    <row r="3739" spans="1:40" x14ac:dyDescent="0.3">
      <c r="A3739" t="str">
        <f>"20200111153953512"</f>
        <v>20200111153953512</v>
      </c>
      <c r="B3739" t="str">
        <f>"1578728393504339"</f>
        <v>1578728393504339</v>
      </c>
      <c r="C3739" t="s">
        <v>40</v>
      </c>
      <c r="D3739">
        <v>5.5799810000000001</v>
      </c>
      <c r="E3739">
        <v>0.57212799999999997</v>
      </c>
      <c r="F3739" t="s">
        <v>42</v>
      </c>
      <c r="G3739">
        <v>-302.04430000000002</v>
      </c>
      <c r="H3739" s="1">
        <v>-1.490265E-6</v>
      </c>
      <c r="I3739">
        <v>-18.204989999999999</v>
      </c>
      <c r="J3739">
        <v>-302.96039999999999</v>
      </c>
      <c r="K3739">
        <v>1.0503100000000001</v>
      </c>
      <c r="L3739">
        <v>2.2767029999999999</v>
      </c>
      <c r="M3739">
        <v>0.336808099999999</v>
      </c>
      <c r="N3739">
        <v>0</v>
      </c>
      <c r="O3739">
        <v>-0.94147130000000001</v>
      </c>
      <c r="P3739">
        <v>0.23400580000000001</v>
      </c>
      <c r="Q3739">
        <v>1.1953129999999999E-2</v>
      </c>
      <c r="R3739">
        <v>-0.97216210000000003</v>
      </c>
      <c r="S3739">
        <v>0.15332029999999999</v>
      </c>
      <c r="T3739">
        <v>-0.15350139999999901</v>
      </c>
      <c r="U3739">
        <v>-3.0528559999999998</v>
      </c>
      <c r="V3739">
        <v>0.1073949</v>
      </c>
      <c r="W3739">
        <v>2.460977E-2</v>
      </c>
      <c r="X3739">
        <v>0.99391180000000001</v>
      </c>
      <c r="Y3739">
        <v>0.28923290000000001</v>
      </c>
      <c r="Z3739">
        <v>4.4729270000000002E-2</v>
      </c>
      <c r="AA3739">
        <v>0.95621319999999999</v>
      </c>
      <c r="AB3739">
        <v>25</v>
      </c>
      <c r="AC3739">
        <v>0.91609999999997105</v>
      </c>
      <c r="AD3739">
        <v>-1.0503114902649999</v>
      </c>
      <c r="AE3739">
        <v>-20.481693</v>
      </c>
      <c r="AF3739">
        <v>6.0206971096366297</v>
      </c>
      <c r="AG3739">
        <v>-1.0503114902649999</v>
      </c>
      <c r="AH3739">
        <v>19.542071036823199</v>
      </c>
      <c r="AI3739">
        <v>92.940341078697799</v>
      </c>
      <c r="AJ3739">
        <v>72.876510322922002</v>
      </c>
      <c r="AK3739">
        <v>20.475460637573299</v>
      </c>
      <c r="AL3739">
        <v>88.589821656099801</v>
      </c>
      <c r="AM3739">
        <v>83.832960252943593</v>
      </c>
      <c r="AN3739">
        <v>0.99999998575235105</v>
      </c>
    </row>
    <row r="3740" spans="1:40" x14ac:dyDescent="0.3">
      <c r="A3740" t="str">
        <f>"20200111153953543"</f>
        <v>20200111153953543</v>
      </c>
      <c r="B3740" t="str">
        <f>"1578728393534595"</f>
        <v>1578728393534595</v>
      </c>
      <c r="C3740" t="s">
        <v>40</v>
      </c>
      <c r="D3740">
        <v>5.551863</v>
      </c>
      <c r="E3740">
        <v>0.57183809999999902</v>
      </c>
      <c r="F3740" t="s">
        <v>42</v>
      </c>
      <c r="G3740">
        <v>-301.93340000000001</v>
      </c>
      <c r="H3740" s="1">
        <v>-8.7470849999999999E-7</v>
      </c>
      <c r="I3740">
        <v>-19.57105</v>
      </c>
      <c r="J3740">
        <v>-302.85410000000002</v>
      </c>
      <c r="K3740">
        <v>1.050686</v>
      </c>
      <c r="L3740">
        <v>1.948639</v>
      </c>
      <c r="M3740">
        <v>0.32887670000000002</v>
      </c>
      <c r="N3740">
        <v>0</v>
      </c>
      <c r="O3740">
        <v>-0.94427209999999995</v>
      </c>
      <c r="P3740">
        <v>0.22847819999999999</v>
      </c>
      <c r="Q3740">
        <v>1.667072E-2</v>
      </c>
      <c r="R3740">
        <v>-0.9734064</v>
      </c>
      <c r="S3740">
        <v>0.14352419999999999</v>
      </c>
      <c r="T3740">
        <v>-0.14677789999999999</v>
      </c>
      <c r="U3740">
        <v>-3.0531619999999999</v>
      </c>
      <c r="V3740">
        <v>0.104681</v>
      </c>
      <c r="W3740">
        <v>2.9387839999999998E-2</v>
      </c>
      <c r="X3740">
        <v>0.9940715</v>
      </c>
      <c r="Y3740">
        <v>0.28423920000000003</v>
      </c>
      <c r="Z3740">
        <v>4.300938E-2</v>
      </c>
      <c r="AA3740">
        <v>0.95778819999999998</v>
      </c>
      <c r="AB3740">
        <v>25</v>
      </c>
      <c r="AC3740">
        <v>0.92070000000000995</v>
      </c>
      <c r="AD3740">
        <v>-1.0506868747085001</v>
      </c>
      <c r="AE3740">
        <v>-21.519689</v>
      </c>
      <c r="AF3740">
        <v>6.1937858708297098</v>
      </c>
      <c r="AG3740">
        <v>-1.0506868747085001</v>
      </c>
      <c r="AH3740">
        <v>20.576240895465599</v>
      </c>
      <c r="AI3740">
        <v>92.799298721210604</v>
      </c>
      <c r="AJ3740">
        <v>73.247343950241003</v>
      </c>
      <c r="AK3740">
        <v>21.5139167914772</v>
      </c>
      <c r="AL3740">
        <v>88.315958256406304</v>
      </c>
      <c r="AM3740">
        <v>83.988605808333702</v>
      </c>
      <c r="AN3740">
        <v>0.999999952006556</v>
      </c>
    </row>
    <row r="3741" spans="1:40" x14ac:dyDescent="0.3">
      <c r="A3741" t="str">
        <f>"20200111153953578"</f>
        <v>20200111153953578</v>
      </c>
      <c r="B3741" t="str">
        <f>"1578728393574612"</f>
        <v>1578728393574612</v>
      </c>
      <c r="C3741" t="s">
        <v>40</v>
      </c>
      <c r="D3741">
        <v>5.6245419999999999</v>
      </c>
      <c r="E3741">
        <v>0.57135639999999999</v>
      </c>
      <c r="F3741" t="s">
        <v>42</v>
      </c>
      <c r="G3741">
        <v>-301.84519999999998</v>
      </c>
      <c r="H3741" s="1">
        <v>-4.0555189999999999E-6</v>
      </c>
      <c r="I3741">
        <v>-22.057649999999999</v>
      </c>
      <c r="J3741">
        <v>-302.73660000000001</v>
      </c>
      <c r="K3741">
        <v>1.051072</v>
      </c>
      <c r="L3741">
        <v>1.578522</v>
      </c>
      <c r="M3741">
        <v>0.32058389999999998</v>
      </c>
      <c r="N3741">
        <v>0</v>
      </c>
      <c r="O3741">
        <v>-0.94712059999999998</v>
      </c>
      <c r="P3741">
        <v>0.2255365</v>
      </c>
      <c r="Q3741">
        <v>2.4833899999999999E-2</v>
      </c>
      <c r="R3741">
        <v>-0.97391839999999996</v>
      </c>
      <c r="S3741">
        <v>0.1283569</v>
      </c>
      <c r="T3741">
        <v>-0.13367000000000001</v>
      </c>
      <c r="U3741">
        <v>-3.0541079999999998</v>
      </c>
      <c r="V3741">
        <v>9.8953899999999997E-2</v>
      </c>
      <c r="W3741">
        <v>3.7633420000000001E-2</v>
      </c>
      <c r="X3741">
        <v>0.99438009999999999</v>
      </c>
      <c r="Y3741">
        <v>0.28058549999999999</v>
      </c>
      <c r="Z3741">
        <v>3.9376580000000001E-2</v>
      </c>
      <c r="AA3741">
        <v>0.95902100000000001</v>
      </c>
      <c r="AB3741">
        <v>24</v>
      </c>
      <c r="AC3741">
        <v>0.89140000000003194</v>
      </c>
      <c r="AD3741">
        <v>-1.051076055519</v>
      </c>
      <c r="AE3741">
        <v>-23.636171999999998</v>
      </c>
      <c r="AF3741">
        <v>6.7204768999383004</v>
      </c>
      <c r="AG3741">
        <v>-1.051076055519</v>
      </c>
      <c r="AH3741">
        <v>22.629525331319901</v>
      </c>
      <c r="AI3741">
        <v>92.549417739153199</v>
      </c>
      <c r="AJ3741">
        <v>73.459725503071198</v>
      </c>
      <c r="AK3741">
        <v>23.629747932594199</v>
      </c>
      <c r="AL3741">
        <v>87.843254496930697</v>
      </c>
      <c r="AM3741">
        <v>84.317026233825999</v>
      </c>
      <c r="AN3741">
        <v>0.999999965951057</v>
      </c>
    </row>
    <row r="3742" spans="1:40" x14ac:dyDescent="0.3">
      <c r="A3742" t="str">
        <f>"20200111153953609"</f>
        <v>20200111153953609</v>
      </c>
      <c r="B3742" t="str">
        <f>"1578728393604868"</f>
        <v>1578728393604868</v>
      </c>
      <c r="C3742" t="s">
        <v>40</v>
      </c>
      <c r="D3742">
        <v>5.5787300000000002</v>
      </c>
      <c r="E3742">
        <v>0.57080600000000004</v>
      </c>
      <c r="F3742" t="s">
        <v>42</v>
      </c>
      <c r="G3742">
        <v>-301.6241</v>
      </c>
      <c r="H3742" s="1">
        <v>-2.2892999999999998E-6</v>
      </c>
      <c r="I3742">
        <v>-26.081810000000001</v>
      </c>
      <c r="J3742">
        <v>-302.63279999999997</v>
      </c>
      <c r="K3742">
        <v>1.0513239999999999</v>
      </c>
      <c r="L3742">
        <v>1.2434080000000001</v>
      </c>
      <c r="M3742">
        <v>0.313633099999999</v>
      </c>
      <c r="N3742">
        <v>0</v>
      </c>
      <c r="O3742">
        <v>-0.9494456</v>
      </c>
      <c r="P3742">
        <v>0.22040290000000001</v>
      </c>
      <c r="Q3742">
        <v>2.6190379999999999E-2</v>
      </c>
      <c r="R3742">
        <v>-0.97505710000000001</v>
      </c>
      <c r="S3742">
        <v>0.1228638</v>
      </c>
      <c r="T3742">
        <v>-0.116082</v>
      </c>
      <c r="U3742">
        <v>-3.05484</v>
      </c>
      <c r="V3742">
        <v>9.688012E-2</v>
      </c>
      <c r="W3742">
        <v>3.9015710000000002E-2</v>
      </c>
      <c r="X3742">
        <v>0.99453100000000005</v>
      </c>
      <c r="Y3742">
        <v>0.27527069999999998</v>
      </c>
      <c r="Z3742">
        <v>3.4357110000000003E-2</v>
      </c>
      <c r="AA3742">
        <v>0.96075270000000002</v>
      </c>
      <c r="AB3742">
        <v>24</v>
      </c>
      <c r="AC3742">
        <v>1.00869999999997</v>
      </c>
      <c r="AD3742">
        <v>-1.0513262892999999</v>
      </c>
      <c r="AE3742">
        <v>-27.325218</v>
      </c>
      <c r="AF3742">
        <v>7.6018624990958896</v>
      </c>
      <c r="AG3742">
        <v>-1.0513262892999999</v>
      </c>
      <c r="AH3742">
        <v>26.223863543967099</v>
      </c>
      <c r="AI3742">
        <v>92.205097794062894</v>
      </c>
      <c r="AJ3742">
        <v>73.834004059968194</v>
      </c>
      <c r="AK3742">
        <v>27.323700693616502</v>
      </c>
      <c r="AL3742">
        <v>87.763996834491493</v>
      </c>
      <c r="AM3742">
        <v>84.436208078588805</v>
      </c>
      <c r="AN3742">
        <v>0.99999994661950797</v>
      </c>
    </row>
    <row r="3743" spans="1:40" x14ac:dyDescent="0.3">
      <c r="A3743" t="str">
        <f>"20200111153953644"</f>
        <v>20200111153953644</v>
      </c>
      <c r="B3743" t="str">
        <f>"1578728393635127"</f>
        <v>1578728393635127</v>
      </c>
      <c r="C3743" t="s">
        <v>40</v>
      </c>
      <c r="D3743">
        <v>5.6095600000000001</v>
      </c>
      <c r="E3743">
        <v>0.57030689999999995</v>
      </c>
      <c r="F3743" t="s">
        <v>42</v>
      </c>
      <c r="G3743">
        <v>-301.63619999999997</v>
      </c>
      <c r="H3743" s="1">
        <v>-2.2972359999999999E-6</v>
      </c>
      <c r="I3743">
        <v>-26.070779999999999</v>
      </c>
      <c r="J3743">
        <v>-302.52109999999999</v>
      </c>
      <c r="K3743">
        <v>1.0518879999999999</v>
      </c>
      <c r="L3743">
        <v>0.87716669999999997</v>
      </c>
      <c r="M3743">
        <v>0.30454189999999998</v>
      </c>
      <c r="N3743">
        <v>0</v>
      </c>
      <c r="O3743">
        <v>-0.95239240000000003</v>
      </c>
      <c r="P3743">
        <v>0.21622620000000001</v>
      </c>
      <c r="Q3743">
        <v>2.8042029999999999E-2</v>
      </c>
      <c r="R3743">
        <v>-0.97594080000000005</v>
      </c>
      <c r="S3743">
        <v>0.1114502</v>
      </c>
      <c r="T3743">
        <v>-0.11757529999999999</v>
      </c>
      <c r="U3743">
        <v>-3.0546880000000001</v>
      </c>
      <c r="V3743">
        <v>9.160364E-2</v>
      </c>
      <c r="W3743">
        <v>4.1554710000000002E-2</v>
      </c>
      <c r="X3743">
        <v>0.99492809999999998</v>
      </c>
      <c r="Y3743">
        <v>0.26966099999999998</v>
      </c>
      <c r="Z3743">
        <v>3.5002499999999999E-2</v>
      </c>
      <c r="AA3743">
        <v>0.96231900000000004</v>
      </c>
      <c r="AB3743">
        <v>24</v>
      </c>
      <c r="AC3743">
        <v>0.88490000000001501</v>
      </c>
      <c r="AD3743">
        <v>-1.051890297236</v>
      </c>
      <c r="AE3743">
        <v>-26.947946699999999</v>
      </c>
      <c r="AF3743">
        <v>7.35356192418317</v>
      </c>
      <c r="AG3743">
        <v>-1.051890297236</v>
      </c>
      <c r="AH3743">
        <v>25.8977238766509</v>
      </c>
      <c r="AI3743">
        <v>92.237551412417304</v>
      </c>
      <c r="AJ3743">
        <v>74.148302694839998</v>
      </c>
      <c r="AK3743">
        <v>26.942038678642501</v>
      </c>
      <c r="AL3743">
        <v>87.618404676174507</v>
      </c>
      <c r="AM3743">
        <v>84.739573217305207</v>
      </c>
      <c r="AN3743">
        <v>0.99999997247702099</v>
      </c>
    </row>
    <row r="3744" spans="1:40" x14ac:dyDescent="0.3">
      <c r="A3744" t="str">
        <f>"20200111153953690"</f>
        <v>20200111153953690</v>
      </c>
      <c r="B3744" t="str">
        <f>"1578728393684900"</f>
        <v>1578728393684900</v>
      </c>
      <c r="C3744" t="s">
        <v>40</v>
      </c>
      <c r="D3744">
        <v>5.5074959999999997</v>
      </c>
      <c r="E3744">
        <v>0.55601699999999998</v>
      </c>
      <c r="F3744" t="s">
        <v>42</v>
      </c>
      <c r="G3744">
        <v>-301.62240000000003</v>
      </c>
      <c r="H3744" s="1">
        <v>-2.3557000000000002E-6</v>
      </c>
      <c r="I3744">
        <v>-25.92595</v>
      </c>
      <c r="J3744">
        <v>-302.38170000000002</v>
      </c>
      <c r="K3744">
        <v>1.05146299999999</v>
      </c>
      <c r="L3744">
        <v>0.40747070000000002</v>
      </c>
      <c r="M3744">
        <v>0.29703269999999998</v>
      </c>
      <c r="N3744">
        <v>0</v>
      </c>
      <c r="O3744">
        <v>-0.95476039999999995</v>
      </c>
      <c r="P3744">
        <v>0.21748049999999999</v>
      </c>
      <c r="Q3744">
        <v>3.5744949999999998E-2</v>
      </c>
      <c r="R3744">
        <v>-0.97541040000000001</v>
      </c>
      <c r="S3744">
        <v>0.10241699999999999</v>
      </c>
      <c r="T3744">
        <v>-0.11988269999999999</v>
      </c>
      <c r="U3744">
        <v>-3.0547179999999998</v>
      </c>
      <c r="V3744">
        <v>8.2632269999999994E-2</v>
      </c>
      <c r="W3744">
        <v>4.9088590000000001E-2</v>
      </c>
      <c r="X3744">
        <v>0.99537039999999999</v>
      </c>
      <c r="Y3744">
        <v>0.264918599999999</v>
      </c>
      <c r="Z3744">
        <v>3.5854150000000001E-2</v>
      </c>
      <c r="AA3744">
        <v>0.96360400000000002</v>
      </c>
      <c r="AB3744">
        <v>24</v>
      </c>
      <c r="AC3744">
        <v>0.75929999999999598</v>
      </c>
      <c r="AD3744">
        <v>-1.05146535569999</v>
      </c>
      <c r="AE3744">
        <v>-26.333420699999898</v>
      </c>
      <c r="AF3744">
        <v>7.0863734644411798</v>
      </c>
      <c r="AG3744">
        <v>-1.05146535569999</v>
      </c>
      <c r="AH3744">
        <v>25.329883673936099</v>
      </c>
      <c r="AI3744">
        <v>92.289232771043004</v>
      </c>
      <c r="AJ3744">
        <v>74.370326874823803</v>
      </c>
      <c r="AK3744">
        <v>26.323473843832002</v>
      </c>
      <c r="AL3744">
        <v>87.186300195368901</v>
      </c>
      <c r="AM3744">
        <v>85.254380900532794</v>
      </c>
      <c r="AN3744">
        <v>1.0000000074548501</v>
      </c>
    </row>
    <row r="3745" spans="1:40" x14ac:dyDescent="0.3">
      <c r="A3745" t="str">
        <f>"20200111153953734"</f>
        <v>20200111153953734</v>
      </c>
      <c r="B3745" t="str">
        <f>"1578728393724919"</f>
        <v>1578728393724919</v>
      </c>
      <c r="C3745" t="s">
        <v>40</v>
      </c>
      <c r="D3745">
        <v>3.0067379999999999</v>
      </c>
      <c r="E3745">
        <v>0.55525829999999998</v>
      </c>
      <c r="F3745" t="s">
        <v>42</v>
      </c>
      <c r="G3745">
        <v>-300.94499999999999</v>
      </c>
      <c r="H3745" s="1">
        <v>-5.6690419999999896E-7</v>
      </c>
      <c r="I3745">
        <v>-19.675540000000002</v>
      </c>
      <c r="J3745">
        <v>-302.25139999999999</v>
      </c>
      <c r="K3745">
        <v>1.053247</v>
      </c>
      <c r="L3745">
        <v>-5.1055910000000003E-2</v>
      </c>
      <c r="M3745">
        <v>0.29205730000000002</v>
      </c>
      <c r="N3745">
        <v>0</v>
      </c>
      <c r="O3745">
        <v>-0.95633710000000005</v>
      </c>
      <c r="P3745">
        <v>0.22220190000000001</v>
      </c>
      <c r="Q3745">
        <v>4.0514479999999999E-2</v>
      </c>
      <c r="R3745">
        <v>-0.97415890000000005</v>
      </c>
      <c r="S3745">
        <v>0.21698000000000001</v>
      </c>
      <c r="T3745">
        <v>-0.15879960000000001</v>
      </c>
      <c r="U3745">
        <v>-3.0330810000000001</v>
      </c>
      <c r="V3745">
        <v>7.2557449999999996E-2</v>
      </c>
      <c r="W3745">
        <v>5.0771160000000003E-2</v>
      </c>
      <c r="X3745">
        <v>0.99607120000000005</v>
      </c>
      <c r="Y3745">
        <v>0.2231679</v>
      </c>
      <c r="Z3745">
        <v>4.8157789999999999E-2</v>
      </c>
      <c r="AA3745">
        <v>0.9735897</v>
      </c>
      <c r="AB3745">
        <v>24</v>
      </c>
      <c r="AC3745">
        <v>1.30639999999999</v>
      </c>
      <c r="AD3745">
        <v>-1.0532475669042001</v>
      </c>
      <c r="AE3745">
        <v>-19.624484089999999</v>
      </c>
      <c r="AF3745">
        <v>4.4695705318792598</v>
      </c>
      <c r="AG3745">
        <v>-1.0532475669042001</v>
      </c>
      <c r="AH3745">
        <v>19.095571284745599</v>
      </c>
      <c r="AI3745">
        <v>93.074123658328304</v>
      </c>
      <c r="AJ3745">
        <v>76.826325008588896</v>
      </c>
      <c r="AK3745">
        <v>19.639939762316899</v>
      </c>
      <c r="AL3745">
        <v>87.089775799472804</v>
      </c>
      <c r="AM3745">
        <v>85.833725597469794</v>
      </c>
      <c r="AN3745">
        <v>1.0000000648538401</v>
      </c>
    </row>
    <row r="3746" spans="1:40" x14ac:dyDescent="0.3">
      <c r="A3746" t="str">
        <f>"20200111153953765"</f>
        <v>20200111153953765</v>
      </c>
      <c r="B3746" t="str">
        <f>"1578728393754195"</f>
        <v>1578728393754195</v>
      </c>
      <c r="C3746" t="s">
        <v>40</v>
      </c>
      <c r="D3746">
        <v>6.0037919999999998</v>
      </c>
      <c r="E3746">
        <v>0.59709109999999999</v>
      </c>
      <c r="F3746" t="s">
        <v>42</v>
      </c>
      <c r="G3746">
        <v>-301.25299999999999</v>
      </c>
      <c r="H3746" s="1">
        <v>-3.543521E-6</v>
      </c>
      <c r="I3746">
        <v>-12.92797</v>
      </c>
      <c r="J3746">
        <v>-302.16129999999998</v>
      </c>
      <c r="K3746">
        <v>1.056162</v>
      </c>
      <c r="L3746">
        <v>-0.37203979999999998</v>
      </c>
      <c r="M3746">
        <v>0.28453089999999998</v>
      </c>
      <c r="N3746">
        <v>0</v>
      </c>
      <c r="O3746">
        <v>-0.95862449999999999</v>
      </c>
      <c r="P3746">
        <v>0.2186331</v>
      </c>
      <c r="Q3746">
        <v>4.3524590000000002E-2</v>
      </c>
      <c r="R3746">
        <v>-0.97483620000000004</v>
      </c>
      <c r="S3746">
        <v>0.2354126</v>
      </c>
      <c r="T3746">
        <v>-0.24834419999999999</v>
      </c>
      <c r="U3746">
        <v>-3.0362239999999998</v>
      </c>
      <c r="V3746">
        <v>6.8230460000000007E-2</v>
      </c>
      <c r="W3746">
        <v>5.1957870000000003E-2</v>
      </c>
      <c r="X3746">
        <v>0.99631570000000003</v>
      </c>
      <c r="Y3746">
        <v>0.20980309999999999</v>
      </c>
      <c r="Z3746">
        <v>7.5472719999999993E-2</v>
      </c>
      <c r="AA3746">
        <v>0.97482639999999998</v>
      </c>
      <c r="AB3746">
        <v>24</v>
      </c>
      <c r="AC3746">
        <v>0.908299999999997</v>
      </c>
      <c r="AD3746">
        <v>-1.056165543521</v>
      </c>
      <c r="AE3746">
        <v>-12.555930199999899</v>
      </c>
      <c r="AF3746">
        <v>2.68305570821301</v>
      </c>
      <c r="AG3746">
        <v>-1.056165543521</v>
      </c>
      <c r="AH3746">
        <v>12.2094213122355</v>
      </c>
      <c r="AI3746">
        <v>94.829346467248996</v>
      </c>
      <c r="AJ3746">
        <v>77.606086502558597</v>
      </c>
      <c r="AK3746">
        <v>12.545287655863699</v>
      </c>
      <c r="AL3746">
        <v>87.021692245193407</v>
      </c>
      <c r="AM3746">
        <v>86.082343067348603</v>
      </c>
      <c r="AN3746">
        <v>0.99999999499661896</v>
      </c>
    </row>
    <row r="3747" spans="1:40" x14ac:dyDescent="0.3">
      <c r="A3747" t="str">
        <f>"20200111153953803"</f>
        <v>20200111153953803</v>
      </c>
      <c r="B3747" t="str">
        <f>"1578728393794211"</f>
        <v>1578728393794211</v>
      </c>
      <c r="C3747" t="s">
        <v>40</v>
      </c>
      <c r="D3747">
        <v>5.4775039999999997</v>
      </c>
      <c r="E3747">
        <v>0.56765069999999995</v>
      </c>
      <c r="F3747" t="s">
        <v>42</v>
      </c>
      <c r="G3747">
        <v>-302.27800000000002</v>
      </c>
      <c r="H3747" s="1">
        <v>-3.2543989999999999E-6</v>
      </c>
      <c r="I3747">
        <v>-3.860274</v>
      </c>
      <c r="J3747">
        <v>-302.0523</v>
      </c>
      <c r="K3747">
        <v>1.0591120000000001</v>
      </c>
      <c r="L3747">
        <v>-0.76962280000000005</v>
      </c>
      <c r="M3747">
        <v>0.27554250000000002</v>
      </c>
      <c r="N3747">
        <v>0</v>
      </c>
      <c r="O3747">
        <v>-0.96126789999999995</v>
      </c>
      <c r="P3747">
        <v>0.21701509999999999</v>
      </c>
      <c r="Q3747">
        <v>4.893202E-2</v>
      </c>
      <c r="R3747">
        <v>-0.97494099999999995</v>
      </c>
      <c r="S3747">
        <v>-0.1051636</v>
      </c>
      <c r="T3747">
        <v>-0.95179360000000002</v>
      </c>
      <c r="U3747">
        <v>-3.1435240000000002</v>
      </c>
      <c r="V3747">
        <v>6.0467960000000001E-2</v>
      </c>
      <c r="W3747">
        <v>5.4791960000000001E-2</v>
      </c>
      <c r="X3747">
        <v>0.99666520000000003</v>
      </c>
      <c r="Y3747">
        <v>0.30598219999999998</v>
      </c>
      <c r="Z3747">
        <v>0.26613140000000002</v>
      </c>
      <c r="AA3747">
        <v>0.91408370000000005</v>
      </c>
      <c r="AB3747">
        <v>24</v>
      </c>
      <c r="AC3747">
        <v>-0.225700000000017</v>
      </c>
      <c r="AD3747">
        <v>-1.0591152543989999</v>
      </c>
      <c r="AE3747">
        <v>-3.0906511999999999</v>
      </c>
      <c r="AF3747">
        <v>0.95682020723146799</v>
      </c>
      <c r="AG3747">
        <v>-1.0591152543989999</v>
      </c>
      <c r="AH3747">
        <v>2.6045746046649199</v>
      </c>
      <c r="AI3747">
        <v>110.89163809179099</v>
      </c>
      <c r="AJ3747">
        <v>69.828615880196196</v>
      </c>
      <c r="AK3747">
        <v>2.97002338413902</v>
      </c>
      <c r="AL3747">
        <v>86.859079096054501</v>
      </c>
      <c r="AM3747">
        <v>86.528104534625598</v>
      </c>
      <c r="AN3747">
        <v>1.00000002697912</v>
      </c>
    </row>
    <row r="3748" spans="1:40" x14ac:dyDescent="0.3">
      <c r="A3748" t="str">
        <f>"20200111153953845"</f>
        <v>20200111153953845</v>
      </c>
      <c r="B3748" t="str">
        <f>"1578728393834239"</f>
        <v>1578728393834239</v>
      </c>
      <c r="C3748" t="s">
        <v>40</v>
      </c>
      <c r="D3748">
        <v>5.5328889999999999</v>
      </c>
      <c r="E3748">
        <v>0.56365699999999996</v>
      </c>
      <c r="F3748" t="s">
        <v>42</v>
      </c>
      <c r="G3748">
        <v>-301.33620000000002</v>
      </c>
      <c r="H3748" s="1">
        <v>-9.6386960000000005E-7</v>
      </c>
      <c r="I3748">
        <v>-18.99286</v>
      </c>
      <c r="J3748">
        <v>-301.93509999999998</v>
      </c>
      <c r="K3748">
        <v>1.0619339999999999</v>
      </c>
      <c r="L3748">
        <v>-1.2178340000000001</v>
      </c>
      <c r="M3748">
        <v>0.26731510000000003</v>
      </c>
      <c r="N3748">
        <v>0</v>
      </c>
      <c r="O3748">
        <v>-0.96360290000000004</v>
      </c>
      <c r="P3748">
        <v>0.21593619999999999</v>
      </c>
      <c r="Q3748">
        <v>5.5769810000000003E-2</v>
      </c>
      <c r="R3748">
        <v>-0.9748135</v>
      </c>
      <c r="S3748">
        <v>0.1202087</v>
      </c>
      <c r="T3748">
        <v>-0.17780079999999901</v>
      </c>
      <c r="U3748">
        <v>-3.0592649999999999</v>
      </c>
      <c r="V3748">
        <v>5.300966E-2</v>
      </c>
      <c r="W3748">
        <v>5.878187E-2</v>
      </c>
      <c r="X3748">
        <v>0.99686240000000004</v>
      </c>
      <c r="Y3748">
        <v>0.2293299</v>
      </c>
      <c r="Z3748">
        <v>5.4067369999999997E-2</v>
      </c>
      <c r="AA3748">
        <v>0.97184590000000004</v>
      </c>
      <c r="AB3748">
        <v>24</v>
      </c>
      <c r="AC3748">
        <v>0.59889999999995702</v>
      </c>
      <c r="AD3748">
        <v>-1.0619349638695901</v>
      </c>
      <c r="AE3748">
        <v>-17.775026</v>
      </c>
      <c r="AF3748">
        <v>4.1596264513015102</v>
      </c>
      <c r="AG3748">
        <v>-1.0619349638695901</v>
      </c>
      <c r="AH3748">
        <v>17.226849129642499</v>
      </c>
      <c r="AI3748">
        <v>93.429181941460797</v>
      </c>
      <c r="AJ3748">
        <v>76.425098181384996</v>
      </c>
      <c r="AK3748">
        <v>17.7537187376989</v>
      </c>
      <c r="AL3748">
        <v>86.630104323356306</v>
      </c>
      <c r="AM3748">
        <v>86.956077583102996</v>
      </c>
      <c r="AN3748">
        <v>0.99999998841388604</v>
      </c>
    </row>
    <row r="3749" spans="1:40" x14ac:dyDescent="0.3">
      <c r="A3749" t="str">
        <f>"20200111153953874"</f>
        <v>20200111153953874</v>
      </c>
      <c r="B3749" t="str">
        <f>"1578728393864484"</f>
        <v>1578728393864484</v>
      </c>
      <c r="C3749" t="s">
        <v>40</v>
      </c>
      <c r="D3749">
        <v>5.4844229999999996</v>
      </c>
      <c r="E3749">
        <v>0.56246090000000004</v>
      </c>
      <c r="F3749" t="s">
        <v>42</v>
      </c>
      <c r="G3749">
        <v>-300.73079999999999</v>
      </c>
      <c r="H3749" s="1">
        <v>-1.9369750000000002E-6</v>
      </c>
      <c r="I3749">
        <v>-26.34901</v>
      </c>
      <c r="J3749">
        <v>-301.85950000000003</v>
      </c>
      <c r="K3749">
        <v>1.0640559999999999</v>
      </c>
      <c r="L3749">
        <v>-1.516357</v>
      </c>
      <c r="M3749">
        <v>0.26102189999999997</v>
      </c>
      <c r="N3749">
        <v>0</v>
      </c>
      <c r="O3749">
        <v>-0.96533069999999999</v>
      </c>
      <c r="P3749">
        <v>0.2135068</v>
      </c>
      <c r="Q3749">
        <v>5.8107520000000003E-2</v>
      </c>
      <c r="R3749">
        <v>-0.97521199999999997</v>
      </c>
      <c r="S3749">
        <v>0.14627079999999901</v>
      </c>
      <c r="T3749">
        <v>-0.12898519999999999</v>
      </c>
      <c r="U3749">
        <v>-3.0524900000000001</v>
      </c>
      <c r="V3749">
        <v>4.8939410000000003E-2</v>
      </c>
      <c r="W3749">
        <v>5.9795290000000001E-2</v>
      </c>
      <c r="X3749">
        <v>0.99701019999999896</v>
      </c>
      <c r="Y3749">
        <v>0.214555</v>
      </c>
      <c r="Z3749">
        <v>3.9513840000000001E-2</v>
      </c>
      <c r="AA3749">
        <v>0.97591229999999995</v>
      </c>
      <c r="AB3749">
        <v>24</v>
      </c>
      <c r="AC3749">
        <v>1.12870000000003</v>
      </c>
      <c r="AD3749">
        <v>-1.0640579369749901</v>
      </c>
      <c r="AE3749">
        <v>-24.832653000000001</v>
      </c>
      <c r="AF3749">
        <v>5.3824467877765798</v>
      </c>
      <c r="AG3749">
        <v>-1.0640579369749901</v>
      </c>
      <c r="AH3749">
        <v>24.222007660446501</v>
      </c>
      <c r="AI3749">
        <v>92.455532295097399</v>
      </c>
      <c r="AJ3749">
        <v>77.471691764246202</v>
      </c>
      <c r="AK3749">
        <v>24.8356318184019</v>
      </c>
      <c r="AL3749">
        <v>86.571937145157094</v>
      </c>
      <c r="AM3749">
        <v>87.189825296410902</v>
      </c>
      <c r="AN3749">
        <v>0.99999994073068399</v>
      </c>
    </row>
    <row r="3750" spans="1:40" x14ac:dyDescent="0.3">
      <c r="A3750" t="str">
        <f>"20200111153953899"</f>
        <v>20200111153953899</v>
      </c>
      <c r="B3750" t="str">
        <f>"1578728393894740"</f>
        <v>1578728393894740</v>
      </c>
      <c r="C3750" t="s">
        <v>40</v>
      </c>
      <c r="D3750">
        <v>5.4424340000000004</v>
      </c>
      <c r="E3750">
        <v>0.56250129999999998</v>
      </c>
      <c r="F3750" t="s">
        <v>42</v>
      </c>
      <c r="G3750">
        <v>-300.5154</v>
      </c>
      <c r="H3750" s="1">
        <v>-5.9102419999999899E-7</v>
      </c>
      <c r="I3750">
        <v>-29.352869999999999</v>
      </c>
      <c r="J3750">
        <v>-301.7946</v>
      </c>
      <c r="K3750">
        <v>1.0659430000000001</v>
      </c>
      <c r="L3750">
        <v>-1.7767329999999999</v>
      </c>
      <c r="M3750">
        <v>0.25435000000000002</v>
      </c>
      <c r="N3750">
        <v>0</v>
      </c>
      <c r="O3750">
        <v>-0.96711060000000004</v>
      </c>
      <c r="P3750">
        <v>0.2109975</v>
      </c>
      <c r="Q3750">
        <v>5.9543659999999998E-2</v>
      </c>
      <c r="R3750">
        <v>-0.97567130000000002</v>
      </c>
      <c r="S3750">
        <v>0.147308299999999</v>
      </c>
      <c r="T3750">
        <v>-0.11662260000000001</v>
      </c>
      <c r="U3750">
        <v>-3.0509339999999998</v>
      </c>
      <c r="V3750">
        <v>4.461818E-2</v>
      </c>
      <c r="W3750">
        <v>6.0879059999999999E-2</v>
      </c>
      <c r="X3750">
        <v>0.99714740000000002</v>
      </c>
      <c r="Y3750">
        <v>0.20744370000000001</v>
      </c>
      <c r="Z3750">
        <v>3.5881089999999997E-2</v>
      </c>
      <c r="AA3750">
        <v>0.97758869999999998</v>
      </c>
      <c r="AB3750">
        <v>24</v>
      </c>
      <c r="AC3750">
        <v>1.2791999999999999</v>
      </c>
      <c r="AD3750">
        <v>-1.0659435910242001</v>
      </c>
      <c r="AE3750">
        <v>-27.576136999999999</v>
      </c>
      <c r="AF3750">
        <v>5.7682714050496697</v>
      </c>
      <c r="AG3750">
        <v>-1.0659435910242001</v>
      </c>
      <c r="AH3750">
        <v>26.954393522907399</v>
      </c>
      <c r="AI3750">
        <v>92.214559513955194</v>
      </c>
      <c r="AJ3750">
        <v>77.920831970592303</v>
      </c>
      <c r="AK3750">
        <v>27.585295375060099</v>
      </c>
      <c r="AL3750">
        <v>86.509728521167105</v>
      </c>
      <c r="AM3750">
        <v>87.437962234739601</v>
      </c>
      <c r="AN3750">
        <v>0.99999998962987702</v>
      </c>
    </row>
    <row r="3751" spans="1:40" x14ac:dyDescent="0.3">
      <c r="A3751" t="str">
        <f>"20200111153953936"</f>
        <v>20200111153953936</v>
      </c>
      <c r="B3751" t="str">
        <f>"1578728393924995"</f>
        <v>1578728393924995</v>
      </c>
      <c r="C3751" t="s">
        <v>40</v>
      </c>
      <c r="D3751">
        <v>5.4615910000000003</v>
      </c>
      <c r="E3751">
        <v>0.56255599999999994</v>
      </c>
      <c r="F3751" t="s">
        <v>42</v>
      </c>
      <c r="G3751">
        <v>-300.4753</v>
      </c>
      <c r="H3751" s="1">
        <v>-4.233216E-6</v>
      </c>
      <c r="I3751">
        <v>-30.821459999999998</v>
      </c>
      <c r="J3751">
        <v>-301.70339999999999</v>
      </c>
      <c r="K3751">
        <v>1.0684499999999999</v>
      </c>
      <c r="L3751">
        <v>-2.1512150000000001</v>
      </c>
      <c r="M3751">
        <v>0.24745010000000001</v>
      </c>
      <c r="N3751">
        <v>0</v>
      </c>
      <c r="O3751">
        <v>-0.96889829999999999</v>
      </c>
      <c r="P3751">
        <v>0.21221290000000001</v>
      </c>
      <c r="Q3751">
        <v>6.4017329999999997E-2</v>
      </c>
      <c r="R3751">
        <v>-0.97512460000000001</v>
      </c>
      <c r="S3751">
        <v>0.13861080000000001</v>
      </c>
      <c r="T3751">
        <v>-0.11199679999999999</v>
      </c>
      <c r="U3751">
        <v>-3.051666</v>
      </c>
      <c r="V3751">
        <v>3.638284E-2</v>
      </c>
      <c r="W3751">
        <v>6.5826300000000004E-2</v>
      </c>
      <c r="X3751">
        <v>0.99716760000000004</v>
      </c>
      <c r="Y3751">
        <v>0.20325860000000001</v>
      </c>
      <c r="Z3751">
        <v>3.4567710000000001E-2</v>
      </c>
      <c r="AA3751">
        <v>0.97851469999999896</v>
      </c>
      <c r="AB3751">
        <v>24</v>
      </c>
      <c r="AC3751">
        <v>1.22809999999998</v>
      </c>
      <c r="AD3751">
        <v>-1.0684542332160001</v>
      </c>
      <c r="AE3751">
        <v>-28.670245000000001</v>
      </c>
      <c r="AF3751">
        <v>5.8963902861603001</v>
      </c>
      <c r="AG3751">
        <v>-1.0684542332160001</v>
      </c>
      <c r="AH3751">
        <v>28.043632247548899</v>
      </c>
      <c r="AI3751">
        <v>92.135254271702095</v>
      </c>
      <c r="AJ3751">
        <v>78.126078818087805</v>
      </c>
      <c r="AK3751">
        <v>28.6767209159445</v>
      </c>
      <c r="AL3751">
        <v>86.225701805458499</v>
      </c>
      <c r="AM3751">
        <v>87.910422592027899</v>
      </c>
      <c r="AN3751">
        <v>1.0000000176539501</v>
      </c>
    </row>
    <row r="3752" spans="1:40" x14ac:dyDescent="0.3">
      <c r="A3752" t="str">
        <f>"20200111153953964"</f>
        <v>20200111153953964</v>
      </c>
      <c r="B3752" t="str">
        <f>"1578728393954276"</f>
        <v>1578728393954276</v>
      </c>
      <c r="C3752" t="s">
        <v>40</v>
      </c>
      <c r="D3752">
        <v>5.4842620000000002</v>
      </c>
      <c r="E3752">
        <v>0.56284019999999901</v>
      </c>
      <c r="F3752" t="s">
        <v>42</v>
      </c>
      <c r="G3752">
        <v>-300.14049999999997</v>
      </c>
      <c r="H3752" s="1">
        <v>-1.8563760000000001E-6</v>
      </c>
      <c r="I3752">
        <v>-36.170749999999998</v>
      </c>
      <c r="J3752">
        <v>-301.63549999999998</v>
      </c>
      <c r="K3752">
        <v>1.0712360000000001</v>
      </c>
      <c r="L3752">
        <v>-2.4435730000000002</v>
      </c>
      <c r="M3752">
        <v>0.24386669999999999</v>
      </c>
      <c r="N3752">
        <v>0</v>
      </c>
      <c r="O3752">
        <v>-0.96980500000000003</v>
      </c>
      <c r="P3752">
        <v>0.2125735</v>
      </c>
      <c r="Q3752">
        <v>6.5250920000000004E-2</v>
      </c>
      <c r="R3752">
        <v>-0.97496380000000005</v>
      </c>
      <c r="S3752">
        <v>0.1402283</v>
      </c>
      <c r="T3752">
        <v>-9.5863820000000002E-2</v>
      </c>
      <c r="U3752">
        <v>-3.0523069999999999</v>
      </c>
      <c r="V3752">
        <v>3.2374229999999997E-2</v>
      </c>
      <c r="W3752">
        <v>6.7546220000000004E-2</v>
      </c>
      <c r="X3752">
        <v>0.99719080000000004</v>
      </c>
      <c r="Y3752">
        <v>0.19912250000000001</v>
      </c>
      <c r="Z3752">
        <v>2.964292E-2</v>
      </c>
      <c r="AA3752">
        <v>0.97952620000000001</v>
      </c>
      <c r="AB3752">
        <v>24</v>
      </c>
      <c r="AC3752">
        <v>1.4950000000000001</v>
      </c>
      <c r="AD3752">
        <v>-1.0712378563760001</v>
      </c>
      <c r="AE3752">
        <v>-33.727176999999998</v>
      </c>
      <c r="AF3752">
        <v>6.7682870262503103</v>
      </c>
      <c r="AG3752">
        <v>-1.0712378563760001</v>
      </c>
      <c r="AH3752">
        <v>33.040220104791302</v>
      </c>
      <c r="AI3752">
        <v>91.819254155387995</v>
      </c>
      <c r="AJ3752">
        <v>78.423125205618803</v>
      </c>
      <c r="AK3752">
        <v>33.743346075748001</v>
      </c>
      <c r="AL3752">
        <v>86.126937863877004</v>
      </c>
      <c r="AM3752">
        <v>88.140520888680399</v>
      </c>
      <c r="AN3752">
        <v>1.0000000371045099</v>
      </c>
    </row>
    <row r="3753" spans="1:40" x14ac:dyDescent="0.3">
      <c r="A3753" t="str">
        <f>"20200111153954004"</f>
        <v>20200111153954004</v>
      </c>
      <c r="B3753" t="str">
        <f>"1578728393994291"</f>
        <v>1578728393994291</v>
      </c>
      <c r="C3753" t="s">
        <v>40</v>
      </c>
      <c r="D3753">
        <v>5.6978549999999997</v>
      </c>
      <c r="E3753">
        <v>0.56148739999999997</v>
      </c>
      <c r="F3753" t="s">
        <v>42</v>
      </c>
      <c r="G3753">
        <v>-300.03609999999998</v>
      </c>
      <c r="H3753" s="1">
        <v>-1.1685079999999999E-6</v>
      </c>
      <c r="I3753">
        <v>-37.709479999999999</v>
      </c>
      <c r="J3753">
        <v>-301.54169999999999</v>
      </c>
      <c r="K3753">
        <v>1.0763529999999999</v>
      </c>
      <c r="L3753">
        <v>-2.8594970000000002</v>
      </c>
      <c r="M3753">
        <v>0.23637520000000001</v>
      </c>
      <c r="N3753">
        <v>0</v>
      </c>
      <c r="O3753">
        <v>-0.97165659999999998</v>
      </c>
      <c r="P3753">
        <v>0.21058979999999999</v>
      </c>
      <c r="Q3753">
        <v>6.7809579999999994E-2</v>
      </c>
      <c r="R3753">
        <v>-0.97521999999999998</v>
      </c>
      <c r="S3753">
        <v>0.13845829999999901</v>
      </c>
      <c r="T3753">
        <v>-9.2740059999999999E-2</v>
      </c>
      <c r="U3753">
        <v>-3.05307</v>
      </c>
      <c r="V3753">
        <v>2.6609589999999999E-2</v>
      </c>
      <c r="W3753">
        <v>7.0753839999999998E-2</v>
      </c>
      <c r="X3753">
        <v>0.99713879999999999</v>
      </c>
      <c r="Y3753">
        <v>0.19213189999999999</v>
      </c>
      <c r="Z3753">
        <v>2.8776329999999999E-2</v>
      </c>
      <c r="AA3753">
        <v>0.98094709999999996</v>
      </c>
      <c r="AB3753">
        <v>24</v>
      </c>
      <c r="AC3753">
        <v>1.50560000000001</v>
      </c>
      <c r="AD3753">
        <v>-1.076354168508</v>
      </c>
      <c r="AE3753">
        <v>-34.849983000000002</v>
      </c>
      <c r="AF3753">
        <v>6.7683358086993497</v>
      </c>
      <c r="AG3753">
        <v>-1.076354168508</v>
      </c>
      <c r="AH3753">
        <v>34.185728093513802</v>
      </c>
      <c r="AI3753">
        <v>91.769072418191698</v>
      </c>
      <c r="AJ3753">
        <v>78.801000949229007</v>
      </c>
      <c r="AK3753">
        <v>34.865927683041001</v>
      </c>
      <c r="AL3753">
        <v>85.942713492840099</v>
      </c>
      <c r="AM3753">
        <v>88.471370843549707</v>
      </c>
      <c r="AN3753">
        <v>0.99999998131007595</v>
      </c>
    </row>
    <row r="3754" spans="1:40" x14ac:dyDescent="0.3">
      <c r="A3754" t="str">
        <f>"20200111153954047"</f>
        <v>20200111153954047</v>
      </c>
      <c r="B3754" t="str">
        <f>"1578728394045044"</f>
        <v>1578728394045044</v>
      </c>
      <c r="C3754" t="s">
        <v>40</v>
      </c>
      <c r="D3754">
        <v>5.4244139999999996</v>
      </c>
      <c r="E3754">
        <v>0.48134379999999999</v>
      </c>
      <c r="F3754" t="s">
        <v>42</v>
      </c>
      <c r="G3754">
        <v>-299.92899999999997</v>
      </c>
      <c r="H3754" s="1">
        <v>-1.274323E-6</v>
      </c>
      <c r="I3754">
        <v>-37.426099999999998</v>
      </c>
      <c r="J3754">
        <v>-301.44209999999998</v>
      </c>
      <c r="K3754">
        <v>1.081958</v>
      </c>
      <c r="L3754">
        <v>-3.3166199999999999</v>
      </c>
      <c r="M3754">
        <v>0.22639819999999999</v>
      </c>
      <c r="N3754">
        <v>0</v>
      </c>
      <c r="O3754">
        <v>-0.97402500000000003</v>
      </c>
      <c r="P3754">
        <v>0.20935509999999999</v>
      </c>
      <c r="Q3754">
        <v>6.9121799999999997E-2</v>
      </c>
      <c r="R3754">
        <v>-0.97539379999999998</v>
      </c>
      <c r="S3754">
        <v>0.14239499999999999</v>
      </c>
      <c r="T3754">
        <v>-9.5037819999999995E-2</v>
      </c>
      <c r="U3754">
        <v>-3.0520939999999999</v>
      </c>
      <c r="V3754">
        <v>1.7546160000000002E-2</v>
      </c>
      <c r="W3754">
        <v>7.3391040000000005E-2</v>
      </c>
      <c r="X3754">
        <v>0.9971489</v>
      </c>
      <c r="Y3754">
        <v>0.18078040000000001</v>
      </c>
      <c r="Z3754">
        <v>2.964114E-2</v>
      </c>
      <c r="AA3754">
        <v>0.98307679999999997</v>
      </c>
      <c r="AB3754">
        <v>24</v>
      </c>
      <c r="AC3754">
        <v>1.5130999999999499</v>
      </c>
      <c r="AD3754">
        <v>-1.081959274323</v>
      </c>
      <c r="AE3754">
        <v>-34.109479999999998</v>
      </c>
      <c r="AF3754">
        <v>6.2423189890580097</v>
      </c>
      <c r="AG3754">
        <v>-1.081959274323</v>
      </c>
      <c r="AH3754">
        <v>33.532697495118597</v>
      </c>
      <c r="AI3754">
        <v>91.816861649396202</v>
      </c>
      <c r="AJ3754">
        <v>79.454742878560396</v>
      </c>
      <c r="AK3754">
        <v>34.1259283175063</v>
      </c>
      <c r="AL3754">
        <v>85.791219204884001</v>
      </c>
      <c r="AM3754">
        <v>88.991908656273097</v>
      </c>
      <c r="AN3754">
        <v>1.00000002062711</v>
      </c>
    </row>
    <row r="3755" spans="1:40" x14ac:dyDescent="0.3">
      <c r="A3755" t="str">
        <f>"20200111153954080"</f>
        <v>20200111153954080</v>
      </c>
      <c r="B3755" t="str">
        <f>"1578728394074324"</f>
        <v>1578728394074324</v>
      </c>
      <c r="C3755" t="s">
        <v>40</v>
      </c>
      <c r="D3755">
        <v>5.3022600000000004</v>
      </c>
      <c r="E3755">
        <v>0.47726249999999998</v>
      </c>
      <c r="F3755" t="s">
        <v>42</v>
      </c>
      <c r="G3755">
        <v>-295.416</v>
      </c>
      <c r="H3755" s="1">
        <v>-2.5423460000000002E-6</v>
      </c>
      <c r="I3755">
        <v>-26.465219999999999</v>
      </c>
      <c r="J3755">
        <v>-301.37079999999997</v>
      </c>
      <c r="K3755">
        <v>1.0854699999999999</v>
      </c>
      <c r="L3755">
        <v>-3.6585079999999999</v>
      </c>
      <c r="M3755">
        <v>0.21946669999999999</v>
      </c>
      <c r="N3755">
        <v>0</v>
      </c>
      <c r="O3755">
        <v>-0.97560409999999997</v>
      </c>
      <c r="P3755">
        <v>0.20740839999999999</v>
      </c>
      <c r="Q3755">
        <v>6.8297029999999995E-2</v>
      </c>
      <c r="R3755">
        <v>-0.9758675</v>
      </c>
      <c r="S3755">
        <v>0.76068119999999995</v>
      </c>
      <c r="T3755">
        <v>-0.1365777</v>
      </c>
      <c r="U3755">
        <v>-2.9220890000000002</v>
      </c>
      <c r="V3755">
        <v>1.244936E-2</v>
      </c>
      <c r="W3755">
        <v>7.3760989999999999E-2</v>
      </c>
      <c r="X3755">
        <v>0.99719820000000003</v>
      </c>
      <c r="Y3755">
        <v>-3.3138420000000002E-2</v>
      </c>
      <c r="Z3755">
        <v>4.4249910000000003E-2</v>
      </c>
      <c r="AA3755">
        <v>0.99847070000000004</v>
      </c>
      <c r="AB3755">
        <v>24</v>
      </c>
      <c r="AC3755">
        <v>5.9547999999999703</v>
      </c>
      <c r="AD3755">
        <v>-1.0854725423459901</v>
      </c>
      <c r="AE3755">
        <v>-22.806712000000001</v>
      </c>
      <c r="AF3755">
        <v>-0.80252406256446795</v>
      </c>
      <c r="AG3755">
        <v>-1.0854725423459901</v>
      </c>
      <c r="AH3755">
        <v>23.507715414426499</v>
      </c>
      <c r="AI3755">
        <v>92.642226877789398</v>
      </c>
      <c r="AJ3755">
        <v>91.955247049741601</v>
      </c>
      <c r="AK3755">
        <v>23.5464430332236</v>
      </c>
      <c r="AL3755">
        <v>85.769964768191699</v>
      </c>
      <c r="AM3755">
        <v>89.284737245497496</v>
      </c>
      <c r="AN3755">
        <v>0.999999960146714</v>
      </c>
    </row>
    <row r="3756" spans="1:40" x14ac:dyDescent="0.3">
      <c r="A3756" t="str">
        <f>"20200111153954104"</f>
        <v>20200111153954104</v>
      </c>
      <c r="B3756" t="str">
        <f>"1578728394094820"</f>
        <v>1578728394094820</v>
      </c>
      <c r="C3756" t="s">
        <v>40</v>
      </c>
      <c r="D3756">
        <v>5.3218110000000003</v>
      </c>
      <c r="E3756">
        <v>0.47605789999999998</v>
      </c>
      <c r="F3756" t="s">
        <v>42</v>
      </c>
      <c r="G3756">
        <v>-296.09160000000003</v>
      </c>
      <c r="H3756" s="1">
        <v>-3.734831E-6</v>
      </c>
      <c r="I3756">
        <v>-23.27731</v>
      </c>
      <c r="J3756">
        <v>-301.3177</v>
      </c>
      <c r="K3756">
        <v>1.087817</v>
      </c>
      <c r="L3756">
        <v>-3.92395</v>
      </c>
      <c r="M3756">
        <v>0.2142462</v>
      </c>
      <c r="N3756">
        <v>0</v>
      </c>
      <c r="O3756">
        <v>-0.97675849999999997</v>
      </c>
      <c r="P3756">
        <v>0.20657990000000001</v>
      </c>
      <c r="Q3756">
        <v>6.7222409999999996E-2</v>
      </c>
      <c r="R3756">
        <v>-0.97611800000000004</v>
      </c>
      <c r="S3756">
        <v>0.78536989999999995</v>
      </c>
      <c r="T3756">
        <v>-0.16147990000000001</v>
      </c>
      <c r="U3756">
        <v>-2.9185789999999998</v>
      </c>
      <c r="V3756">
        <v>7.9821259999999904E-3</v>
      </c>
      <c r="W3756">
        <v>7.3602169999999995E-2</v>
      </c>
      <c r="X3756">
        <v>0.99725569999999997</v>
      </c>
      <c r="Y3756">
        <v>-4.6559639999999999E-2</v>
      </c>
      <c r="Z3756">
        <v>5.2380839999999998E-2</v>
      </c>
      <c r="AA3756">
        <v>0.99754120000000002</v>
      </c>
      <c r="AB3756">
        <v>24</v>
      </c>
      <c r="AC3756">
        <v>5.2260999999999704</v>
      </c>
      <c r="AD3756">
        <v>-1.0878207348310001</v>
      </c>
      <c r="AE3756">
        <v>-19.353359999999999</v>
      </c>
      <c r="AF3756">
        <v>-0.95546009226043105</v>
      </c>
      <c r="AG3756">
        <v>-1.0878207348310001</v>
      </c>
      <c r="AH3756">
        <v>19.964855757908602</v>
      </c>
      <c r="AI3756">
        <v>93.115220386895999</v>
      </c>
      <c r="AJ3756">
        <v>92.739919360262903</v>
      </c>
      <c r="AK3756">
        <v>20.017285614516499</v>
      </c>
      <c r="AL3756">
        <v>85.779089296206607</v>
      </c>
      <c r="AM3756">
        <v>89.541409123956598</v>
      </c>
      <c r="AN3756">
        <v>0.999999962473338</v>
      </c>
    </row>
    <row r="3757" spans="1:40" x14ac:dyDescent="0.3">
      <c r="A3757" t="str">
        <f>"20200111153954136"</f>
        <v>20200111153954136</v>
      </c>
      <c r="B3757" t="str">
        <f>"1578728394125076"</f>
        <v>1578728394125076</v>
      </c>
      <c r="C3757" t="s">
        <v>40</v>
      </c>
      <c r="D3757">
        <v>6.340662</v>
      </c>
      <c r="E3757">
        <v>0.47460609999999998</v>
      </c>
      <c r="F3757" t="s">
        <v>42</v>
      </c>
      <c r="G3757">
        <v>-296.39789999999999</v>
      </c>
      <c r="H3757" s="1">
        <v>-4.1994400000000002E-6</v>
      </c>
      <c r="I3757">
        <v>-22.067609999999998</v>
      </c>
      <c r="J3757">
        <v>-301.25290000000001</v>
      </c>
      <c r="K3757">
        <v>1.0904389999999999</v>
      </c>
      <c r="L3757">
        <v>-4.2587590000000004</v>
      </c>
      <c r="M3757">
        <v>0.2074723</v>
      </c>
      <c r="N3757">
        <v>0</v>
      </c>
      <c r="O3757">
        <v>-0.97821219999999998</v>
      </c>
      <c r="P3757">
        <v>0.2096035</v>
      </c>
      <c r="Q3757">
        <v>6.5209550000000005E-2</v>
      </c>
      <c r="R3757">
        <v>-0.97560970000000002</v>
      </c>
      <c r="S3757">
        <v>0.79122919999999997</v>
      </c>
      <c r="T3757">
        <v>-0.17495160000000001</v>
      </c>
      <c r="U3757">
        <v>-2.917999</v>
      </c>
      <c r="V3757">
        <v>-2.0015229999999998E-3</v>
      </c>
      <c r="W3757">
        <v>7.2690039999999997E-2</v>
      </c>
      <c r="X3757">
        <v>0.99735260000000003</v>
      </c>
      <c r="Y3757">
        <v>-5.5330259999999999E-2</v>
      </c>
      <c r="Z3757">
        <v>5.6846849999999997E-2</v>
      </c>
      <c r="AA3757">
        <v>0.99684850000000003</v>
      </c>
      <c r="AB3757">
        <v>24</v>
      </c>
      <c r="AC3757">
        <v>4.8550000000000102</v>
      </c>
      <c r="AD3757">
        <v>-1.0904431994399999</v>
      </c>
      <c r="AE3757">
        <v>-17.808851000000001</v>
      </c>
      <c r="AF3757">
        <v>-1.0507396778556399</v>
      </c>
      <c r="AG3757">
        <v>-1.0904431994399999</v>
      </c>
      <c r="AH3757">
        <v>18.364542016232502</v>
      </c>
      <c r="AI3757">
        <v>93.392562986827699</v>
      </c>
      <c r="AJ3757">
        <v>93.274646514916498</v>
      </c>
      <c r="AK3757">
        <v>18.426869612275301</v>
      </c>
      <c r="AL3757">
        <v>85.831491146028796</v>
      </c>
      <c r="AM3757">
        <v>90.114983072733295</v>
      </c>
      <c r="AN3757">
        <v>1.0000000283681401</v>
      </c>
    </row>
    <row r="3758" spans="1:40" x14ac:dyDescent="0.3">
      <c r="A3758" t="str">
        <f>"20200111153954182"</f>
        <v>20200111153954182</v>
      </c>
      <c r="B3758" t="str">
        <f>"1578728394174854"</f>
        <v>1578728394174854</v>
      </c>
      <c r="C3758" t="s">
        <v>40</v>
      </c>
      <c r="D3758">
        <v>5.4133019999999998</v>
      </c>
      <c r="E3758">
        <v>0.47416920000000001</v>
      </c>
      <c r="F3758" t="s">
        <v>42</v>
      </c>
      <c r="G3758">
        <v>-296.3075</v>
      </c>
      <c r="H3758" s="1">
        <v>-4.2348959999999998E-6</v>
      </c>
      <c r="I3758">
        <v>-22.022369999999999</v>
      </c>
      <c r="J3758">
        <v>-301.16480000000001</v>
      </c>
      <c r="K3758">
        <v>1.0935319999999999</v>
      </c>
      <c r="L3758">
        <v>-4.74057</v>
      </c>
      <c r="M3758">
        <v>0.1971967</v>
      </c>
      <c r="N3758">
        <v>0</v>
      </c>
      <c r="O3758">
        <v>-0.98032520000000001</v>
      </c>
      <c r="P3758">
        <v>0.20687929999999999</v>
      </c>
      <c r="Q3758">
        <v>6.7712519999999998E-2</v>
      </c>
      <c r="R3758">
        <v>-0.97602069999999996</v>
      </c>
      <c r="S3758">
        <v>0.81091309999999905</v>
      </c>
      <c r="T3758">
        <v>-0.17880119999999999</v>
      </c>
      <c r="U3758">
        <v>-2.9127200000000002</v>
      </c>
      <c r="V3758">
        <v>-9.6981629999999992E-3</v>
      </c>
      <c r="W3758">
        <v>7.6509809999999998E-2</v>
      </c>
      <c r="X3758">
        <v>0.99702170000000001</v>
      </c>
      <c r="Y3758">
        <v>-7.2493169999999996E-2</v>
      </c>
      <c r="Z3758">
        <v>5.8299730000000001E-2</v>
      </c>
      <c r="AA3758">
        <v>0.99566350000000003</v>
      </c>
      <c r="AB3758">
        <v>24</v>
      </c>
      <c r="AC3758">
        <v>4.8573000000000004</v>
      </c>
      <c r="AD3758">
        <v>-1.093536234896</v>
      </c>
      <c r="AE3758">
        <v>-17.2818</v>
      </c>
      <c r="AF3758">
        <v>-1.3488657105008699</v>
      </c>
      <c r="AG3758">
        <v>-1.093536234896</v>
      </c>
      <c r="AH3758">
        <v>17.834128508237001</v>
      </c>
      <c r="AI3758">
        <v>93.498847026250004</v>
      </c>
      <c r="AJ3758">
        <v>94.325271508145505</v>
      </c>
      <c r="AK3758">
        <v>17.918465331894598</v>
      </c>
      <c r="AL3758">
        <v>85.612022819044796</v>
      </c>
      <c r="AM3758">
        <v>90.557306109607396</v>
      </c>
      <c r="AN3758">
        <v>1.0000000378313401</v>
      </c>
    </row>
    <row r="3759" spans="1:40" x14ac:dyDescent="0.3">
      <c r="A3759" t="str">
        <f>"20200111153954226"</f>
        <v>20200111153954226</v>
      </c>
      <c r="B3759" t="str">
        <f>"1578728394214931"</f>
        <v>1578728394214931</v>
      </c>
      <c r="C3759" t="s">
        <v>40</v>
      </c>
      <c r="D3759">
        <v>5.3956650000000002</v>
      </c>
      <c r="E3759">
        <v>0.4739449</v>
      </c>
      <c r="F3759" t="s">
        <v>42</v>
      </c>
      <c r="G3759">
        <v>-296.09519999999998</v>
      </c>
      <c r="H3759" s="1">
        <v>-3.8182589999999999E-6</v>
      </c>
      <c r="I3759">
        <v>-23.081320000000002</v>
      </c>
      <c r="J3759">
        <v>-301.08600000000001</v>
      </c>
      <c r="K3759">
        <v>1.095737</v>
      </c>
      <c r="L3759">
        <v>-5.197845</v>
      </c>
      <c r="M3759">
        <v>0.1871022</v>
      </c>
      <c r="N3759">
        <v>0</v>
      </c>
      <c r="O3759">
        <v>-0.98229239999999995</v>
      </c>
      <c r="P3759">
        <v>0.20568800000000001</v>
      </c>
      <c r="Q3759">
        <v>6.9129979999999994E-2</v>
      </c>
      <c r="R3759">
        <v>-0.97617310000000002</v>
      </c>
      <c r="S3759">
        <v>0.80572509999999997</v>
      </c>
      <c r="T3759">
        <v>-0.1738006</v>
      </c>
      <c r="U3759">
        <v>-2.9149780000000001</v>
      </c>
      <c r="V3759">
        <v>-1.8742620000000002E-2</v>
      </c>
      <c r="W3759">
        <v>7.8985650000000004E-2</v>
      </c>
      <c r="X3759">
        <v>0.99669960000000002</v>
      </c>
      <c r="Y3759">
        <v>-8.0927559999999996E-2</v>
      </c>
      <c r="Z3759">
        <v>5.6797519999999997E-2</v>
      </c>
      <c r="AA3759">
        <v>0.9951004</v>
      </c>
      <c r="AB3759">
        <v>24</v>
      </c>
      <c r="AC3759">
        <v>4.9908000000000303</v>
      </c>
      <c r="AD3759">
        <v>-1.095740818259</v>
      </c>
      <c r="AE3759">
        <v>-17.883475000000001</v>
      </c>
      <c r="AF3759">
        <v>-1.55105868817049</v>
      </c>
      <c r="AG3759">
        <v>-1.095740818259</v>
      </c>
      <c r="AH3759">
        <v>18.4372495501629</v>
      </c>
      <c r="AI3759">
        <v>93.389190636170596</v>
      </c>
      <c r="AJ3759">
        <v>94.808762426885195</v>
      </c>
      <c r="AK3759">
        <v>18.534794360065899</v>
      </c>
      <c r="AL3759">
        <v>85.469736995266999</v>
      </c>
      <c r="AM3759">
        <v>91.077301997783096</v>
      </c>
      <c r="AN3759">
        <v>1.0000000556752699</v>
      </c>
    </row>
    <row r="3760" spans="1:40" x14ac:dyDescent="0.3">
      <c r="A3760" t="str">
        <f>"20200111153954256"</f>
        <v>20200111153954256</v>
      </c>
      <c r="B3760" t="str">
        <f>"1578728394245187"</f>
        <v>1578728394245187</v>
      </c>
      <c r="C3760" t="s">
        <v>40</v>
      </c>
      <c r="D3760">
        <v>5.5907549999999997</v>
      </c>
      <c r="E3760">
        <v>0.47391169999999999</v>
      </c>
      <c r="F3760" t="s">
        <v>42</v>
      </c>
      <c r="G3760">
        <v>-296.04140000000001</v>
      </c>
      <c r="H3760" s="1">
        <v>-3.6372859999999999E-6</v>
      </c>
      <c r="I3760">
        <v>-23.525410000000001</v>
      </c>
      <c r="J3760">
        <v>-301.03320000000002</v>
      </c>
      <c r="K3760">
        <v>1.0968979999999999</v>
      </c>
      <c r="L3760">
        <v>-5.5220949999999904</v>
      </c>
      <c r="M3760">
        <v>0.17975339999999901</v>
      </c>
      <c r="N3760">
        <v>0</v>
      </c>
      <c r="O3760">
        <v>-0.98365780000000003</v>
      </c>
      <c r="P3760">
        <v>0.20103470000000001</v>
      </c>
      <c r="Q3760">
        <v>6.8165069999999994E-2</v>
      </c>
      <c r="R3760">
        <v>-0.97720969999999996</v>
      </c>
      <c r="S3760">
        <v>0.80273439999999996</v>
      </c>
      <c r="T3760">
        <v>-0.17436380000000001</v>
      </c>
      <c r="U3760">
        <v>-2.9164430000000001</v>
      </c>
      <c r="V3760">
        <v>-2.1429340000000002E-2</v>
      </c>
      <c r="W3760">
        <v>7.8633880000000003E-2</v>
      </c>
      <c r="X3760">
        <v>0.99667320000000004</v>
      </c>
      <c r="Y3760">
        <v>-8.7295960000000006E-2</v>
      </c>
      <c r="Z3760">
        <v>5.7064160000000003E-2</v>
      </c>
      <c r="AA3760">
        <v>0.99454670000000001</v>
      </c>
      <c r="AB3760">
        <v>24</v>
      </c>
      <c r="AC3760">
        <v>4.9918000000000102</v>
      </c>
      <c r="AD3760">
        <v>-1.0969016372860001</v>
      </c>
      <c r="AE3760">
        <v>-18.003315000000001</v>
      </c>
      <c r="AF3760">
        <v>-1.6684034167737301</v>
      </c>
      <c r="AG3760">
        <v>-1.0969016372860001</v>
      </c>
      <c r="AH3760">
        <v>18.543458355267202</v>
      </c>
      <c r="AI3760">
        <v>93.371685949538005</v>
      </c>
      <c r="AJ3760">
        <v>95.141208047055002</v>
      </c>
      <c r="AK3760">
        <v>18.650646394602902</v>
      </c>
      <c r="AL3760">
        <v>85.489954498142495</v>
      </c>
      <c r="AM3760">
        <v>91.231719275431402</v>
      </c>
      <c r="AN3760">
        <v>0.99999998564746395</v>
      </c>
    </row>
    <row r="3761" spans="1:40" x14ac:dyDescent="0.3">
      <c r="A3761" t="str">
        <f>"20200111153954293"</f>
        <v>20200111153954293</v>
      </c>
      <c r="B3761" t="str">
        <f>"1578728394285205"</f>
        <v>1578728394285205</v>
      </c>
      <c r="C3761" t="s">
        <v>40</v>
      </c>
      <c r="D3761">
        <v>5.2984549999999997</v>
      </c>
      <c r="E3761">
        <v>0.47379490000000002</v>
      </c>
      <c r="F3761" t="s">
        <v>42</v>
      </c>
      <c r="G3761">
        <v>-296.2876</v>
      </c>
      <c r="H3761" s="1">
        <v>-3.7776660000000002E-6</v>
      </c>
      <c r="I3761">
        <v>-23.09639</v>
      </c>
      <c r="J3761">
        <v>-300.97359999999998</v>
      </c>
      <c r="K3761">
        <v>1.097944</v>
      </c>
      <c r="L3761">
        <v>-5.9102779999999999</v>
      </c>
      <c r="M3761">
        <v>0.1707081</v>
      </c>
      <c r="N3761">
        <v>0</v>
      </c>
      <c r="O3761">
        <v>-0.98526130000000001</v>
      </c>
      <c r="P3761">
        <v>0.1972515</v>
      </c>
      <c r="Q3761">
        <v>6.9609470000000007E-2</v>
      </c>
      <c r="R3761">
        <v>-0.97787840000000004</v>
      </c>
      <c r="S3761">
        <v>0.78860469999999905</v>
      </c>
      <c r="T3761">
        <v>-0.18227960000000001</v>
      </c>
      <c r="U3761">
        <v>-2.9204409999999998</v>
      </c>
      <c r="V3761">
        <v>-2.6715039999999999E-2</v>
      </c>
      <c r="W3761">
        <v>8.0716270000000007E-2</v>
      </c>
      <c r="X3761">
        <v>0.99637900000000001</v>
      </c>
      <c r="Y3761">
        <v>-9.1578300000000001E-2</v>
      </c>
      <c r="Z3761">
        <v>5.9738020000000003E-2</v>
      </c>
      <c r="AA3761">
        <v>0.99400440000000001</v>
      </c>
      <c r="AB3761">
        <v>24</v>
      </c>
      <c r="AC3761">
        <v>4.6859999999999697</v>
      </c>
      <c r="AD3761">
        <v>-1.097947777666</v>
      </c>
      <c r="AE3761">
        <v>-17.186111999999898</v>
      </c>
      <c r="AF3761">
        <v>-1.6768557050827899</v>
      </c>
      <c r="AG3761">
        <v>-1.097947777666</v>
      </c>
      <c r="AH3761">
        <v>17.6666886406042</v>
      </c>
      <c r="AI3761">
        <v>93.540367916093302</v>
      </c>
      <c r="AJ3761">
        <v>95.422056439083804</v>
      </c>
      <c r="AK3761">
        <v>17.7800231130953</v>
      </c>
      <c r="AL3761">
        <v>85.370261683383703</v>
      </c>
      <c r="AM3761">
        <v>91.535853734126107</v>
      </c>
      <c r="AN3761">
        <v>0.99999996062295604</v>
      </c>
    </row>
    <row r="3762" spans="1:40" x14ac:dyDescent="0.3">
      <c r="A3762" t="str">
        <f>"20200111153954337"</f>
        <v>20200111153954337</v>
      </c>
      <c r="B3762" t="str">
        <f>"1578728394334979"</f>
        <v>1578728394334979</v>
      </c>
      <c r="C3762" t="s">
        <v>40</v>
      </c>
      <c r="D3762">
        <v>5.0772349999999999</v>
      </c>
      <c r="E3762">
        <v>0.47362070000000001</v>
      </c>
      <c r="F3762" t="s">
        <v>42</v>
      </c>
      <c r="G3762">
        <v>-296.40230000000003</v>
      </c>
      <c r="H3762" s="1">
        <v>-3.7467859999999999E-6</v>
      </c>
      <c r="I3762">
        <v>-23.12096</v>
      </c>
      <c r="J3762">
        <v>-300.9074</v>
      </c>
      <c r="K3762">
        <v>1.0988469999999999</v>
      </c>
      <c r="L3762">
        <v>-6.3755490000000004</v>
      </c>
      <c r="M3762">
        <v>0.1595435</v>
      </c>
      <c r="N3762">
        <v>0</v>
      </c>
      <c r="O3762">
        <v>-0.98712409999999995</v>
      </c>
      <c r="P3762">
        <v>0.19021830000000001</v>
      </c>
      <c r="Q3762">
        <v>7.1542690000000006E-2</v>
      </c>
      <c r="R3762">
        <v>-0.97913159999999999</v>
      </c>
      <c r="S3762">
        <v>0.77676389999999995</v>
      </c>
      <c r="T3762">
        <v>-0.18656519999999999</v>
      </c>
      <c r="U3762">
        <v>-2.9244690000000002</v>
      </c>
      <c r="V3762">
        <v>-3.0813759999999999E-2</v>
      </c>
      <c r="W3762">
        <v>8.3263050000000005E-2</v>
      </c>
      <c r="X3762">
        <v>0.99605109999999997</v>
      </c>
      <c r="Y3762">
        <v>-9.8724560000000003E-2</v>
      </c>
      <c r="Z3762">
        <v>6.123932E-2</v>
      </c>
      <c r="AA3762">
        <v>0.99322869999999996</v>
      </c>
      <c r="AB3762">
        <v>24</v>
      </c>
      <c r="AC3762">
        <v>4.5050999999999597</v>
      </c>
      <c r="AD3762">
        <v>-1.09885074678599</v>
      </c>
      <c r="AE3762">
        <v>-16.745410999999901</v>
      </c>
      <c r="AF3762">
        <v>-1.76848707196427</v>
      </c>
      <c r="AG3762">
        <v>-1.09885074678599</v>
      </c>
      <c r="AH3762">
        <v>17.1807069519922</v>
      </c>
      <c r="AI3762">
        <v>93.640379634259105</v>
      </c>
      <c r="AJ3762">
        <v>95.877012738295505</v>
      </c>
      <c r="AK3762">
        <v>17.306406641982299</v>
      </c>
      <c r="AL3762">
        <v>85.223849175891004</v>
      </c>
      <c r="AM3762">
        <v>91.771932694710202</v>
      </c>
      <c r="AN3762">
        <v>1.00000000855592</v>
      </c>
    </row>
    <row r="3763" spans="1:40" x14ac:dyDescent="0.3">
      <c r="A3763" t="str">
        <f>"20200111153954371"</f>
        <v>20200111153954371</v>
      </c>
      <c r="B3763" t="str">
        <f>"1578728394365237"</f>
        <v>1578728394365237</v>
      </c>
      <c r="C3763" t="s">
        <v>40</v>
      </c>
      <c r="D3763">
        <v>5.245228</v>
      </c>
      <c r="E3763">
        <v>0.47353269999999997</v>
      </c>
      <c r="F3763" t="s">
        <v>42</v>
      </c>
      <c r="G3763">
        <v>-296.55309999999997</v>
      </c>
      <c r="H3763" s="1">
        <v>-3.6620700000000001E-6</v>
      </c>
      <c r="I3763">
        <v>-23.256070000000001</v>
      </c>
      <c r="J3763">
        <v>-300.86219999999997</v>
      </c>
      <c r="K3763">
        <v>1.0993489999999999</v>
      </c>
      <c r="L3763">
        <v>-6.7195429999999901</v>
      </c>
      <c r="M3763">
        <v>0.15110179999999901</v>
      </c>
      <c r="N3763">
        <v>0</v>
      </c>
      <c r="O3763">
        <v>-0.98844750000000003</v>
      </c>
      <c r="P3763">
        <v>0.18380089999999999</v>
      </c>
      <c r="Q3763">
        <v>7.1151060000000002E-2</v>
      </c>
      <c r="R3763">
        <v>-0.9803849</v>
      </c>
      <c r="S3763">
        <v>0.75604249999999995</v>
      </c>
      <c r="T3763">
        <v>-0.19079579999999999</v>
      </c>
      <c r="U3763">
        <v>-2.931</v>
      </c>
      <c r="V3763">
        <v>-3.2788150000000002E-2</v>
      </c>
      <c r="W3763">
        <v>8.3238320000000005E-2</v>
      </c>
      <c r="X3763">
        <v>0.99599009999999999</v>
      </c>
      <c r="Y3763">
        <v>-0.10008450000000001</v>
      </c>
      <c r="Z3763">
        <v>6.2664150000000002E-2</v>
      </c>
      <c r="AA3763">
        <v>0.99300370000000004</v>
      </c>
      <c r="AB3763">
        <v>24</v>
      </c>
      <c r="AC3763">
        <v>4.3090999999999999</v>
      </c>
      <c r="AD3763">
        <v>-1.09935266206999</v>
      </c>
      <c r="AE3763">
        <v>-16.536527</v>
      </c>
      <c r="AF3763">
        <v>-1.7534862085302201</v>
      </c>
      <c r="AG3763">
        <v>-1.09935266206999</v>
      </c>
      <c r="AH3763">
        <v>16.927732413967199</v>
      </c>
      <c r="AI3763">
        <v>93.696070596347099</v>
      </c>
      <c r="AJ3763">
        <v>95.913982349064398</v>
      </c>
      <c r="AK3763">
        <v>17.053780074751199</v>
      </c>
      <c r="AL3763">
        <v>85.225270899624803</v>
      </c>
      <c r="AM3763">
        <v>91.885505096776598</v>
      </c>
      <c r="AN3763">
        <v>0.99999997999742696</v>
      </c>
    </row>
    <row r="3764" spans="1:40" x14ac:dyDescent="0.3">
      <c r="A3764" t="str">
        <f>"20200111153954405"</f>
        <v>20200111153954405</v>
      </c>
      <c r="B3764" t="str">
        <f>"1578728394394515"</f>
        <v>1578728394394515</v>
      </c>
      <c r="C3764" t="s">
        <v>40</v>
      </c>
      <c r="D3764">
        <v>5.3109359999999999</v>
      </c>
      <c r="E3764">
        <v>0.47341440000000001</v>
      </c>
      <c r="F3764" t="s">
        <v>42</v>
      </c>
      <c r="G3764">
        <v>-296.76229999999998</v>
      </c>
      <c r="H3764" s="1">
        <v>-3.7037790000000001E-6</v>
      </c>
      <c r="I3764">
        <v>-23.072340000000001</v>
      </c>
      <c r="J3764">
        <v>-300.8175</v>
      </c>
      <c r="K3764">
        <v>1.0997840000000001</v>
      </c>
      <c r="L3764">
        <v>-7.0860289999999901</v>
      </c>
      <c r="M3764">
        <v>0.14201510000000001</v>
      </c>
      <c r="N3764">
        <v>0</v>
      </c>
      <c r="O3764">
        <v>-0.98979030000000001</v>
      </c>
      <c r="P3764">
        <v>0.17755570000000001</v>
      </c>
      <c r="Q3764">
        <v>7.1098599999999998E-2</v>
      </c>
      <c r="R3764">
        <v>-0.9815391</v>
      </c>
      <c r="S3764">
        <v>0.73617549999999998</v>
      </c>
      <c r="T3764">
        <v>-0.19740199999999999</v>
      </c>
      <c r="U3764">
        <v>-2.93634</v>
      </c>
      <c r="V3764">
        <v>-3.5590179999999999E-2</v>
      </c>
      <c r="W3764">
        <v>8.3516779999999999E-2</v>
      </c>
      <c r="X3764">
        <v>0.99587060000000005</v>
      </c>
      <c r="Y3764">
        <v>-0.1024415</v>
      </c>
      <c r="Z3764">
        <v>6.4887739999999999E-2</v>
      </c>
      <c r="AA3764">
        <v>0.99262039999999996</v>
      </c>
      <c r="AB3764">
        <v>23</v>
      </c>
      <c r="AC3764">
        <v>4.0552000000000099</v>
      </c>
      <c r="AD3764">
        <v>-1.099787703779</v>
      </c>
      <c r="AE3764">
        <v>-15.986310999999899</v>
      </c>
      <c r="AF3764">
        <v>-1.7359090508270001</v>
      </c>
      <c r="AG3764">
        <v>-1.099787703779</v>
      </c>
      <c r="AH3764">
        <v>16.327595670203099</v>
      </c>
      <c r="AI3764">
        <v>93.831954245057901</v>
      </c>
      <c r="AJ3764">
        <v>96.068746357386402</v>
      </c>
      <c r="AK3764">
        <v>16.456405852912201</v>
      </c>
      <c r="AL3764">
        <v>85.209260581970298</v>
      </c>
      <c r="AM3764">
        <v>92.046751493696803</v>
      </c>
      <c r="AN3764">
        <v>0.99999998269918</v>
      </c>
    </row>
    <row r="3765" spans="1:40" x14ac:dyDescent="0.3">
      <c r="A3765" t="str">
        <f>"20200111153954450"</f>
        <v>20200111153954450</v>
      </c>
      <c r="B3765" t="str">
        <f>"1578728394445267"</f>
        <v>1578728394445267</v>
      </c>
      <c r="C3765" t="s">
        <v>40</v>
      </c>
      <c r="D3765">
        <v>5.5662799999999999</v>
      </c>
      <c r="E3765">
        <v>0.474053</v>
      </c>
      <c r="F3765" t="s">
        <v>42</v>
      </c>
      <c r="G3765">
        <v>-296.87529999999998</v>
      </c>
      <c r="H3765" s="1">
        <v>-3.6161259999999999E-6</v>
      </c>
      <c r="I3765">
        <v>-23.229949999999999</v>
      </c>
      <c r="J3765">
        <v>-300.76479999999998</v>
      </c>
      <c r="K3765">
        <v>1.100223</v>
      </c>
      <c r="L3765">
        <v>-7.5587460000000002</v>
      </c>
      <c r="M3765">
        <v>0.1302499</v>
      </c>
      <c r="N3765">
        <v>0</v>
      </c>
      <c r="O3765">
        <v>-0.99140309999999998</v>
      </c>
      <c r="P3765">
        <v>0.16691049999999999</v>
      </c>
      <c r="Q3765">
        <v>7.1589890000000003E-2</v>
      </c>
      <c r="R3765">
        <v>-0.98336999999999997</v>
      </c>
      <c r="S3765">
        <v>0.71817019999999998</v>
      </c>
      <c r="T3765">
        <v>-0.20035520000000001</v>
      </c>
      <c r="U3765">
        <v>-2.9410400000000001</v>
      </c>
      <c r="V3765">
        <v>-3.6626180000000001E-2</v>
      </c>
      <c r="W3765">
        <v>8.4332630000000006E-2</v>
      </c>
      <c r="X3765">
        <v>0.99576430000000005</v>
      </c>
      <c r="Y3765">
        <v>-0.1081362</v>
      </c>
      <c r="Z3765">
        <v>6.5940509999999994E-2</v>
      </c>
      <c r="AA3765">
        <v>0.99194680000000002</v>
      </c>
      <c r="AB3765">
        <v>23</v>
      </c>
      <c r="AC3765">
        <v>3.8894999999999902</v>
      </c>
      <c r="AD3765">
        <v>-1.1002266161259999</v>
      </c>
      <c r="AE3765">
        <v>-15.6712039999999</v>
      </c>
      <c r="AF3765">
        <v>-1.80664190846726</v>
      </c>
      <c r="AG3765">
        <v>-1.1002266161259999</v>
      </c>
      <c r="AH3765">
        <v>15.970180027515299</v>
      </c>
      <c r="AI3765">
        <v>93.916125812268703</v>
      </c>
      <c r="AJ3765">
        <v>96.454200751060199</v>
      </c>
      <c r="AK3765">
        <v>16.109658708474001</v>
      </c>
      <c r="AL3765">
        <v>85.162350433188294</v>
      </c>
      <c r="AM3765">
        <v>92.106502438780694</v>
      </c>
      <c r="AN3765">
        <v>1.0000000053492899</v>
      </c>
    </row>
    <row r="3766" spans="1:40" x14ac:dyDescent="0.3">
      <c r="A3766" t="str">
        <f>"20200111153954494"</f>
        <v>20200111153954494</v>
      </c>
      <c r="B3766" t="str">
        <f>"1578728394485282"</f>
        <v>1578728394485282</v>
      </c>
      <c r="C3766" t="s">
        <v>40</v>
      </c>
      <c r="D3766">
        <v>5.4224379999999996</v>
      </c>
      <c r="E3766">
        <v>0.57759079999999996</v>
      </c>
      <c r="F3766" t="s">
        <v>42</v>
      </c>
      <c r="G3766">
        <v>-297.14</v>
      </c>
      <c r="H3766" s="1">
        <v>-3.5552599999999998E-6</v>
      </c>
      <c r="I3766">
        <v>-23.262370000000001</v>
      </c>
      <c r="J3766">
        <v>-300.71879999999999</v>
      </c>
      <c r="K3766">
        <v>1.100538</v>
      </c>
      <c r="L3766">
        <v>-8.0208739999999992</v>
      </c>
      <c r="M3766">
        <v>0.118768899999999</v>
      </c>
      <c r="N3766">
        <v>0</v>
      </c>
      <c r="O3766">
        <v>-0.99284090000000003</v>
      </c>
      <c r="P3766">
        <v>0.15642909999999999</v>
      </c>
      <c r="Q3766">
        <v>7.2523260000000006E-2</v>
      </c>
      <c r="R3766">
        <v>-0.98502299999999998</v>
      </c>
      <c r="S3766">
        <v>0.68096919999999905</v>
      </c>
      <c r="T3766">
        <v>-0.20669650000000001</v>
      </c>
      <c r="U3766">
        <v>-2.9501949999999999</v>
      </c>
      <c r="V3766">
        <v>-3.7547320000000002E-2</v>
      </c>
      <c r="W3766">
        <v>8.5511379999999998E-2</v>
      </c>
      <c r="X3766">
        <v>0.9956294</v>
      </c>
      <c r="Y3766">
        <v>-0.1070561</v>
      </c>
      <c r="Z3766">
        <v>6.8062239999999996E-2</v>
      </c>
      <c r="AA3766">
        <v>0.99192069999999999</v>
      </c>
      <c r="AB3766">
        <v>23</v>
      </c>
      <c r="AC3766">
        <v>3.5788000000000002</v>
      </c>
      <c r="AD3766">
        <v>-1.10054155526</v>
      </c>
      <c r="AE3766">
        <v>-15.241496</v>
      </c>
      <c r="AF3766">
        <v>-1.7345325130291001</v>
      </c>
      <c r="AG3766">
        <v>-1.10054155526</v>
      </c>
      <c r="AH3766">
        <v>15.4821788088719</v>
      </c>
      <c r="AI3766">
        <v>94.040801681766894</v>
      </c>
      <c r="AJ3766">
        <v>96.3924268775407</v>
      </c>
      <c r="AK3766">
        <v>15.6178633437321</v>
      </c>
      <c r="AL3766">
        <v>85.094567899489405</v>
      </c>
      <c r="AM3766">
        <v>92.159723258665593</v>
      </c>
      <c r="AN3766">
        <v>0.99999994974652195</v>
      </c>
    </row>
    <row r="3767" spans="1:40" x14ac:dyDescent="0.3">
      <c r="A3767" t="str">
        <f>"20200111153954538"</f>
        <v>20200111153954538</v>
      </c>
      <c r="B3767" t="str">
        <f>"1578728394535058"</f>
        <v>1578728394535058</v>
      </c>
      <c r="C3767" t="s">
        <v>40</v>
      </c>
      <c r="D3767">
        <v>5.3915470000000001</v>
      </c>
      <c r="E3767">
        <v>0.57510059999999996</v>
      </c>
      <c r="F3767" t="s">
        <v>42</v>
      </c>
      <c r="G3767">
        <v>-301.54250000000002</v>
      </c>
      <c r="H3767" s="1">
        <v>-3.6093310000000001E-6</v>
      </c>
      <c r="I3767">
        <v>-22.954129999999999</v>
      </c>
      <c r="J3767">
        <v>-300.67790000000002</v>
      </c>
      <c r="K3767">
        <v>1.100765</v>
      </c>
      <c r="L3767">
        <v>-8.4876100000000001</v>
      </c>
      <c r="M3767">
        <v>0.1072188</v>
      </c>
      <c r="N3767">
        <v>0</v>
      </c>
      <c r="O3767">
        <v>-0.99415209999999998</v>
      </c>
      <c r="P3767">
        <v>0.14505670000000001</v>
      </c>
      <c r="Q3767">
        <v>7.1442389999999995E-2</v>
      </c>
      <c r="R3767">
        <v>-0.98684050000000001</v>
      </c>
      <c r="S3767">
        <v>-0.17041020000000001</v>
      </c>
      <c r="T3767">
        <v>-0.227684</v>
      </c>
      <c r="U3767">
        <v>-3.0894469999999998</v>
      </c>
      <c r="V3767">
        <v>-3.7642780000000001E-2</v>
      </c>
      <c r="W3767">
        <v>8.461581E-2</v>
      </c>
      <c r="X3767">
        <v>0.99570239999999999</v>
      </c>
      <c r="Y3767">
        <v>0.1616755</v>
      </c>
      <c r="Z3767">
        <v>7.2323899999999997E-2</v>
      </c>
      <c r="AA3767">
        <v>0.98419020000000002</v>
      </c>
      <c r="AB3767">
        <v>23</v>
      </c>
      <c r="AC3767">
        <v>-0.86459999999999504</v>
      </c>
      <c r="AD3767">
        <v>-1.1007686093310001</v>
      </c>
      <c r="AE3767">
        <v>-14.466519999999999</v>
      </c>
      <c r="AF3767">
        <v>2.3969978482581902</v>
      </c>
      <c r="AG3767">
        <v>-1.1007686093310001</v>
      </c>
      <c r="AH3767">
        <v>14.208432834931401</v>
      </c>
      <c r="AI3767">
        <v>94.368536450941605</v>
      </c>
      <c r="AJ3767">
        <v>80.424224441363094</v>
      </c>
      <c r="AK3767">
        <v>14.4511886653174</v>
      </c>
      <c r="AL3767">
        <v>85.146067389936206</v>
      </c>
      <c r="AM3767">
        <v>92.165050310560304</v>
      </c>
      <c r="AN3767">
        <v>1.0000000417769199</v>
      </c>
    </row>
    <row r="3768" spans="1:40" x14ac:dyDescent="0.3">
      <c r="A3768" t="str">
        <f>"20200111153954570"</f>
        <v>20200111153954570</v>
      </c>
      <c r="B3768" t="str">
        <f>"1578728394565315"</f>
        <v>1578728394565315</v>
      </c>
      <c r="C3768" t="s">
        <v>40</v>
      </c>
      <c r="D3768">
        <v>5.4338579999999999</v>
      </c>
      <c r="E3768">
        <v>0.57356790000000002</v>
      </c>
      <c r="F3768" t="s">
        <v>41</v>
      </c>
      <c r="G3768">
        <v>-300.73259999999999</v>
      </c>
      <c r="H3768">
        <v>1.0361389999999999</v>
      </c>
      <c r="I3768">
        <v>-9.3962559999999993</v>
      </c>
      <c r="J3768">
        <v>-300.65199999999999</v>
      </c>
      <c r="K3768">
        <v>1.1008960000000001</v>
      </c>
      <c r="L3768">
        <v>-8.8211669999999902</v>
      </c>
      <c r="M3768">
        <v>9.8992319999999995E-2</v>
      </c>
      <c r="N3768">
        <v>0</v>
      </c>
      <c r="O3768">
        <v>-0.99500350000000004</v>
      </c>
      <c r="P3768">
        <v>0.13683219999999999</v>
      </c>
      <c r="Q3768">
        <v>7.0973510000000004E-2</v>
      </c>
      <c r="R3768">
        <v>-0.98804860000000005</v>
      </c>
      <c r="S3768">
        <v>-0.18530269999999999</v>
      </c>
      <c r="T3768">
        <v>-0.2191526</v>
      </c>
      <c r="U3768">
        <v>-3.0830989999999998</v>
      </c>
      <c r="V3768">
        <v>-3.7589820000000003E-2</v>
      </c>
      <c r="W3768">
        <v>8.4251370000000006E-2</v>
      </c>
      <c r="X3768">
        <v>0.99573529999999999</v>
      </c>
      <c r="Y3768">
        <v>0.15837319999999999</v>
      </c>
      <c r="Z3768">
        <v>6.9870050000000003E-2</v>
      </c>
      <c r="AA3768">
        <v>0.98490409999999995</v>
      </c>
      <c r="AB3768">
        <v>23</v>
      </c>
      <c r="AC3768">
        <v>-8.0600000000004002E-2</v>
      </c>
      <c r="AD3768">
        <v>-6.4756999999999898E-2</v>
      </c>
      <c r="AE3768">
        <v>-0.57508899999999996</v>
      </c>
      <c r="AF3768">
        <v>0.13545382924267099</v>
      </c>
      <c r="AG3768">
        <v>-6.4756999999999898E-2</v>
      </c>
      <c r="AH3768">
        <v>0.55735350240789805</v>
      </c>
      <c r="AI3768">
        <v>96.441432167639704</v>
      </c>
      <c r="AJ3768">
        <v>76.340208704740107</v>
      </c>
      <c r="AK3768">
        <v>0.57722104565915899</v>
      </c>
      <c r="AL3768">
        <v>85.167023074286803</v>
      </c>
      <c r="AM3768">
        <v>92.161935805573705</v>
      </c>
      <c r="AN3768">
        <v>1.00000003779029</v>
      </c>
    </row>
    <row r="3769" spans="1:40" x14ac:dyDescent="0.3">
      <c r="A3769" t="str">
        <f>"20200111153954606"</f>
        <v>20200111153954606</v>
      </c>
      <c r="B3769" t="str">
        <f>"1578728394594595"</f>
        <v>1578728394594595</v>
      </c>
      <c r="C3769" t="s">
        <v>40</v>
      </c>
      <c r="D3769">
        <v>5.467587</v>
      </c>
      <c r="E3769">
        <v>0.57221060000000001</v>
      </c>
      <c r="F3769" t="s">
        <v>41</v>
      </c>
      <c r="G3769">
        <v>-300.70359999999999</v>
      </c>
      <c r="H3769">
        <v>1.0439719999999999</v>
      </c>
      <c r="I3769">
        <v>-9.6156459999999999</v>
      </c>
      <c r="J3769">
        <v>-300.62639999999999</v>
      </c>
      <c r="K3769">
        <v>1.1010230000000001</v>
      </c>
      <c r="L3769">
        <v>-9.1920470000000005</v>
      </c>
      <c r="M3769">
        <v>8.9902300000000004E-2</v>
      </c>
      <c r="N3769">
        <v>0</v>
      </c>
      <c r="O3769">
        <v>-0.99586479999999999</v>
      </c>
      <c r="P3769">
        <v>0.1255463</v>
      </c>
      <c r="Q3769">
        <v>7.194478E-2</v>
      </c>
      <c r="R3769">
        <v>-0.98947569999999996</v>
      </c>
      <c r="S3769">
        <v>-0.19869999999999999</v>
      </c>
      <c r="T3769">
        <v>-0.22009519999999999</v>
      </c>
      <c r="U3769">
        <v>-3.0796199999999998</v>
      </c>
      <c r="V3769">
        <v>-3.5319870000000003E-2</v>
      </c>
      <c r="W3769">
        <v>8.5295220000000005E-2</v>
      </c>
      <c r="X3769">
        <v>0.99572950000000005</v>
      </c>
      <c r="Y3769">
        <v>0.15368809999999999</v>
      </c>
      <c r="Z3769">
        <v>7.0356840000000004E-2</v>
      </c>
      <c r="AA3769">
        <v>0.98561140000000003</v>
      </c>
      <c r="AB3769">
        <v>23</v>
      </c>
      <c r="AC3769">
        <v>-7.7200000000004806E-2</v>
      </c>
      <c r="AD3769">
        <v>-5.70509999999999E-2</v>
      </c>
      <c r="AE3769">
        <v>-0.423598999999999</v>
      </c>
      <c r="AF3769">
        <v>0.11298946422728599</v>
      </c>
      <c r="AG3769">
        <v>-5.70509999999999E-2</v>
      </c>
      <c r="AH3769">
        <v>0.40778327460747699</v>
      </c>
      <c r="AI3769">
        <v>97.678618400900206</v>
      </c>
      <c r="AJ3769">
        <v>74.512897411632295</v>
      </c>
      <c r="AK3769">
        <v>0.42697615235158798</v>
      </c>
      <c r="AL3769">
        <v>85.106998629625593</v>
      </c>
      <c r="AM3769">
        <v>92.031506932029501</v>
      </c>
      <c r="AN3769">
        <v>1.0000000024709499</v>
      </c>
    </row>
    <row r="3770" spans="1:40" x14ac:dyDescent="0.3">
      <c r="A3770" t="str">
        <f>"20200111153954654"</f>
        <v>20200111153954654</v>
      </c>
      <c r="B3770" t="str">
        <f>"1578728394644370"</f>
        <v>1578728394644370</v>
      </c>
      <c r="C3770" t="s">
        <v>40</v>
      </c>
      <c r="D3770">
        <v>5.4529199999999998</v>
      </c>
      <c r="E3770">
        <v>0.57008719999999902</v>
      </c>
      <c r="F3770" t="s">
        <v>41</v>
      </c>
      <c r="G3770">
        <v>-300.68680000000001</v>
      </c>
      <c r="H3770">
        <v>1.041903</v>
      </c>
      <c r="I3770">
        <v>-10.02486</v>
      </c>
      <c r="J3770">
        <v>-300.59739999999999</v>
      </c>
      <c r="K3770">
        <v>1.101208</v>
      </c>
      <c r="L3770">
        <v>-9.6849059999999998</v>
      </c>
      <c r="M3770">
        <v>7.8002420000000003E-2</v>
      </c>
      <c r="N3770">
        <v>0</v>
      </c>
      <c r="O3770">
        <v>-0.99686600000000003</v>
      </c>
      <c r="P3770">
        <v>0.1115332</v>
      </c>
      <c r="Q3770">
        <v>7.3071540000000004E-2</v>
      </c>
      <c r="R3770">
        <v>-0.99107060000000002</v>
      </c>
      <c r="S3770">
        <v>-0.22204589999999999</v>
      </c>
      <c r="T3770">
        <v>-0.21782280000000001</v>
      </c>
      <c r="U3770">
        <v>-3.0759280000000002</v>
      </c>
      <c r="V3770">
        <v>-3.3136069999999997E-2</v>
      </c>
      <c r="W3770">
        <v>8.6490990000000004E-2</v>
      </c>
      <c r="X3770">
        <v>0.99570139999999996</v>
      </c>
      <c r="Y3770">
        <v>0.14941079999999901</v>
      </c>
      <c r="Z3770">
        <v>6.9828399999999999E-2</v>
      </c>
      <c r="AA3770">
        <v>0.98630640000000003</v>
      </c>
      <c r="AB3770">
        <v>23</v>
      </c>
      <c r="AC3770">
        <v>-8.9400000000011901E-2</v>
      </c>
      <c r="AD3770">
        <v>-5.9304999999999899E-2</v>
      </c>
      <c r="AE3770">
        <v>-0.33995399999999998</v>
      </c>
      <c r="AF3770">
        <v>0.112446394368479</v>
      </c>
      <c r="AG3770">
        <v>-5.9304999999999899E-2</v>
      </c>
      <c r="AH3770">
        <v>0.32275695561852402</v>
      </c>
      <c r="AI3770">
        <v>99.843728042734497</v>
      </c>
      <c r="AJ3770">
        <v>70.792000332379999</v>
      </c>
      <c r="AK3770">
        <v>0.34689094400345699</v>
      </c>
      <c r="AL3770">
        <v>85.038231823424098</v>
      </c>
      <c r="AM3770">
        <v>91.906049888079096</v>
      </c>
      <c r="AN3770">
        <v>0.99999998422409198</v>
      </c>
    </row>
    <row r="3771" spans="1:40" x14ac:dyDescent="0.3">
      <c r="A3771" t="str">
        <f>"20200111153954696"</f>
        <v>20200111153954696</v>
      </c>
      <c r="B3771" t="str">
        <f>"1578728394685362"</f>
        <v>1578728394685362</v>
      </c>
      <c r="C3771" t="s">
        <v>40</v>
      </c>
      <c r="D3771">
        <v>5.4152490000000002</v>
      </c>
      <c r="E3771">
        <v>0.56872040000000001</v>
      </c>
      <c r="F3771" t="s">
        <v>42</v>
      </c>
      <c r="G3771">
        <v>-301.89659999999998</v>
      </c>
      <c r="H3771" s="1">
        <v>-2.5197389999999998E-6</v>
      </c>
      <c r="I3771">
        <v>-25.713609999999999</v>
      </c>
      <c r="J3771">
        <v>-300.57619999999997</v>
      </c>
      <c r="K3771">
        <v>1.1013919999999999</v>
      </c>
      <c r="L3771">
        <v>-10.12341</v>
      </c>
      <c r="M3771">
        <v>6.7710350000000002E-2</v>
      </c>
      <c r="N3771">
        <v>0</v>
      </c>
      <c r="O3771">
        <v>-0.99761739999999999</v>
      </c>
      <c r="P3771">
        <v>9.9919090000000002E-2</v>
      </c>
      <c r="Q3771">
        <v>7.422078E-2</v>
      </c>
      <c r="R3771">
        <v>-0.99222390000000005</v>
      </c>
      <c r="S3771">
        <v>-0.2488708</v>
      </c>
      <c r="T3771">
        <v>-0.2109568</v>
      </c>
      <c r="U3771">
        <v>-3.0705870000000002</v>
      </c>
      <c r="V3771">
        <v>-3.177294E-2</v>
      </c>
      <c r="W3771">
        <v>8.7678069999999997E-2</v>
      </c>
      <c r="X3771">
        <v>0.99564200000000003</v>
      </c>
      <c r="Y3771">
        <v>0.14790729999999999</v>
      </c>
      <c r="Z3771">
        <v>6.781703E-2</v>
      </c>
      <c r="AA3771">
        <v>0.98667340000000003</v>
      </c>
      <c r="AB3771">
        <v>23</v>
      </c>
      <c r="AC3771">
        <v>-1.3204</v>
      </c>
      <c r="AD3771">
        <v>-1.1013945197389901</v>
      </c>
      <c r="AE3771">
        <v>-15.590199999999999</v>
      </c>
      <c r="AF3771">
        <v>2.3613778063177202</v>
      </c>
      <c r="AG3771">
        <v>-1.1013945197389901</v>
      </c>
      <c r="AH3771">
        <v>15.3887446721407</v>
      </c>
      <c r="AI3771">
        <v>94.046556919733106</v>
      </c>
      <c r="AJ3771">
        <v>81.276103362805102</v>
      </c>
      <c r="AK3771">
        <v>15.607774909211701</v>
      </c>
      <c r="AL3771">
        <v>84.969957734281195</v>
      </c>
      <c r="AM3771">
        <v>91.827803339314599</v>
      </c>
      <c r="AN3771">
        <v>0.99999997791958395</v>
      </c>
    </row>
    <row r="3772" spans="1:40" x14ac:dyDescent="0.3">
      <c r="A3772" t="str">
        <f>"20200111153954741"</f>
        <v>20200111153954741</v>
      </c>
      <c r="B3772" t="str">
        <f>"1578728394735158"</f>
        <v>1578728394735158</v>
      </c>
      <c r="C3772" t="s">
        <v>40</v>
      </c>
      <c r="D3772">
        <v>5.386069</v>
      </c>
      <c r="E3772">
        <v>0.55549979999999999</v>
      </c>
      <c r="F3772" t="s">
        <v>41</v>
      </c>
      <c r="G3772">
        <v>-300.66050000000001</v>
      </c>
      <c r="H3772">
        <v>1.038891</v>
      </c>
      <c r="I3772">
        <v>-11.07</v>
      </c>
      <c r="J3772">
        <v>-300.5582</v>
      </c>
      <c r="K3772">
        <v>1.1016030000000001</v>
      </c>
      <c r="L3772">
        <v>-10.59061</v>
      </c>
      <c r="M3772">
        <v>5.717912E-2</v>
      </c>
      <c r="N3772">
        <v>0</v>
      </c>
      <c r="O3772">
        <v>-0.99827560000000004</v>
      </c>
      <c r="P3772">
        <v>8.9372629999999995E-2</v>
      </c>
      <c r="Q3772">
        <v>7.388306E-2</v>
      </c>
      <c r="R3772">
        <v>-0.99325419999999998</v>
      </c>
      <c r="S3772">
        <v>-0.27319339999999998</v>
      </c>
      <c r="T3772">
        <v>-0.20254240000000001</v>
      </c>
      <c r="U3772">
        <v>-3.0661619999999998</v>
      </c>
      <c r="V3772">
        <v>-3.1738200000000001E-2</v>
      </c>
      <c r="W3772">
        <v>8.7369779999999994E-2</v>
      </c>
      <c r="X3772">
        <v>0.99567030000000001</v>
      </c>
      <c r="Y3772">
        <v>0.145370899999999</v>
      </c>
      <c r="Z3772">
        <v>6.5272849999999993E-2</v>
      </c>
      <c r="AA3772">
        <v>0.98722169999999998</v>
      </c>
      <c r="AB3772">
        <v>23</v>
      </c>
      <c r="AC3772">
        <v>-0.10230000000001301</v>
      </c>
      <c r="AD3772">
        <v>-6.2712000000000101E-2</v>
      </c>
      <c r="AE3772">
        <v>-0.47938999999999998</v>
      </c>
      <c r="AF3772">
        <v>0.127459911103394</v>
      </c>
      <c r="AG3772">
        <v>-6.2712000000000101E-2</v>
      </c>
      <c r="AH3772">
        <v>0.46514236972224898</v>
      </c>
      <c r="AI3772">
        <v>97.408585729711504</v>
      </c>
      <c r="AJ3772">
        <v>74.675780699684793</v>
      </c>
      <c r="AK3772">
        <v>0.48634992340218802</v>
      </c>
      <c r="AL3772">
        <v>84.987689955652002</v>
      </c>
      <c r="AM3772">
        <v>91.825754343292502</v>
      </c>
      <c r="AN3772">
        <v>1.0000000690492801</v>
      </c>
    </row>
    <row r="3773" spans="1:40" x14ac:dyDescent="0.3">
      <c r="A3773" t="str">
        <f>"20200111153954785"</f>
        <v>20200111153954785</v>
      </c>
      <c r="B3773" t="str">
        <f>"1578728394775174"</f>
        <v>1578728394775174</v>
      </c>
      <c r="C3773" t="s">
        <v>40</v>
      </c>
      <c r="D3773">
        <v>5.29847</v>
      </c>
      <c r="E3773">
        <v>0.5537337</v>
      </c>
      <c r="F3773" t="s">
        <v>41</v>
      </c>
      <c r="G3773">
        <v>-300.61660000000001</v>
      </c>
      <c r="H3773">
        <v>1.0456289999999999</v>
      </c>
      <c r="I3773">
        <v>-11.48091</v>
      </c>
      <c r="J3773">
        <v>-300.54450000000003</v>
      </c>
      <c r="K3773">
        <v>1.101815</v>
      </c>
      <c r="L3773">
        <v>-11.06406</v>
      </c>
      <c r="M3773">
        <v>4.6990499999999998E-2</v>
      </c>
      <c r="N3773">
        <v>0</v>
      </c>
      <c r="O3773">
        <v>-0.99880670000000005</v>
      </c>
      <c r="P3773">
        <v>7.8100470000000005E-2</v>
      </c>
      <c r="Q3773">
        <v>7.6482270000000005E-2</v>
      </c>
      <c r="R3773">
        <v>-0.99400759999999999</v>
      </c>
      <c r="S3773">
        <v>-0.19992070000000001</v>
      </c>
      <c r="T3773">
        <v>-0.1917643</v>
      </c>
      <c r="U3773">
        <v>-3.0526119999999999</v>
      </c>
      <c r="V3773">
        <v>-3.0627680000000001E-2</v>
      </c>
      <c r="W3773">
        <v>8.9972570000000002E-2</v>
      </c>
      <c r="X3773">
        <v>0.99547319999999995</v>
      </c>
      <c r="Y3773">
        <v>0.1120462</v>
      </c>
      <c r="Z3773">
        <v>6.2328260000000003E-2</v>
      </c>
      <c r="AA3773">
        <v>0.99174640000000003</v>
      </c>
      <c r="AB3773">
        <v>23</v>
      </c>
      <c r="AC3773">
        <v>-7.2099999999977599E-2</v>
      </c>
      <c r="AD3773">
        <v>-5.6185999999999799E-2</v>
      </c>
      <c r="AE3773">
        <v>-0.416849999999998</v>
      </c>
      <c r="AF3773">
        <v>9.0022088916396598E-2</v>
      </c>
      <c r="AG3773">
        <v>-5.6185999999999799E-2</v>
      </c>
      <c r="AH3773">
        <v>0.40584213469423702</v>
      </c>
      <c r="AI3773">
        <v>97.697332026758104</v>
      </c>
      <c r="AJ3773">
        <v>77.493399301411799</v>
      </c>
      <c r="AK3773">
        <v>0.419486211194179</v>
      </c>
      <c r="AL3773">
        <v>84.837970960443798</v>
      </c>
      <c r="AM3773">
        <v>91.762260803996099</v>
      </c>
      <c r="AN3773">
        <v>1.00000000502641</v>
      </c>
    </row>
    <row r="3774" spans="1:40" x14ac:dyDescent="0.3">
      <c r="A3774" t="str">
        <f>"20200111153954829"</f>
        <v>20200111153954829</v>
      </c>
      <c r="B3774" t="str">
        <f>"1578728394824481"</f>
        <v>1578728394824481</v>
      </c>
      <c r="C3774" t="s">
        <v>40</v>
      </c>
      <c r="D3774">
        <v>5.2947850000000001</v>
      </c>
      <c r="E3774">
        <v>0.5518805</v>
      </c>
      <c r="F3774" t="s">
        <v>41</v>
      </c>
      <c r="G3774">
        <v>-300.60500000000002</v>
      </c>
      <c r="H3774">
        <v>1.05063</v>
      </c>
      <c r="I3774">
        <v>-11.907450000000001</v>
      </c>
      <c r="J3774">
        <v>-300.53519999999997</v>
      </c>
      <c r="K3774">
        <v>1.102028</v>
      </c>
      <c r="L3774">
        <v>-11.516109999999999</v>
      </c>
      <c r="M3774">
        <v>3.7789450000000002E-2</v>
      </c>
      <c r="N3774">
        <v>0</v>
      </c>
      <c r="O3774">
        <v>-0.99919709999999995</v>
      </c>
      <c r="P3774">
        <v>6.9521200000000005E-2</v>
      </c>
      <c r="Q3774">
        <v>7.7706910000000004E-2</v>
      </c>
      <c r="R3774">
        <v>-0.99454960000000003</v>
      </c>
      <c r="S3774">
        <v>-0.21917719999999999</v>
      </c>
      <c r="T3774">
        <v>-0.1851855</v>
      </c>
      <c r="U3774">
        <v>-3.0495610000000002</v>
      </c>
      <c r="V3774">
        <v>-3.1244580000000001E-2</v>
      </c>
      <c r="W3774">
        <v>9.1197730000000005E-2</v>
      </c>
      <c r="X3774">
        <v>0.99534259999999997</v>
      </c>
      <c r="Y3774">
        <v>0.10920050000000001</v>
      </c>
      <c r="Z3774">
        <v>6.0289919999999997E-2</v>
      </c>
      <c r="AA3774">
        <v>0.99218969999999995</v>
      </c>
      <c r="AB3774">
        <v>23</v>
      </c>
      <c r="AC3774">
        <v>-6.98000000000433E-2</v>
      </c>
      <c r="AD3774">
        <v>-5.1397999999999999E-2</v>
      </c>
      <c r="AE3774">
        <v>-0.39133999999999902</v>
      </c>
      <c r="AF3774">
        <v>8.3149872385903101E-2</v>
      </c>
      <c r="AG3774">
        <v>-5.1397999999999999E-2</v>
      </c>
      <c r="AH3774">
        <v>0.38203563551177</v>
      </c>
      <c r="AI3774">
        <v>97.489130716386001</v>
      </c>
      <c r="AJ3774">
        <v>77.7211000357145</v>
      </c>
      <c r="AK3774">
        <v>0.394343609663798</v>
      </c>
      <c r="AL3774">
        <v>84.767485013571203</v>
      </c>
      <c r="AM3774">
        <v>91.7979687698258</v>
      </c>
      <c r="AN3774">
        <v>1.00000007055564</v>
      </c>
    </row>
    <row r="3775" spans="1:40" x14ac:dyDescent="0.3">
      <c r="A3775" t="str">
        <f>"20200111153954874"</f>
        <v>20200111153954874</v>
      </c>
      <c r="B3775" t="str">
        <f>"1578728394864497"</f>
        <v>1578728394864497</v>
      </c>
      <c r="C3775" t="s">
        <v>40</v>
      </c>
      <c r="D3775">
        <v>5.2829899999999999</v>
      </c>
      <c r="E3775">
        <v>0.54361369999999998</v>
      </c>
      <c r="F3775" t="s">
        <v>42</v>
      </c>
      <c r="G3775">
        <v>-301.91430000000003</v>
      </c>
      <c r="H3775" s="1">
        <v>-8.0760509999999998E-7</v>
      </c>
      <c r="I3775">
        <v>-29.715620000000001</v>
      </c>
      <c r="J3775">
        <v>-300.52910000000003</v>
      </c>
      <c r="K3775">
        <v>1.102257</v>
      </c>
      <c r="L3775">
        <v>-11.98114</v>
      </c>
      <c r="M3775">
        <v>2.8865209999999999E-2</v>
      </c>
      <c r="N3775">
        <v>0</v>
      </c>
      <c r="O3775">
        <v>-0.99949449999999995</v>
      </c>
      <c r="P3775">
        <v>6.118183E-2</v>
      </c>
      <c r="Q3775">
        <v>7.7673610000000004E-2</v>
      </c>
      <c r="R3775">
        <v>-0.99510010000000004</v>
      </c>
      <c r="S3775">
        <v>-0.23089599999999999</v>
      </c>
      <c r="T3775">
        <v>-0.1845039</v>
      </c>
      <c r="U3775">
        <v>-3.0469970000000002</v>
      </c>
      <c r="V3775">
        <v>-3.1835589999999997E-2</v>
      </c>
      <c r="W3775">
        <v>9.1156909999999994E-2</v>
      </c>
      <c r="X3775">
        <v>0.99532750000000003</v>
      </c>
      <c r="Y3775">
        <v>0.1041783</v>
      </c>
      <c r="Z3775">
        <v>6.0153789999999999E-2</v>
      </c>
      <c r="AA3775">
        <v>0.9927378</v>
      </c>
      <c r="AB3775">
        <v>23</v>
      </c>
      <c r="AC3775">
        <v>-1.38519999999999</v>
      </c>
      <c r="AD3775">
        <v>-1.1022578076050999</v>
      </c>
      <c r="AE3775">
        <v>-17.734479999999898</v>
      </c>
      <c r="AF3775">
        <v>1.8893233626181201</v>
      </c>
      <c r="AG3775">
        <v>-1.1022578076050999</v>
      </c>
      <c r="AH3775">
        <v>17.619449377706399</v>
      </c>
      <c r="AI3775">
        <v>93.559358696474604</v>
      </c>
      <c r="AJ3775">
        <v>83.879593000529297</v>
      </c>
      <c r="AK3775">
        <v>17.754703923651299</v>
      </c>
      <c r="AL3775">
        <v>84.769833028091597</v>
      </c>
      <c r="AM3775">
        <v>91.831983243205599</v>
      </c>
      <c r="AN3775">
        <v>0.99999995964382205</v>
      </c>
    </row>
    <row r="3776" spans="1:40" x14ac:dyDescent="0.3">
      <c r="A3776" t="str">
        <f>"20200111153954919"</f>
        <v>20200111153954919</v>
      </c>
      <c r="B3776" t="str">
        <f>"1578728394914779"</f>
        <v>1578728394914779</v>
      </c>
      <c r="C3776" t="s">
        <v>40</v>
      </c>
      <c r="D3776">
        <v>5.3305819999999997</v>
      </c>
      <c r="E3776">
        <v>0.54165949999999996</v>
      </c>
      <c r="F3776" t="s">
        <v>41</v>
      </c>
      <c r="G3776">
        <v>-300.57600000000002</v>
      </c>
      <c r="H3776">
        <v>1.053061</v>
      </c>
      <c r="I3776">
        <v>-12.728669999999999</v>
      </c>
      <c r="J3776">
        <v>-300.52670000000001</v>
      </c>
      <c r="K3776">
        <v>1.1024369999999999</v>
      </c>
      <c r="L3776">
        <v>-12.440770000000001</v>
      </c>
      <c r="M3776">
        <v>2.058803E-2</v>
      </c>
      <c r="N3776">
        <v>0</v>
      </c>
      <c r="O3776">
        <v>-0.99969929999999996</v>
      </c>
      <c r="P3776">
        <v>5.4247320000000002E-2</v>
      </c>
      <c r="Q3776">
        <v>7.5523149999999997E-2</v>
      </c>
      <c r="R3776">
        <v>-0.99566750000000004</v>
      </c>
      <c r="S3776">
        <v>-0.19055179999999999</v>
      </c>
      <c r="T3776">
        <v>-0.20001579999999999</v>
      </c>
      <c r="U3776">
        <v>-3.0421140000000002</v>
      </c>
      <c r="V3776">
        <v>-3.3192800000000001E-2</v>
      </c>
      <c r="W3776">
        <v>8.9000399999999993E-2</v>
      </c>
      <c r="X3776">
        <v>0.99547830000000004</v>
      </c>
      <c r="Y3776">
        <v>8.2917770000000002E-2</v>
      </c>
      <c r="Z3776">
        <v>6.5409610000000007E-2</v>
      </c>
      <c r="AA3776">
        <v>0.9944075</v>
      </c>
      <c r="AB3776">
        <v>23</v>
      </c>
      <c r="AC3776">
        <v>-4.9299999999959702E-2</v>
      </c>
      <c r="AD3776">
        <v>-4.9376000000000003E-2</v>
      </c>
      <c r="AE3776">
        <v>-0.28789999999999799</v>
      </c>
      <c r="AF3776">
        <v>5.3683330241348901E-2</v>
      </c>
      <c r="AG3776">
        <v>-4.9376000000000003E-2</v>
      </c>
      <c r="AH3776">
        <v>0.27885540131178299</v>
      </c>
      <c r="AI3776">
        <v>99.863635171931904</v>
      </c>
      <c r="AJ3776">
        <v>79.103121632347595</v>
      </c>
      <c r="AK3776">
        <v>0.28823640325704403</v>
      </c>
      <c r="AL3776">
        <v>84.893896236283794</v>
      </c>
      <c r="AM3776">
        <v>91.909738277809694</v>
      </c>
      <c r="AN3776">
        <v>0.99999993947144294</v>
      </c>
    </row>
    <row r="3777" spans="1:40" x14ac:dyDescent="0.3">
      <c r="A3777" t="str">
        <f>"20200111153954964"</f>
        <v>20200111153954964</v>
      </c>
      <c r="B3777" t="str">
        <f>"1578728394954798"</f>
        <v>1578728394954798</v>
      </c>
      <c r="C3777" t="s">
        <v>40</v>
      </c>
      <c r="D3777">
        <v>5.3782009999999998</v>
      </c>
      <c r="E3777">
        <v>0.54049859999999905</v>
      </c>
      <c r="F3777" t="s">
        <v>41</v>
      </c>
      <c r="G3777">
        <v>-300.58479999999997</v>
      </c>
      <c r="H3777">
        <v>1.0377110000000001</v>
      </c>
      <c r="I3777">
        <v>-13.333909999999999</v>
      </c>
      <c r="J3777">
        <v>-300.52760000000001</v>
      </c>
      <c r="K3777">
        <v>1.102576</v>
      </c>
      <c r="L3777">
        <v>-12.90884</v>
      </c>
      <c r="M3777">
        <v>1.2594910000000001E-2</v>
      </c>
      <c r="N3777">
        <v>0</v>
      </c>
      <c r="O3777">
        <v>-0.99983219999999995</v>
      </c>
      <c r="P3777">
        <v>4.5974389999999997E-2</v>
      </c>
      <c r="Q3777">
        <v>7.5592729999999997E-2</v>
      </c>
      <c r="R3777">
        <v>-0.99607860000000004</v>
      </c>
      <c r="S3777">
        <v>-0.19671630000000001</v>
      </c>
      <c r="T3777">
        <v>-0.21993679999999999</v>
      </c>
      <c r="U3777">
        <v>-3.0404659999999999</v>
      </c>
      <c r="V3777">
        <v>-3.2910699999999897E-2</v>
      </c>
      <c r="W3777">
        <v>8.9047399999999999E-2</v>
      </c>
      <c r="X3777">
        <v>0.99548349999999997</v>
      </c>
      <c r="Y3777">
        <v>7.696161E-2</v>
      </c>
      <c r="Z3777">
        <v>7.1957599999999997E-2</v>
      </c>
      <c r="AA3777">
        <v>0.99443400000000004</v>
      </c>
      <c r="AB3777">
        <v>23</v>
      </c>
      <c r="AC3777">
        <v>-5.7199999999966097E-2</v>
      </c>
      <c r="AD3777">
        <v>-6.4864999999999895E-2</v>
      </c>
      <c r="AE3777">
        <v>-0.425070000000001</v>
      </c>
      <c r="AF3777">
        <v>6.1151002306540601E-2</v>
      </c>
      <c r="AG3777">
        <v>-6.4864999999999895E-2</v>
      </c>
      <c r="AH3777">
        <v>0.41482780164003502</v>
      </c>
      <c r="AI3777">
        <v>98.793628974414503</v>
      </c>
      <c r="AJ3777">
        <v>81.614252778712597</v>
      </c>
      <c r="AK3777">
        <v>0.424298265753702</v>
      </c>
      <c r="AL3777">
        <v>84.891192787787602</v>
      </c>
      <c r="AM3777">
        <v>91.8935097168048</v>
      </c>
      <c r="AN3777">
        <v>0.99999997619674896</v>
      </c>
    </row>
    <row r="3778" spans="1:40" x14ac:dyDescent="0.3">
      <c r="A3778" t="str">
        <f>"20200111153954992"</f>
        <v>20200111153954992</v>
      </c>
      <c r="B3778" t="str">
        <f>"1578728394985052"</f>
        <v>1578728394985052</v>
      </c>
      <c r="C3778" t="s">
        <v>40</v>
      </c>
      <c r="D3778">
        <v>5.589982</v>
      </c>
      <c r="E3778">
        <v>0.54050769999999904</v>
      </c>
      <c r="F3778" t="s">
        <v>41</v>
      </c>
      <c r="G3778">
        <v>-300.58640000000003</v>
      </c>
      <c r="H3778">
        <v>1.040907</v>
      </c>
      <c r="I3778">
        <v>-13.746549999999999</v>
      </c>
      <c r="J3778">
        <v>-300.52980000000002</v>
      </c>
      <c r="K3778">
        <v>1.102643</v>
      </c>
      <c r="L3778">
        <v>-13.20978</v>
      </c>
      <c r="M3778">
        <v>7.6256579999999996E-3</v>
      </c>
      <c r="N3778">
        <v>0</v>
      </c>
      <c r="O3778">
        <v>-0.99988279999999996</v>
      </c>
      <c r="P3778">
        <v>4.0993019999999998E-2</v>
      </c>
      <c r="Q3778">
        <v>7.5765089999999993E-2</v>
      </c>
      <c r="R3778">
        <v>-0.99628309999999998</v>
      </c>
      <c r="S3778">
        <v>-0.21200559999999999</v>
      </c>
      <c r="T3778">
        <v>-0.2232113</v>
      </c>
      <c r="U3778">
        <v>-3.0385439999999999</v>
      </c>
      <c r="V3778">
        <v>-3.2893680000000002E-2</v>
      </c>
      <c r="W3778">
        <v>8.9186100000000004E-2</v>
      </c>
      <c r="X3778">
        <v>0.99547169999999896</v>
      </c>
      <c r="Y3778">
        <v>7.7022660000000007E-2</v>
      </c>
      <c r="Z3778">
        <v>7.3062210000000002E-2</v>
      </c>
      <c r="AA3778">
        <v>0.99434880000000003</v>
      </c>
      <c r="AB3778">
        <v>23</v>
      </c>
      <c r="AC3778">
        <v>-5.6600000000003002E-2</v>
      </c>
      <c r="AD3778">
        <v>-6.1735999999999999E-2</v>
      </c>
      <c r="AE3778">
        <v>-0.53676999999999997</v>
      </c>
      <c r="AF3778">
        <v>5.9908176776770197E-2</v>
      </c>
      <c r="AG3778">
        <v>-6.1735999999999999E-2</v>
      </c>
      <c r="AH3778">
        <v>0.52939678545656599</v>
      </c>
      <c r="AI3778">
        <v>96.609736264096995</v>
      </c>
      <c r="AJ3778">
        <v>83.543698535532897</v>
      </c>
      <c r="AK3778">
        <v>0.536340637834261</v>
      </c>
      <c r="AL3778">
        <v>84.883214393670499</v>
      </c>
      <c r="AM3778">
        <v>91.892553604365503</v>
      </c>
      <c r="AN3778">
        <v>1.0000000300590199</v>
      </c>
    </row>
    <row r="3779" spans="1:40" x14ac:dyDescent="0.3">
      <c r="A3779" t="str">
        <f>"20200111153955031"</f>
        <v>20200111153955031</v>
      </c>
      <c r="B3779" t="str">
        <f>"1578728395024604"</f>
        <v>1578728395024604</v>
      </c>
      <c r="C3779" t="s">
        <v>40</v>
      </c>
      <c r="D3779">
        <v>5.4337869999999997</v>
      </c>
      <c r="E3779">
        <v>0.58343080000000003</v>
      </c>
      <c r="F3779" t="s">
        <v>41</v>
      </c>
      <c r="G3779">
        <v>-300.58589999999998</v>
      </c>
      <c r="H3779">
        <v>1.0481</v>
      </c>
      <c r="I3779">
        <v>-13.95717</v>
      </c>
      <c r="J3779">
        <v>-300.53469999999999</v>
      </c>
      <c r="K3779">
        <v>1.1026670000000001</v>
      </c>
      <c r="L3779">
        <v>-13.592409999999999</v>
      </c>
      <c r="M3779">
        <v>1.5132990000000001E-3</v>
      </c>
      <c r="N3779">
        <v>0</v>
      </c>
      <c r="O3779">
        <v>-0.99991410000000003</v>
      </c>
      <c r="P3779">
        <v>3.4683699999999998E-2</v>
      </c>
      <c r="Q3779">
        <v>7.6568899999999995E-2</v>
      </c>
      <c r="R3779">
        <v>-0.99646109999999999</v>
      </c>
      <c r="S3779">
        <v>-0.22717290000000001</v>
      </c>
      <c r="T3779">
        <v>-0.2214652</v>
      </c>
      <c r="U3779">
        <v>-3.0373839999999999</v>
      </c>
      <c r="V3779">
        <v>-3.26913E-2</v>
      </c>
      <c r="W3779">
        <v>8.9724670000000006E-2</v>
      </c>
      <c r="X3779">
        <v>0.99542989999999998</v>
      </c>
      <c r="Y3779">
        <v>7.5896729999999996E-2</v>
      </c>
      <c r="Z3779">
        <v>7.2514339999999997E-2</v>
      </c>
      <c r="AA3779">
        <v>0.99447540000000001</v>
      </c>
      <c r="AB3779">
        <v>23</v>
      </c>
      <c r="AC3779">
        <v>-5.1199999999994299E-2</v>
      </c>
      <c r="AD3779">
        <v>-5.4566999999999997E-2</v>
      </c>
      <c r="AE3779">
        <v>-0.36475999999999997</v>
      </c>
      <c r="AF3779">
        <v>5.06405779745836E-2</v>
      </c>
      <c r="AG3779">
        <v>-5.4566999999999997E-2</v>
      </c>
      <c r="AH3779">
        <v>0.356850353937332</v>
      </c>
      <c r="AI3779">
        <v>98.608974322289697</v>
      </c>
      <c r="AJ3779">
        <v>81.923095400886595</v>
      </c>
      <c r="AK3779">
        <v>0.364532852746908</v>
      </c>
      <c r="AL3779">
        <v>84.852232041093004</v>
      </c>
      <c r="AM3779">
        <v>91.880996890745493</v>
      </c>
      <c r="AN3779">
        <v>0.99999996165815297</v>
      </c>
    </row>
    <row r="3780" spans="1:40" x14ac:dyDescent="0.3">
      <c r="A3780" t="str">
        <f>"20200111153955075"</f>
        <v>20200111153955075</v>
      </c>
      <c r="B3780" t="str">
        <f>"1578728395064617"</f>
        <v>1578728395064617</v>
      </c>
      <c r="C3780" t="s">
        <v>40</v>
      </c>
      <c r="D3780">
        <v>5.4726660000000003</v>
      </c>
      <c r="E3780">
        <v>0.58536149999999998</v>
      </c>
      <c r="F3780" t="s">
        <v>42</v>
      </c>
      <c r="G3780">
        <v>-303.89080000000001</v>
      </c>
      <c r="H3780" s="1">
        <v>-4.7799349999999997E-6</v>
      </c>
      <c r="I3780">
        <v>-30.995200000000001</v>
      </c>
      <c r="J3780">
        <v>-300.54300000000001</v>
      </c>
      <c r="K3780">
        <v>1.1026899999999999</v>
      </c>
      <c r="L3780">
        <v>-14.04791</v>
      </c>
      <c r="M3780">
        <v>-5.4747469999999899E-3</v>
      </c>
      <c r="N3780">
        <v>0</v>
      </c>
      <c r="O3780">
        <v>-0.99990659999999998</v>
      </c>
      <c r="P3780">
        <v>2.866697E-2</v>
      </c>
      <c r="Q3780">
        <v>7.6703370000000007E-2</v>
      </c>
      <c r="R3780">
        <v>-0.99664189999999997</v>
      </c>
      <c r="S3780">
        <v>-0.58740230000000004</v>
      </c>
      <c r="T3780">
        <v>-0.19299540000000001</v>
      </c>
      <c r="U3780">
        <v>-3.0459290000000001</v>
      </c>
      <c r="V3780">
        <v>-3.3665899999999999E-2</v>
      </c>
      <c r="W3780">
        <v>8.9367050000000003E-2</v>
      </c>
      <c r="X3780">
        <v>0.99542960000000003</v>
      </c>
      <c r="Y3780">
        <v>0.18361469999999999</v>
      </c>
      <c r="Z3780">
        <v>6.2125939999999998E-2</v>
      </c>
      <c r="AA3780">
        <v>0.98103309999999999</v>
      </c>
      <c r="AB3780">
        <v>23</v>
      </c>
      <c r="AC3780">
        <v>-3.3477999999999999</v>
      </c>
      <c r="AD3780">
        <v>-1.102694779935</v>
      </c>
      <c r="AE3780">
        <v>-16.947289999999999</v>
      </c>
      <c r="AF3780">
        <v>3.24175157665247</v>
      </c>
      <c r="AG3780">
        <v>-1.102694779935</v>
      </c>
      <c r="AH3780">
        <v>16.8965192084409</v>
      </c>
      <c r="AI3780">
        <v>93.667224619232698</v>
      </c>
      <c r="AJ3780">
        <v>79.139258827724504</v>
      </c>
      <c r="AK3780">
        <v>17.2399898614714</v>
      </c>
      <c r="AL3780">
        <v>84.8728048768034</v>
      </c>
      <c r="AM3780">
        <v>91.937032052831199</v>
      </c>
      <c r="AN3780">
        <v>0.99999997550233599</v>
      </c>
    </row>
    <row r="3781" spans="1:40" x14ac:dyDescent="0.3">
      <c r="A3781" t="str">
        <f>"20200111153955121"</f>
        <v>20200111153955121</v>
      </c>
      <c r="B3781" t="str">
        <f>"1578728395114896"</f>
        <v>1578728395114896</v>
      </c>
      <c r="C3781" t="s">
        <v>40</v>
      </c>
      <c r="D3781">
        <v>5.5010490000000001</v>
      </c>
      <c r="E3781">
        <v>0.58414840000000001</v>
      </c>
      <c r="F3781" t="s">
        <v>42</v>
      </c>
      <c r="G3781">
        <v>-304.47149999999999</v>
      </c>
      <c r="H3781" s="1">
        <v>-4.0889699999999997E-6</v>
      </c>
      <c r="I3781">
        <v>-33.328330000000001</v>
      </c>
      <c r="J3781">
        <v>-300.55459999999999</v>
      </c>
      <c r="K3781">
        <v>1.1026609999999999</v>
      </c>
      <c r="L3781">
        <v>-14.52304</v>
      </c>
      <c r="M3781">
        <v>-1.2491759999999999E-2</v>
      </c>
      <c r="N3781">
        <v>0</v>
      </c>
      <c r="O3781">
        <v>-0.99985199999999996</v>
      </c>
      <c r="P3781">
        <v>2.1641759999999999E-2</v>
      </c>
      <c r="Q3781">
        <v>7.6058570000000006E-2</v>
      </c>
      <c r="R3781">
        <v>-0.9968688</v>
      </c>
      <c r="S3781">
        <v>-0.61968990000000002</v>
      </c>
      <c r="T3781">
        <v>-0.1739405</v>
      </c>
      <c r="U3781">
        <v>-3.0413209999999999</v>
      </c>
      <c r="V3781">
        <v>-3.3661400000000001E-2</v>
      </c>
      <c r="W3781">
        <v>8.8025300000000001E-2</v>
      </c>
      <c r="X3781">
        <v>0.99554929999999997</v>
      </c>
      <c r="Y3781">
        <v>0.18708449999999999</v>
      </c>
      <c r="Z3781">
        <v>5.6014809999999998E-2</v>
      </c>
      <c r="AA3781">
        <v>0.98074550000000005</v>
      </c>
      <c r="AB3781">
        <v>23</v>
      </c>
      <c r="AC3781">
        <v>-3.9168999999999898</v>
      </c>
      <c r="AD3781">
        <v>-1.10266508897</v>
      </c>
      <c r="AE3781">
        <v>-18.805289999999999</v>
      </c>
      <c r="AF3781">
        <v>3.66957471142572</v>
      </c>
      <c r="AG3781">
        <v>-1.10266508897</v>
      </c>
      <c r="AH3781">
        <v>18.7908351461097</v>
      </c>
      <c r="AI3781">
        <v>93.296199442542004</v>
      </c>
      <c r="AJ3781">
        <v>78.950041715110501</v>
      </c>
      <c r="AK3781">
        <v>19.177516375939799</v>
      </c>
      <c r="AL3781">
        <v>84.9499856899956</v>
      </c>
      <c r="AM3781">
        <v>91.9365406430354</v>
      </c>
      <c r="AN3781">
        <v>0.99999997601026902</v>
      </c>
    </row>
    <row r="3782" spans="1:40" x14ac:dyDescent="0.3">
      <c r="A3782" t="str">
        <f>"20200111153955152"</f>
        <v>20200111153955152</v>
      </c>
      <c r="B3782" t="str">
        <f>"1578728395145152"</f>
        <v>1578728395145152</v>
      </c>
      <c r="C3782" t="s">
        <v>40</v>
      </c>
      <c r="D3782">
        <v>5.4981470000000003</v>
      </c>
      <c r="E3782">
        <v>0.58326859999999903</v>
      </c>
      <c r="F3782" t="s">
        <v>42</v>
      </c>
      <c r="G3782">
        <v>-304.65820000000002</v>
      </c>
      <c r="H3782" s="1">
        <v>-3.7928290000000001E-6</v>
      </c>
      <c r="I3782">
        <v>-34.295909999999999</v>
      </c>
      <c r="J3782">
        <v>-300.56470000000002</v>
      </c>
      <c r="K3782">
        <v>1.102608</v>
      </c>
      <c r="L3782">
        <v>-14.864990000000001</v>
      </c>
      <c r="M3782">
        <v>-1.739709E-2</v>
      </c>
      <c r="N3782">
        <v>0</v>
      </c>
      <c r="O3782">
        <v>-0.99978440000000002</v>
      </c>
      <c r="P3782">
        <v>1.523414E-2</v>
      </c>
      <c r="Q3782">
        <v>7.4225780000000005E-2</v>
      </c>
      <c r="R3782">
        <v>-0.99712509999999999</v>
      </c>
      <c r="S3782">
        <v>-0.6300964</v>
      </c>
      <c r="T3782">
        <v>-0.16930780000000001</v>
      </c>
      <c r="U3782">
        <v>-3.0360109999999998</v>
      </c>
      <c r="V3782">
        <v>-3.2163579999999997E-2</v>
      </c>
      <c r="W3782">
        <v>8.5679549999999993E-2</v>
      </c>
      <c r="X3782">
        <v>0.99580349999999995</v>
      </c>
      <c r="Y3782">
        <v>0.1858416</v>
      </c>
      <c r="Z3782">
        <v>5.460251E-2</v>
      </c>
      <c r="AA3782">
        <v>0.98106139999999997</v>
      </c>
      <c r="AB3782">
        <v>23</v>
      </c>
      <c r="AC3782">
        <v>-4.0934999999999997</v>
      </c>
      <c r="AD3782">
        <v>-1.102611792829</v>
      </c>
      <c r="AE3782">
        <v>-19.43092</v>
      </c>
      <c r="AF3782">
        <v>3.7432760165979002</v>
      </c>
      <c r="AG3782">
        <v>-1.102611792829</v>
      </c>
      <c r="AH3782">
        <v>19.439263683167901</v>
      </c>
      <c r="AI3782">
        <v>93.187944536033498</v>
      </c>
      <c r="AJ3782">
        <v>79.100386901071303</v>
      </c>
      <c r="AK3782">
        <v>19.827073426147699</v>
      </c>
      <c r="AL3782">
        <v>85.084897448917005</v>
      </c>
      <c r="AM3782">
        <v>91.849960310819696</v>
      </c>
      <c r="AN3782">
        <v>1.00000004588943</v>
      </c>
    </row>
    <row r="3783" spans="1:40" x14ac:dyDescent="0.3">
      <c r="A3783" t="str">
        <f>"20200111153955187"</f>
        <v>20200111153955187</v>
      </c>
      <c r="B3783" t="str">
        <f>"1578728395174433"</f>
        <v>1578728395174433</v>
      </c>
      <c r="C3783" t="s">
        <v>40</v>
      </c>
      <c r="D3783">
        <v>5.493519</v>
      </c>
      <c r="E3783">
        <v>0.58240209999999903</v>
      </c>
      <c r="F3783" t="s">
        <v>42</v>
      </c>
      <c r="G3783">
        <v>-304.61750000000001</v>
      </c>
      <c r="H3783" s="1">
        <v>-3.8854260000000004E-6</v>
      </c>
      <c r="I3783">
        <v>-34.002540000000003</v>
      </c>
      <c r="J3783">
        <v>-300.57659999999998</v>
      </c>
      <c r="K3783">
        <v>1.1025229999999999</v>
      </c>
      <c r="L3783">
        <v>-15.20984</v>
      </c>
      <c r="M3783">
        <v>-2.2262980000000002E-2</v>
      </c>
      <c r="N3783">
        <v>0</v>
      </c>
      <c r="O3783">
        <v>-0.99969390000000002</v>
      </c>
      <c r="P3783">
        <v>8.9639869999999996E-3</v>
      </c>
      <c r="Q3783">
        <v>7.2565679999999994E-2</v>
      </c>
      <c r="R3783">
        <v>-0.99732359999999998</v>
      </c>
      <c r="S3783">
        <v>-0.64196779999999998</v>
      </c>
      <c r="T3783">
        <v>-0.17465810000000001</v>
      </c>
      <c r="U3783">
        <v>-3.0314640000000002</v>
      </c>
      <c r="V3783">
        <v>-3.0760470000000002E-2</v>
      </c>
      <c r="W3783">
        <v>8.3481620000000006E-2</v>
      </c>
      <c r="X3783">
        <v>0.99603439999999999</v>
      </c>
      <c r="Y3783">
        <v>0.18501190000000001</v>
      </c>
      <c r="Z3783">
        <v>5.637884E-2</v>
      </c>
      <c r="AA3783">
        <v>0.98111769999999998</v>
      </c>
      <c r="AB3783">
        <v>23</v>
      </c>
      <c r="AC3783">
        <v>-4.0409000000000201</v>
      </c>
      <c r="AD3783">
        <v>-1.102526885426</v>
      </c>
      <c r="AE3783">
        <v>-18.7927</v>
      </c>
      <c r="AF3783">
        <v>3.60961752666217</v>
      </c>
      <c r="AG3783">
        <v>-1.102526885426</v>
      </c>
      <c r="AH3783">
        <v>18.816108015907599</v>
      </c>
      <c r="AI3783">
        <v>93.293484040141905</v>
      </c>
      <c r="AJ3783">
        <v>79.140506147535206</v>
      </c>
      <c r="AK3783">
        <v>19.190904749077799</v>
      </c>
      <c r="AL3783">
        <v>85.211282036431498</v>
      </c>
      <c r="AM3783">
        <v>91.768899862390398</v>
      </c>
      <c r="AN3783">
        <v>0.99999995668790098</v>
      </c>
    </row>
    <row r="3784" spans="1:40" x14ac:dyDescent="0.3">
      <c r="A3784" t="str">
        <f>"20200111153955221"</f>
        <v>20200111153955221</v>
      </c>
      <c r="B3784" t="str">
        <f>"1578728395214955"</f>
        <v>1578728395214955</v>
      </c>
      <c r="C3784" t="s">
        <v>40</v>
      </c>
      <c r="D3784">
        <v>5.4879959999999999</v>
      </c>
      <c r="E3784">
        <v>0.58131909999999998</v>
      </c>
      <c r="F3784" t="s">
        <v>42</v>
      </c>
      <c r="G3784">
        <v>-304.57729999999998</v>
      </c>
      <c r="H3784" s="1">
        <v>-3.9660260000000001E-6</v>
      </c>
      <c r="I3784">
        <v>-33.744790000000002</v>
      </c>
      <c r="J3784">
        <v>-300.59070000000003</v>
      </c>
      <c r="K3784">
        <v>1.1024389999999999</v>
      </c>
      <c r="L3784">
        <v>-15.573790000000001</v>
      </c>
      <c r="M3784">
        <v>-2.7334669999999998E-2</v>
      </c>
      <c r="N3784">
        <v>0</v>
      </c>
      <c r="O3784">
        <v>-0.99957450000000003</v>
      </c>
      <c r="P3784">
        <v>3.9377839999999997E-3</v>
      </c>
      <c r="Q3784">
        <v>7.2370309999999993E-2</v>
      </c>
      <c r="R3784">
        <v>-0.99737039999999999</v>
      </c>
      <c r="S3784">
        <v>-0.65338130000000005</v>
      </c>
      <c r="T3784">
        <v>-0.18005940000000001</v>
      </c>
      <c r="U3784">
        <v>-3.0270389999999998</v>
      </c>
      <c r="V3784">
        <v>-3.0797189999999999E-2</v>
      </c>
      <c r="W3784">
        <v>8.2685209999999995E-2</v>
      </c>
      <c r="X3784">
        <v>0.99609970000000003</v>
      </c>
      <c r="Y3784">
        <v>0.18383269999999999</v>
      </c>
      <c r="Z3784">
        <v>5.8172170000000002E-2</v>
      </c>
      <c r="AA3784">
        <v>0.98123470000000002</v>
      </c>
      <c r="AB3784">
        <v>23</v>
      </c>
      <c r="AC3784">
        <v>-3.98659999999995</v>
      </c>
      <c r="AD3784">
        <v>-1.102442966026</v>
      </c>
      <c r="AE3784">
        <v>-18.170999999999999</v>
      </c>
      <c r="AF3784">
        <v>3.4761783028845699</v>
      </c>
      <c r="AG3784">
        <v>-1.102442966026</v>
      </c>
      <c r="AH3784">
        <v>18.209239112213702</v>
      </c>
      <c r="AI3784">
        <v>93.403321302675707</v>
      </c>
      <c r="AJ3784">
        <v>79.192166705853296</v>
      </c>
      <c r="AK3784">
        <v>18.570826183359699</v>
      </c>
      <c r="AL3784">
        <v>85.257071306699302</v>
      </c>
      <c r="AM3784">
        <v>91.770894098926107</v>
      </c>
      <c r="AN3784">
        <v>0.99999996160236404</v>
      </c>
    </row>
    <row r="3785" spans="1:40" x14ac:dyDescent="0.3">
      <c r="A3785" t="str">
        <f>"20200111153955253"</f>
        <v>20200111153955253</v>
      </c>
      <c r="B3785" t="str">
        <f>"1578728395245215"</f>
        <v>1578728395245215</v>
      </c>
      <c r="C3785" t="s">
        <v>40</v>
      </c>
      <c r="D3785">
        <v>5.442869</v>
      </c>
      <c r="E3785">
        <v>0.58123840000000004</v>
      </c>
      <c r="F3785" t="s">
        <v>42</v>
      </c>
      <c r="G3785">
        <v>-304.6361</v>
      </c>
      <c r="H3785" s="1">
        <v>-3.8452970000000004E-6</v>
      </c>
      <c r="I3785">
        <v>-34.13017</v>
      </c>
      <c r="J3785">
        <v>-300.60590000000002</v>
      </c>
      <c r="K3785">
        <v>1.10236</v>
      </c>
      <c r="L3785">
        <v>-15.923579999999999</v>
      </c>
      <c r="M3785">
        <v>-3.2158270000000003E-2</v>
      </c>
      <c r="N3785">
        <v>0</v>
      </c>
      <c r="O3785">
        <v>-0.99943689999999996</v>
      </c>
      <c r="P3785">
        <v>1.458675E-3</v>
      </c>
      <c r="Q3785">
        <v>7.08762E-2</v>
      </c>
      <c r="R3785">
        <v>-0.99748429999999999</v>
      </c>
      <c r="S3785">
        <v>-0.65914919999999899</v>
      </c>
      <c r="T3785">
        <v>-0.17963109999999999</v>
      </c>
      <c r="U3785">
        <v>-3.0235599999999998</v>
      </c>
      <c r="V3785">
        <v>-3.314342E-2</v>
      </c>
      <c r="W3785">
        <v>8.0621670000000006E-2</v>
      </c>
      <c r="X3785">
        <v>0.99619360000000001</v>
      </c>
      <c r="Y3785">
        <v>0.1811102</v>
      </c>
      <c r="Z3785">
        <v>5.8089969999999998E-2</v>
      </c>
      <c r="AA3785">
        <v>0.98174570000000005</v>
      </c>
      <c r="AB3785">
        <v>23</v>
      </c>
      <c r="AC3785">
        <v>-4.0301999999999696</v>
      </c>
      <c r="AD3785">
        <v>-1.1023638452969999</v>
      </c>
      <c r="AE3785">
        <v>-18.206589999999998</v>
      </c>
      <c r="AF3785">
        <v>3.4306069093568801</v>
      </c>
      <c r="AG3785">
        <v>-1.1023638452969999</v>
      </c>
      <c r="AH3785">
        <v>18.262958058715199</v>
      </c>
      <c r="AI3785">
        <v>93.394983461006305</v>
      </c>
      <c r="AJ3785">
        <v>79.361245501850306</v>
      </c>
      <c r="AK3785">
        <v>18.615045175028101</v>
      </c>
      <c r="AL3785">
        <v>85.375699835613503</v>
      </c>
      <c r="AM3785">
        <v>91.905531105584402</v>
      </c>
      <c r="AN3785">
        <v>1.0000000143219201</v>
      </c>
    </row>
    <row r="3786" spans="1:40" x14ac:dyDescent="0.3">
      <c r="A3786" t="str">
        <f>"20200111153955287"</f>
        <v>20200111153955287</v>
      </c>
      <c r="B3786" t="str">
        <f>"1578728395275468"</f>
        <v>1578728395275468</v>
      </c>
      <c r="C3786" t="s">
        <v>40</v>
      </c>
      <c r="D3786">
        <v>5.3502720000000004</v>
      </c>
      <c r="E3786">
        <v>0.58146350000000002</v>
      </c>
      <c r="F3786" t="s">
        <v>42</v>
      </c>
      <c r="G3786">
        <v>-304.64960000000002</v>
      </c>
      <c r="H3786" s="1">
        <v>-3.7970210000000002E-6</v>
      </c>
      <c r="I3786">
        <v>-34.279069999999997</v>
      </c>
      <c r="J3786">
        <v>-300.62290000000002</v>
      </c>
      <c r="K3786">
        <v>1.102293</v>
      </c>
      <c r="L3786">
        <v>-16.276700000000002</v>
      </c>
      <c r="M3786">
        <v>-3.6961470000000003E-2</v>
      </c>
      <c r="N3786">
        <v>0</v>
      </c>
      <c r="O3786">
        <v>-0.99927619999999895</v>
      </c>
      <c r="P3786">
        <v>-1.4096989999999999E-3</v>
      </c>
      <c r="Q3786">
        <v>7.2402629999999996E-2</v>
      </c>
      <c r="R3786">
        <v>-0.99737469999999995</v>
      </c>
      <c r="S3786">
        <v>-0.66561890000000001</v>
      </c>
      <c r="T3786">
        <v>-0.1814557</v>
      </c>
      <c r="U3786">
        <v>-3.021423</v>
      </c>
      <c r="V3786">
        <v>-3.5060300000000003E-2</v>
      </c>
      <c r="W3786">
        <v>8.1535150000000001E-2</v>
      </c>
      <c r="X3786">
        <v>0.99605359999999998</v>
      </c>
      <c r="Y3786">
        <v>0.17852579999999901</v>
      </c>
      <c r="Z3786">
        <v>5.8704390000000002E-2</v>
      </c>
      <c r="AA3786">
        <v>0.98218240000000001</v>
      </c>
      <c r="AB3786">
        <v>24</v>
      </c>
      <c r="AC3786">
        <v>-4.0266999999999999</v>
      </c>
      <c r="AD3786">
        <v>-1.102296797021</v>
      </c>
      <c r="AE3786">
        <v>-18.002369999999999</v>
      </c>
      <c r="AF3786">
        <v>3.3465781764149698</v>
      </c>
      <c r="AG3786">
        <v>-1.102296797021</v>
      </c>
      <c r="AH3786">
        <v>18.074371086279701</v>
      </c>
      <c r="AI3786">
        <v>93.431773095711605</v>
      </c>
      <c r="AJ3786">
        <v>79.510139974425996</v>
      </c>
      <c r="AK3786">
        <v>18.414601105756301</v>
      </c>
      <c r="AL3786">
        <v>85.323188288397105</v>
      </c>
      <c r="AM3786">
        <v>92.015933889221699</v>
      </c>
      <c r="AN3786">
        <v>0.99999998969728598</v>
      </c>
    </row>
    <row r="3787" spans="1:40" x14ac:dyDescent="0.3">
      <c r="A3787" t="str">
        <f>"20200111153955320"</f>
        <v>20200111153955320</v>
      </c>
      <c r="B3787" t="str">
        <f>"1578728395315017"</f>
        <v>1578728395315017</v>
      </c>
      <c r="C3787" t="s">
        <v>40</v>
      </c>
      <c r="D3787">
        <v>5.3305819999999997</v>
      </c>
      <c r="E3787">
        <v>0.53037119999999904</v>
      </c>
      <c r="F3787" t="s">
        <v>42</v>
      </c>
      <c r="G3787">
        <v>-304.87349999999998</v>
      </c>
      <c r="H3787" s="1">
        <v>-3.493581E-6</v>
      </c>
      <c r="I3787">
        <v>-35.287469999999999</v>
      </c>
      <c r="J3787">
        <v>-300.64190000000002</v>
      </c>
      <c r="K3787">
        <v>1.102231</v>
      </c>
      <c r="L3787">
        <v>-16.639679999999998</v>
      </c>
      <c r="M3787">
        <v>-4.180064E-2</v>
      </c>
      <c r="N3787">
        <v>0</v>
      </c>
      <c r="O3787">
        <v>-0.99909139999999996</v>
      </c>
      <c r="P3787">
        <v>-4.2170039999999999E-3</v>
      </c>
      <c r="Q3787">
        <v>7.2925959999999998E-2</v>
      </c>
      <c r="R3787">
        <v>-0.99732889999999996</v>
      </c>
      <c r="S3787">
        <v>-0.67517090000000002</v>
      </c>
      <c r="T3787">
        <v>-0.17508770000000001</v>
      </c>
      <c r="U3787">
        <v>-3.0196529999999999</v>
      </c>
      <c r="V3787">
        <v>-3.7082490000000003E-2</v>
      </c>
      <c r="W3787">
        <v>8.1411590000000006E-2</v>
      </c>
      <c r="X3787">
        <v>0.9959905</v>
      </c>
      <c r="Y3787">
        <v>0.17686849999999901</v>
      </c>
      <c r="Z3787">
        <v>5.6656539999999998E-2</v>
      </c>
      <c r="AA3787">
        <v>0.98260239999999999</v>
      </c>
      <c r="AB3787">
        <v>24</v>
      </c>
      <c r="AC3787">
        <v>-4.2315999999999496</v>
      </c>
      <c r="AD3787">
        <v>-1.102234493581</v>
      </c>
      <c r="AE3787">
        <v>-18.647790000000001</v>
      </c>
      <c r="AF3787">
        <v>3.4369648396121</v>
      </c>
      <c r="AG3787">
        <v>-1.102234493581</v>
      </c>
      <c r="AH3787">
        <v>18.7460928802147</v>
      </c>
      <c r="AI3787">
        <v>93.309962171137997</v>
      </c>
      <c r="AJ3787">
        <v>79.610606535799604</v>
      </c>
      <c r="AK3787">
        <v>19.090407184269399</v>
      </c>
      <c r="AL3787">
        <v>85.3302914971582</v>
      </c>
      <c r="AM3787">
        <v>92.132238454015805</v>
      </c>
      <c r="AN3787">
        <v>1.0000000170705801</v>
      </c>
    </row>
    <row r="3788" spans="1:40" x14ac:dyDescent="0.3">
      <c r="A3788" t="str">
        <f>"20200111153955354"</f>
        <v>20200111153955354</v>
      </c>
      <c r="B3788" t="str">
        <f>"1578728395344294"</f>
        <v>1578728395344294</v>
      </c>
      <c r="C3788" t="s">
        <v>40</v>
      </c>
      <c r="D3788">
        <v>5.1637069999999996</v>
      </c>
      <c r="E3788">
        <v>0.46845160000000002</v>
      </c>
      <c r="F3788" t="s">
        <v>41</v>
      </c>
      <c r="G3788">
        <v>-300.72199999999998</v>
      </c>
      <c r="H3788">
        <v>1.031058</v>
      </c>
      <c r="I3788">
        <v>-17.507010000000001</v>
      </c>
      <c r="J3788">
        <v>-300.6626</v>
      </c>
      <c r="K3788">
        <v>1.102176</v>
      </c>
      <c r="L3788">
        <v>-17.004639999999998</v>
      </c>
      <c r="M3788">
        <v>-4.6540730000000002E-2</v>
      </c>
      <c r="N3788">
        <v>0</v>
      </c>
      <c r="O3788">
        <v>-0.99888659999999996</v>
      </c>
      <c r="P3788">
        <v>-5.4300390000000002E-3</v>
      </c>
      <c r="Q3788">
        <v>7.2813489999999995E-2</v>
      </c>
      <c r="R3788">
        <v>-0.99733070000000001</v>
      </c>
      <c r="S3788">
        <v>-0.2783813</v>
      </c>
      <c r="T3788">
        <v>-0.24793280000000001</v>
      </c>
      <c r="U3788">
        <v>-3.024994</v>
      </c>
      <c r="V3788">
        <v>-4.0606709999999997E-2</v>
      </c>
      <c r="W3788">
        <v>8.0682050000000005E-2</v>
      </c>
      <c r="X3788">
        <v>0.99591240000000003</v>
      </c>
      <c r="Y3788">
        <v>4.4890329999999999E-2</v>
      </c>
      <c r="Z3788">
        <v>8.1343349999999995E-2</v>
      </c>
      <c r="AA3788">
        <v>0.99567470000000002</v>
      </c>
      <c r="AB3788">
        <v>24</v>
      </c>
      <c r="AC3788">
        <v>-5.93999999999823E-2</v>
      </c>
      <c r="AD3788">
        <v>-7.1118000000000001E-2</v>
      </c>
      <c r="AE3788">
        <v>-0.50237000000000198</v>
      </c>
      <c r="AF3788">
        <v>3.5257428192995301E-2</v>
      </c>
      <c r="AG3788">
        <v>-7.1118000000000001E-2</v>
      </c>
      <c r="AH3788">
        <v>0.494810599063502</v>
      </c>
      <c r="AI3788">
        <v>98.158573693660202</v>
      </c>
      <c r="AJ3788">
        <v>85.924312453217894</v>
      </c>
      <c r="AK3788">
        <v>0.50113709213384505</v>
      </c>
      <c r="AL3788">
        <v>85.372228958495199</v>
      </c>
      <c r="AM3788">
        <v>92.334849020663299</v>
      </c>
      <c r="AN3788">
        <v>1.00000000328149</v>
      </c>
    </row>
    <row r="3789" spans="1:40" x14ac:dyDescent="0.3">
      <c r="A3789" t="str">
        <f>"20200111153955388"</f>
        <v>20200111153955388</v>
      </c>
      <c r="B3789" t="str">
        <f>"1578728395374550"</f>
        <v>1578728395374550</v>
      </c>
      <c r="C3789" t="s">
        <v>40</v>
      </c>
      <c r="D3789">
        <v>5.0380520000000004</v>
      </c>
      <c r="E3789">
        <v>0.46732879999999899</v>
      </c>
      <c r="F3789" t="s">
        <v>42</v>
      </c>
      <c r="G3789">
        <v>-299.52289999999999</v>
      </c>
      <c r="H3789" s="1">
        <v>-3.2291339999999998E-6</v>
      </c>
      <c r="I3789">
        <v>-33.037320000000001</v>
      </c>
      <c r="J3789">
        <v>-300.68439999999998</v>
      </c>
      <c r="K3789">
        <v>1.102115</v>
      </c>
      <c r="L3789">
        <v>-17.36243</v>
      </c>
      <c r="M3789">
        <v>-5.1015959999999999E-2</v>
      </c>
      <c r="N3789">
        <v>0</v>
      </c>
      <c r="O3789">
        <v>-0.99867269999999997</v>
      </c>
      <c r="P3789">
        <v>-8.1820480000000008E-3</v>
      </c>
      <c r="Q3789">
        <v>7.3053950000000006E-2</v>
      </c>
      <c r="R3789">
        <v>-0.99729469999999998</v>
      </c>
      <c r="S3789">
        <v>0.2149963</v>
      </c>
      <c r="T3789">
        <v>-0.20791370000000001</v>
      </c>
      <c r="U3789">
        <v>-3.024384</v>
      </c>
      <c r="V3789">
        <v>-4.2329869999999999E-2</v>
      </c>
      <c r="W3789">
        <v>8.0313709999999996E-2</v>
      </c>
      <c r="X3789">
        <v>0.99587040000000004</v>
      </c>
      <c r="Y3789">
        <v>-0.12153990000000001</v>
      </c>
      <c r="Z3789">
        <v>6.8110110000000001E-2</v>
      </c>
      <c r="AA3789">
        <v>0.99024699999999999</v>
      </c>
      <c r="AB3789">
        <v>24</v>
      </c>
      <c r="AC3789">
        <v>1.16149999999998</v>
      </c>
      <c r="AD3789">
        <v>-1.1021182291339999</v>
      </c>
      <c r="AE3789">
        <v>-15.67489</v>
      </c>
      <c r="AF3789">
        <v>-1.95008919451067</v>
      </c>
      <c r="AG3789">
        <v>-1.1021182291339999</v>
      </c>
      <c r="AH3789">
        <v>15.518920104920801</v>
      </c>
      <c r="AI3789">
        <v>94.030603634891605</v>
      </c>
      <c r="AJ3789">
        <v>97.162180226756007</v>
      </c>
      <c r="AK3789">
        <v>15.6797446943645</v>
      </c>
      <c r="AL3789">
        <v>85.393401897752597</v>
      </c>
      <c r="AM3789">
        <v>92.433914957237306</v>
      </c>
      <c r="AN3789">
        <v>0.99999998175216998</v>
      </c>
    </row>
    <row r="3790" spans="1:40" x14ac:dyDescent="0.3">
      <c r="A3790" t="str">
        <f>"20200111153955421"</f>
        <v>20200111153955421</v>
      </c>
      <c r="B3790" t="str">
        <f>"1578728395415075"</f>
        <v>1578728395415075</v>
      </c>
      <c r="C3790" t="s">
        <v>40</v>
      </c>
      <c r="D3790">
        <v>4.9741589999999896</v>
      </c>
      <c r="E3790">
        <v>0.46867110000000001</v>
      </c>
      <c r="F3790" t="s">
        <v>42</v>
      </c>
      <c r="G3790">
        <v>-299.53120000000001</v>
      </c>
      <c r="H3790" s="1">
        <v>-3.041162E-6</v>
      </c>
      <c r="I3790">
        <v>-33.472020000000001</v>
      </c>
      <c r="J3790">
        <v>-300.70890000000003</v>
      </c>
      <c r="K3790">
        <v>1.102087</v>
      </c>
      <c r="L3790">
        <v>-17.739719999999998</v>
      </c>
      <c r="M3790">
        <v>-5.5528130000000002E-2</v>
      </c>
      <c r="N3790">
        <v>0</v>
      </c>
      <c r="O3790">
        <v>-0.99843630000000005</v>
      </c>
      <c r="P3790">
        <v>-9.9771449999999998E-3</v>
      </c>
      <c r="Q3790">
        <v>7.1539190000000003E-2</v>
      </c>
      <c r="R3790">
        <v>-0.9973881</v>
      </c>
      <c r="S3790">
        <v>0.21655269999999999</v>
      </c>
      <c r="T3790">
        <v>-0.20695759999999999</v>
      </c>
      <c r="U3790">
        <v>-3.0250849999999998</v>
      </c>
      <c r="V3790">
        <v>-4.5064510000000002E-2</v>
      </c>
      <c r="W3790">
        <v>7.818609E-2</v>
      </c>
      <c r="X3790">
        <v>0.99591980000000002</v>
      </c>
      <c r="Y3790">
        <v>-0.12651560000000001</v>
      </c>
      <c r="Z3790">
        <v>6.7735660000000003E-2</v>
      </c>
      <c r="AA3790">
        <v>0.98964929999999995</v>
      </c>
      <c r="AB3790">
        <v>24</v>
      </c>
      <c r="AC3790">
        <v>1.17770000000001</v>
      </c>
      <c r="AD3790">
        <v>-1.102090041162</v>
      </c>
      <c r="AE3790">
        <v>-15.7323</v>
      </c>
      <c r="AF3790">
        <v>-2.0395332505522701</v>
      </c>
      <c r="AG3790">
        <v>-1.102090041162</v>
      </c>
      <c r="AH3790">
        <v>15.566663312478999</v>
      </c>
      <c r="AI3790">
        <v>94.015470118536896</v>
      </c>
      <c r="AJ3790">
        <v>97.464335341252905</v>
      </c>
      <c r="AK3790">
        <v>15.7383386995902</v>
      </c>
      <c r="AL3790">
        <v>85.515690551325093</v>
      </c>
      <c r="AM3790">
        <v>92.590817237299703</v>
      </c>
      <c r="AN3790">
        <v>1.0000000613815301</v>
      </c>
    </row>
    <row r="3791" spans="1:40" x14ac:dyDescent="0.3">
      <c r="A3791" t="str">
        <f>"20200111153955455"</f>
        <v>20200111153955455</v>
      </c>
      <c r="B3791" t="str">
        <f>"1578728395445329"</f>
        <v>1578728395445329</v>
      </c>
      <c r="C3791" t="s">
        <v>40</v>
      </c>
      <c r="D3791">
        <v>5.0128629999999896</v>
      </c>
      <c r="E3791">
        <v>0.4691092</v>
      </c>
      <c r="F3791" t="s">
        <v>42</v>
      </c>
      <c r="G3791">
        <v>-299.5446</v>
      </c>
      <c r="H3791" s="1">
        <v>-2.2636229999999998E-6</v>
      </c>
      <c r="I3791">
        <v>-35.278959999999998</v>
      </c>
      <c r="J3791">
        <v>-300.73430000000002</v>
      </c>
      <c r="K3791">
        <v>1.102068</v>
      </c>
      <c r="L3791">
        <v>-18.10989</v>
      </c>
      <c r="M3791">
        <v>-5.9754290000000002E-2</v>
      </c>
      <c r="N3791">
        <v>0</v>
      </c>
      <c r="O3791">
        <v>-0.99819559999999996</v>
      </c>
      <c r="P3791">
        <v>-1.060755E-2</v>
      </c>
      <c r="Q3791">
        <v>6.9761100000000006E-2</v>
      </c>
      <c r="R3791">
        <v>-0.9975077</v>
      </c>
      <c r="S3791">
        <v>0.20071410000000001</v>
      </c>
      <c r="T3791">
        <v>-0.1899835</v>
      </c>
      <c r="U3791">
        <v>-3.0234990000000002</v>
      </c>
      <c r="V3791">
        <v>-4.8680220000000003E-2</v>
      </c>
      <c r="W3791">
        <v>7.5868900000000003E-2</v>
      </c>
      <c r="X3791">
        <v>0.99592879999999995</v>
      </c>
      <c r="Y3791">
        <v>-0.12561559999999999</v>
      </c>
      <c r="Z3791">
        <v>6.2227169999999998E-2</v>
      </c>
      <c r="AA3791">
        <v>0.99012549999999999</v>
      </c>
      <c r="AB3791">
        <v>25</v>
      </c>
      <c r="AC3791">
        <v>1.18970000000001</v>
      </c>
      <c r="AD3791">
        <v>-1.102070263623</v>
      </c>
      <c r="AE3791">
        <v>-17.169069999999898</v>
      </c>
      <c r="AF3791">
        <v>-2.2044779690486398</v>
      </c>
      <c r="AG3791">
        <v>-1.102070263623</v>
      </c>
      <c r="AH3791">
        <v>16.997598942260499</v>
      </c>
      <c r="AI3791">
        <v>93.678957622355696</v>
      </c>
      <c r="AJ3791">
        <v>97.389641718301505</v>
      </c>
      <c r="AK3791">
        <v>17.175350121145001</v>
      </c>
      <c r="AL3791">
        <v>85.648851200375802</v>
      </c>
      <c r="AM3791">
        <v>92.798345680168197</v>
      </c>
      <c r="AN3791">
        <v>1.0000000142379399</v>
      </c>
    </row>
    <row r="3792" spans="1:40" x14ac:dyDescent="0.3">
      <c r="A3792" t="str">
        <f>"20200111153955489"</f>
        <v>20200111153955489</v>
      </c>
      <c r="B3792" t="str">
        <f>"1578728395484369"</f>
        <v>1578728395484369</v>
      </c>
      <c r="C3792" t="s">
        <v>40</v>
      </c>
      <c r="D3792">
        <v>4.8793040000000003</v>
      </c>
      <c r="E3792">
        <v>0.46990890000000002</v>
      </c>
      <c r="F3792" t="s">
        <v>42</v>
      </c>
      <c r="G3792">
        <v>-299.62419999999997</v>
      </c>
      <c r="H3792" s="1">
        <v>-2.1811339999999998E-6</v>
      </c>
      <c r="I3792">
        <v>-35.438339999999997</v>
      </c>
      <c r="J3792">
        <v>-300.76220000000001</v>
      </c>
      <c r="K3792">
        <v>1.1020639999999999</v>
      </c>
      <c r="L3792">
        <v>-18.495819999999998</v>
      </c>
      <c r="M3792">
        <v>-6.3925209999999996E-2</v>
      </c>
      <c r="N3792">
        <v>0</v>
      </c>
      <c r="O3792">
        <v>-0.9979401</v>
      </c>
      <c r="P3792">
        <v>-1.3014019999999999E-2</v>
      </c>
      <c r="Q3792">
        <v>6.9358799999999998E-2</v>
      </c>
      <c r="R3792">
        <v>-0.99750700000000003</v>
      </c>
      <c r="S3792">
        <v>0.19366459999999999</v>
      </c>
      <c r="T3792">
        <v>-0.19226009999999999</v>
      </c>
      <c r="U3792">
        <v>-3.0230100000000002</v>
      </c>
      <c r="V3792">
        <v>-5.0455439999999997E-2</v>
      </c>
      <c r="W3792">
        <v>7.4964520000000007E-2</v>
      </c>
      <c r="X3792">
        <v>0.99590889999999999</v>
      </c>
      <c r="Y3792">
        <v>-0.12746939999999901</v>
      </c>
      <c r="Z3792">
        <v>6.2952670000000002E-2</v>
      </c>
      <c r="AA3792">
        <v>0.98984269999999996</v>
      </c>
      <c r="AB3792">
        <v>25</v>
      </c>
      <c r="AC3792">
        <v>1.1380000000000301</v>
      </c>
      <c r="AD3792">
        <v>-1.102066181134</v>
      </c>
      <c r="AE3792">
        <v>-16.942519999999998</v>
      </c>
      <c r="AF3792">
        <v>-2.2094358056044601</v>
      </c>
      <c r="AG3792">
        <v>-1.102066181134</v>
      </c>
      <c r="AH3792">
        <v>16.764503676243301</v>
      </c>
      <c r="AI3792">
        <v>93.728949575289604</v>
      </c>
      <c r="AJ3792">
        <v>97.507884588998607</v>
      </c>
      <c r="AK3792">
        <v>16.9453456724099</v>
      </c>
      <c r="AL3792">
        <v>85.700816219113705</v>
      </c>
      <c r="AM3792">
        <v>92.900279547962995</v>
      </c>
      <c r="AN3792">
        <v>0.99999998389181599</v>
      </c>
    </row>
    <row r="3793" spans="1:40" x14ac:dyDescent="0.3">
      <c r="A3793" t="str">
        <f>"20200111153955521"</f>
        <v>20200111153955521</v>
      </c>
      <c r="B3793" t="str">
        <f>"1578728395515132"</f>
        <v>1578728395515132</v>
      </c>
      <c r="C3793" t="s">
        <v>40</v>
      </c>
      <c r="D3793">
        <v>4.8109279999999996</v>
      </c>
      <c r="E3793">
        <v>0.47044029999999998</v>
      </c>
      <c r="F3793" t="s">
        <v>42</v>
      </c>
      <c r="G3793">
        <v>-299.6662</v>
      </c>
      <c r="H3793" s="1">
        <v>-1.5628809999999901E-6</v>
      </c>
      <c r="I3793">
        <v>-36.862110000000001</v>
      </c>
      <c r="J3793">
        <v>-300.79050000000001</v>
      </c>
      <c r="K3793">
        <v>1.1020810000000001</v>
      </c>
      <c r="L3793">
        <v>-18.8688</v>
      </c>
      <c r="M3793">
        <v>-6.7751000000000006E-2</v>
      </c>
      <c r="N3793">
        <v>0</v>
      </c>
      <c r="O3793">
        <v>-0.99768999999999997</v>
      </c>
      <c r="P3793">
        <v>-1.1569019999999999E-2</v>
      </c>
      <c r="Q3793">
        <v>6.816556E-2</v>
      </c>
      <c r="R3793">
        <v>-0.99760689999999996</v>
      </c>
      <c r="S3793">
        <v>0.18035889999999999</v>
      </c>
      <c r="T3793">
        <v>-0.1813623</v>
      </c>
      <c r="U3793">
        <v>-3.0224609999999998</v>
      </c>
      <c r="V3793">
        <v>-5.5739740000000003E-2</v>
      </c>
      <c r="W3793">
        <v>7.3359649999999998E-2</v>
      </c>
      <c r="X3793">
        <v>0.99574669999999998</v>
      </c>
      <c r="Y3793">
        <v>-0.1269557</v>
      </c>
      <c r="Z3793">
        <v>5.939556E-2</v>
      </c>
      <c r="AA3793">
        <v>0.99012849999999997</v>
      </c>
      <c r="AB3793">
        <v>25</v>
      </c>
      <c r="AC3793">
        <v>1.1243000000000001</v>
      </c>
      <c r="AD3793">
        <v>-1.10208256288099</v>
      </c>
      <c r="AE3793">
        <v>-17.993309999999902</v>
      </c>
      <c r="AF3793">
        <v>-2.3320814455125101</v>
      </c>
      <c r="AG3793">
        <v>-1.10208256288099</v>
      </c>
      <c r="AH3793">
        <v>17.809239970595701</v>
      </c>
      <c r="AI3793">
        <v>93.511197886759703</v>
      </c>
      <c r="AJ3793">
        <v>97.460310143126407</v>
      </c>
      <c r="AK3793">
        <v>17.995060938329001</v>
      </c>
      <c r="AL3793">
        <v>85.793022593553999</v>
      </c>
      <c r="AM3793">
        <v>93.2039496819867</v>
      </c>
      <c r="AN3793">
        <v>1.00000002371213</v>
      </c>
    </row>
    <row r="3794" spans="1:40" x14ac:dyDescent="0.3">
      <c r="A3794" t="str">
        <f>"20200111153955555"</f>
        <v>20200111153955555</v>
      </c>
      <c r="B3794" t="str">
        <f>"1578728395544412"</f>
        <v>1578728395544412</v>
      </c>
      <c r="C3794" t="s">
        <v>40</v>
      </c>
      <c r="D3794">
        <v>4.8188709999999997</v>
      </c>
      <c r="E3794">
        <v>0.47070519999999999</v>
      </c>
      <c r="F3794" t="s">
        <v>42</v>
      </c>
      <c r="G3794">
        <v>-299.65410000000003</v>
      </c>
      <c r="H3794" s="1">
        <v>-1.1053330000000001E-6</v>
      </c>
      <c r="I3794">
        <v>-37.933689999999999</v>
      </c>
      <c r="J3794">
        <v>-300.82060000000001</v>
      </c>
      <c r="K3794">
        <v>1.1020989999999999</v>
      </c>
      <c r="L3794">
        <v>-19.25113</v>
      </c>
      <c r="M3794">
        <v>-7.1491199999999894E-2</v>
      </c>
      <c r="N3794">
        <v>0</v>
      </c>
      <c r="O3794">
        <v>-0.99743099999999996</v>
      </c>
      <c r="P3794">
        <v>-1.0048420000000001E-2</v>
      </c>
      <c r="Q3794">
        <v>6.9542999999999994E-2</v>
      </c>
      <c r="R3794">
        <v>-0.99752890000000005</v>
      </c>
      <c r="S3794">
        <v>0.1800842</v>
      </c>
      <c r="T3794">
        <v>-0.17464689999999999</v>
      </c>
      <c r="U3794">
        <v>-3.02121</v>
      </c>
      <c r="V3794">
        <v>-6.0989080000000001E-2</v>
      </c>
      <c r="W3794">
        <v>7.4369690000000002E-2</v>
      </c>
      <c r="X3794">
        <v>0.99536400000000003</v>
      </c>
      <c r="Y3794">
        <v>-0.13061589999999901</v>
      </c>
      <c r="Z3794">
        <v>5.7191159999999998E-2</v>
      </c>
      <c r="AA3794">
        <v>0.9897821</v>
      </c>
      <c r="AB3794">
        <v>25</v>
      </c>
      <c r="AC3794">
        <v>1.1664999999999801</v>
      </c>
      <c r="AD3794">
        <v>-1.102100105333</v>
      </c>
      <c r="AE3794">
        <v>-18.682559999999999</v>
      </c>
      <c r="AF3794">
        <v>-2.4905341929179401</v>
      </c>
      <c r="AG3794">
        <v>-1.102100105333</v>
      </c>
      <c r="AH3794">
        <v>18.4872749093647</v>
      </c>
      <c r="AI3794">
        <v>93.381120831777395</v>
      </c>
      <c r="AJ3794">
        <v>97.672473923479998</v>
      </c>
      <c r="AK3794">
        <v>18.686806008055399</v>
      </c>
      <c r="AL3794">
        <v>85.734992964988294</v>
      </c>
      <c r="AM3794">
        <v>93.506308808920593</v>
      </c>
      <c r="AN3794">
        <v>1.0000000055829701</v>
      </c>
    </row>
    <row r="3795" spans="1:40" x14ac:dyDescent="0.3">
      <c r="A3795" t="str">
        <f>"20200111153955588"</f>
        <v>20200111153955588</v>
      </c>
      <c r="B3795" t="str">
        <f>"1578728395574668"</f>
        <v>1578728395574668</v>
      </c>
      <c r="C3795" t="s">
        <v>40</v>
      </c>
      <c r="D3795">
        <v>4.789593</v>
      </c>
      <c r="E3795">
        <v>0.47071429999999997</v>
      </c>
      <c r="F3795" t="s">
        <v>42</v>
      </c>
      <c r="G3795">
        <v>-299.57209999999998</v>
      </c>
      <c r="H3795" s="1">
        <v>-3.1240719999999998E-7</v>
      </c>
      <c r="I3795">
        <v>-39.815899999999999</v>
      </c>
      <c r="J3795">
        <v>-300.85239999999999</v>
      </c>
      <c r="K3795">
        <v>1.1021099999999999</v>
      </c>
      <c r="L3795">
        <v>-19.63654</v>
      </c>
      <c r="M3795">
        <v>-7.5075130000000004E-2</v>
      </c>
      <c r="N3795">
        <v>0</v>
      </c>
      <c r="O3795">
        <v>-0.99716870000000002</v>
      </c>
      <c r="P3795">
        <v>-8.0388779999999993E-3</v>
      </c>
      <c r="Q3795">
        <v>6.9843840000000004E-2</v>
      </c>
      <c r="R3795">
        <v>-0.99752560000000001</v>
      </c>
      <c r="S3795">
        <v>0.18338009999999999</v>
      </c>
      <c r="T3795">
        <v>-0.1618773</v>
      </c>
      <c r="U3795">
        <v>-3.0205690000000001</v>
      </c>
      <c r="V3795">
        <v>-6.6578780000000004E-2</v>
      </c>
      <c r="W3795">
        <v>7.4358740000000006E-2</v>
      </c>
      <c r="X3795">
        <v>0.99500659999999996</v>
      </c>
      <c r="Y3795">
        <v>-0.13527979999999901</v>
      </c>
      <c r="Z3795">
        <v>5.299355E-2</v>
      </c>
      <c r="AA3795">
        <v>0.98938919999999997</v>
      </c>
      <c r="AB3795">
        <v>26</v>
      </c>
      <c r="AC3795">
        <v>1.28030000000001</v>
      </c>
      <c r="AD3795">
        <v>-1.1021103124072</v>
      </c>
      <c r="AE3795">
        <v>-20.179359999999999</v>
      </c>
      <c r="AF3795">
        <v>-2.7833994663835901</v>
      </c>
      <c r="AG3795">
        <v>-1.1021103124072</v>
      </c>
      <c r="AH3795">
        <v>19.966970585312701</v>
      </c>
      <c r="AI3795">
        <v>93.129134400226405</v>
      </c>
      <c r="AJ3795">
        <v>97.935901601187595</v>
      </c>
      <c r="AK3795">
        <v>20.1901429931767</v>
      </c>
      <c r="AL3795">
        <v>85.735622264576506</v>
      </c>
      <c r="AM3795">
        <v>93.828120474689001</v>
      </c>
      <c r="AN3795">
        <v>1.00000004510211</v>
      </c>
    </row>
    <row r="3796" spans="1:40" x14ac:dyDescent="0.3">
      <c r="A3796" t="str">
        <f>"20200111153955622"</f>
        <v>20200111153955622</v>
      </c>
      <c r="B3796" t="str">
        <f>"1578728395615194"</f>
        <v>1578728395615194</v>
      </c>
      <c r="C3796" t="s">
        <v>40</v>
      </c>
      <c r="D3796">
        <v>4.51471</v>
      </c>
      <c r="E3796">
        <v>0.43101489999999998</v>
      </c>
      <c r="F3796" t="s">
        <v>66</v>
      </c>
      <c r="G3796">
        <v>-299.51740000000001</v>
      </c>
      <c r="H3796" s="1">
        <v>-4.2378979999999997E-7</v>
      </c>
      <c r="I3796">
        <v>-40.86853</v>
      </c>
      <c r="J3796">
        <v>-300.88679999999999</v>
      </c>
      <c r="K3796">
        <v>1.102106</v>
      </c>
      <c r="L3796">
        <v>-20.03989</v>
      </c>
      <c r="M3796">
        <v>-7.8657939999999996E-2</v>
      </c>
      <c r="N3796">
        <v>0</v>
      </c>
      <c r="O3796">
        <v>-0.9968939</v>
      </c>
      <c r="P3796">
        <v>-2.024086E-3</v>
      </c>
      <c r="Q3796">
        <v>6.8093399999999998E-2</v>
      </c>
      <c r="R3796">
        <v>-0.99767729999999999</v>
      </c>
      <c r="S3796">
        <v>0.1898804</v>
      </c>
      <c r="T3796">
        <v>-0.15675999999999901</v>
      </c>
      <c r="U3796">
        <v>-3.0199579999999999</v>
      </c>
      <c r="V3796">
        <v>-7.617844E-2</v>
      </c>
      <c r="W3796">
        <v>7.2346670000000002E-2</v>
      </c>
      <c r="X3796">
        <v>0.99446610000000002</v>
      </c>
      <c r="Y3796">
        <v>-0.14097699999999999</v>
      </c>
      <c r="Z3796">
        <v>5.1287739999999998E-2</v>
      </c>
      <c r="AA3796">
        <v>0.98868350000000005</v>
      </c>
      <c r="AB3796">
        <v>26</v>
      </c>
      <c r="AC3796">
        <v>1.36939999999998</v>
      </c>
      <c r="AD3796">
        <v>-1.1021064237897999</v>
      </c>
      <c r="AE3796">
        <v>-20.82864</v>
      </c>
      <c r="AF3796">
        <v>-2.99515795312232</v>
      </c>
      <c r="AG3796">
        <v>-1.1021064237897999</v>
      </c>
      <c r="AH3796">
        <v>20.5989653372141</v>
      </c>
      <c r="AI3796">
        <v>93.030765503835099</v>
      </c>
      <c r="AJ3796">
        <v>98.273018625458207</v>
      </c>
      <c r="AK3796">
        <v>20.8447351313769</v>
      </c>
      <c r="AL3796">
        <v>85.851216655788406</v>
      </c>
      <c r="AM3796">
        <v>94.380436689737493</v>
      </c>
      <c r="AN3796">
        <v>1.0000000097150601</v>
      </c>
    </row>
    <row r="3797" spans="1:40" x14ac:dyDescent="0.3">
      <c r="A3797" t="str">
        <f>"20200111153955656"</f>
        <v>20200111153955656</v>
      </c>
      <c r="B3797" t="str">
        <f>"1578728395644471"</f>
        <v>1578728395644471</v>
      </c>
      <c r="C3797" t="s">
        <v>40</v>
      </c>
      <c r="D3797">
        <v>4.5781700000000001</v>
      </c>
      <c r="E3797">
        <v>0.34882299999999999</v>
      </c>
      <c r="F3797" t="s">
        <v>42</v>
      </c>
      <c r="G3797">
        <v>-297.49299999999999</v>
      </c>
      <c r="H3797" s="1">
        <v>-9.3022409999999997E-7</v>
      </c>
      <c r="I3797">
        <v>-39.578569999999999</v>
      </c>
      <c r="J3797">
        <v>-300.92090000000002</v>
      </c>
      <c r="K3797">
        <v>1.1021179999999999</v>
      </c>
      <c r="L3797">
        <v>-20.42633</v>
      </c>
      <c r="M3797">
        <v>-8.1920149999999997E-2</v>
      </c>
      <c r="N3797">
        <v>0</v>
      </c>
      <c r="O3797">
        <v>-0.99663219999999997</v>
      </c>
      <c r="P3797">
        <v>3.603148E-3</v>
      </c>
      <c r="Q3797">
        <v>6.6750530000000002E-2</v>
      </c>
      <c r="R3797">
        <v>-0.99776359999999997</v>
      </c>
      <c r="S3797">
        <v>0.52450559999999902</v>
      </c>
      <c r="T3797">
        <v>-0.1703296</v>
      </c>
      <c r="U3797">
        <v>-3.0196839999999998</v>
      </c>
      <c r="V3797">
        <v>-8.5063199999999894E-2</v>
      </c>
      <c r="W3797">
        <v>7.0793320000000007E-2</v>
      </c>
      <c r="X3797">
        <v>0.9938574</v>
      </c>
      <c r="Y3797">
        <v>-0.25101099999999998</v>
      </c>
      <c r="Z3797">
        <v>5.4722239999999998E-2</v>
      </c>
      <c r="AA3797">
        <v>0.96643619999999997</v>
      </c>
      <c r="AB3797">
        <v>26</v>
      </c>
      <c r="AC3797">
        <v>3.4279000000000202</v>
      </c>
      <c r="AD3797">
        <v>-1.1021189302240999</v>
      </c>
      <c r="AE3797">
        <v>-19.152239999999999</v>
      </c>
      <c r="AF3797">
        <v>-4.9693980572206202</v>
      </c>
      <c r="AG3797">
        <v>-1.1021189302240999</v>
      </c>
      <c r="AH3797">
        <v>18.746898106888601</v>
      </c>
      <c r="AI3797">
        <v>93.252436769710698</v>
      </c>
      <c r="AJ3797">
        <v>104.84642507713301</v>
      </c>
      <c r="AK3797">
        <v>19.425647268946499</v>
      </c>
      <c r="AL3797">
        <v>85.940445791389806</v>
      </c>
      <c r="AM3797">
        <v>94.891962897834105</v>
      </c>
      <c r="AN3797">
        <v>0.999999986842811</v>
      </c>
    </row>
    <row r="3798" spans="1:40" x14ac:dyDescent="0.3">
      <c r="A3798" t="str">
        <f>"20200111153955691"</f>
        <v>20200111153955691</v>
      </c>
      <c r="B3798" t="str">
        <f>"1578728395684487"</f>
        <v>1578728395684487</v>
      </c>
      <c r="C3798" t="s">
        <v>40</v>
      </c>
      <c r="D3798">
        <v>4.4285249999999996</v>
      </c>
      <c r="E3798">
        <v>0.35209069999999998</v>
      </c>
      <c r="F3798" t="s">
        <v>41</v>
      </c>
      <c r="G3798">
        <v>-300.53050000000002</v>
      </c>
      <c r="H3798">
        <v>1.042986</v>
      </c>
      <c r="I3798">
        <v>-21.408650000000002</v>
      </c>
      <c r="J3798">
        <v>-300.9597</v>
      </c>
      <c r="K3798">
        <v>1.1021240000000001</v>
      </c>
      <c r="L3798">
        <v>-20.850860000000001</v>
      </c>
      <c r="M3798">
        <v>-8.5290829999999998E-2</v>
      </c>
      <c r="N3798">
        <v>0</v>
      </c>
      <c r="O3798">
        <v>-0.99634979999999995</v>
      </c>
      <c r="P3798">
        <v>8.3928969999999999E-3</v>
      </c>
      <c r="Q3798">
        <v>6.3665169999999993E-2</v>
      </c>
      <c r="R3798">
        <v>-0.99793609999999999</v>
      </c>
      <c r="S3798">
        <v>1.1984250000000001</v>
      </c>
      <c r="T3798">
        <v>-0.1814684</v>
      </c>
      <c r="U3798">
        <v>-3.014526</v>
      </c>
      <c r="V3798">
        <v>-9.3234129999999998E-2</v>
      </c>
      <c r="W3798">
        <v>6.7514350000000001E-2</v>
      </c>
      <c r="X3798">
        <v>0.99335249999999997</v>
      </c>
      <c r="Y3798">
        <v>-0.44678069999999998</v>
      </c>
      <c r="Z3798">
        <v>5.4524719999999999E-2</v>
      </c>
      <c r="AA3798">
        <v>0.89298040000000001</v>
      </c>
      <c r="AB3798">
        <v>26</v>
      </c>
      <c r="AC3798">
        <v>0.42919999999997999</v>
      </c>
      <c r="AD3798">
        <v>-5.9137999999999899E-2</v>
      </c>
      <c r="AE3798">
        <v>-0.55779000000000001</v>
      </c>
      <c r="AF3798">
        <v>-0.47187904479660298</v>
      </c>
      <c r="AG3798">
        <v>-5.9137999999999899E-2</v>
      </c>
      <c r="AH3798">
        <v>0.51551068919346399</v>
      </c>
      <c r="AI3798">
        <v>94.836806122503802</v>
      </c>
      <c r="AJ3798">
        <v>132.46980980261699</v>
      </c>
      <c r="AK3798">
        <v>0.70136895186119796</v>
      </c>
      <c r="AL3798">
        <v>86.128767875029894</v>
      </c>
      <c r="AM3798">
        <v>95.361961932161293</v>
      </c>
      <c r="AN3798">
        <v>0.99999998985451399</v>
      </c>
    </row>
    <row r="3799" spans="1:40" x14ac:dyDescent="0.3">
      <c r="A3799" t="str">
        <f>"20200111153955724"</f>
        <v>20200111153955724</v>
      </c>
      <c r="B3799" t="str">
        <f>"1578728395715250"</f>
        <v>1578728395715250</v>
      </c>
      <c r="C3799" t="s">
        <v>40</v>
      </c>
      <c r="D3799">
        <v>4.4397880000000001</v>
      </c>
      <c r="E3799">
        <v>0.35442129999999999</v>
      </c>
      <c r="F3799" t="s">
        <v>42</v>
      </c>
      <c r="G3799">
        <v>-295.6506</v>
      </c>
      <c r="H3799" s="1">
        <v>-3.3532489999999998E-6</v>
      </c>
      <c r="I3799">
        <v>-34.349110000000003</v>
      </c>
      <c r="J3799">
        <v>-300.99579999999997</v>
      </c>
      <c r="K3799">
        <v>1.1021570000000001</v>
      </c>
      <c r="L3799">
        <v>-21.235569999999999</v>
      </c>
      <c r="M3799">
        <v>-8.8137110000000005E-2</v>
      </c>
      <c r="N3799">
        <v>0</v>
      </c>
      <c r="O3799">
        <v>-0.99610279999999995</v>
      </c>
      <c r="P3799">
        <v>1.3668349999999999E-2</v>
      </c>
      <c r="Q3799">
        <v>6.1644369999999997E-2</v>
      </c>
      <c r="R3799">
        <v>-0.99800480000000003</v>
      </c>
      <c r="S3799">
        <v>1.184631</v>
      </c>
      <c r="T3799">
        <v>-0.24592330000000001</v>
      </c>
      <c r="U3799">
        <v>-3.0119319999999998</v>
      </c>
      <c r="V3799">
        <v>-0.1013524</v>
      </c>
      <c r="W3799">
        <v>6.5346199999999993E-2</v>
      </c>
      <c r="X3799">
        <v>0.99270210000000003</v>
      </c>
      <c r="Y3799">
        <v>-0.44559929999999998</v>
      </c>
      <c r="Z3799">
        <v>7.3898850000000002E-2</v>
      </c>
      <c r="AA3799">
        <v>0.892177199999999</v>
      </c>
      <c r="AB3799">
        <v>27</v>
      </c>
      <c r="AC3799">
        <v>5.34519999999997</v>
      </c>
      <c r="AD3799">
        <v>-1.1021603532490001</v>
      </c>
      <c r="AE3799">
        <v>-13.113539999999899</v>
      </c>
      <c r="AF3799">
        <v>-6.4411762967169697</v>
      </c>
      <c r="AG3799">
        <v>-1.1021603532490001</v>
      </c>
      <c r="AH3799">
        <v>12.515579323526699</v>
      </c>
      <c r="AI3799">
        <v>94.477223126845999</v>
      </c>
      <c r="AJ3799">
        <v>117.23273627821099</v>
      </c>
      <c r="AK3799">
        <v>14.1188963921814</v>
      </c>
      <c r="AL3799">
        <v>86.253268598753294</v>
      </c>
      <c r="AM3799">
        <v>95.829556126760707</v>
      </c>
      <c r="AN3799">
        <v>0.999999947092303</v>
      </c>
    </row>
    <row r="3800" spans="1:40" x14ac:dyDescent="0.3">
      <c r="A3800" t="str">
        <f>"20200111153955756"</f>
        <v>20200111153955756</v>
      </c>
      <c r="B3800" t="str">
        <f>"1578728395744530"</f>
        <v>1578728395744530</v>
      </c>
      <c r="C3800" t="s">
        <v>40</v>
      </c>
      <c r="D3800">
        <v>4.4392300000000002</v>
      </c>
      <c r="E3800">
        <v>0.35593399999999997</v>
      </c>
      <c r="F3800" t="s">
        <v>41</v>
      </c>
      <c r="G3800">
        <v>-300.64159999999998</v>
      </c>
      <c r="H3800">
        <v>1.0243180000000001</v>
      </c>
      <c r="I3800">
        <v>-22.137139999999999</v>
      </c>
      <c r="J3800">
        <v>-301.03410000000002</v>
      </c>
      <c r="K3800">
        <v>1.1022299999999901</v>
      </c>
      <c r="L3800">
        <v>-21.634399999999999</v>
      </c>
      <c r="M3800">
        <v>-9.0841469999999994E-2</v>
      </c>
      <c r="N3800">
        <v>0</v>
      </c>
      <c r="O3800">
        <v>-0.99586030000000003</v>
      </c>
      <c r="P3800">
        <v>1.6030559999999999E-2</v>
      </c>
      <c r="Q3800">
        <v>6.1992680000000001E-2</v>
      </c>
      <c r="R3800">
        <v>-0.9979481</v>
      </c>
      <c r="S3800">
        <v>1.181335</v>
      </c>
      <c r="T3800">
        <v>-0.25952019999999998</v>
      </c>
      <c r="U3800">
        <v>-3.0058590000000001</v>
      </c>
      <c r="V3800">
        <v>-0.1064094</v>
      </c>
      <c r="W3800">
        <v>6.5548430000000005E-2</v>
      </c>
      <c r="X3800">
        <v>0.99215949999999997</v>
      </c>
      <c r="Y3800">
        <v>-0.44767580000000001</v>
      </c>
      <c r="Z3800">
        <v>7.8044169999999996E-2</v>
      </c>
      <c r="AA3800">
        <v>0.89078369999999996</v>
      </c>
      <c r="AB3800">
        <v>27</v>
      </c>
      <c r="AC3800">
        <v>0.39250000000003998</v>
      </c>
      <c r="AD3800">
        <v>-7.7911999999999704E-2</v>
      </c>
      <c r="AE3800">
        <v>-0.50273999999999897</v>
      </c>
      <c r="AF3800">
        <v>-0.43012867921829701</v>
      </c>
      <c r="AG3800">
        <v>-7.7911999999999704E-2</v>
      </c>
      <c r="AH3800">
        <v>0.45816912825102402</v>
      </c>
      <c r="AI3800">
        <v>97.067351554550896</v>
      </c>
      <c r="AJ3800">
        <v>133.19197338781601</v>
      </c>
      <c r="AK3800">
        <v>0.63324553730159105</v>
      </c>
      <c r="AL3800">
        <v>86.241657033758301</v>
      </c>
      <c r="AM3800">
        <v>96.121589422994404</v>
      </c>
      <c r="AN3800">
        <v>1.0000000152620301</v>
      </c>
    </row>
    <row r="3801" spans="1:40" x14ac:dyDescent="0.3">
      <c r="A3801" t="str">
        <f>"20200111153955791"</f>
        <v>20200111153955791</v>
      </c>
      <c r="B3801" t="str">
        <f>"1578728395784546"</f>
        <v>1578728395784546</v>
      </c>
      <c r="C3801" t="s">
        <v>40</v>
      </c>
      <c r="D3801">
        <v>4.5005139999999999</v>
      </c>
      <c r="E3801">
        <v>0.356095099999999</v>
      </c>
      <c r="F3801" t="s">
        <v>41</v>
      </c>
      <c r="G3801">
        <v>-300.64789999999999</v>
      </c>
      <c r="H3801">
        <v>1.015854</v>
      </c>
      <c r="I3801">
        <v>-22.620840000000001</v>
      </c>
      <c r="J3801">
        <v>-301.0761</v>
      </c>
      <c r="K3801">
        <v>1.102314</v>
      </c>
      <c r="L3801">
        <v>-22.062529999999999</v>
      </c>
      <c r="M3801">
        <v>-9.3429390000000001E-2</v>
      </c>
      <c r="N3801">
        <v>0</v>
      </c>
      <c r="O3801">
        <v>-0.99562099999999998</v>
      </c>
      <c r="P3801">
        <v>1.8077449999999998E-2</v>
      </c>
      <c r="Q3801">
        <v>6.0735409999999997E-2</v>
      </c>
      <c r="R3801">
        <v>-0.99799009999999999</v>
      </c>
      <c r="S3801">
        <v>1.176453</v>
      </c>
      <c r="T3801">
        <v>-0.26301079999999999</v>
      </c>
      <c r="U3801">
        <v>-3.0036010000000002</v>
      </c>
      <c r="V3801">
        <v>-0.11105279999999999</v>
      </c>
      <c r="W3801">
        <v>6.4152329999999994E-2</v>
      </c>
      <c r="X3801">
        <v>0.99174180000000001</v>
      </c>
      <c r="Y3801">
        <v>-0.44893909999999998</v>
      </c>
      <c r="Z3801">
        <v>7.9106720000000005E-2</v>
      </c>
      <c r="AA3801">
        <v>0.89005380000000001</v>
      </c>
      <c r="AB3801">
        <v>27</v>
      </c>
      <c r="AC3801">
        <v>0.42820000000000302</v>
      </c>
      <c r="AD3801">
        <v>-8.6459999999999898E-2</v>
      </c>
      <c r="AE3801">
        <v>-0.55831000000000197</v>
      </c>
      <c r="AF3801">
        <v>-0.47137223935206102</v>
      </c>
      <c r="AG3801">
        <v>-8.6459999999999898E-2</v>
      </c>
      <c r="AH3801">
        <v>0.50818774017462698</v>
      </c>
      <c r="AI3801">
        <v>97.110136597590198</v>
      </c>
      <c r="AJ3801">
        <v>132.84762493896</v>
      </c>
      <c r="AK3801">
        <v>0.69851406492322798</v>
      </c>
      <c r="AL3801">
        <v>86.321816436786307</v>
      </c>
      <c r="AM3801">
        <v>96.3892239867927</v>
      </c>
      <c r="AN3801">
        <v>1.00000002184975</v>
      </c>
    </row>
    <row r="3802" spans="1:40" x14ac:dyDescent="0.3">
      <c r="A3802" t="str">
        <f>"20200111153955824"</f>
        <v>20200111153955824</v>
      </c>
      <c r="B3802" t="str">
        <f>"1578728395815310"</f>
        <v>1578728395815310</v>
      </c>
      <c r="C3802" t="s">
        <v>40</v>
      </c>
      <c r="D3802">
        <v>4.4995180000000001</v>
      </c>
      <c r="E3802">
        <v>0.35636380000000001</v>
      </c>
      <c r="F3802" t="s">
        <v>41</v>
      </c>
      <c r="G3802">
        <v>-300.71910000000003</v>
      </c>
      <c r="H3802">
        <v>1.0217499999999999</v>
      </c>
      <c r="I3802">
        <v>-22.969519999999999</v>
      </c>
      <c r="J3802">
        <v>-301.11630000000002</v>
      </c>
      <c r="K3802">
        <v>1.1024149999999999</v>
      </c>
      <c r="L3802">
        <v>-22.4649</v>
      </c>
      <c r="M3802">
        <v>-9.5562380000000002E-2</v>
      </c>
      <c r="N3802">
        <v>0</v>
      </c>
      <c r="O3802">
        <v>-0.9954191</v>
      </c>
      <c r="P3802">
        <v>2.292201E-2</v>
      </c>
      <c r="Q3802">
        <v>6.0627680000000003E-2</v>
      </c>
      <c r="R3802">
        <v>-0.99789760000000005</v>
      </c>
      <c r="S3802">
        <v>1.1813049999999901</v>
      </c>
      <c r="T3802">
        <v>-0.26655319999999999</v>
      </c>
      <c r="U3802">
        <v>-3.0008539999999999</v>
      </c>
      <c r="V3802">
        <v>-0.1180099</v>
      </c>
      <c r="W3802">
        <v>6.3935350000000002E-2</v>
      </c>
      <c r="X3802">
        <v>0.99095200000000006</v>
      </c>
      <c r="Y3802">
        <v>-0.45234160000000001</v>
      </c>
      <c r="Z3802">
        <v>8.0110029999999999E-2</v>
      </c>
      <c r="AA3802">
        <v>0.88823960000000002</v>
      </c>
      <c r="AB3802">
        <v>27</v>
      </c>
      <c r="AC3802">
        <v>0.397199999999998</v>
      </c>
      <c r="AD3802">
        <v>-8.0664999999999903E-2</v>
      </c>
      <c r="AE3802">
        <v>-0.50462000000000196</v>
      </c>
      <c r="AF3802">
        <v>-0.43671474607702998</v>
      </c>
      <c r="AG3802">
        <v>-8.0664999999999903E-2</v>
      </c>
      <c r="AH3802">
        <v>0.45714042109328401</v>
      </c>
      <c r="AI3802">
        <v>97.271131941160107</v>
      </c>
      <c r="AJ3802">
        <v>133.690949746191</v>
      </c>
      <c r="AK3802">
        <v>0.63734133418716099</v>
      </c>
      <c r="AL3802">
        <v>86.334273843772806</v>
      </c>
      <c r="AM3802">
        <v>96.791222152651898</v>
      </c>
      <c r="AN3802">
        <v>0.99999996589081497</v>
      </c>
    </row>
    <row r="3803" spans="1:40" x14ac:dyDescent="0.3">
      <c r="A3803" t="str">
        <f>"20200111153955858"</f>
        <v>20200111153955858</v>
      </c>
      <c r="B3803" t="str">
        <f>"1578728395854351"</f>
        <v>1578728395854351</v>
      </c>
      <c r="C3803" t="s">
        <v>40</v>
      </c>
      <c r="D3803">
        <v>4.7889530000000002</v>
      </c>
      <c r="E3803">
        <v>0.35735240000000001</v>
      </c>
      <c r="F3803" t="s">
        <v>41</v>
      </c>
      <c r="G3803">
        <v>-300.75700000000001</v>
      </c>
      <c r="H3803">
        <v>1.0204629999999999</v>
      </c>
      <c r="I3803">
        <v>-23.367719999999998</v>
      </c>
      <c r="J3803">
        <v>-301.15910000000002</v>
      </c>
      <c r="K3803">
        <v>1.1025480000000001</v>
      </c>
      <c r="L3803">
        <v>-22.887540000000001</v>
      </c>
      <c r="M3803">
        <v>-9.7468289999999999E-2</v>
      </c>
      <c r="N3803">
        <v>0</v>
      </c>
      <c r="O3803">
        <v>-0.99523439999999996</v>
      </c>
      <c r="P3803">
        <v>2.8845429999999998E-2</v>
      </c>
      <c r="Q3803">
        <v>6.2594209999999997E-2</v>
      </c>
      <c r="R3803">
        <v>-0.99762249999999997</v>
      </c>
      <c r="S3803">
        <v>1.1924440000000001</v>
      </c>
      <c r="T3803">
        <v>-0.271918099999999</v>
      </c>
      <c r="U3803">
        <v>-2.9954529999999999</v>
      </c>
      <c r="V3803">
        <v>-0.12579369999999901</v>
      </c>
      <c r="W3803">
        <v>6.5793950000000004E-2</v>
      </c>
      <c r="X3803">
        <v>0.98987230000000004</v>
      </c>
      <c r="Y3803">
        <v>-0.45739299999999999</v>
      </c>
      <c r="Z3803">
        <v>8.1655820000000004E-2</v>
      </c>
      <c r="AA3803">
        <v>0.88550779999999996</v>
      </c>
      <c r="AB3803">
        <v>28</v>
      </c>
      <c r="AC3803">
        <v>0.402100000000018</v>
      </c>
      <c r="AD3803">
        <v>-8.2084999999999894E-2</v>
      </c>
      <c r="AE3803">
        <v>-0.48018000000000399</v>
      </c>
      <c r="AF3803">
        <v>-0.439439542900532</v>
      </c>
      <c r="AG3803">
        <v>-8.2084999999999894E-2</v>
      </c>
      <c r="AH3803">
        <v>0.43129302283670201</v>
      </c>
      <c r="AI3803">
        <v>97.593541977285994</v>
      </c>
      <c r="AJ3803">
        <v>135.53604013145201</v>
      </c>
      <c r="AK3803">
        <v>0.62117528173394698</v>
      </c>
      <c r="AL3803">
        <v>86.227559414622704</v>
      </c>
      <c r="AM3803">
        <v>97.242369384620105</v>
      </c>
      <c r="AN3803">
        <v>1.0000000345617901</v>
      </c>
    </row>
    <row r="3804" spans="1:40" x14ac:dyDescent="0.3">
      <c r="A3804" t="str">
        <f>"20200111153955890"</f>
        <v>20200111153955890</v>
      </c>
      <c r="B3804" t="str">
        <f>"1578728395884606"</f>
        <v>1578728395884606</v>
      </c>
      <c r="C3804" t="s">
        <v>40</v>
      </c>
      <c r="D3804">
        <v>4.7542059999999999</v>
      </c>
      <c r="E3804">
        <v>0.35849109999999901</v>
      </c>
      <c r="F3804" t="s">
        <v>41</v>
      </c>
      <c r="G3804">
        <v>-300.76600000000002</v>
      </c>
      <c r="H3804">
        <v>1.0170709999999901</v>
      </c>
      <c r="I3804">
        <v>-23.864640000000001</v>
      </c>
      <c r="J3804">
        <v>-301.2011</v>
      </c>
      <c r="K3804">
        <v>1.102673</v>
      </c>
      <c r="L3804">
        <v>-23.298950000000001</v>
      </c>
      <c r="M3804">
        <v>-9.8994550000000001E-2</v>
      </c>
      <c r="N3804">
        <v>0</v>
      </c>
      <c r="O3804">
        <v>-0.99508419999999997</v>
      </c>
      <c r="P3804">
        <v>3.7712860000000001E-2</v>
      </c>
      <c r="Q3804">
        <v>6.1998949999999997E-2</v>
      </c>
      <c r="R3804">
        <v>-0.99736380000000002</v>
      </c>
      <c r="S3804">
        <v>1.2024539999999999</v>
      </c>
      <c r="T3804">
        <v>-0.26146350000000002</v>
      </c>
      <c r="U3804">
        <v>-2.9887999999999999</v>
      </c>
      <c r="V3804">
        <v>-0.13613349999999999</v>
      </c>
      <c r="W3804">
        <v>6.510639E-2</v>
      </c>
      <c r="X3804">
        <v>0.98854889999999995</v>
      </c>
      <c r="Y3804">
        <v>-0.46207680000000001</v>
      </c>
      <c r="Z3804">
        <v>7.853243E-2</v>
      </c>
      <c r="AA3804">
        <v>0.88335589999999997</v>
      </c>
      <c r="AB3804">
        <v>28</v>
      </c>
      <c r="AC3804">
        <v>0.43510000000003302</v>
      </c>
      <c r="AD3804">
        <v>-8.5602000000000095E-2</v>
      </c>
      <c r="AE3804">
        <v>-0.56568999999999603</v>
      </c>
      <c r="AF3804">
        <v>-0.482028113290492</v>
      </c>
      <c r="AG3804">
        <v>-8.5602000000000095E-2</v>
      </c>
      <c r="AH3804">
        <v>0.51246560574323696</v>
      </c>
      <c r="AI3804">
        <v>96.937239233404497</v>
      </c>
      <c r="AJ3804">
        <v>133.24695159319799</v>
      </c>
      <c r="AK3804">
        <v>0.70873112071939803</v>
      </c>
      <c r="AL3804">
        <v>86.267038406240204</v>
      </c>
      <c r="AM3804">
        <v>97.840909542365097</v>
      </c>
      <c r="AN3804">
        <v>1.0000000497661401</v>
      </c>
    </row>
    <row r="3805" spans="1:40" x14ac:dyDescent="0.3">
      <c r="A3805" t="str">
        <f>"20200111153955934"</f>
        <v>20200111153955934</v>
      </c>
      <c r="B3805" t="str">
        <f>"1578728395925060"</f>
        <v>1578728395925060</v>
      </c>
      <c r="C3805" t="s">
        <v>40</v>
      </c>
      <c r="D3805">
        <v>4.7843150000000003</v>
      </c>
      <c r="E3805">
        <v>0.35952529999999999</v>
      </c>
      <c r="F3805" t="s">
        <v>41</v>
      </c>
      <c r="G3805">
        <v>-300.8603</v>
      </c>
      <c r="H3805">
        <v>1.0310859999999999</v>
      </c>
      <c r="I3805">
        <v>-24.131039999999999</v>
      </c>
      <c r="J3805">
        <v>-301.25920000000002</v>
      </c>
      <c r="K3805">
        <v>1.1028439999999999</v>
      </c>
      <c r="L3805">
        <v>-23.862670000000001</v>
      </c>
      <c r="M3805">
        <v>-0.10058259999999999</v>
      </c>
      <c r="N3805">
        <v>0</v>
      </c>
      <c r="O3805">
        <v>-0.99492480000000005</v>
      </c>
      <c r="P3805">
        <v>4.8633969999999999E-2</v>
      </c>
      <c r="Q3805">
        <v>6.254767E-2</v>
      </c>
      <c r="R3805">
        <v>-0.99685639999999998</v>
      </c>
      <c r="S3805">
        <v>1.2207030000000001</v>
      </c>
      <c r="T3805">
        <v>-0.2561928</v>
      </c>
      <c r="U3805">
        <v>-2.9776919999999998</v>
      </c>
      <c r="V3805">
        <v>-0.14855650000000001</v>
      </c>
      <c r="W3805">
        <v>6.5529870000000004E-2</v>
      </c>
      <c r="X3805">
        <v>0.98673029999999995</v>
      </c>
      <c r="Y3805">
        <v>-0.46930739999999999</v>
      </c>
      <c r="Z3805">
        <v>7.6962660000000002E-2</v>
      </c>
      <c r="AA3805">
        <v>0.87967459999999997</v>
      </c>
      <c r="AB3805">
        <v>28</v>
      </c>
      <c r="AC3805">
        <v>0.39890000000002601</v>
      </c>
      <c r="AD3805">
        <v>-7.1757999999999905E-2</v>
      </c>
      <c r="AE3805">
        <v>-0.268369999999997</v>
      </c>
      <c r="AF3805">
        <v>-0.414633668887742</v>
      </c>
      <c r="AG3805">
        <v>-7.1757999999999905E-2</v>
      </c>
      <c r="AH3805">
        <v>0.22194222327263499</v>
      </c>
      <c r="AI3805">
        <v>98.675287734615395</v>
      </c>
      <c r="AJ3805">
        <v>151.84105753667299</v>
      </c>
      <c r="AK3805">
        <v>0.47574009754330199</v>
      </c>
      <c r="AL3805">
        <v>86.242722456171094</v>
      </c>
      <c r="AM3805">
        <v>98.561823867813899</v>
      </c>
      <c r="AN3805">
        <v>0.999999941246276</v>
      </c>
    </row>
    <row r="3806" spans="1:40" x14ac:dyDescent="0.3">
      <c r="A3806" t="str">
        <f>"20200111153955980"</f>
        <v>20200111153955980</v>
      </c>
      <c r="B3806" t="str">
        <f>"1578728395974838"</f>
        <v>1578728395974838</v>
      </c>
      <c r="C3806" t="s">
        <v>40</v>
      </c>
      <c r="D3806">
        <v>4.8056669999999997</v>
      </c>
      <c r="E3806">
        <v>0.36106369999999999</v>
      </c>
      <c r="F3806" t="s">
        <v>41</v>
      </c>
      <c r="G3806">
        <v>-300.9074</v>
      </c>
      <c r="H3806">
        <v>1.0340009999999999</v>
      </c>
      <c r="I3806">
        <v>-24.698899999999998</v>
      </c>
      <c r="J3806">
        <v>-301.31990000000002</v>
      </c>
      <c r="K3806">
        <v>1.103048</v>
      </c>
      <c r="L3806">
        <v>-24.45007</v>
      </c>
      <c r="M3806">
        <v>-0.1015147</v>
      </c>
      <c r="N3806">
        <v>0</v>
      </c>
      <c r="O3806">
        <v>-0.9948302</v>
      </c>
      <c r="P3806">
        <v>5.3537800000000003E-2</v>
      </c>
      <c r="Q3806">
        <v>6.1450949999999997E-2</v>
      </c>
      <c r="R3806">
        <v>-0.99667349999999999</v>
      </c>
      <c r="S3806">
        <v>1.2470699999999999</v>
      </c>
      <c r="T3806">
        <v>-0.24401100000000001</v>
      </c>
      <c r="U3806">
        <v>-2.9639280000000001</v>
      </c>
      <c r="V3806">
        <v>-0.1543813</v>
      </c>
      <c r="W3806">
        <v>6.4295080000000004E-2</v>
      </c>
      <c r="X3806">
        <v>0.98591709999999999</v>
      </c>
      <c r="Y3806">
        <v>-0.47832010000000003</v>
      </c>
      <c r="Z3806">
        <v>7.331704E-2</v>
      </c>
      <c r="AA3806">
        <v>0.87511969999999994</v>
      </c>
      <c r="AB3806">
        <v>29</v>
      </c>
      <c r="AC3806">
        <v>0.41250000000002202</v>
      </c>
      <c r="AD3806">
        <v>-6.9046999999999997E-2</v>
      </c>
      <c r="AE3806">
        <v>-0.248829999999998</v>
      </c>
      <c r="AF3806">
        <v>-0.426860001623108</v>
      </c>
      <c r="AG3806">
        <v>-6.9046999999999997E-2</v>
      </c>
      <c r="AH3806">
        <v>0.20152953157579301</v>
      </c>
      <c r="AI3806">
        <v>98.321810612621306</v>
      </c>
      <c r="AJ3806">
        <v>154.727024396459</v>
      </c>
      <c r="AK3806">
        <v>0.477065091252586</v>
      </c>
      <c r="AL3806">
        <v>86.313620410370405</v>
      </c>
      <c r="AM3806">
        <v>98.899478275194696</v>
      </c>
      <c r="AN3806">
        <v>0.99999998558715297</v>
      </c>
    </row>
    <row r="3807" spans="1:40" x14ac:dyDescent="0.3">
      <c r="A3807" t="str">
        <f>"20200111153956024"</f>
        <v>20200111153956024</v>
      </c>
      <c r="B3807" t="str">
        <f>"1578728396014382"</f>
        <v>1578728396014382</v>
      </c>
      <c r="C3807" t="s">
        <v>40</v>
      </c>
      <c r="D3807">
        <v>4.8819109999999997</v>
      </c>
      <c r="E3807">
        <v>0.36234110000000003</v>
      </c>
      <c r="F3807" t="s">
        <v>41</v>
      </c>
      <c r="G3807">
        <v>-300.91829999999999</v>
      </c>
      <c r="H3807">
        <v>1.025299</v>
      </c>
      <c r="I3807">
        <v>-25.400490000000001</v>
      </c>
      <c r="J3807">
        <v>-301.3793</v>
      </c>
      <c r="K3807">
        <v>1.103251</v>
      </c>
      <c r="L3807">
        <v>-25.026949999999999</v>
      </c>
      <c r="M3807">
        <v>-0.1018298</v>
      </c>
      <c r="N3807">
        <v>0</v>
      </c>
      <c r="O3807">
        <v>-0.99479839999999997</v>
      </c>
      <c r="P3807">
        <v>5.7826349999999999E-2</v>
      </c>
      <c r="Q3807">
        <v>6.0106809999999997E-2</v>
      </c>
      <c r="R3807">
        <v>-0.99651599999999996</v>
      </c>
      <c r="S3807">
        <v>1.250305</v>
      </c>
      <c r="T3807">
        <v>-0.24196200000000001</v>
      </c>
      <c r="U3807">
        <v>-2.9577640000000001</v>
      </c>
      <c r="V3807">
        <v>-0.15897809999999901</v>
      </c>
      <c r="W3807">
        <v>6.2841300000000003E-2</v>
      </c>
      <c r="X3807">
        <v>0.98528020000000005</v>
      </c>
      <c r="Y3807">
        <v>-0.48007630000000001</v>
      </c>
      <c r="Z3807">
        <v>7.2787820000000003E-2</v>
      </c>
      <c r="AA3807">
        <v>0.87420169999999997</v>
      </c>
      <c r="AB3807">
        <v>29</v>
      </c>
      <c r="AC3807">
        <v>0.46100000000001201</v>
      </c>
      <c r="AD3807">
        <v>-7.7951999999999994E-2</v>
      </c>
      <c r="AE3807">
        <v>-0.37353999999999798</v>
      </c>
      <c r="AF3807">
        <v>-0.48821457255998202</v>
      </c>
      <c r="AG3807">
        <v>-7.7951999999999994E-2</v>
      </c>
      <c r="AH3807">
        <v>0.31914603547174097</v>
      </c>
      <c r="AI3807">
        <v>97.612231269639295</v>
      </c>
      <c r="AJ3807">
        <v>146.82734094358199</v>
      </c>
      <c r="AK3807">
        <v>0.58845915331589205</v>
      </c>
      <c r="AL3807">
        <v>86.397084984610004</v>
      </c>
      <c r="AM3807">
        <v>99.165857531445297</v>
      </c>
      <c r="AN3807">
        <v>1.0000000688886601</v>
      </c>
    </row>
    <row r="3808" spans="1:40" x14ac:dyDescent="0.3">
      <c r="A3808" t="str">
        <f>"20200111153956052"</f>
        <v>20200111153956052</v>
      </c>
      <c r="B3808" t="str">
        <f>"1578728396044639"</f>
        <v>1578728396044639</v>
      </c>
      <c r="C3808" t="s">
        <v>40</v>
      </c>
      <c r="D3808">
        <v>4.9065149999999997</v>
      </c>
      <c r="E3808">
        <v>0.36314170000000001</v>
      </c>
      <c r="F3808" t="s">
        <v>41</v>
      </c>
      <c r="G3808">
        <v>-300.9982</v>
      </c>
      <c r="H3808">
        <v>1.027792</v>
      </c>
      <c r="I3808">
        <v>-25.92595</v>
      </c>
      <c r="J3808">
        <v>-301.41789999999997</v>
      </c>
      <c r="K3808">
        <v>1.1033569999999999</v>
      </c>
      <c r="L3808">
        <v>-25.403590000000001</v>
      </c>
      <c r="M3808">
        <v>-0.1017878</v>
      </c>
      <c r="N3808">
        <v>0</v>
      </c>
      <c r="O3808">
        <v>-0.99480270000000004</v>
      </c>
      <c r="P3808">
        <v>5.8590000000000003E-2</v>
      </c>
      <c r="Q3808">
        <v>6.1218410000000001E-2</v>
      </c>
      <c r="R3808">
        <v>-0.99640340000000005</v>
      </c>
      <c r="S3808">
        <v>1.2515259999999999</v>
      </c>
      <c r="T3808">
        <v>-0.24785019999999999</v>
      </c>
      <c r="U3808">
        <v>-2.95282</v>
      </c>
      <c r="V3808">
        <v>-0.15970210000000001</v>
      </c>
      <c r="W3808">
        <v>6.3901559999999996E-2</v>
      </c>
      <c r="X3808">
        <v>0.98509480000000005</v>
      </c>
      <c r="Y3808">
        <v>-0.48081570000000001</v>
      </c>
      <c r="Z3808">
        <v>7.4640529999999997E-2</v>
      </c>
      <c r="AA3808">
        <v>0.87363899999999906</v>
      </c>
      <c r="AB3808">
        <v>29</v>
      </c>
      <c r="AC3808">
        <v>0.41969999999997698</v>
      </c>
      <c r="AD3808">
        <v>-7.5564999999999799E-2</v>
      </c>
      <c r="AE3808">
        <v>-0.52236000000000204</v>
      </c>
      <c r="AF3808">
        <v>-0.46477953991662502</v>
      </c>
      <c r="AG3808">
        <v>-7.5564999999999799E-2</v>
      </c>
      <c r="AH3808">
        <v>0.470937480539727</v>
      </c>
      <c r="AI3808">
        <v>96.515186666578998</v>
      </c>
      <c r="AJ3808">
        <v>134.62294271976899</v>
      </c>
      <c r="AK3808">
        <v>0.66596711670112996</v>
      </c>
      <c r="AL3808">
        <v>86.336213841360106</v>
      </c>
      <c r="AM3808">
        <v>99.208589456938597</v>
      </c>
      <c r="AN3808">
        <v>0.999999967550941</v>
      </c>
    </row>
    <row r="3809" spans="1:40" x14ac:dyDescent="0.3">
      <c r="A3809" t="str">
        <f>"20200111153956091"</f>
        <v>20200111153956091</v>
      </c>
      <c r="B3809" t="str">
        <f>"1578728396084654"</f>
        <v>1578728396084654</v>
      </c>
      <c r="C3809" t="s">
        <v>40</v>
      </c>
      <c r="D3809">
        <v>5.2875230000000002</v>
      </c>
      <c r="E3809">
        <v>0.36505589999999999</v>
      </c>
      <c r="F3809" t="s">
        <v>41</v>
      </c>
      <c r="G3809">
        <v>-301.07339999999999</v>
      </c>
      <c r="H3809">
        <v>1.0362290000000001</v>
      </c>
      <c r="I3809">
        <v>-26.21903</v>
      </c>
      <c r="J3809">
        <v>-301.46960000000001</v>
      </c>
      <c r="K3809">
        <v>1.1034710000000001</v>
      </c>
      <c r="L3809">
        <v>-25.910920000000001</v>
      </c>
      <c r="M3809">
        <v>-0.1014694</v>
      </c>
      <c r="N3809">
        <v>0</v>
      </c>
      <c r="O3809">
        <v>-0.99483520000000003</v>
      </c>
      <c r="P3809">
        <v>6.1434610000000001E-2</v>
      </c>
      <c r="Q3809">
        <v>6.0085489999999998E-2</v>
      </c>
      <c r="R3809">
        <v>-0.9963012</v>
      </c>
      <c r="S3809">
        <v>1.2477419999999999</v>
      </c>
      <c r="T3809">
        <v>-0.24304780000000001</v>
      </c>
      <c r="U3809">
        <v>-2.9523929999999998</v>
      </c>
      <c r="V3809">
        <v>-0.16222539999999999</v>
      </c>
      <c r="W3809">
        <v>6.2720410000000004E-2</v>
      </c>
      <c r="X3809">
        <v>0.98475840000000003</v>
      </c>
      <c r="Y3809">
        <v>-0.47967149999999997</v>
      </c>
      <c r="Z3809">
        <v>7.3259080000000004E-2</v>
      </c>
      <c r="AA3809">
        <v>0.87438449999999901</v>
      </c>
      <c r="AB3809">
        <v>29</v>
      </c>
      <c r="AC3809">
        <v>0.39620000000002098</v>
      </c>
      <c r="AD3809">
        <v>-6.7241999999999802E-2</v>
      </c>
      <c r="AE3809">
        <v>-0.308109999999999</v>
      </c>
      <c r="AF3809">
        <v>-0.41791766708735301</v>
      </c>
      <c r="AG3809">
        <v>-6.7241999999999802E-2</v>
      </c>
      <c r="AH3809">
        <v>0.26162154614330002</v>
      </c>
      <c r="AI3809">
        <v>97.766025611350202</v>
      </c>
      <c r="AJ3809">
        <v>147.95293283230001</v>
      </c>
      <c r="AK3809">
        <v>0.49761681687232601</v>
      </c>
      <c r="AL3809">
        <v>86.404024979411403</v>
      </c>
      <c r="AM3809">
        <v>99.354672887134598</v>
      </c>
      <c r="AN3809">
        <v>1.0000000183031399</v>
      </c>
    </row>
    <row r="3810" spans="1:40" x14ac:dyDescent="0.3">
      <c r="A3810" t="str">
        <f>"20200111153956121"</f>
        <v>20200111153956121</v>
      </c>
      <c r="B3810" t="str">
        <f>"1578728396114910"</f>
        <v>1578728396114910</v>
      </c>
      <c r="C3810" t="s">
        <v>40</v>
      </c>
      <c r="D3810">
        <v>5.2947790000000001</v>
      </c>
      <c r="E3810">
        <v>0.48546420000000001</v>
      </c>
      <c r="F3810" t="s">
        <v>41</v>
      </c>
      <c r="G3810">
        <v>-301.12740000000002</v>
      </c>
      <c r="H3810">
        <v>1.034033</v>
      </c>
      <c r="I3810">
        <v>-26.726030000000002</v>
      </c>
      <c r="J3810">
        <v>-301.5102</v>
      </c>
      <c r="K3810">
        <v>1.103532</v>
      </c>
      <c r="L3810">
        <v>-26.312899999999999</v>
      </c>
      <c r="M3810">
        <v>-0.1010967</v>
      </c>
      <c r="N3810">
        <v>0</v>
      </c>
      <c r="O3810">
        <v>-0.99487289999999995</v>
      </c>
      <c r="P3810">
        <v>6.2770510000000002E-2</v>
      </c>
      <c r="Q3810">
        <v>5.91005E-2</v>
      </c>
      <c r="R3810">
        <v>-0.99627659999999996</v>
      </c>
      <c r="S3810">
        <v>1.2386469999999901</v>
      </c>
      <c r="T3810">
        <v>-0.2513012</v>
      </c>
      <c r="U3810">
        <v>-2.9499209999999998</v>
      </c>
      <c r="V3810">
        <v>-0.16319349999999999</v>
      </c>
      <c r="W3810">
        <v>6.1716720000000003E-2</v>
      </c>
      <c r="X3810">
        <v>0.98466180000000003</v>
      </c>
      <c r="Y3810">
        <v>-0.47723739999999998</v>
      </c>
      <c r="Z3810">
        <v>7.58905E-2</v>
      </c>
      <c r="AA3810">
        <v>0.87549129999999997</v>
      </c>
      <c r="AB3810">
        <v>30</v>
      </c>
      <c r="AC3810">
        <v>0.38279999999997399</v>
      </c>
      <c r="AD3810">
        <v>-6.9498999999999894E-2</v>
      </c>
      <c r="AE3810">
        <v>-0.413129999999998</v>
      </c>
      <c r="AF3810">
        <v>-0.41626659627894802</v>
      </c>
      <c r="AG3810">
        <v>-6.9498999999999894E-2</v>
      </c>
      <c r="AH3810">
        <v>0.36672930151409999</v>
      </c>
      <c r="AI3810">
        <v>97.140566041676095</v>
      </c>
      <c r="AJ3810">
        <v>138.62007021355001</v>
      </c>
      <c r="AK3810">
        <v>0.55910497294129002</v>
      </c>
      <c r="AL3810">
        <v>86.461643630777402</v>
      </c>
      <c r="AM3810">
        <v>99.410409177488702</v>
      </c>
      <c r="AN3810">
        <v>0.99999996617452303</v>
      </c>
    </row>
    <row r="3811" spans="1:40" x14ac:dyDescent="0.3">
      <c r="A3811" t="str">
        <f>"20200111153956158"</f>
        <v>20200111153956158</v>
      </c>
      <c r="B3811" t="str">
        <f>"1578728396154927"</f>
        <v>1578728396154927</v>
      </c>
      <c r="C3811" t="s">
        <v>40</v>
      </c>
      <c r="D3811">
        <v>5.1134879999999896</v>
      </c>
      <c r="E3811">
        <v>0.49145</v>
      </c>
      <c r="F3811" t="s">
        <v>42</v>
      </c>
      <c r="G3811">
        <v>-300.42579999999998</v>
      </c>
      <c r="H3811" s="1">
        <v>-1.162426E-6</v>
      </c>
      <c r="I3811">
        <v>-37.965290000000003</v>
      </c>
      <c r="J3811">
        <v>-301.5607</v>
      </c>
      <c r="K3811">
        <v>1.10358</v>
      </c>
      <c r="L3811">
        <v>-26.814330000000002</v>
      </c>
      <c r="M3811">
        <v>-0.1005822</v>
      </c>
      <c r="N3811">
        <v>0</v>
      </c>
      <c r="O3811">
        <v>-0.99492510000000001</v>
      </c>
      <c r="P3811">
        <v>6.4772170000000004E-2</v>
      </c>
      <c r="Q3811">
        <v>5.940873E-2</v>
      </c>
      <c r="R3811">
        <v>-0.99613019999999997</v>
      </c>
      <c r="S3811">
        <v>0.28018189999999998</v>
      </c>
      <c r="T3811">
        <v>-0.28510449999999998</v>
      </c>
      <c r="U3811">
        <v>-3.0104679999999999</v>
      </c>
      <c r="V3811">
        <v>-0.164667799999999</v>
      </c>
      <c r="W3811">
        <v>6.2020359999999997E-2</v>
      </c>
      <c r="X3811">
        <v>0.98439730000000003</v>
      </c>
      <c r="Y3811">
        <v>-0.19194520000000001</v>
      </c>
      <c r="Z3811">
        <v>9.2489669999999996E-2</v>
      </c>
      <c r="AA3811">
        <v>0.97703770000000001</v>
      </c>
      <c r="AB3811">
        <v>30</v>
      </c>
      <c r="AC3811">
        <v>1.13490000000001</v>
      </c>
      <c r="AD3811">
        <v>-1.1035811624259999</v>
      </c>
      <c r="AE3811">
        <v>-11.15096</v>
      </c>
      <c r="AF3811">
        <v>-2.2291273239040099</v>
      </c>
      <c r="AG3811">
        <v>-1.1035811624259999</v>
      </c>
      <c r="AH3811">
        <v>10.8748371200512</v>
      </c>
      <c r="AI3811">
        <v>95.677303945540899</v>
      </c>
      <c r="AJ3811">
        <v>101.584042755531</v>
      </c>
      <c r="AK3811">
        <v>11.155670414452</v>
      </c>
      <c r="AL3811">
        <v>86.444213163741907</v>
      </c>
      <c r="AM3811">
        <v>99.496386997029305</v>
      </c>
      <c r="AN3811">
        <v>1.0000000268293201</v>
      </c>
    </row>
    <row r="3812" spans="1:40" x14ac:dyDescent="0.3">
      <c r="A3812" t="str">
        <f>"20200111153956192"</f>
        <v>20200111153956192</v>
      </c>
      <c r="B3812" t="str">
        <f>"1578728396185183"</f>
        <v>1578728396185183</v>
      </c>
      <c r="C3812" t="s">
        <v>40</v>
      </c>
      <c r="D3812">
        <v>5.1145160000000001</v>
      </c>
      <c r="E3812">
        <v>0.49161870000000002</v>
      </c>
      <c r="F3812" t="s">
        <v>42</v>
      </c>
      <c r="G3812">
        <v>-300.62079999999997</v>
      </c>
      <c r="H3812" s="1">
        <v>-8.93779199999999E-7</v>
      </c>
      <c r="I3812">
        <v>-38.712479999999999</v>
      </c>
      <c r="J3812">
        <v>-301.60700000000003</v>
      </c>
      <c r="K3812">
        <v>1.1035889999999999</v>
      </c>
      <c r="L3812">
        <v>-27.277159999999999</v>
      </c>
      <c r="M3812">
        <v>-0.1001148</v>
      </c>
      <c r="N3812">
        <v>0</v>
      </c>
      <c r="O3812">
        <v>-0.99497210000000003</v>
      </c>
      <c r="P3812">
        <v>6.6043889999999994E-2</v>
      </c>
      <c r="Q3812">
        <v>6.0386549999999997E-2</v>
      </c>
      <c r="R3812">
        <v>-0.99598750000000003</v>
      </c>
      <c r="S3812">
        <v>0.23800660000000001</v>
      </c>
      <c r="T3812">
        <v>-0.27944859999999999</v>
      </c>
      <c r="U3812">
        <v>-3.012848</v>
      </c>
      <c r="V3812">
        <v>-0.16545779999999999</v>
      </c>
      <c r="W3812">
        <v>6.3007380000000002E-2</v>
      </c>
      <c r="X3812">
        <v>0.98420209999999997</v>
      </c>
      <c r="Y3812">
        <v>-0.17783019999999999</v>
      </c>
      <c r="Z3812">
        <v>9.0782959999999996E-2</v>
      </c>
      <c r="AA3812">
        <v>0.97986470000000003</v>
      </c>
      <c r="AB3812">
        <v>30</v>
      </c>
      <c r="AC3812">
        <v>0.98620000000005303</v>
      </c>
      <c r="AD3812">
        <v>-1.1035898937791999</v>
      </c>
      <c r="AE3812">
        <v>-11.4353199999999</v>
      </c>
      <c r="AF3812">
        <v>-2.1066188732229301</v>
      </c>
      <c r="AG3812">
        <v>-1.1035898937791999</v>
      </c>
      <c r="AH3812">
        <v>11.1758147896356</v>
      </c>
      <c r="AI3812">
        <v>95.5425782530601</v>
      </c>
      <c r="AJ3812">
        <v>100.674885138919</v>
      </c>
      <c r="AK3812">
        <v>11.426048745866099</v>
      </c>
      <c r="AL3812">
        <v>86.387550135115205</v>
      </c>
      <c r="AM3812">
        <v>99.542968148529297</v>
      </c>
      <c r="AN3812">
        <v>0.99999999357985703</v>
      </c>
    </row>
    <row r="3813" spans="1:40" x14ac:dyDescent="0.3">
      <c r="A3813" t="str">
        <f>"20200111153956225"</f>
        <v>20200111153956225</v>
      </c>
      <c r="B3813" t="str">
        <f>"1578728396214462"</f>
        <v>1578728396214462</v>
      </c>
      <c r="C3813" t="s">
        <v>40</v>
      </c>
      <c r="D3813">
        <v>5.0951420000000001</v>
      </c>
      <c r="E3813">
        <v>0.49135790000000001</v>
      </c>
      <c r="F3813" t="s">
        <v>42</v>
      </c>
      <c r="G3813">
        <v>-300.62299999999999</v>
      </c>
      <c r="H3813" s="1">
        <v>-5.1437509999999999E-7</v>
      </c>
      <c r="I3813">
        <v>-39.598289999999999</v>
      </c>
      <c r="J3813">
        <v>-301.65170000000001</v>
      </c>
      <c r="K3813">
        <v>1.1035889999999999</v>
      </c>
      <c r="L3813">
        <v>-27.72607</v>
      </c>
      <c r="M3813">
        <v>-9.9688159999999998E-2</v>
      </c>
      <c r="N3813">
        <v>0</v>
      </c>
      <c r="O3813">
        <v>-0.99501510000000004</v>
      </c>
      <c r="P3813">
        <v>7.1855390000000005E-2</v>
      </c>
      <c r="Q3813">
        <v>5.9822470000000003E-2</v>
      </c>
      <c r="R3813">
        <v>-0.9956197</v>
      </c>
      <c r="S3813">
        <v>0.24057010000000001</v>
      </c>
      <c r="T3813">
        <v>-0.26982430000000002</v>
      </c>
      <c r="U3813">
        <v>-3.0124819999999999</v>
      </c>
      <c r="V3813">
        <v>-0.1707813</v>
      </c>
      <c r="W3813">
        <v>6.2452000000000001E-2</v>
      </c>
      <c r="X3813">
        <v>0.98332770000000003</v>
      </c>
      <c r="Y3813">
        <v>-0.1782686</v>
      </c>
      <c r="Z3813">
        <v>8.7691389999999994E-2</v>
      </c>
      <c r="AA3813">
        <v>0.98006660000000001</v>
      </c>
      <c r="AB3813">
        <v>31</v>
      </c>
      <c r="AC3813">
        <v>1.0287000000000099</v>
      </c>
      <c r="AD3813">
        <v>-1.1035895143751</v>
      </c>
      <c r="AE3813">
        <v>-11.87222</v>
      </c>
      <c r="AF3813">
        <v>-2.1883318550519402</v>
      </c>
      <c r="AG3813">
        <v>-1.1035895143751</v>
      </c>
      <c r="AH3813">
        <v>11.6109515819925</v>
      </c>
      <c r="AI3813">
        <v>95.336108359915201</v>
      </c>
      <c r="AJ3813">
        <v>100.67341055978</v>
      </c>
      <c r="AK3813">
        <v>11.8667983366807</v>
      </c>
      <c r="AL3813">
        <v>86.419433649598702</v>
      </c>
      <c r="AM3813">
        <v>99.852673232410694</v>
      </c>
      <c r="AN3813">
        <v>0.99999993516048802</v>
      </c>
    </row>
    <row r="3814" spans="1:40" x14ac:dyDescent="0.3">
      <c r="A3814" t="str">
        <f>"20200111153956270"</f>
        <v>20200111153956270</v>
      </c>
      <c r="B3814" t="str">
        <f>"1578728396265214"</f>
        <v>1578728396265214</v>
      </c>
      <c r="C3814" t="s">
        <v>40</v>
      </c>
      <c r="D3814">
        <v>5.1930239999999896</v>
      </c>
      <c r="E3814">
        <v>0.49144880000000002</v>
      </c>
      <c r="F3814" t="s">
        <v>42</v>
      </c>
      <c r="G3814">
        <v>-300.61579999999998</v>
      </c>
      <c r="H3814" s="1">
        <v>-4.3866739999999999E-7</v>
      </c>
      <c r="I3814">
        <v>-39.770299999999999</v>
      </c>
      <c r="J3814">
        <v>-301.7133</v>
      </c>
      <c r="K3814">
        <v>1.103577</v>
      </c>
      <c r="L3814">
        <v>-28.346589999999999</v>
      </c>
      <c r="M3814">
        <v>-9.9125249999999998E-2</v>
      </c>
      <c r="N3814">
        <v>0</v>
      </c>
      <c r="O3814">
        <v>-0.99507120000000004</v>
      </c>
      <c r="P3814">
        <v>7.9936969999999996E-2</v>
      </c>
      <c r="Q3814">
        <v>6.062733E-2</v>
      </c>
      <c r="R3814">
        <v>-0.99495469999999997</v>
      </c>
      <c r="S3814">
        <v>0.25897219999999999</v>
      </c>
      <c r="T3814">
        <v>-0.27589930000000001</v>
      </c>
      <c r="U3814">
        <v>-3.0110779999999999</v>
      </c>
      <c r="V3814">
        <v>-0.1782019</v>
      </c>
      <c r="W3814">
        <v>6.3268640000000001E-2</v>
      </c>
      <c r="X3814">
        <v>0.98195790000000005</v>
      </c>
      <c r="Y3814">
        <v>-0.18367900000000001</v>
      </c>
      <c r="Z3814">
        <v>8.9630650000000006E-2</v>
      </c>
      <c r="AA3814">
        <v>0.97889139999999997</v>
      </c>
      <c r="AB3814">
        <v>31</v>
      </c>
      <c r="AC3814">
        <v>1.0975000000000199</v>
      </c>
      <c r="AD3814">
        <v>-1.1035774386674</v>
      </c>
      <c r="AE3814">
        <v>-11.4237099999999</v>
      </c>
      <c r="AF3814">
        <v>-2.2040957944504198</v>
      </c>
      <c r="AG3814">
        <v>-1.1035774386674</v>
      </c>
      <c r="AH3814">
        <v>11.1555020214797</v>
      </c>
      <c r="AI3814">
        <v>95.543227755212996</v>
      </c>
      <c r="AJ3814">
        <v>101.176506765073</v>
      </c>
      <c r="AK3814">
        <v>11.4245851909593</v>
      </c>
      <c r="AL3814">
        <v>86.3725514191011</v>
      </c>
      <c r="AM3814">
        <v>100.285873239415</v>
      </c>
      <c r="AN3814">
        <v>1.0000000776717299</v>
      </c>
    </row>
    <row r="3815" spans="1:40" x14ac:dyDescent="0.3">
      <c r="A3815" t="str">
        <f>"20200111153956314"</f>
        <v>20200111153956314</v>
      </c>
      <c r="B3815" t="str">
        <f>"1578728396305234"</f>
        <v>1578728396305234</v>
      </c>
      <c r="C3815" t="s">
        <v>40</v>
      </c>
      <c r="D3815">
        <v>5.1533300000000004</v>
      </c>
      <c r="E3815">
        <v>0.49149870000000001</v>
      </c>
      <c r="F3815" t="s">
        <v>66</v>
      </c>
      <c r="G3815">
        <v>-300.56420000000003</v>
      </c>
      <c r="H3815" s="1">
        <v>-2.4431920000000002E-7</v>
      </c>
      <c r="I3815">
        <v>-40.604999999999997</v>
      </c>
      <c r="J3815">
        <v>-301.7747</v>
      </c>
      <c r="K3815">
        <v>1.1035629999999901</v>
      </c>
      <c r="L3815">
        <v>-28.968810000000001</v>
      </c>
      <c r="M3815">
        <v>-9.8569009999999999E-2</v>
      </c>
      <c r="N3815">
        <v>0</v>
      </c>
      <c r="O3815">
        <v>-0.99512610000000001</v>
      </c>
      <c r="P3815">
        <v>8.6329890000000006E-2</v>
      </c>
      <c r="Q3815">
        <v>5.911189E-2</v>
      </c>
      <c r="R3815">
        <v>-0.99451120000000004</v>
      </c>
      <c r="S3815">
        <v>0.28207399999999999</v>
      </c>
      <c r="T3815">
        <v>-0.27089429999999998</v>
      </c>
      <c r="U3815">
        <v>-3.009064</v>
      </c>
      <c r="V3815">
        <v>-0.1839711</v>
      </c>
      <c r="W3815">
        <v>6.1773830000000002E-2</v>
      </c>
      <c r="X3815">
        <v>0.98098859999999999</v>
      </c>
      <c r="Y3815">
        <v>-0.1906495</v>
      </c>
      <c r="Z3815">
        <v>8.7993929999999998E-2</v>
      </c>
      <c r="AA3815">
        <v>0.97770639999999998</v>
      </c>
      <c r="AB3815">
        <v>31</v>
      </c>
      <c r="AC3815">
        <v>1.2104999999999599</v>
      </c>
      <c r="AD3815">
        <v>-1.1035632443191901</v>
      </c>
      <c r="AE3815">
        <v>-11.636189999999999</v>
      </c>
      <c r="AF3815">
        <v>-2.33083744217392</v>
      </c>
      <c r="AG3815">
        <v>-1.1035632443191901</v>
      </c>
      <c r="AH3815">
        <v>11.3591306633549</v>
      </c>
      <c r="AI3815">
        <v>95.436419725593097</v>
      </c>
      <c r="AJ3815">
        <v>101.59585092351</v>
      </c>
      <c r="AK3815">
        <v>11.648197476142901</v>
      </c>
      <c r="AL3815">
        <v>86.458365342164299</v>
      </c>
      <c r="AM3815">
        <v>100.621671663976</v>
      </c>
      <c r="AN3815">
        <v>1.0000000025190099</v>
      </c>
    </row>
    <row r="3816" spans="1:40" x14ac:dyDescent="0.3">
      <c r="A3816" t="str">
        <f>"20200111153956348"</f>
        <v>20200111153956348</v>
      </c>
      <c r="B3816" t="str">
        <f>"1578728396345247"</f>
        <v>1578728396345247</v>
      </c>
      <c r="C3816" t="s">
        <v>40</v>
      </c>
      <c r="D3816">
        <v>5.182823</v>
      </c>
      <c r="E3816">
        <v>0.49164629999999998</v>
      </c>
      <c r="F3816" t="s">
        <v>66</v>
      </c>
      <c r="G3816">
        <v>-300.59309999999999</v>
      </c>
      <c r="H3816" s="1">
        <v>-3.496008E-7</v>
      </c>
      <c r="I3816">
        <v>-40.796990000000001</v>
      </c>
      <c r="J3816">
        <v>-301.82150000000001</v>
      </c>
      <c r="K3816">
        <v>1.103556</v>
      </c>
      <c r="L3816">
        <v>-29.44537</v>
      </c>
      <c r="M3816">
        <v>-9.813856E-2</v>
      </c>
      <c r="N3816">
        <v>0</v>
      </c>
      <c r="O3816">
        <v>-0.99516899999999997</v>
      </c>
      <c r="P3816">
        <v>8.8950719999999997E-2</v>
      </c>
      <c r="Q3816">
        <v>5.6743179999999997E-2</v>
      </c>
      <c r="R3816">
        <v>-0.99441849999999998</v>
      </c>
      <c r="S3816">
        <v>0.30041499999999999</v>
      </c>
      <c r="T3816">
        <v>-0.28056500000000001</v>
      </c>
      <c r="U3816">
        <v>-3.0071409999999998</v>
      </c>
      <c r="V3816">
        <v>-0.18614530000000001</v>
      </c>
      <c r="W3816">
        <v>5.942306E-2</v>
      </c>
      <c r="X3816">
        <v>0.98072360000000003</v>
      </c>
      <c r="Y3816">
        <v>-0.19615930000000001</v>
      </c>
      <c r="Z3816">
        <v>9.1095220000000005E-2</v>
      </c>
      <c r="AA3816">
        <v>0.97633150000000002</v>
      </c>
      <c r="AB3816">
        <v>31</v>
      </c>
      <c r="AC3816">
        <v>1.2284000000000199</v>
      </c>
      <c r="AD3816">
        <v>-1.1035563496008001</v>
      </c>
      <c r="AE3816">
        <v>-11.35162</v>
      </c>
      <c r="AF3816">
        <v>-2.31488148871578</v>
      </c>
      <c r="AG3816">
        <v>-1.1035563496008001</v>
      </c>
      <c r="AH3816">
        <v>11.0728317412247</v>
      </c>
      <c r="AI3816">
        <v>95.571823081123597</v>
      </c>
      <c r="AJ3816">
        <v>101.80816279118601</v>
      </c>
      <c r="AK3816">
        <v>11.3659190430434</v>
      </c>
      <c r="AL3816">
        <v>86.593302467250496</v>
      </c>
      <c r="AM3816">
        <v>100.74713013607401</v>
      </c>
      <c r="AN3816">
        <v>0.99999997618440595</v>
      </c>
    </row>
    <row r="3817" spans="1:40" x14ac:dyDescent="0.3">
      <c r="A3817" t="str">
        <f>"20200111153956383"</f>
        <v>20200111153956383</v>
      </c>
      <c r="B3817" t="str">
        <f>"1578728396374526"</f>
        <v>1578728396374526</v>
      </c>
      <c r="C3817" t="s">
        <v>40</v>
      </c>
      <c r="D3817">
        <v>5.1846459999999999</v>
      </c>
      <c r="E3817">
        <v>0.49185679999999998</v>
      </c>
      <c r="F3817" t="s">
        <v>66</v>
      </c>
      <c r="G3817">
        <v>-300.64519999999999</v>
      </c>
      <c r="H3817" s="1">
        <v>-4.5380590000000002E-7</v>
      </c>
      <c r="I3817">
        <v>-40.949509999999997</v>
      </c>
      <c r="J3817">
        <v>-301.86939999999998</v>
      </c>
      <c r="K3817">
        <v>1.1035469999999901</v>
      </c>
      <c r="L3817">
        <v>-29.935120000000001</v>
      </c>
      <c r="M3817">
        <v>-9.7693219999999997E-2</v>
      </c>
      <c r="N3817">
        <v>0</v>
      </c>
      <c r="O3817">
        <v>-0.9952126</v>
      </c>
      <c r="P3817">
        <v>9.1933929999999997E-2</v>
      </c>
      <c r="Q3817">
        <v>5.3702270000000003E-2</v>
      </c>
      <c r="R3817">
        <v>-0.99431599999999998</v>
      </c>
      <c r="S3817">
        <v>0.30734250000000002</v>
      </c>
      <c r="T3817">
        <v>-0.28833710000000001</v>
      </c>
      <c r="U3817">
        <v>-3.005798</v>
      </c>
      <c r="V3817">
        <v>-0.18866430000000001</v>
      </c>
      <c r="W3817">
        <v>5.6403549999999997E-2</v>
      </c>
      <c r="X3817">
        <v>0.98042050000000003</v>
      </c>
      <c r="Y3817">
        <v>-0.19796659999999999</v>
      </c>
      <c r="Z3817">
        <v>9.361556E-2</v>
      </c>
      <c r="AA3817">
        <v>0.97572809999999999</v>
      </c>
      <c r="AB3817">
        <v>32</v>
      </c>
      <c r="AC3817">
        <v>1.22419999999999</v>
      </c>
      <c r="AD3817">
        <v>-1.10354745380589</v>
      </c>
      <c r="AE3817">
        <v>-11.014389999999899</v>
      </c>
      <c r="AF3817">
        <v>-2.27185227320693</v>
      </c>
      <c r="AG3817">
        <v>-1.10354745380589</v>
      </c>
      <c r="AH3817">
        <v>10.735653678032699</v>
      </c>
      <c r="AI3817">
        <v>95.742680078131897</v>
      </c>
      <c r="AJ3817">
        <v>101.948512135998</v>
      </c>
      <c r="AK3817">
        <v>11.0287528591738</v>
      </c>
      <c r="AL3817">
        <v>86.766598547079596</v>
      </c>
      <c r="AM3817">
        <v>100.892396456371</v>
      </c>
      <c r="AN3817">
        <v>0.99999996768367005</v>
      </c>
    </row>
    <row r="3818" spans="1:40" x14ac:dyDescent="0.3">
      <c r="A3818" t="str">
        <f>"20200111153956426"</f>
        <v>20200111153956426</v>
      </c>
      <c r="B3818" t="str">
        <f>"1578728396414542"</f>
        <v>1578728396414542</v>
      </c>
      <c r="C3818" t="s">
        <v>40</v>
      </c>
      <c r="D3818">
        <v>5.1990949999999998</v>
      </c>
      <c r="E3818">
        <v>0.49223479999999997</v>
      </c>
      <c r="F3818" t="s">
        <v>66</v>
      </c>
      <c r="G3818">
        <v>-300.71100000000001</v>
      </c>
      <c r="H3818" s="1">
        <v>-4.8100669999999998E-7</v>
      </c>
      <c r="I3818">
        <v>-40.977879999999999</v>
      </c>
      <c r="J3818">
        <v>-301.93020000000001</v>
      </c>
      <c r="K3818">
        <v>1.103542</v>
      </c>
      <c r="L3818">
        <v>-30.560970000000001</v>
      </c>
      <c r="M3818">
        <v>-9.714631E-2</v>
      </c>
      <c r="N3818">
        <v>0</v>
      </c>
      <c r="O3818">
        <v>-0.99526599999999998</v>
      </c>
      <c r="P3818">
        <v>9.3763460000000007E-2</v>
      </c>
      <c r="Q3818">
        <v>5.3901930000000001E-2</v>
      </c>
      <c r="R3818">
        <v>-0.99413430000000003</v>
      </c>
      <c r="S3818">
        <v>0.31512449999999997</v>
      </c>
      <c r="T3818">
        <v>-0.30022270000000001</v>
      </c>
      <c r="U3818">
        <v>-3.0042110000000002</v>
      </c>
      <c r="V3818">
        <v>-0.18992790000000001</v>
      </c>
      <c r="W3818">
        <v>5.6648740000000003E-2</v>
      </c>
      <c r="X3818">
        <v>0.98016239999999999</v>
      </c>
      <c r="Y3818">
        <v>-0.19994120000000001</v>
      </c>
      <c r="Z3818">
        <v>9.74632E-2</v>
      </c>
      <c r="AA3818">
        <v>0.97494840000000005</v>
      </c>
      <c r="AB3818">
        <v>32</v>
      </c>
      <c r="AC3818">
        <v>1.2192000000000001</v>
      </c>
      <c r="AD3818">
        <v>-1.1035424810067</v>
      </c>
      <c r="AE3818">
        <v>-10.4169099999999</v>
      </c>
      <c r="AF3818">
        <v>-2.2010338746146698</v>
      </c>
      <c r="AG3818">
        <v>-1.1035424810067</v>
      </c>
      <c r="AH3818">
        <v>10.1369699106687</v>
      </c>
      <c r="AI3818">
        <v>96.072530055360005</v>
      </c>
      <c r="AJ3818">
        <v>102.250442375303</v>
      </c>
      <c r="AK3818">
        <v>10.431707199418099</v>
      </c>
      <c r="AL3818">
        <v>86.752527830003402</v>
      </c>
      <c r="AM3818">
        <v>100.96640433726699</v>
      </c>
      <c r="AN3818">
        <v>1.00000000865787</v>
      </c>
    </row>
    <row r="3819" spans="1:40" x14ac:dyDescent="0.3">
      <c r="A3819" t="str">
        <f>"20200111153956472"</f>
        <v>20200111153956472</v>
      </c>
      <c r="B3819" t="str">
        <f>"1578728396465298"</f>
        <v>1578728396465298</v>
      </c>
      <c r="C3819" t="s">
        <v>40</v>
      </c>
      <c r="D3819">
        <v>4.8828589999999998</v>
      </c>
      <c r="E3819">
        <v>0.4579259</v>
      </c>
      <c r="F3819" t="s">
        <v>66</v>
      </c>
      <c r="G3819">
        <v>-300.76740000000001</v>
      </c>
      <c r="H3819" s="1">
        <v>-8.4201479999999995E-7</v>
      </c>
      <c r="I3819">
        <v>-41.533499999999997</v>
      </c>
      <c r="J3819">
        <v>-301.99419999999998</v>
      </c>
      <c r="K3819">
        <v>1.1035079999999999</v>
      </c>
      <c r="L3819">
        <v>-31.221620000000001</v>
      </c>
      <c r="M3819">
        <v>-9.6632529999999994E-2</v>
      </c>
      <c r="N3819">
        <v>0</v>
      </c>
      <c r="O3819">
        <v>-0.99531559999999997</v>
      </c>
      <c r="P3819">
        <v>9.8550810000000003E-2</v>
      </c>
      <c r="Q3819">
        <v>5.5260799999999999E-2</v>
      </c>
      <c r="R3819">
        <v>-0.99359660000000005</v>
      </c>
      <c r="S3819">
        <v>0.31835940000000001</v>
      </c>
      <c r="T3819">
        <v>-0.30212810000000001</v>
      </c>
      <c r="U3819">
        <v>-3.0040589999999998</v>
      </c>
      <c r="V3819">
        <v>-0.19413230000000001</v>
      </c>
      <c r="W3819">
        <v>5.808878E-2</v>
      </c>
      <c r="X3819">
        <v>0.97925390000000001</v>
      </c>
      <c r="Y3819">
        <v>-0.2004726</v>
      </c>
      <c r="Z3819">
        <v>9.8077139999999993E-2</v>
      </c>
      <c r="AA3819">
        <v>0.97477780000000003</v>
      </c>
      <c r="AB3819">
        <v>32</v>
      </c>
      <c r="AC3819">
        <v>1.2267999999999599</v>
      </c>
      <c r="AD3819">
        <v>-1.1035088420148</v>
      </c>
      <c r="AE3819">
        <v>-10.311879999999899</v>
      </c>
      <c r="AF3819">
        <v>-2.1927654429500301</v>
      </c>
      <c r="AG3819">
        <v>-1.1035088420148</v>
      </c>
      <c r="AH3819">
        <v>10.031792617284401</v>
      </c>
      <c r="AI3819">
        <v>96.133689318901702</v>
      </c>
      <c r="AJ3819">
        <v>102.329879844186</v>
      </c>
      <c r="AK3819">
        <v>10.3277691283454</v>
      </c>
      <c r="AL3819">
        <v>86.669883231268102</v>
      </c>
      <c r="AM3819">
        <v>101.213219521355</v>
      </c>
      <c r="AN3819">
        <v>0.99999992846519103</v>
      </c>
    </row>
    <row r="3820" spans="1:40" x14ac:dyDescent="0.3">
      <c r="A3820" t="str">
        <f>"20200111153956502"</f>
        <v>20200111153956502</v>
      </c>
      <c r="B3820" t="str">
        <f>"1578728396494574"</f>
        <v>1578728396494574</v>
      </c>
      <c r="C3820" t="s">
        <v>40</v>
      </c>
      <c r="D3820">
        <v>4.9897619999999998</v>
      </c>
      <c r="E3820">
        <v>0.3576144</v>
      </c>
      <c r="F3820" t="s">
        <v>66</v>
      </c>
      <c r="G3820">
        <v>-299.24209999999999</v>
      </c>
      <c r="H3820" s="1">
        <v>-2.9068260000000001E-6</v>
      </c>
      <c r="I3820">
        <v>-44.65972</v>
      </c>
      <c r="J3820">
        <v>-302.03789999999998</v>
      </c>
      <c r="K3820">
        <v>1.103513</v>
      </c>
      <c r="L3820">
        <v>-31.675080000000001</v>
      </c>
      <c r="M3820">
        <v>-9.627455E-2</v>
      </c>
      <c r="N3820">
        <v>0</v>
      </c>
      <c r="O3820">
        <v>-0.99535019999999996</v>
      </c>
      <c r="P3820">
        <v>0.1013632</v>
      </c>
      <c r="Q3820">
        <v>5.4820029999999999E-2</v>
      </c>
      <c r="R3820">
        <v>-0.99333800000000005</v>
      </c>
      <c r="S3820">
        <v>0.60876459999999999</v>
      </c>
      <c r="T3820">
        <v>-0.2440987</v>
      </c>
      <c r="U3820">
        <v>-2.972534</v>
      </c>
      <c r="V3820">
        <v>-0.19655549999999999</v>
      </c>
      <c r="W3820">
        <v>5.7734149999999998E-2</v>
      </c>
      <c r="X3820">
        <v>0.97879150000000004</v>
      </c>
      <c r="Y3820">
        <v>-0.29338649999999999</v>
      </c>
      <c r="Z3820">
        <v>7.8658069999999997E-2</v>
      </c>
      <c r="AA3820">
        <v>0.9527525</v>
      </c>
      <c r="AB3820">
        <v>33</v>
      </c>
      <c r="AC3820">
        <v>2.7957999999999799</v>
      </c>
      <c r="AD3820">
        <v>-1.1035159068260001</v>
      </c>
      <c r="AE3820">
        <v>-12.984640000000001</v>
      </c>
      <c r="AF3820">
        <v>-4.0052620724718198</v>
      </c>
      <c r="AG3820">
        <v>-1.1035159068260001</v>
      </c>
      <c r="AH3820">
        <v>12.5684025054136</v>
      </c>
      <c r="AI3820">
        <v>94.781982621021399</v>
      </c>
      <c r="AJ3820">
        <v>107.67588931346999</v>
      </c>
      <c r="AK3820">
        <v>13.237243412579801</v>
      </c>
      <c r="AL3820">
        <v>86.690236590977406</v>
      </c>
      <c r="AM3820">
        <v>101.354796504514</v>
      </c>
      <c r="AN3820">
        <v>1.0000000485643601</v>
      </c>
    </row>
    <row r="3821" spans="1:40" x14ac:dyDescent="0.3">
      <c r="A3821" t="str">
        <f>"20200111153956538"</f>
        <v>20200111153956538</v>
      </c>
      <c r="B3821" t="str">
        <f>"1578728396534590"</f>
        <v>1578728396534590</v>
      </c>
      <c r="C3821" t="s">
        <v>40</v>
      </c>
      <c r="D3821">
        <v>5.070805</v>
      </c>
      <c r="E3821">
        <v>0.35410209999999998</v>
      </c>
      <c r="F3821" t="s">
        <v>41</v>
      </c>
      <c r="G3821">
        <v>-301.57940000000002</v>
      </c>
      <c r="H3821">
        <v>1.03674</v>
      </c>
      <c r="I3821">
        <v>-32.609729999999999</v>
      </c>
      <c r="J3821">
        <v>-302.08800000000002</v>
      </c>
      <c r="K3821">
        <v>1.1036189999999999</v>
      </c>
      <c r="L3821">
        <v>-32.199039999999997</v>
      </c>
      <c r="M3821">
        <v>-9.5704049999999999E-2</v>
      </c>
      <c r="N3821">
        <v>0</v>
      </c>
      <c r="O3821">
        <v>-0.99540459999999997</v>
      </c>
      <c r="P3821">
        <v>0.1054966</v>
      </c>
      <c r="Q3821">
        <v>5.3743640000000002E-2</v>
      </c>
      <c r="R3821">
        <v>-0.99296649999999997</v>
      </c>
      <c r="S3821">
        <v>1.416412</v>
      </c>
      <c r="T3821">
        <v>-0.2062522</v>
      </c>
      <c r="U3821">
        <v>-2.8869630000000002</v>
      </c>
      <c r="V3821">
        <v>-0.20008329999999999</v>
      </c>
      <c r="W3821">
        <v>5.6828209999999997E-2</v>
      </c>
      <c r="X3821">
        <v>0.97812940000000004</v>
      </c>
      <c r="Y3821">
        <v>-0.5235012</v>
      </c>
      <c r="Z3821">
        <v>6.198066E-2</v>
      </c>
      <c r="AA3821">
        <v>0.84976759999999996</v>
      </c>
      <c r="AB3821">
        <v>33</v>
      </c>
      <c r="AC3821">
        <v>0.50859999999994399</v>
      </c>
      <c r="AD3821">
        <v>-6.6879000000000105E-2</v>
      </c>
      <c r="AE3821">
        <v>-0.410689999999995</v>
      </c>
      <c r="AF3821">
        <v>-0.53991919754734896</v>
      </c>
      <c r="AG3821">
        <v>-6.6879000000000105E-2</v>
      </c>
      <c r="AH3821">
        <v>0.35639922190199103</v>
      </c>
      <c r="AI3821">
        <v>95.902112897821695</v>
      </c>
      <c r="AJ3821">
        <v>146.571304396627</v>
      </c>
      <c r="AK3821">
        <v>0.65038907270457602</v>
      </c>
      <c r="AL3821">
        <v>86.742228166284605</v>
      </c>
      <c r="AM3821">
        <v>101.560770474481</v>
      </c>
      <c r="AN3821">
        <v>0.99999994776752499</v>
      </c>
    </row>
    <row r="3822" spans="1:40" x14ac:dyDescent="0.3">
      <c r="A3822" t="str">
        <f>"20200111153956583"</f>
        <v>20200111153956583</v>
      </c>
      <c r="B3822" t="str">
        <f>"1578728396574610"</f>
        <v>1578728396574610</v>
      </c>
      <c r="C3822" t="s">
        <v>40</v>
      </c>
      <c r="D3822">
        <v>5.0373960000000002</v>
      </c>
      <c r="E3822">
        <v>0.35569129999999999</v>
      </c>
      <c r="F3822" t="s">
        <v>41</v>
      </c>
      <c r="G3822">
        <v>-301.58510000000001</v>
      </c>
      <c r="H3822">
        <v>1.018149</v>
      </c>
      <c r="I3822">
        <v>-33.19473</v>
      </c>
      <c r="J3822">
        <v>-302.1508</v>
      </c>
      <c r="K3822">
        <v>1.103955</v>
      </c>
      <c r="L3822">
        <v>-32.865569999999998</v>
      </c>
      <c r="M3822">
        <v>-9.4433520000000007E-2</v>
      </c>
      <c r="N3822">
        <v>0</v>
      </c>
      <c r="O3822">
        <v>-0.99552390000000002</v>
      </c>
      <c r="P3822">
        <v>0.1109411</v>
      </c>
      <c r="Q3822">
        <v>5.4091710000000001E-2</v>
      </c>
      <c r="R3822">
        <v>-0.99235390000000001</v>
      </c>
      <c r="S3822">
        <v>1.4548030000000001</v>
      </c>
      <c r="T3822">
        <v>-0.247224</v>
      </c>
      <c r="U3822">
        <v>-2.8800659999999998</v>
      </c>
      <c r="V3822">
        <v>-0.20423189999999999</v>
      </c>
      <c r="W3822">
        <v>5.7556580000000003E-2</v>
      </c>
      <c r="X3822">
        <v>0.97722909999999996</v>
      </c>
      <c r="Y3822">
        <v>-0.53188749999999996</v>
      </c>
      <c r="Z3822">
        <v>7.3973940000000002E-2</v>
      </c>
      <c r="AA3822">
        <v>0.84357780000000004</v>
      </c>
      <c r="AB3822">
        <v>33</v>
      </c>
      <c r="AC3822">
        <v>0.56569999999999199</v>
      </c>
      <c r="AD3822">
        <v>-8.5805999999999993E-2</v>
      </c>
      <c r="AE3822">
        <v>-0.32916000000000101</v>
      </c>
      <c r="AF3822">
        <v>-0.58421447127701998</v>
      </c>
      <c r="AG3822">
        <v>-8.5805999999999993E-2</v>
      </c>
      <c r="AH3822">
        <v>0.26963315394854298</v>
      </c>
      <c r="AI3822">
        <v>97.595926689315107</v>
      </c>
      <c r="AJ3822">
        <v>155.225206631486</v>
      </c>
      <c r="AK3822">
        <v>0.64913115453945602</v>
      </c>
      <c r="AL3822">
        <v>86.700427623742797</v>
      </c>
      <c r="AM3822">
        <v>101.804387762753</v>
      </c>
      <c r="AN3822">
        <v>1.0000000713828501</v>
      </c>
    </row>
    <row r="3823" spans="1:40" x14ac:dyDescent="0.3">
      <c r="A3823" t="str">
        <f>"20200111153956627"</f>
        <v>20200111153956627</v>
      </c>
      <c r="B3823" t="str">
        <f>"1578728396625359"</f>
        <v>1578728396625359</v>
      </c>
      <c r="C3823" t="s">
        <v>40</v>
      </c>
      <c r="D3823">
        <v>5.0547550000000001</v>
      </c>
      <c r="E3823">
        <v>0.35633589999999998</v>
      </c>
      <c r="F3823" t="s">
        <v>41</v>
      </c>
      <c r="G3823">
        <v>-301.68049999999999</v>
      </c>
      <c r="H3823">
        <v>1.0185550000000001</v>
      </c>
      <c r="I3823">
        <v>-33.79298</v>
      </c>
      <c r="J3823">
        <v>-302.21120000000002</v>
      </c>
      <c r="K3823">
        <v>1.1044929999999999</v>
      </c>
      <c r="L3823">
        <v>-33.525329999999997</v>
      </c>
      <c r="M3823">
        <v>-9.2269139999999999E-2</v>
      </c>
      <c r="N3823">
        <v>0</v>
      </c>
      <c r="O3823">
        <v>-0.99572369999999999</v>
      </c>
      <c r="P3823">
        <v>0.1198347</v>
      </c>
      <c r="Q3823">
        <v>5.478711E-2</v>
      </c>
      <c r="R3823">
        <v>-0.99128119999999997</v>
      </c>
      <c r="S3823">
        <v>1.4574279999999999</v>
      </c>
      <c r="T3823">
        <v>-0.26469900000000002</v>
      </c>
      <c r="U3823">
        <v>-2.874603</v>
      </c>
      <c r="V3823">
        <v>-0.21092089999999999</v>
      </c>
      <c r="W3823">
        <v>5.8800440000000002E-2</v>
      </c>
      <c r="X3823">
        <v>0.97573299999999996</v>
      </c>
      <c r="Y3823">
        <v>-0.53111709999999901</v>
      </c>
      <c r="Z3823">
        <v>7.932997E-2</v>
      </c>
      <c r="AA3823">
        <v>0.84357649999999995</v>
      </c>
      <c r="AB3823">
        <v>33</v>
      </c>
      <c r="AC3823">
        <v>0.53070000000002404</v>
      </c>
      <c r="AD3823">
        <v>-8.5938000000000001E-2</v>
      </c>
      <c r="AE3823">
        <v>-0.267650000000003</v>
      </c>
      <c r="AF3823">
        <v>-0.54180562205345695</v>
      </c>
      <c r="AG3823">
        <v>-8.5938000000000001E-2</v>
      </c>
      <c r="AH3823">
        <v>0.21308588355434199</v>
      </c>
      <c r="AI3823">
        <v>98.396717581665001</v>
      </c>
      <c r="AJ3823">
        <v>158.53085967524001</v>
      </c>
      <c r="AK3823">
        <v>0.58851020866495396</v>
      </c>
      <c r="AL3823">
        <v>86.629038544853699</v>
      </c>
      <c r="AM3823">
        <v>102.197753698488</v>
      </c>
      <c r="AN3823">
        <v>1.000000002545</v>
      </c>
    </row>
    <row r="3824" spans="1:40" x14ac:dyDescent="0.3">
      <c r="A3824" t="str">
        <f>"20200111153956672"</f>
        <v>20200111153956672</v>
      </c>
      <c r="B3824" t="str">
        <f>"1578728396665374"</f>
        <v>1578728396665374</v>
      </c>
      <c r="C3824" t="s">
        <v>40</v>
      </c>
      <c r="D3824">
        <v>5.028346</v>
      </c>
      <c r="E3824">
        <v>0.35640630000000001</v>
      </c>
      <c r="F3824" t="s">
        <v>41</v>
      </c>
      <c r="G3824">
        <v>-301.7638</v>
      </c>
      <c r="H3824">
        <v>1.0217590000000001</v>
      </c>
      <c r="I3824">
        <v>-34.391820000000003</v>
      </c>
      <c r="J3824">
        <v>-302.26979999999998</v>
      </c>
      <c r="K3824">
        <v>1.1051500000000001</v>
      </c>
      <c r="L3824">
        <v>-34.197569999999999</v>
      </c>
      <c r="M3824">
        <v>-8.8815619999999998E-2</v>
      </c>
      <c r="N3824">
        <v>0</v>
      </c>
      <c r="O3824">
        <v>-0.9960329</v>
      </c>
      <c r="P3824">
        <v>0.1287963</v>
      </c>
      <c r="Q3824">
        <v>5.2752050000000002E-2</v>
      </c>
      <c r="R3824">
        <v>-0.99026720000000001</v>
      </c>
      <c r="S3824">
        <v>1.4776309999999999</v>
      </c>
      <c r="T3824">
        <v>-0.27334700000000001</v>
      </c>
      <c r="U3824">
        <v>-2.862854</v>
      </c>
      <c r="V3824">
        <v>-0.21644160000000001</v>
      </c>
      <c r="W3824">
        <v>5.73952E-2</v>
      </c>
      <c r="X3824">
        <v>0.974607</v>
      </c>
      <c r="Y3824">
        <v>-0.53418690000000002</v>
      </c>
      <c r="Z3824">
        <v>8.2030859999999997E-2</v>
      </c>
      <c r="AA3824">
        <v>0.84137700000000004</v>
      </c>
      <c r="AB3824">
        <v>33</v>
      </c>
      <c r="AC3824">
        <v>0.50599999999997103</v>
      </c>
      <c r="AD3824">
        <v>-8.3390999999999896E-2</v>
      </c>
      <c r="AE3824">
        <v>-0.194250000000003</v>
      </c>
      <c r="AF3824">
        <v>-0.50919927325110004</v>
      </c>
      <c r="AG3824">
        <v>-8.3390999999999896E-2</v>
      </c>
      <c r="AH3824">
        <v>0.145106005208821</v>
      </c>
      <c r="AI3824">
        <v>98.950484817075207</v>
      </c>
      <c r="AJ3824">
        <v>164.094091079847</v>
      </c>
      <c r="AK3824">
        <v>0.53599786520853898</v>
      </c>
      <c r="AL3824">
        <v>86.709689057900803</v>
      </c>
      <c r="AM3824">
        <v>102.52109137098699</v>
      </c>
      <c r="AN3824">
        <v>0.99999998982129901</v>
      </c>
    </row>
    <row r="3825" spans="1:40" x14ac:dyDescent="0.3">
      <c r="A3825" t="str">
        <f>"20200111153956717"</f>
        <v>20200111153956717</v>
      </c>
      <c r="B3825" t="str">
        <f>"1578728396705389"</f>
        <v>1578728396705389</v>
      </c>
      <c r="C3825" t="s">
        <v>40</v>
      </c>
      <c r="D3825">
        <v>5.0402750000000003</v>
      </c>
      <c r="E3825">
        <v>0.35610190000000003</v>
      </c>
      <c r="F3825" t="s">
        <v>41</v>
      </c>
      <c r="G3825">
        <v>-301.85059999999999</v>
      </c>
      <c r="H3825">
        <v>1.0252509999999999</v>
      </c>
      <c r="I3825">
        <v>-34.992530000000002</v>
      </c>
      <c r="J3825">
        <v>-302.32330000000002</v>
      </c>
      <c r="K3825">
        <v>1.1058300000000001</v>
      </c>
      <c r="L3825">
        <v>-34.855620000000002</v>
      </c>
      <c r="M3825">
        <v>-8.405986E-2</v>
      </c>
      <c r="N3825">
        <v>0</v>
      </c>
      <c r="O3825">
        <v>-0.99643999999999999</v>
      </c>
      <c r="P3825">
        <v>0.13818989999999901</v>
      </c>
      <c r="Q3825">
        <v>5.326471E-2</v>
      </c>
      <c r="R3825">
        <v>-0.98897279999999999</v>
      </c>
      <c r="S3825">
        <v>1.5025630000000001</v>
      </c>
      <c r="T3825">
        <v>-0.28637960000000001</v>
      </c>
      <c r="U3825">
        <v>-2.8493040000000001</v>
      </c>
      <c r="V3825">
        <v>-0.22112399999999999</v>
      </c>
      <c r="W3825">
        <v>5.8483889999999997E-2</v>
      </c>
      <c r="X3825">
        <v>0.97349050000000004</v>
      </c>
      <c r="Y3825">
        <v>-0.53740259999999995</v>
      </c>
      <c r="Z3825">
        <v>8.6067450000000004E-2</v>
      </c>
      <c r="AA3825">
        <v>0.83892239999999996</v>
      </c>
      <c r="AB3825">
        <v>34</v>
      </c>
      <c r="AC3825">
        <v>0.47270000000003098</v>
      </c>
      <c r="AD3825">
        <v>-8.0578999999999901E-2</v>
      </c>
      <c r="AE3825">
        <v>-0.13691</v>
      </c>
      <c r="AF3825">
        <v>-0.46993701853345299</v>
      </c>
      <c r="AG3825">
        <v>-8.0578999999999901E-2</v>
      </c>
      <c r="AH3825">
        <v>9.4164986461429498E-2</v>
      </c>
      <c r="AI3825">
        <v>99.543636833383204</v>
      </c>
      <c r="AJ3825">
        <v>168.669250492234</v>
      </c>
      <c r="AK3825">
        <v>0.48600496016439199</v>
      </c>
      <c r="AL3825">
        <v>86.647206684926402</v>
      </c>
      <c r="AM3825">
        <v>102.79733508660399</v>
      </c>
      <c r="AN3825">
        <v>0.99999997117788997</v>
      </c>
    </row>
    <row r="3826" spans="1:40" x14ac:dyDescent="0.3">
      <c r="A3826" t="str">
        <f>"20200111153956761"</f>
        <v>20200111153956761</v>
      </c>
      <c r="B3826" t="str">
        <f>"1578728396755166"</f>
        <v>1578728396755166</v>
      </c>
      <c r="C3826" t="s">
        <v>40</v>
      </c>
      <c r="D3826">
        <v>5.1631169999999997</v>
      </c>
      <c r="E3826">
        <v>0.4300215</v>
      </c>
      <c r="F3826" t="s">
        <v>66</v>
      </c>
      <c r="G3826">
        <v>-296.4479</v>
      </c>
      <c r="H3826" s="1">
        <v>-4.127695E-6</v>
      </c>
      <c r="I3826">
        <v>-45.72298</v>
      </c>
      <c r="J3826">
        <v>-302.37400000000002</v>
      </c>
      <c r="K3826">
        <v>1.106498</v>
      </c>
      <c r="L3826">
        <v>-35.538670000000003</v>
      </c>
      <c r="M3826">
        <v>-7.7744820000000006E-2</v>
      </c>
      <c r="N3826">
        <v>0</v>
      </c>
      <c r="O3826">
        <v>-0.99694629999999995</v>
      </c>
      <c r="P3826">
        <v>0.15133070000000001</v>
      </c>
      <c r="Q3826">
        <v>5.7979330000000003E-2</v>
      </c>
      <c r="R3826">
        <v>-0.98678120000000002</v>
      </c>
      <c r="S3826">
        <v>1.532654</v>
      </c>
      <c r="T3826">
        <v>-0.28846569999999999</v>
      </c>
      <c r="U3826">
        <v>-2.8348390000000001</v>
      </c>
      <c r="V3826">
        <v>-0.22799510000000001</v>
      </c>
      <c r="W3826">
        <v>6.368074E-2</v>
      </c>
      <c r="X3826">
        <v>0.97157760000000004</v>
      </c>
      <c r="Y3826">
        <v>-0.54071780000000003</v>
      </c>
      <c r="Z3826">
        <v>8.684683E-2</v>
      </c>
      <c r="AA3826">
        <v>0.83670900000000004</v>
      </c>
      <c r="AB3826">
        <v>34</v>
      </c>
      <c r="AC3826">
        <v>5.9261000000000204</v>
      </c>
      <c r="AD3826">
        <v>-1.106502127695</v>
      </c>
      <c r="AE3826">
        <v>-10.1843099999999</v>
      </c>
      <c r="AF3826">
        <v>-6.6413941300514496</v>
      </c>
      <c r="AG3826">
        <v>-1.106502127695</v>
      </c>
      <c r="AH3826">
        <v>9.6080193280787896</v>
      </c>
      <c r="AI3826">
        <v>95.411756455613997</v>
      </c>
      <c r="AJ3826">
        <v>124.65356458788099</v>
      </c>
      <c r="AK3826">
        <v>11.7322844475409</v>
      </c>
      <c r="AL3826">
        <v>86.348891900021101</v>
      </c>
      <c r="AM3826">
        <v>103.206351464886</v>
      </c>
      <c r="AN3826">
        <v>1.0000000175463499</v>
      </c>
    </row>
    <row r="3827" spans="1:40" x14ac:dyDescent="0.3">
      <c r="A3827" t="str">
        <f>"20200111153956796"</f>
        <v>20200111153956796</v>
      </c>
      <c r="B3827" t="str">
        <f>"1578728396784446"</f>
        <v>1578728396784446</v>
      </c>
      <c r="C3827" t="s">
        <v>40</v>
      </c>
      <c r="D3827">
        <v>5.2472770000000004</v>
      </c>
      <c r="E3827">
        <v>0.4465113</v>
      </c>
      <c r="F3827" t="s">
        <v>66</v>
      </c>
      <c r="G3827">
        <v>-297.49919999999997</v>
      </c>
      <c r="H3827" s="1">
        <v>-5.8977460000000003E-6</v>
      </c>
      <c r="I3827">
        <v>-49.827480000000001</v>
      </c>
      <c r="J3827">
        <v>-302.40800000000002</v>
      </c>
      <c r="K3827">
        <v>1.106959</v>
      </c>
      <c r="L3827">
        <v>-36.045679999999997</v>
      </c>
      <c r="M3827">
        <v>-7.2233270000000002E-2</v>
      </c>
      <c r="N3827">
        <v>0</v>
      </c>
      <c r="O3827">
        <v>-0.99735649999999998</v>
      </c>
      <c r="P3827">
        <v>0.1596844</v>
      </c>
      <c r="Q3827">
        <v>5.8206710000000002E-2</v>
      </c>
      <c r="R3827">
        <v>-0.98545070000000001</v>
      </c>
      <c r="S3827">
        <v>0.98989870000000002</v>
      </c>
      <c r="T3827">
        <v>-0.2246938</v>
      </c>
      <c r="U3827">
        <v>-2.9015810000000002</v>
      </c>
      <c r="V3827">
        <v>-0.23092499999999999</v>
      </c>
      <c r="W3827">
        <v>6.4199909999999999E-2</v>
      </c>
      <c r="X3827">
        <v>0.97085120000000003</v>
      </c>
      <c r="Y3827">
        <v>-0.38956459999999998</v>
      </c>
      <c r="Z3827">
        <v>7.1831880000000001E-2</v>
      </c>
      <c r="AA3827">
        <v>0.91819360000000005</v>
      </c>
      <c r="AB3827">
        <v>34</v>
      </c>
      <c r="AC3827">
        <v>4.9088000000000402</v>
      </c>
      <c r="AD3827">
        <v>-1.106964897746</v>
      </c>
      <c r="AE3827">
        <v>-13.7818</v>
      </c>
      <c r="AF3827">
        <v>-5.8579742075528598</v>
      </c>
      <c r="AG3827">
        <v>-1.106964897746</v>
      </c>
      <c r="AH3827">
        <v>13.3149769416647</v>
      </c>
      <c r="AI3827">
        <v>94.351688936640201</v>
      </c>
      <c r="AJ3827">
        <v>113.74727495572</v>
      </c>
      <c r="AK3827">
        <v>14.5886889081322</v>
      </c>
      <c r="AL3827">
        <v>86.319084659299804</v>
      </c>
      <c r="AM3827">
        <v>103.37964892452401</v>
      </c>
      <c r="AN3827">
        <v>1.00000001830522</v>
      </c>
    </row>
    <row r="3828" spans="1:40" x14ac:dyDescent="0.3">
      <c r="A3828" t="str">
        <f>"20200111153956829"</f>
        <v>20200111153956829</v>
      </c>
      <c r="B3828" t="str">
        <f>"1578728396825438"</f>
        <v>1578728396825438</v>
      </c>
      <c r="C3828" t="s">
        <v>40</v>
      </c>
      <c r="D3828">
        <v>5.1728050000000003</v>
      </c>
      <c r="E3828">
        <v>0.4481483</v>
      </c>
      <c r="F3828" t="s">
        <v>66</v>
      </c>
      <c r="G3828">
        <v>-298.3646</v>
      </c>
      <c r="H3828" s="1">
        <v>-5.5661989999999999E-6</v>
      </c>
      <c r="I3828">
        <v>-49.380240000000001</v>
      </c>
      <c r="J3828">
        <v>-302.4384</v>
      </c>
      <c r="K3828">
        <v>1.1074850000000001</v>
      </c>
      <c r="L3828">
        <v>-36.557099999999998</v>
      </c>
      <c r="M3828">
        <v>-6.5728199999999903E-2</v>
      </c>
      <c r="N3828">
        <v>0</v>
      </c>
      <c r="O3828">
        <v>-0.99780230000000003</v>
      </c>
      <c r="P3828">
        <v>0.16907269999999999</v>
      </c>
      <c r="Q3828">
        <v>5.7175490000000002E-2</v>
      </c>
      <c r="R3828">
        <v>-0.98394380000000004</v>
      </c>
      <c r="S3828">
        <v>0.88400270000000003</v>
      </c>
      <c r="T3828">
        <v>-0.2420166</v>
      </c>
      <c r="U3828">
        <v>-2.9153440000000002</v>
      </c>
      <c r="V3828">
        <v>-0.23392950000000001</v>
      </c>
      <c r="W3828">
        <v>6.3351920000000006E-2</v>
      </c>
      <c r="X3828">
        <v>0.97018740000000003</v>
      </c>
      <c r="Y3828">
        <v>-0.35155799999999998</v>
      </c>
      <c r="Z3828">
        <v>7.8075909999999998E-2</v>
      </c>
      <c r="AA3828">
        <v>0.93290470000000003</v>
      </c>
      <c r="AB3828">
        <v>34</v>
      </c>
      <c r="AC3828">
        <v>4.0738000000000003</v>
      </c>
      <c r="AD3828">
        <v>-1.107490566199</v>
      </c>
      <c r="AE3828">
        <v>-12.82314</v>
      </c>
      <c r="AF3828">
        <v>-4.8748328603493603</v>
      </c>
      <c r="AG3828">
        <v>-1.107490566199</v>
      </c>
      <c r="AH3828">
        <v>12.443327814920901</v>
      </c>
      <c r="AI3828">
        <v>94.737292790453793</v>
      </c>
      <c r="AJ3828">
        <v>111.393397794367</v>
      </c>
      <c r="AK3828">
        <v>13.409956669584901</v>
      </c>
      <c r="AL3828">
        <v>86.367770076283804</v>
      </c>
      <c r="AM3828">
        <v>103.55627774094999</v>
      </c>
      <c r="AN3828">
        <v>1.0000000339283399</v>
      </c>
    </row>
    <row r="3829" spans="1:40" x14ac:dyDescent="0.3">
      <c r="A3829" t="str">
        <f>"20200111153956862"</f>
        <v>20200111153956862</v>
      </c>
      <c r="B3829" t="str">
        <f>"1578728396854718"</f>
        <v>1578728396854718</v>
      </c>
      <c r="C3829" t="s">
        <v>40</v>
      </c>
      <c r="D3829">
        <v>5.1521379999999999</v>
      </c>
      <c r="E3829">
        <v>0.44861459999999997</v>
      </c>
      <c r="F3829" t="s">
        <v>66</v>
      </c>
      <c r="G3829">
        <v>-298.32049999999998</v>
      </c>
      <c r="H3829" s="1">
        <v>-5.7871180000000001E-6</v>
      </c>
      <c r="I3829">
        <v>-49.874119999999998</v>
      </c>
      <c r="J3829">
        <v>-302.46379999999999</v>
      </c>
      <c r="K3829">
        <v>1.1080490000000001</v>
      </c>
      <c r="L3829">
        <v>-37.054349999999999</v>
      </c>
      <c r="M3829">
        <v>-5.8496810000000003E-2</v>
      </c>
      <c r="N3829">
        <v>0</v>
      </c>
      <c r="O3829">
        <v>-0.99824860000000004</v>
      </c>
      <c r="P3829">
        <v>0.17853429999999901</v>
      </c>
      <c r="Q3829">
        <v>5.5588020000000002E-2</v>
      </c>
      <c r="R3829">
        <v>-0.98236250000000003</v>
      </c>
      <c r="S3829">
        <v>0.89935299999999996</v>
      </c>
      <c r="T3829">
        <v>-0.24187939999999999</v>
      </c>
      <c r="U3829">
        <v>-2.9084780000000001</v>
      </c>
      <c r="V3829">
        <v>-0.236317</v>
      </c>
      <c r="W3829">
        <v>6.1845690000000002E-2</v>
      </c>
      <c r="X3829">
        <v>0.96970579999999995</v>
      </c>
      <c r="Y3829">
        <v>-0.34988659999999999</v>
      </c>
      <c r="Z3829">
        <v>7.8228660000000005E-2</v>
      </c>
      <c r="AA3829">
        <v>0.93352000000000002</v>
      </c>
      <c r="AB3829">
        <v>34</v>
      </c>
      <c r="AC3829">
        <v>4.1433000000000098</v>
      </c>
      <c r="AD3829">
        <v>-1.108054787118</v>
      </c>
      <c r="AE3829">
        <v>-12.819769999999901</v>
      </c>
      <c r="AF3829">
        <v>-4.8533206621057499</v>
      </c>
      <c r="AG3829">
        <v>-1.108054787118</v>
      </c>
      <c r="AH3829">
        <v>12.4710800435469</v>
      </c>
      <c r="AI3829">
        <v>94.733339478289295</v>
      </c>
      <c r="AJ3829">
        <v>111.26429705583099</v>
      </c>
      <c r="AK3829">
        <v>13.427968733692801</v>
      </c>
      <c r="AL3829">
        <v>86.454240086521594</v>
      </c>
      <c r="AM3829">
        <v>103.695995925117</v>
      </c>
      <c r="AN3829">
        <v>0.99999997620710701</v>
      </c>
    </row>
    <row r="3830" spans="1:40" x14ac:dyDescent="0.3">
      <c r="A3830" t="str">
        <f>"20200111153956895"</f>
        <v>20200111153956895</v>
      </c>
      <c r="B3830" t="str">
        <f>"1578728396884975"</f>
        <v>1578728396884975</v>
      </c>
      <c r="C3830" t="s">
        <v>40</v>
      </c>
      <c r="D3830">
        <v>5.2312969999999996</v>
      </c>
      <c r="E3830">
        <v>0.44825359999999997</v>
      </c>
      <c r="F3830" t="s">
        <v>66</v>
      </c>
      <c r="G3830">
        <v>-298.3297</v>
      </c>
      <c r="H3830" s="1">
        <v>-5.8450599999999999E-6</v>
      </c>
      <c r="I3830">
        <v>-50.031030000000001</v>
      </c>
      <c r="J3830">
        <v>-302.48450000000003</v>
      </c>
      <c r="K3830">
        <v>1.1086670000000001</v>
      </c>
      <c r="L3830">
        <v>-37.543819999999997</v>
      </c>
      <c r="M3830">
        <v>-5.0401410000000001E-2</v>
      </c>
      <c r="N3830">
        <v>0</v>
      </c>
      <c r="O3830">
        <v>-0.99868650000000003</v>
      </c>
      <c r="P3830">
        <v>0.18748509999999999</v>
      </c>
      <c r="Q3830">
        <v>5.4979189999999997E-2</v>
      </c>
      <c r="R3830">
        <v>-0.98072729999999997</v>
      </c>
      <c r="S3830">
        <v>0.92385859999999997</v>
      </c>
      <c r="T3830">
        <v>-0.2476225</v>
      </c>
      <c r="U3830">
        <v>-2.8999630000000001</v>
      </c>
      <c r="V3830">
        <v>-0.2373873</v>
      </c>
      <c r="W3830">
        <v>6.1244119999999999E-2</v>
      </c>
      <c r="X3830">
        <v>0.96948250000000002</v>
      </c>
      <c r="Y3830">
        <v>-0.35019889999999998</v>
      </c>
      <c r="Z3830">
        <v>8.0248269999999997E-2</v>
      </c>
      <c r="AA3830">
        <v>0.93323149999999999</v>
      </c>
      <c r="AB3830">
        <v>34</v>
      </c>
      <c r="AC3830">
        <v>4.1548000000000203</v>
      </c>
      <c r="AD3830">
        <v>-1.1086728450600001</v>
      </c>
      <c r="AE3830">
        <v>-12.4872099999999</v>
      </c>
      <c r="AF3830">
        <v>-4.7452415509836303</v>
      </c>
      <c r="AG3830">
        <v>-1.1086728450600001</v>
      </c>
      <c r="AH3830">
        <v>12.1755111972652</v>
      </c>
      <c r="AI3830">
        <v>94.849463260088996</v>
      </c>
      <c r="AJ3830">
        <v>111.29267993354</v>
      </c>
      <c r="AK3830">
        <v>13.1144784787381</v>
      </c>
      <c r="AL3830">
        <v>86.488772864124698</v>
      </c>
      <c r="AM3830">
        <v>103.758722939866</v>
      </c>
      <c r="AN3830">
        <v>0.99999994512105495</v>
      </c>
    </row>
    <row r="3831" spans="1:40" x14ac:dyDescent="0.3">
      <c r="A3831" t="str">
        <f>"20200111153956930"</f>
        <v>20200111153956930</v>
      </c>
      <c r="B3831" t="str">
        <f>"1578728396924991"</f>
        <v>1578728396924991</v>
      </c>
      <c r="C3831" t="s">
        <v>40</v>
      </c>
      <c r="D3831">
        <v>5.2891209999999997</v>
      </c>
      <c r="E3831">
        <v>0.44761679999999998</v>
      </c>
      <c r="F3831" t="s">
        <v>66</v>
      </c>
      <c r="G3831">
        <v>-298.28530000000001</v>
      </c>
      <c r="H3831" s="1">
        <v>-5.94465799999999E-6</v>
      </c>
      <c r="I3831">
        <v>-50.275869999999998</v>
      </c>
      <c r="J3831">
        <v>-302.50099999999998</v>
      </c>
      <c r="K3831">
        <v>1.1093470000000001</v>
      </c>
      <c r="L3831">
        <v>-38.078090000000003</v>
      </c>
      <c r="M3831">
        <v>-4.0342000000000003E-2</v>
      </c>
      <c r="N3831">
        <v>0</v>
      </c>
      <c r="O3831">
        <v>-0.99914000000000003</v>
      </c>
      <c r="P3831">
        <v>0.19995869999999999</v>
      </c>
      <c r="Q3831">
        <v>5.559994E-2</v>
      </c>
      <c r="R3831">
        <v>-0.97822580000000003</v>
      </c>
      <c r="S3831">
        <v>0.95343020000000001</v>
      </c>
      <c r="T3831">
        <v>-0.2517239</v>
      </c>
      <c r="U3831">
        <v>-2.8908079999999998</v>
      </c>
      <c r="V3831">
        <v>-0.2400784</v>
      </c>
      <c r="W3831">
        <v>6.180095E-2</v>
      </c>
      <c r="X3831">
        <v>0.96878430000000004</v>
      </c>
      <c r="Y3831">
        <v>-0.35022399999999998</v>
      </c>
      <c r="Z3831">
        <v>8.1745170000000006E-2</v>
      </c>
      <c r="AA3831">
        <v>0.93309209999999998</v>
      </c>
      <c r="AB3831">
        <v>34</v>
      </c>
      <c r="AC3831">
        <v>4.2156999999999698</v>
      </c>
      <c r="AD3831">
        <v>-1.1093529446579999</v>
      </c>
      <c r="AE3831">
        <v>-12.1977799999999</v>
      </c>
      <c r="AF3831">
        <v>-4.6698684977895599</v>
      </c>
      <c r="AG3831">
        <v>-1.1093529446579999</v>
      </c>
      <c r="AH3831">
        <v>11.9296260138797</v>
      </c>
      <c r="AI3831">
        <v>94.949083696671707</v>
      </c>
      <c r="AJ3831">
        <v>111.377927304068</v>
      </c>
      <c r="AK3831">
        <v>12.8590167809792</v>
      </c>
      <c r="AL3831">
        <v>86.456808524581007</v>
      </c>
      <c r="AM3831">
        <v>103.918306834405</v>
      </c>
      <c r="AN3831">
        <v>1.00000000774697</v>
      </c>
    </row>
    <row r="3832" spans="1:40" x14ac:dyDescent="0.3">
      <c r="A3832" t="str">
        <f>"20200111153956966"</f>
        <v>20200111153956966</v>
      </c>
      <c r="B3832" t="str">
        <f>"1578728396955246"</f>
        <v>1578728396955246</v>
      </c>
      <c r="C3832" t="s">
        <v>40</v>
      </c>
      <c r="D3832">
        <v>5.2822259999999996</v>
      </c>
      <c r="E3832">
        <v>0.44727529999999999</v>
      </c>
      <c r="F3832" t="s">
        <v>66</v>
      </c>
      <c r="G3832">
        <v>-298.16759999999999</v>
      </c>
      <c r="H3832" s="1">
        <v>-7.8888990000000006E-6</v>
      </c>
      <c r="I3832">
        <v>-50.618400000000001</v>
      </c>
      <c r="J3832">
        <v>-302.5111</v>
      </c>
      <c r="K3832">
        <v>1.110006</v>
      </c>
      <c r="L3832">
        <v>-38.612949999999998</v>
      </c>
      <c r="M3832">
        <v>-2.9129579999999999E-2</v>
      </c>
      <c r="N3832">
        <v>0</v>
      </c>
      <c r="O3832">
        <v>-0.99952660000000004</v>
      </c>
      <c r="P3832">
        <v>0.21400649999999999</v>
      </c>
      <c r="Q3832">
        <v>6.0815639999999997E-2</v>
      </c>
      <c r="R3832">
        <v>-0.97493739999999995</v>
      </c>
      <c r="S3832">
        <v>0.99450680000000002</v>
      </c>
      <c r="T3832">
        <v>-0.25459349999999997</v>
      </c>
      <c r="U3832">
        <v>-2.8779599999999999</v>
      </c>
      <c r="V3832">
        <v>-0.2433062</v>
      </c>
      <c r="W3832">
        <v>6.6898250000000006E-2</v>
      </c>
      <c r="X3832">
        <v>0.96763969999999999</v>
      </c>
      <c r="Y3832">
        <v>-0.35287750000000001</v>
      </c>
      <c r="Z3832">
        <v>8.2842529999999998E-2</v>
      </c>
      <c r="AA3832">
        <v>0.93199489999999996</v>
      </c>
      <c r="AB3832">
        <v>34</v>
      </c>
      <c r="AC3832">
        <v>4.3434999999999997</v>
      </c>
      <c r="AD3832">
        <v>-1.1100138888989901</v>
      </c>
      <c r="AE3832">
        <v>-12.00545</v>
      </c>
      <c r="AF3832">
        <v>-4.6561902652559004</v>
      </c>
      <c r="AG3832">
        <v>-1.1100138888989901</v>
      </c>
      <c r="AH3832">
        <v>11.7847407862909</v>
      </c>
      <c r="AI3832">
        <v>95.006391666064403</v>
      </c>
      <c r="AJ3832">
        <v>111.559140795508</v>
      </c>
      <c r="AK3832">
        <v>12.7197623413286</v>
      </c>
      <c r="AL3832">
        <v>86.164147588933602</v>
      </c>
      <c r="AM3832">
        <v>104.114029798191</v>
      </c>
      <c r="AN3832">
        <v>0.99999993591379399</v>
      </c>
    </row>
    <row r="3833" spans="1:40" x14ac:dyDescent="0.3">
      <c r="A3833" t="str">
        <f>"20200111153956996"</f>
        <v>20200111153956996</v>
      </c>
      <c r="B3833" t="str">
        <f>"1578728396985502"</f>
        <v>1578728396985502</v>
      </c>
      <c r="C3833" t="s">
        <v>40</v>
      </c>
      <c r="D3833">
        <v>5.2986300000000002</v>
      </c>
      <c r="E3833">
        <v>0.44700390000000001</v>
      </c>
      <c r="F3833" t="s">
        <v>66</v>
      </c>
      <c r="G3833">
        <v>-297.7466</v>
      </c>
      <c r="H3833" s="1">
        <v>-7.9083240000000008E-6</v>
      </c>
      <c r="I3833">
        <v>-51.759549999999997</v>
      </c>
      <c r="J3833">
        <v>-302.51440000000002</v>
      </c>
      <c r="K3833">
        <v>1.1105480000000001</v>
      </c>
      <c r="L3833">
        <v>-39.058720000000001</v>
      </c>
      <c r="M3833">
        <v>-1.894707E-2</v>
      </c>
      <c r="N3833">
        <v>0</v>
      </c>
      <c r="O3833">
        <v>-0.99976920000000002</v>
      </c>
      <c r="P3833">
        <v>0.2304851</v>
      </c>
      <c r="Q3833">
        <v>6.4462199999999997E-2</v>
      </c>
      <c r="R3833">
        <v>-0.97093830000000003</v>
      </c>
      <c r="S3833">
        <v>1.0380860000000001</v>
      </c>
      <c r="T3833">
        <v>-0.24184720000000001</v>
      </c>
      <c r="U3833">
        <v>-2.8643489999999998</v>
      </c>
      <c r="V3833">
        <v>-0.24997430000000001</v>
      </c>
      <c r="W3833">
        <v>7.0339070000000004E-2</v>
      </c>
      <c r="X3833">
        <v>0.96569419999999995</v>
      </c>
      <c r="Y3833">
        <v>-0.35741980000000001</v>
      </c>
      <c r="Z3833">
        <v>7.8840480000000004E-2</v>
      </c>
      <c r="AA3833">
        <v>0.9306101</v>
      </c>
      <c r="AB3833">
        <v>34</v>
      </c>
      <c r="AC3833">
        <v>4.7678000000000198</v>
      </c>
      <c r="AD3833">
        <v>-1.110555908324</v>
      </c>
      <c r="AE3833">
        <v>-12.7008299999999</v>
      </c>
      <c r="AF3833">
        <v>-4.9742656537046797</v>
      </c>
      <c r="AG3833">
        <v>-1.110555908324</v>
      </c>
      <c r="AH3833">
        <v>12.524279905582899</v>
      </c>
      <c r="AI3833">
        <v>94.711115715281693</v>
      </c>
      <c r="AJ3833">
        <v>111.661481018949</v>
      </c>
      <c r="AK3833">
        <v>13.5216212183498</v>
      </c>
      <c r="AL3833">
        <v>85.966537544028398</v>
      </c>
      <c r="AM3833">
        <v>104.512723158209</v>
      </c>
      <c r="AN3833">
        <v>1.0000000116712899</v>
      </c>
    </row>
    <row r="3834" spans="1:40" x14ac:dyDescent="0.3">
      <c r="A3834" t="str">
        <f>"20200111153957030"</f>
        <v>20200111153957030</v>
      </c>
      <c r="B3834" t="str">
        <f>"1578728397024542"</f>
        <v>1578728397024542</v>
      </c>
      <c r="C3834" t="s">
        <v>40</v>
      </c>
      <c r="D3834">
        <v>5.3095330000000001</v>
      </c>
      <c r="E3834">
        <v>0.44710699999999998</v>
      </c>
      <c r="F3834" t="s">
        <v>66</v>
      </c>
      <c r="G3834">
        <v>-297.37380000000002</v>
      </c>
      <c r="H3834" s="1">
        <v>-7.9548489999999995E-6</v>
      </c>
      <c r="I3834">
        <v>-52.509230000000002</v>
      </c>
      <c r="J3834">
        <v>-302.51119999999997</v>
      </c>
      <c r="K3834">
        <v>1.111143</v>
      </c>
      <c r="L3834">
        <v>-39.579439999999998</v>
      </c>
      <c r="M3834">
        <v>-6.0350259999999998E-3</v>
      </c>
      <c r="N3834">
        <v>0</v>
      </c>
      <c r="O3834">
        <v>-0.99992809999999999</v>
      </c>
      <c r="P3834">
        <v>0.2494796</v>
      </c>
      <c r="Q3834">
        <v>6.4199309999999996E-2</v>
      </c>
      <c r="R3834">
        <v>-0.96624960000000004</v>
      </c>
      <c r="S3834">
        <v>1.0881350000000001</v>
      </c>
      <c r="T3834">
        <v>-0.23507439999999999</v>
      </c>
      <c r="U3834">
        <v>-2.8471069999999998</v>
      </c>
      <c r="V3834">
        <v>-0.2565402</v>
      </c>
      <c r="W3834">
        <v>6.981395E-2</v>
      </c>
      <c r="X3834">
        <v>0.96400889999999995</v>
      </c>
      <c r="Y3834">
        <v>-0.36158030000000002</v>
      </c>
      <c r="Z3834">
        <v>7.6808440000000006E-2</v>
      </c>
      <c r="AA3834">
        <v>0.92917169999999905</v>
      </c>
      <c r="AB3834">
        <v>34</v>
      </c>
      <c r="AC3834">
        <v>5.1373999999999498</v>
      </c>
      <c r="AD3834">
        <v>-1.1111509548489999</v>
      </c>
      <c r="AE3834">
        <v>-12.929789999999899</v>
      </c>
      <c r="AF3834">
        <v>-5.1822882149379099</v>
      </c>
      <c r="AG3834">
        <v>-1.1111509548489999</v>
      </c>
      <c r="AH3834">
        <v>12.8167995131013</v>
      </c>
      <c r="AI3834">
        <v>94.595182131029006</v>
      </c>
      <c r="AJ3834">
        <v>112.01523631995499</v>
      </c>
      <c r="AK3834">
        <v>13.8694310390217</v>
      </c>
      <c r="AL3834">
        <v>85.9966988472585</v>
      </c>
      <c r="AM3834">
        <v>104.902068358335</v>
      </c>
      <c r="AN3834">
        <v>1.00000001055492</v>
      </c>
    </row>
    <row r="3835" spans="1:40" x14ac:dyDescent="0.3">
      <c r="A3835" t="str">
        <f>"20200111153957063"</f>
        <v>20200111153957063</v>
      </c>
      <c r="B3835" t="str">
        <f>"1578728397054798"</f>
        <v>1578728397054798</v>
      </c>
      <c r="C3835" t="s">
        <v>40</v>
      </c>
      <c r="D3835">
        <v>5.3229649999999999</v>
      </c>
      <c r="E3835">
        <v>0.4472469</v>
      </c>
      <c r="F3835" t="s">
        <v>66</v>
      </c>
      <c r="G3835">
        <v>-297.16329999999999</v>
      </c>
      <c r="H3835" s="1">
        <v>-7.9970460000000007E-6</v>
      </c>
      <c r="I3835">
        <v>-52.790860000000002</v>
      </c>
      <c r="J3835">
        <v>-302.50099999999998</v>
      </c>
      <c r="K3835">
        <v>1.111694</v>
      </c>
      <c r="L3835">
        <v>-40.07837</v>
      </c>
      <c r="M3835">
        <v>7.2314689999999999E-3</v>
      </c>
      <c r="N3835">
        <v>0</v>
      </c>
      <c r="O3835">
        <v>-0.99991810000000003</v>
      </c>
      <c r="P3835">
        <v>0.2673953</v>
      </c>
      <c r="Q3835">
        <v>6.3238799999999998E-2</v>
      </c>
      <c r="R3835">
        <v>-0.96150959999999996</v>
      </c>
      <c r="S3835">
        <v>1.1436459999999999</v>
      </c>
      <c r="T3835">
        <v>-0.23762169999999999</v>
      </c>
      <c r="U3835">
        <v>-2.8252869999999999</v>
      </c>
      <c r="V3835">
        <v>-0.26174619999999998</v>
      </c>
      <c r="W3835">
        <v>6.8591879999999994E-2</v>
      </c>
      <c r="X3835">
        <v>0.96269629999999995</v>
      </c>
      <c r="Y3835">
        <v>-0.36736400000000002</v>
      </c>
      <c r="Z3835">
        <v>7.7829739999999994E-2</v>
      </c>
      <c r="AA3835">
        <v>0.9268151</v>
      </c>
      <c r="AB3835">
        <v>34</v>
      </c>
      <c r="AC3835">
        <v>5.3376999999999803</v>
      </c>
      <c r="AD3835">
        <v>-1.111701997046</v>
      </c>
      <c r="AE3835">
        <v>-12.712489999999899</v>
      </c>
      <c r="AF3835">
        <v>-5.2117423695839502</v>
      </c>
      <c r="AG3835">
        <v>-1.111701997046</v>
      </c>
      <c r="AH3835">
        <v>12.668398447993001</v>
      </c>
      <c r="AI3835">
        <v>94.639651313306601</v>
      </c>
      <c r="AJ3835">
        <v>112.362123808796</v>
      </c>
      <c r="AK3835">
        <v>13.7435970216775</v>
      </c>
      <c r="AL3835">
        <v>86.066886698294198</v>
      </c>
      <c r="AM3835">
        <v>105.210386299284</v>
      </c>
      <c r="AN3835">
        <v>1.00000004262503</v>
      </c>
    </row>
    <row r="3836" spans="1:40" x14ac:dyDescent="0.3">
      <c r="A3836" t="str">
        <f>"20200111153957096"</f>
        <v>20200111153957096</v>
      </c>
      <c r="B3836" t="str">
        <f>"1578728397085054"</f>
        <v>1578728397085054</v>
      </c>
      <c r="C3836" t="s">
        <v>40</v>
      </c>
      <c r="D3836">
        <v>5.3629340000000001</v>
      </c>
      <c r="E3836">
        <v>0.44748789999999999</v>
      </c>
      <c r="F3836" t="s">
        <v>66</v>
      </c>
      <c r="G3836">
        <v>-297.02510000000001</v>
      </c>
      <c r="H3836" s="1">
        <v>-8.0302649999999993E-6</v>
      </c>
      <c r="I3836">
        <v>-52.927050000000001</v>
      </c>
      <c r="J3836">
        <v>-302.48379999999997</v>
      </c>
      <c r="K3836">
        <v>1.1122540000000001</v>
      </c>
      <c r="L3836">
        <v>-40.575989999999997</v>
      </c>
      <c r="M3836">
        <v>2.1349590000000002E-2</v>
      </c>
      <c r="N3836">
        <v>0</v>
      </c>
      <c r="O3836">
        <v>-0.9997144</v>
      </c>
      <c r="P3836">
        <v>0.28462910000000002</v>
      </c>
      <c r="Q3836">
        <v>6.3531480000000001E-2</v>
      </c>
      <c r="R3836">
        <v>-0.95653010000000005</v>
      </c>
      <c r="S3836">
        <v>1.1949160000000001</v>
      </c>
      <c r="T3836">
        <v>-0.2425871</v>
      </c>
      <c r="U3836">
        <v>-2.803741</v>
      </c>
      <c r="V3836">
        <v>-0.26555459999999997</v>
      </c>
      <c r="W3836">
        <v>6.8620909999999993E-2</v>
      </c>
      <c r="X3836">
        <v>0.96165060000000002</v>
      </c>
      <c r="Y3836">
        <v>-0.37109019999999998</v>
      </c>
      <c r="Z3836">
        <v>7.9652990000000007E-2</v>
      </c>
      <c r="AA3836">
        <v>0.92517430000000001</v>
      </c>
      <c r="AB3836">
        <v>34</v>
      </c>
      <c r="AC3836">
        <v>5.4586999999999604</v>
      </c>
      <c r="AD3836">
        <v>-1.1122620302649999</v>
      </c>
      <c r="AE3836">
        <v>-12.351059999999899</v>
      </c>
      <c r="AF3836">
        <v>-5.1587508523996002</v>
      </c>
      <c r="AG3836">
        <v>-1.1122620302649999</v>
      </c>
      <c r="AH3836">
        <v>12.380794756561301</v>
      </c>
      <c r="AI3836">
        <v>94.740514327477499</v>
      </c>
      <c r="AJ3836">
        <v>112.620205524204</v>
      </c>
      <c r="AK3836">
        <v>13.458600075238101</v>
      </c>
      <c r="AL3836">
        <v>86.065219209733201</v>
      </c>
      <c r="AM3836">
        <v>105.43720216715499</v>
      </c>
      <c r="AN3836">
        <v>0.99999997567537302</v>
      </c>
    </row>
    <row r="3837" spans="1:40" x14ac:dyDescent="0.3">
      <c r="A3837" t="str">
        <f>"20200111153957137"</f>
        <v>20200111153957137</v>
      </c>
      <c r="B3837" t="str">
        <f>"1578728397134831"</f>
        <v>1578728397134831</v>
      </c>
      <c r="C3837" t="s">
        <v>40</v>
      </c>
      <c r="D3837">
        <v>5.3567939999999998</v>
      </c>
      <c r="E3837">
        <v>0.44834269999999998</v>
      </c>
      <c r="F3837" t="s">
        <v>41</v>
      </c>
      <c r="G3837">
        <v>-302.01229999999998</v>
      </c>
      <c r="H3837">
        <v>1.0202359999999999</v>
      </c>
      <c r="I3837">
        <v>-41.630330000000001</v>
      </c>
      <c r="J3837">
        <v>-302.45150000000001</v>
      </c>
      <c r="K3837">
        <v>1.112922</v>
      </c>
      <c r="L3837">
        <v>-41.188569999999999</v>
      </c>
      <c r="M3837">
        <v>3.997531E-2</v>
      </c>
      <c r="N3837">
        <v>0</v>
      </c>
      <c r="O3837">
        <v>-0.99914049999999999</v>
      </c>
      <c r="P3837">
        <v>0.30613600000000002</v>
      </c>
      <c r="Q3837">
        <v>6.3319089999999995E-2</v>
      </c>
      <c r="R3837">
        <v>-0.94987980000000005</v>
      </c>
      <c r="S3837">
        <v>1.244202</v>
      </c>
      <c r="T3837">
        <v>-0.24281630000000001</v>
      </c>
      <c r="U3837">
        <v>-2.7822269999999998</v>
      </c>
      <c r="V3837">
        <v>-0.26944089999999998</v>
      </c>
      <c r="W3837">
        <v>6.8080479999999999E-2</v>
      </c>
      <c r="X3837">
        <v>0.96060749999999995</v>
      </c>
      <c r="Y3837">
        <v>-0.3701101</v>
      </c>
      <c r="Z3837">
        <v>7.9965850000000005E-2</v>
      </c>
      <c r="AA3837">
        <v>0.92553989999999997</v>
      </c>
      <c r="AB3837">
        <v>34</v>
      </c>
      <c r="AC3837">
        <v>0.43920000000002701</v>
      </c>
      <c r="AD3837">
        <v>-9.2685999999999796E-2</v>
      </c>
      <c r="AE3837">
        <v>-0.44176000000000198</v>
      </c>
      <c r="AF3837">
        <v>-0.412065939829664</v>
      </c>
      <c r="AG3837">
        <v>-9.2685999999999796E-2</v>
      </c>
      <c r="AH3837">
        <v>0.44902446466558998</v>
      </c>
      <c r="AI3837">
        <v>98.647451880949504</v>
      </c>
      <c r="AJ3837">
        <v>132.54233864195999</v>
      </c>
      <c r="AK3837">
        <v>0.61645113612671998</v>
      </c>
      <c r="AL3837">
        <v>86.096256481869801</v>
      </c>
      <c r="AM3837">
        <v>105.668282677807</v>
      </c>
      <c r="AN3837">
        <v>1.0000000597030401</v>
      </c>
    </row>
    <row r="3838" spans="1:40" x14ac:dyDescent="0.3">
      <c r="A3838" t="str">
        <f>"20200111153957165"</f>
        <v>20200111153957165</v>
      </c>
      <c r="B3838" t="str">
        <f>"1578728397155326"</f>
        <v>1578728397155326</v>
      </c>
      <c r="C3838" t="s">
        <v>40</v>
      </c>
      <c r="D3838">
        <v>5.369389</v>
      </c>
      <c r="E3838">
        <v>0.44849080000000002</v>
      </c>
      <c r="F3838" t="s">
        <v>41</v>
      </c>
      <c r="G3838">
        <v>-301.95740000000001</v>
      </c>
      <c r="H3838">
        <v>1.0211760000000001</v>
      </c>
      <c r="I3838">
        <v>-42.234740000000002</v>
      </c>
      <c r="J3838">
        <v>-302.42189999999999</v>
      </c>
      <c r="K3838">
        <v>1.1133500000000001</v>
      </c>
      <c r="L3838">
        <v>-41.606349999999999</v>
      </c>
      <c r="M3838">
        <v>5.3433910000000001E-2</v>
      </c>
      <c r="N3838">
        <v>0</v>
      </c>
      <c r="O3838">
        <v>-0.9985098</v>
      </c>
      <c r="P3838">
        <v>0.32231259999999901</v>
      </c>
      <c r="Q3838">
        <v>6.2083010000000001E-2</v>
      </c>
      <c r="R3838">
        <v>-0.94459530000000003</v>
      </c>
      <c r="S3838">
        <v>1.3011170000000001</v>
      </c>
      <c r="T3838">
        <v>-0.24160989999999999</v>
      </c>
      <c r="U3838">
        <v>-2.7550349999999999</v>
      </c>
      <c r="V3838">
        <v>-0.27294639999999998</v>
      </c>
      <c r="W3838">
        <v>6.6591369999999997E-2</v>
      </c>
      <c r="X3838">
        <v>0.95972170000000001</v>
      </c>
      <c r="Y3838">
        <v>-0.37675429999999999</v>
      </c>
      <c r="Z3838">
        <v>7.9765929999999999E-2</v>
      </c>
      <c r="AA3838">
        <v>0.92287249999999998</v>
      </c>
      <c r="AB3838">
        <v>34</v>
      </c>
      <c r="AC3838">
        <v>0.46449999999998598</v>
      </c>
      <c r="AD3838">
        <v>-9.2173999999999895E-2</v>
      </c>
      <c r="AE3838">
        <v>-0.628390000000003</v>
      </c>
      <c r="AF3838">
        <v>-0.42435270610367698</v>
      </c>
      <c r="AG3838">
        <v>-9.2173999999999895E-2</v>
      </c>
      <c r="AH3838">
        <v>0.64336233395396503</v>
      </c>
      <c r="AI3838">
        <v>96.819986076439406</v>
      </c>
      <c r="AJ3838">
        <v>123.408279906617</v>
      </c>
      <c r="AK3838">
        <v>0.776199947310103</v>
      </c>
      <c r="AL3838">
        <v>86.1817698484993</v>
      </c>
      <c r="AM3838">
        <v>105.875837508912</v>
      </c>
      <c r="AN3838">
        <v>0.99999994464116204</v>
      </c>
    </row>
    <row r="3839" spans="1:40" x14ac:dyDescent="0.3">
      <c r="A3839" t="str">
        <f>"20200111153957200"</f>
        <v>20200111153957200</v>
      </c>
      <c r="B3839" t="str">
        <f>"1578728397195342"</f>
        <v>1578728397195342</v>
      </c>
      <c r="C3839" t="s">
        <v>40</v>
      </c>
      <c r="D3839">
        <v>5.2745040000000003</v>
      </c>
      <c r="E3839">
        <v>0.45540310000000001</v>
      </c>
      <c r="F3839" t="s">
        <v>66</v>
      </c>
      <c r="G3839">
        <v>-296.30360000000002</v>
      </c>
      <c r="H3839" s="1">
        <v>-8.1614669999999994E-6</v>
      </c>
      <c r="I3839">
        <v>-54.011839999999999</v>
      </c>
      <c r="J3839">
        <v>-302.37729999999999</v>
      </c>
      <c r="K3839">
        <v>1.1138999999999999</v>
      </c>
      <c r="L3839">
        <v>-42.123719999999999</v>
      </c>
      <c r="M3839">
        <v>7.0890140000000004E-2</v>
      </c>
      <c r="N3839">
        <v>0</v>
      </c>
      <c r="O3839">
        <v>-0.9974208</v>
      </c>
      <c r="P3839">
        <v>0.34177800000000003</v>
      </c>
      <c r="Q3839">
        <v>6.2453580000000002E-2</v>
      </c>
      <c r="R3839">
        <v>-0.93770330000000002</v>
      </c>
      <c r="S3839">
        <v>1.347534</v>
      </c>
      <c r="T3839">
        <v>-0.24521370000000001</v>
      </c>
      <c r="U3839">
        <v>-2.7322690000000001</v>
      </c>
      <c r="V3839">
        <v>-0.27610899999999999</v>
      </c>
      <c r="W3839">
        <v>6.6666539999999996E-2</v>
      </c>
      <c r="X3839">
        <v>0.95881150000000004</v>
      </c>
      <c r="Y3839">
        <v>-0.37617319999999999</v>
      </c>
      <c r="Z3839">
        <v>8.1142400000000003E-2</v>
      </c>
      <c r="AA3839">
        <v>0.92298950000000002</v>
      </c>
      <c r="AB3839">
        <v>34</v>
      </c>
      <c r="AC3839">
        <v>6.0736999999999703</v>
      </c>
      <c r="AD3839">
        <v>-1.1139081614669999</v>
      </c>
      <c r="AE3839">
        <v>-11.888119999999899</v>
      </c>
      <c r="AF3839">
        <v>-5.1795523967245396</v>
      </c>
      <c r="AG3839">
        <v>-1.1139081614669999</v>
      </c>
      <c r="AH3839">
        <v>12.2038338474225</v>
      </c>
      <c r="AI3839">
        <v>94.802766836912795</v>
      </c>
      <c r="AJ3839">
        <v>112.99734362300001</v>
      </c>
      <c r="AK3839">
        <v>13.304214181908399</v>
      </c>
      <c r="AL3839">
        <v>86.177453735724299</v>
      </c>
      <c r="AM3839">
        <v>106.064816188208</v>
      </c>
      <c r="AN3839">
        <v>1.0000000499844</v>
      </c>
    </row>
    <row r="3840" spans="1:40" x14ac:dyDescent="0.3">
      <c r="A3840" t="str">
        <f>"20200111153957230"</f>
        <v>20200111153957230</v>
      </c>
      <c r="B3840" t="str">
        <f>"1578728397225129"</f>
        <v>1578728397225129</v>
      </c>
      <c r="C3840" t="s">
        <v>40</v>
      </c>
      <c r="D3840">
        <v>5.224761</v>
      </c>
      <c r="E3840">
        <v>0.39265080000000002</v>
      </c>
      <c r="F3840" t="s">
        <v>66</v>
      </c>
      <c r="G3840">
        <v>-297.2371</v>
      </c>
      <c r="H3840" s="1">
        <v>-8.0046339999999992E-6</v>
      </c>
      <c r="I3840">
        <v>-52.493220000000001</v>
      </c>
      <c r="J3840">
        <v>-302.32650000000001</v>
      </c>
      <c r="K3840">
        <v>1.114433</v>
      </c>
      <c r="L3840">
        <v>-42.606929999999998</v>
      </c>
      <c r="M3840">
        <v>8.8087990000000005E-2</v>
      </c>
      <c r="N3840">
        <v>0</v>
      </c>
      <c r="O3840">
        <v>-0.99604769999999998</v>
      </c>
      <c r="P3840">
        <v>0.3607863</v>
      </c>
      <c r="Q3840">
        <v>6.3825339999999994E-2</v>
      </c>
      <c r="R3840">
        <v>-0.93046209999999996</v>
      </c>
      <c r="S3840">
        <v>1.35141</v>
      </c>
      <c r="T3840">
        <v>-0.29285539999999999</v>
      </c>
      <c r="U3840">
        <v>-2.7262270000000002</v>
      </c>
      <c r="V3840">
        <v>-0.27920620000000002</v>
      </c>
      <c r="W3840">
        <v>6.7740330000000001E-2</v>
      </c>
      <c r="X3840">
        <v>0.95783879999999999</v>
      </c>
      <c r="Y3840">
        <v>-0.36138900000000002</v>
      </c>
      <c r="Z3840">
        <v>9.7014610000000001E-2</v>
      </c>
      <c r="AA3840">
        <v>0.92735440000000002</v>
      </c>
      <c r="AB3840">
        <v>34</v>
      </c>
      <c r="AC3840">
        <v>5.0894000000000101</v>
      </c>
      <c r="AD3840">
        <v>-1.1144410046340001</v>
      </c>
      <c r="AE3840">
        <v>-9.88628999999999</v>
      </c>
      <c r="AF3840">
        <v>-4.1569369031857999</v>
      </c>
      <c r="AG3840">
        <v>-1.1144410046340001</v>
      </c>
      <c r="AH3840">
        <v>10.1938006947072</v>
      </c>
      <c r="AI3840">
        <v>95.780464156678406</v>
      </c>
      <c r="AJ3840">
        <v>112.185177077885</v>
      </c>
      <c r="AK3840">
        <v>11.0650655566648</v>
      </c>
      <c r="AL3840">
        <v>86.115790545520397</v>
      </c>
      <c r="AM3840">
        <v>106.251193614404</v>
      </c>
      <c r="AN3840">
        <v>1.0000000106061899</v>
      </c>
    </row>
    <row r="3841" spans="1:40" x14ac:dyDescent="0.3">
      <c r="A3841" t="str">
        <f>"20200111153957264"</f>
        <v>20200111153957264</v>
      </c>
      <c r="B3841" t="str">
        <f>"1578728397255385"</f>
        <v>1578728397255385</v>
      </c>
      <c r="C3841" t="s">
        <v>40</v>
      </c>
      <c r="D3841">
        <v>5.4380579999999998</v>
      </c>
      <c r="E3841">
        <v>0.33239639999999998</v>
      </c>
      <c r="F3841" t="s">
        <v>41</v>
      </c>
      <c r="G3841">
        <v>-301.7885</v>
      </c>
      <c r="H3841">
        <v>1.031865</v>
      </c>
      <c r="I3841">
        <v>-43.32985</v>
      </c>
      <c r="J3841">
        <v>-302.26560000000001</v>
      </c>
      <c r="K3841">
        <v>1.114954</v>
      </c>
      <c r="L3841">
        <v>-43.096649999999997</v>
      </c>
      <c r="M3841">
        <v>0.10638359999999999</v>
      </c>
      <c r="N3841">
        <v>0</v>
      </c>
      <c r="O3841">
        <v>-0.99425850000000005</v>
      </c>
      <c r="P3841">
        <v>0.38155349999999999</v>
      </c>
      <c r="Q3841">
        <v>6.5306840000000005E-2</v>
      </c>
      <c r="R3841">
        <v>-0.922037</v>
      </c>
      <c r="S3841">
        <v>1.8737790000000001</v>
      </c>
      <c r="T3841">
        <v>-0.28752460000000002</v>
      </c>
      <c r="U3841">
        <v>-2.517334</v>
      </c>
      <c r="V3841">
        <v>-0.28320990000000001</v>
      </c>
      <c r="W3841">
        <v>6.8884920000000002E-2</v>
      </c>
      <c r="X3841">
        <v>0.95658089999999996</v>
      </c>
      <c r="Y3841">
        <v>-0.50576899999999902</v>
      </c>
      <c r="Z3841">
        <v>9.3367649999999996E-2</v>
      </c>
      <c r="AA3841">
        <v>0.85760139999999996</v>
      </c>
      <c r="AB3841">
        <v>34</v>
      </c>
      <c r="AC3841">
        <v>0.47710000000000702</v>
      </c>
      <c r="AD3841">
        <v>-8.3088999999999899E-2</v>
      </c>
      <c r="AE3841">
        <v>-0.23320000000000299</v>
      </c>
      <c r="AF3841">
        <v>-0.43883870056193103</v>
      </c>
      <c r="AG3841">
        <v>-8.3088999999999899E-2</v>
      </c>
      <c r="AH3841">
        <v>0.275881597140892</v>
      </c>
      <c r="AI3841">
        <v>99.106710244216998</v>
      </c>
      <c r="AJ3841">
        <v>147.84394956681999</v>
      </c>
      <c r="AK3841">
        <v>0.52497032551649403</v>
      </c>
      <c r="AL3841">
        <v>86.050056763830995</v>
      </c>
      <c r="AM3841">
        <v>106.492165511127</v>
      </c>
      <c r="AN3841">
        <v>0.99999999895311298</v>
      </c>
    </row>
    <row r="3842" spans="1:40" x14ac:dyDescent="0.3">
      <c r="A3842" t="str">
        <f>"20200111153957298"</f>
        <v>20200111153957298</v>
      </c>
      <c r="B3842" t="str">
        <f>"1578728397294426"</f>
        <v>1578728397294426</v>
      </c>
      <c r="C3842" t="s">
        <v>40</v>
      </c>
      <c r="D3842">
        <v>5.2471889999999997</v>
      </c>
      <c r="E3842">
        <v>0.33851679999999901</v>
      </c>
      <c r="F3842" t="s">
        <v>66</v>
      </c>
      <c r="G3842">
        <v>-294.7149</v>
      </c>
      <c r="H3842" s="1">
        <v>-9.1249940000000001E-6</v>
      </c>
      <c r="I3842">
        <v>-50.40352</v>
      </c>
      <c r="J3842">
        <v>-302.19400000000002</v>
      </c>
      <c r="K3842">
        <v>1.115478</v>
      </c>
      <c r="L3842">
        <v>-43.59402</v>
      </c>
      <c r="M3842">
        <v>0.12578980000000001</v>
      </c>
      <c r="N3842">
        <v>0</v>
      </c>
      <c r="O3842">
        <v>-0.99198819999999999</v>
      </c>
      <c r="P3842">
        <v>0.40288400000000002</v>
      </c>
      <c r="Q3842">
        <v>6.5379049999999994E-2</v>
      </c>
      <c r="R3842">
        <v>-0.91291279999999997</v>
      </c>
      <c r="S3842">
        <v>2.3731080000000002</v>
      </c>
      <c r="T3842">
        <v>-0.35042210000000001</v>
      </c>
      <c r="U3842">
        <v>-2.296478</v>
      </c>
      <c r="V3842">
        <v>-0.28685080000000002</v>
      </c>
      <c r="W3842">
        <v>6.8622810000000006E-2</v>
      </c>
      <c r="X3842">
        <v>0.95551430000000004</v>
      </c>
      <c r="Y3842">
        <v>-0.62114969999999903</v>
      </c>
      <c r="Z3842">
        <v>0.10933130000000001</v>
      </c>
      <c r="AA3842">
        <v>0.7760283</v>
      </c>
      <c r="AB3842">
        <v>34</v>
      </c>
      <c r="AC3842">
        <v>7.4791000000000096</v>
      </c>
      <c r="AD3842">
        <v>-1.1154871249939999</v>
      </c>
      <c r="AE3842">
        <v>-6.8094999999999999</v>
      </c>
      <c r="AF3842">
        <v>-6.4841959177716104</v>
      </c>
      <c r="AG3842">
        <v>-1.1154871249939999</v>
      </c>
      <c r="AH3842">
        <v>7.6037809224360098</v>
      </c>
      <c r="AI3842">
        <v>96.3693088681988</v>
      </c>
      <c r="AJ3842">
        <v>130.45619916038001</v>
      </c>
      <c r="AK3842">
        <v>10.055177399851001</v>
      </c>
      <c r="AL3842">
        <v>86.065110282983795</v>
      </c>
      <c r="AM3842">
        <v>106.710054067678</v>
      </c>
      <c r="AN3842">
        <v>1.00000002450871</v>
      </c>
    </row>
    <row r="3843" spans="1:40" x14ac:dyDescent="0.3">
      <c r="A3843" t="str">
        <f>"20200111153957331"</f>
        <v>20200111153957331</v>
      </c>
      <c r="B3843" t="str">
        <f>"1578728397325190"</f>
        <v>1578728397325190</v>
      </c>
      <c r="C3843" t="s">
        <v>40</v>
      </c>
      <c r="D3843">
        <v>5.3064859999999996</v>
      </c>
      <c r="E3843">
        <v>0.3424509</v>
      </c>
      <c r="F3843" t="s">
        <v>66</v>
      </c>
      <c r="G3843">
        <v>-294.65109999999999</v>
      </c>
      <c r="H3843" s="1">
        <v>-9.1082039999999996E-6</v>
      </c>
      <c r="I3843">
        <v>-50.751899999999999</v>
      </c>
      <c r="J3843">
        <v>-302.1123</v>
      </c>
      <c r="K3843">
        <v>1.115958</v>
      </c>
      <c r="L3843">
        <v>-44.08661</v>
      </c>
      <c r="M3843">
        <v>0.1458306</v>
      </c>
      <c r="N3843">
        <v>0</v>
      </c>
      <c r="O3843">
        <v>-0.98923919999999999</v>
      </c>
      <c r="P3843">
        <v>0.42323850000000002</v>
      </c>
      <c r="Q3843">
        <v>6.6989019999999996E-2</v>
      </c>
      <c r="R3843">
        <v>-0.90353830000000002</v>
      </c>
      <c r="S3843">
        <v>2.381866</v>
      </c>
      <c r="T3843">
        <v>-0.352244</v>
      </c>
      <c r="U3843">
        <v>-2.260284</v>
      </c>
      <c r="V3843">
        <v>-0.28908119999999998</v>
      </c>
      <c r="W3843">
        <v>6.9954730000000007E-2</v>
      </c>
      <c r="X3843">
        <v>0.95474519999999996</v>
      </c>
      <c r="Y3843">
        <v>-0.61279059999999996</v>
      </c>
      <c r="Z3843">
        <v>0.110877</v>
      </c>
      <c r="AA3843">
        <v>0.78242829999999997</v>
      </c>
      <c r="AB3843">
        <v>34</v>
      </c>
      <c r="AC3843">
        <v>7.4612000000000096</v>
      </c>
      <c r="AD3843">
        <v>-1.1159671082039999</v>
      </c>
      <c r="AE3843">
        <v>-6.6652899999999899</v>
      </c>
      <c r="AF3843">
        <v>-6.3305897518307503</v>
      </c>
      <c r="AG3843">
        <v>-1.1159671082039999</v>
      </c>
      <c r="AH3843">
        <v>7.58776581137416</v>
      </c>
      <c r="AI3843">
        <v>96.443184047049698</v>
      </c>
      <c r="AJ3843">
        <v>129.838762046993</v>
      </c>
      <c r="AK3843">
        <v>9.9446437442895004</v>
      </c>
      <c r="AL3843">
        <v>85.988612938697301</v>
      </c>
      <c r="AM3843">
        <v>106.845452275779</v>
      </c>
      <c r="AN3843">
        <v>1.0000000006829199</v>
      </c>
    </row>
    <row r="3844" spans="1:40" x14ac:dyDescent="0.3">
      <c r="A3844" t="str">
        <f>"20200111153957365"</f>
        <v>20200111153957365</v>
      </c>
      <c r="B3844" t="str">
        <f>"1578728397354470"</f>
        <v>1578728397354470</v>
      </c>
      <c r="C3844" t="s">
        <v>40</v>
      </c>
      <c r="D3844">
        <v>5.2287980000000003</v>
      </c>
      <c r="E3844">
        <v>0.34488619999999998</v>
      </c>
      <c r="F3844" t="s">
        <v>41</v>
      </c>
      <c r="G3844">
        <v>-301.40449999999998</v>
      </c>
      <c r="H3844">
        <v>1.013188</v>
      </c>
      <c r="I3844">
        <v>-44.740810000000003</v>
      </c>
      <c r="J3844">
        <v>-302.01780000000002</v>
      </c>
      <c r="K3844">
        <v>1.11639</v>
      </c>
      <c r="L3844">
        <v>-44.58905</v>
      </c>
      <c r="M3844">
        <v>0.1670266</v>
      </c>
      <c r="N3844">
        <v>0</v>
      </c>
      <c r="O3844">
        <v>-0.98588010000000004</v>
      </c>
      <c r="P3844">
        <v>0.44453569999999998</v>
      </c>
      <c r="Q3844">
        <v>6.5650899999999901E-2</v>
      </c>
      <c r="R3844">
        <v>-0.89335219999999904</v>
      </c>
      <c r="S3844">
        <v>2.4029539999999998</v>
      </c>
      <c r="T3844">
        <v>-0.34884860000000001</v>
      </c>
      <c r="U3844">
        <v>-2.2205509999999999</v>
      </c>
      <c r="V3844">
        <v>-0.291247599999999</v>
      </c>
      <c r="W3844">
        <v>6.83507E-2</v>
      </c>
      <c r="X3844">
        <v>0.95420280000000002</v>
      </c>
      <c r="Y3844">
        <v>-0.60626939999999996</v>
      </c>
      <c r="Z3844">
        <v>0.1105479</v>
      </c>
      <c r="AA3844">
        <v>0.78753830000000002</v>
      </c>
      <c r="AB3844">
        <v>34</v>
      </c>
      <c r="AC3844">
        <v>0.61330000000003704</v>
      </c>
      <c r="AD3844">
        <v>-0.103202</v>
      </c>
      <c r="AE3844">
        <v>-0.15175999999999501</v>
      </c>
      <c r="AF3844">
        <v>-0.56427747418664598</v>
      </c>
      <c r="AG3844">
        <v>-0.103202</v>
      </c>
      <c r="AH3844">
        <v>0.245521506850615</v>
      </c>
      <c r="AI3844">
        <v>99.520202136037398</v>
      </c>
      <c r="AJ3844">
        <v>156.48576828367101</v>
      </c>
      <c r="AK3844">
        <v>0.62397157868340203</v>
      </c>
      <c r="AL3844">
        <v>86.080737567558302</v>
      </c>
      <c r="AM3844">
        <v>106.973557219426</v>
      </c>
      <c r="AN3844">
        <v>0.99999998311204397</v>
      </c>
    </row>
    <row r="3845" spans="1:40" x14ac:dyDescent="0.3">
      <c r="A3845" t="str">
        <f>"20200111153957397"</f>
        <v>20200111153957397</v>
      </c>
      <c r="B3845" t="str">
        <f>"1578728397394486"</f>
        <v>1578728397394486</v>
      </c>
      <c r="C3845" t="s">
        <v>40</v>
      </c>
      <c r="D3845">
        <v>5.1822280000000003</v>
      </c>
      <c r="E3845">
        <v>0.34766780000000003</v>
      </c>
      <c r="F3845" t="s">
        <v>66</v>
      </c>
      <c r="G3845">
        <v>-294.28280000000001</v>
      </c>
      <c r="H3845" s="1">
        <v>-9.1555280000000006E-6</v>
      </c>
      <c r="I3845">
        <v>-51.48048</v>
      </c>
      <c r="J3845">
        <v>-301.91559999999998</v>
      </c>
      <c r="K3845">
        <v>1.1167849999999999</v>
      </c>
      <c r="L3845">
        <v>-45.075290000000003</v>
      </c>
      <c r="M3845">
        <v>0.1881941</v>
      </c>
      <c r="N3845">
        <v>0</v>
      </c>
      <c r="O3845">
        <v>-0.98205779999999998</v>
      </c>
      <c r="P3845">
        <v>0.46523989999999998</v>
      </c>
      <c r="Q3845">
        <v>6.4576750000000002E-2</v>
      </c>
      <c r="R3845">
        <v>-0.88282609999999995</v>
      </c>
      <c r="S3845">
        <v>2.4370729999999998</v>
      </c>
      <c r="T3845">
        <v>-0.35174549999999999</v>
      </c>
      <c r="U3845">
        <v>-2.1712950000000002</v>
      </c>
      <c r="V3845">
        <v>-0.29299180000000002</v>
      </c>
      <c r="W3845">
        <v>6.7040500000000003E-2</v>
      </c>
      <c r="X3845">
        <v>0.95376170000000005</v>
      </c>
      <c r="Y3845">
        <v>-0.6034176</v>
      </c>
      <c r="Z3845">
        <v>0.1120432</v>
      </c>
      <c r="AA3845">
        <v>0.78951479999999996</v>
      </c>
      <c r="AB3845">
        <v>34</v>
      </c>
      <c r="AC3845">
        <v>7.6327999999999703</v>
      </c>
      <c r="AD3845">
        <v>-1.1167941555280001</v>
      </c>
      <c r="AE3845">
        <v>-6.4051899999999904</v>
      </c>
      <c r="AF3845">
        <v>-6.2128437834175596</v>
      </c>
      <c r="AG3845">
        <v>-1.1167941555280001</v>
      </c>
      <c r="AH3845">
        <v>7.6314111679854904</v>
      </c>
      <c r="AI3845">
        <v>96.474690015095206</v>
      </c>
      <c r="AJ3845">
        <v>129.149540806337</v>
      </c>
      <c r="AK3845">
        <v>9.9037918737130894</v>
      </c>
      <c r="AL3845">
        <v>86.155979179588797</v>
      </c>
      <c r="AM3845">
        <v>107.07674951131</v>
      </c>
      <c r="AN3845">
        <v>1.00000000194719</v>
      </c>
    </row>
    <row r="3846" spans="1:40" x14ac:dyDescent="0.3">
      <c r="A3846" t="str">
        <f>"20200111153957431"</f>
        <v>20200111153957431</v>
      </c>
      <c r="B3846" t="str">
        <f>"1578728397425251"</f>
        <v>1578728397425251</v>
      </c>
      <c r="C3846" t="s">
        <v>40</v>
      </c>
      <c r="D3846">
        <v>5.1995420000000001</v>
      </c>
      <c r="E3846">
        <v>0.36066209999999999</v>
      </c>
      <c r="F3846" t="s">
        <v>66</v>
      </c>
      <c r="G3846">
        <v>-294.14429999999999</v>
      </c>
      <c r="H3846" s="1">
        <v>-9.1722E-6</v>
      </c>
      <c r="I3846">
        <v>-51.76435</v>
      </c>
      <c r="J3846">
        <v>-301.79840000000002</v>
      </c>
      <c r="K3846">
        <v>1.1171610000000001</v>
      </c>
      <c r="L3846">
        <v>-45.574680000000001</v>
      </c>
      <c r="M3846">
        <v>0.21058869999999999</v>
      </c>
      <c r="N3846">
        <v>0</v>
      </c>
      <c r="O3846">
        <v>-0.97749870000000005</v>
      </c>
      <c r="P3846">
        <v>0.4871164</v>
      </c>
      <c r="Q3846">
        <v>6.3443109999999997E-2</v>
      </c>
      <c r="R3846">
        <v>-0.87102950000000001</v>
      </c>
      <c r="S3846">
        <v>2.4674070000000001</v>
      </c>
      <c r="T3846">
        <v>-0.35458790000000001</v>
      </c>
      <c r="U3846">
        <v>-2.1238100000000002</v>
      </c>
      <c r="V3846">
        <v>-0.29500140000000002</v>
      </c>
      <c r="W3846">
        <v>6.5669759999999994E-2</v>
      </c>
      <c r="X3846">
        <v>0.95323740000000001</v>
      </c>
      <c r="Y3846">
        <v>-0.59862159999999998</v>
      </c>
      <c r="Z3846">
        <v>0.1134807</v>
      </c>
      <c r="AA3846">
        <v>0.79295289999999996</v>
      </c>
      <c r="AB3846">
        <v>34</v>
      </c>
      <c r="AC3846">
        <v>7.6541000000000201</v>
      </c>
      <c r="AD3846">
        <v>-1.1171701722</v>
      </c>
      <c r="AE3846">
        <v>-6.1896699999999996</v>
      </c>
      <c r="AF3846">
        <v>-6.1002839271900999</v>
      </c>
      <c r="AG3846">
        <v>-1.1171701722</v>
      </c>
      <c r="AH3846">
        <v>7.5653863540073099</v>
      </c>
      <c r="AI3846">
        <v>96.557559734273397</v>
      </c>
      <c r="AJ3846">
        <v>128.880668597327</v>
      </c>
      <c r="AK3846">
        <v>9.7824641001839208</v>
      </c>
      <c r="AL3846">
        <v>86.234690050490201</v>
      </c>
      <c r="AM3846">
        <v>107.195893423288</v>
      </c>
      <c r="AN3846">
        <v>0.99999994206958698</v>
      </c>
    </row>
    <row r="3847" spans="1:40" x14ac:dyDescent="0.3">
      <c r="A3847" t="str">
        <f>"20200111153957465"</f>
        <v>20200111153957465</v>
      </c>
      <c r="B3847" t="str">
        <f>"1578728397454531"</f>
        <v>1578728397454531</v>
      </c>
      <c r="C3847" t="s">
        <v>40</v>
      </c>
      <c r="D3847">
        <v>5.2049300000000001</v>
      </c>
      <c r="E3847">
        <v>0.36168899999999998</v>
      </c>
      <c r="F3847" t="s">
        <v>41</v>
      </c>
      <c r="G3847">
        <v>-301.09500000000003</v>
      </c>
      <c r="H3847">
        <v>1.0137039999999999</v>
      </c>
      <c r="I3847">
        <v>-46.186329999999998</v>
      </c>
      <c r="J3847">
        <v>-301.6728</v>
      </c>
      <c r="K3847">
        <v>1.1175060000000001</v>
      </c>
      <c r="L3847">
        <v>-46.058619999999998</v>
      </c>
      <c r="M3847">
        <v>0.23285910000000001</v>
      </c>
      <c r="N3847">
        <v>0</v>
      </c>
      <c r="O3847">
        <v>-0.97243259999999998</v>
      </c>
      <c r="P3847">
        <v>0.50691629999999999</v>
      </c>
      <c r="Q3847">
        <v>6.4754249999999999E-2</v>
      </c>
      <c r="R3847">
        <v>-0.85955969999999904</v>
      </c>
      <c r="S3847">
        <v>2.429138</v>
      </c>
      <c r="T3847">
        <v>-0.35720689999999999</v>
      </c>
      <c r="U3847">
        <v>-2.1117249999999999</v>
      </c>
      <c r="V3847">
        <v>-0.29516559999999997</v>
      </c>
      <c r="W3847">
        <v>6.6825919999999997E-2</v>
      </c>
      <c r="X3847">
        <v>0.95310629999999996</v>
      </c>
      <c r="Y3847">
        <v>-0.57608899999999996</v>
      </c>
      <c r="Z3847">
        <v>0.115471</v>
      </c>
      <c r="AA3847">
        <v>0.80918959999999995</v>
      </c>
      <c r="AB3847">
        <v>34</v>
      </c>
      <c r="AC3847">
        <v>0.57779999999996701</v>
      </c>
      <c r="AD3847">
        <v>-0.10380199999999901</v>
      </c>
      <c r="AE3847">
        <v>-0.12770999999999999</v>
      </c>
      <c r="AF3847">
        <v>-0.51628676935367002</v>
      </c>
      <c r="AG3847">
        <v>-0.10380199999999901</v>
      </c>
      <c r="AH3847">
        <v>0.251030495082604</v>
      </c>
      <c r="AI3847">
        <v>100.24916380167301</v>
      </c>
      <c r="AJ3847">
        <v>154.069913903995</v>
      </c>
      <c r="AK3847">
        <v>0.58338940072225098</v>
      </c>
      <c r="AL3847">
        <v>86.168301437261803</v>
      </c>
      <c r="AM3847">
        <v>107.207126649751</v>
      </c>
      <c r="AN3847">
        <v>1.0000000270534399</v>
      </c>
    </row>
    <row r="3848" spans="1:40" x14ac:dyDescent="0.3">
      <c r="A3848" t="str">
        <f>"20200111153957498"</f>
        <v>20200111153957498</v>
      </c>
      <c r="B3848" t="str">
        <f>"1578728397494548"</f>
        <v>1578728397494548</v>
      </c>
      <c r="C3848" t="s">
        <v>40</v>
      </c>
      <c r="D3848">
        <v>5.2272790000000002</v>
      </c>
      <c r="E3848">
        <v>0.36379630000000002</v>
      </c>
      <c r="F3848" t="s">
        <v>66</v>
      </c>
      <c r="G3848">
        <v>-294.04950000000002</v>
      </c>
      <c r="H3848" s="1">
        <v>-9.1314369999999999E-6</v>
      </c>
      <c r="I3848">
        <v>-52.42277</v>
      </c>
      <c r="J3848">
        <v>-301.53609999999998</v>
      </c>
      <c r="K3848">
        <v>1.117839</v>
      </c>
      <c r="L3848">
        <v>-46.540590000000002</v>
      </c>
      <c r="M3848">
        <v>0.25553389999999998</v>
      </c>
      <c r="N3848">
        <v>0</v>
      </c>
      <c r="O3848">
        <v>-0.96672049999999998</v>
      </c>
      <c r="P3848">
        <v>0.52817159999999996</v>
      </c>
      <c r="Q3848">
        <v>6.5130179999999996E-2</v>
      </c>
      <c r="R3848">
        <v>-0.84663650000000001</v>
      </c>
      <c r="S3848">
        <v>2.4691160000000001</v>
      </c>
      <c r="T3848">
        <v>-0.36195159999999998</v>
      </c>
      <c r="U3848">
        <v>-2.0612789999999999</v>
      </c>
      <c r="V3848">
        <v>-0.2967013</v>
      </c>
      <c r="W3848">
        <v>6.7005750000000003E-2</v>
      </c>
      <c r="X3848">
        <v>0.95261669999999998</v>
      </c>
      <c r="Y3848">
        <v>-0.5730596</v>
      </c>
      <c r="Z3848">
        <v>0.11718480000000001</v>
      </c>
      <c r="AA3848">
        <v>0.81109209999999998</v>
      </c>
      <c r="AB3848">
        <v>34</v>
      </c>
      <c r="AC3848">
        <v>7.4865999999999504</v>
      </c>
      <c r="AD3848">
        <v>-1.1178481314369999</v>
      </c>
      <c r="AE3848">
        <v>-5.8821799999999902</v>
      </c>
      <c r="AF3848">
        <v>-5.6568163382804997</v>
      </c>
      <c r="AG3848">
        <v>-1.1178481314369999</v>
      </c>
      <c r="AH3848">
        <v>7.4967475205024297</v>
      </c>
      <c r="AI3848">
        <v>96.787826248961196</v>
      </c>
      <c r="AJ3848">
        <v>127.037087456976</v>
      </c>
      <c r="AK3848">
        <v>9.4578210448365905</v>
      </c>
      <c r="AL3848">
        <v>86.157974704958903</v>
      </c>
      <c r="AM3848">
        <v>107.29968411714999</v>
      </c>
      <c r="AN3848">
        <v>1.00000000453682</v>
      </c>
    </row>
    <row r="3849" spans="1:40" x14ac:dyDescent="0.3">
      <c r="A3849" t="str">
        <f>"20200111153957532"</f>
        <v>20200111153957532</v>
      </c>
      <c r="B3849" t="str">
        <f>"1578728397524805"</f>
        <v>1578728397524805</v>
      </c>
      <c r="C3849" t="s">
        <v>40</v>
      </c>
      <c r="D3849">
        <v>5.2087659999999998</v>
      </c>
      <c r="E3849">
        <v>0.36467369999999999</v>
      </c>
      <c r="F3849" t="s">
        <v>66</v>
      </c>
      <c r="G3849">
        <v>-293.67380000000003</v>
      </c>
      <c r="H3849" s="1">
        <v>-9.2164369999999999E-6</v>
      </c>
      <c r="I3849">
        <v>-52.839329999999997</v>
      </c>
      <c r="J3849">
        <v>-301.38319999999999</v>
      </c>
      <c r="K3849">
        <v>1.118133</v>
      </c>
      <c r="L3849">
        <v>-47.033110000000001</v>
      </c>
      <c r="M3849">
        <v>0.27920070000000002</v>
      </c>
      <c r="N3849">
        <v>0</v>
      </c>
      <c r="O3849">
        <v>-0.96015110000000004</v>
      </c>
      <c r="P3849">
        <v>0.55079719999999999</v>
      </c>
      <c r="Q3849">
        <v>6.4738299999999999E-2</v>
      </c>
      <c r="R3849">
        <v>-0.83212469999999905</v>
      </c>
      <c r="S3849">
        <v>2.5058590000000001</v>
      </c>
      <c r="T3849">
        <v>-0.35628100000000001</v>
      </c>
      <c r="U3849">
        <v>-2.0075379999999998</v>
      </c>
      <c r="V3849">
        <v>-0.299012</v>
      </c>
      <c r="W3849">
        <v>6.6396300000000005E-2</v>
      </c>
      <c r="X3849">
        <v>0.95193660000000002</v>
      </c>
      <c r="Y3849">
        <v>-0.56950999999999996</v>
      </c>
      <c r="Z3849">
        <v>0.1156006</v>
      </c>
      <c r="AA3849">
        <v>0.81381510000000001</v>
      </c>
      <c r="AB3849">
        <v>34</v>
      </c>
      <c r="AC3849">
        <v>7.7093999999999596</v>
      </c>
      <c r="AD3849">
        <v>-1.1181422164370001</v>
      </c>
      <c r="AE3849">
        <v>-5.8062199999999997</v>
      </c>
      <c r="AF3849">
        <v>-5.7049681339623701</v>
      </c>
      <c r="AG3849">
        <v>-1.1181422164370001</v>
      </c>
      <c r="AH3849">
        <v>7.6255721539457904</v>
      </c>
      <c r="AI3849">
        <v>96.696406716005299</v>
      </c>
      <c r="AJ3849">
        <v>126.801499756415</v>
      </c>
      <c r="AK3849">
        <v>9.5888609386484607</v>
      </c>
      <c r="AL3849">
        <v>86.192971415126394</v>
      </c>
      <c r="AM3849">
        <v>107.437981196503</v>
      </c>
      <c r="AN3849">
        <v>0.99999996760862397</v>
      </c>
    </row>
    <row r="3850" spans="1:40" x14ac:dyDescent="0.3">
      <c r="A3850" t="str">
        <f>"20200111153957565"</f>
        <v>20200111153957565</v>
      </c>
      <c r="B3850" t="str">
        <f>"1578728397555059"</f>
        <v>1578728397555059</v>
      </c>
      <c r="C3850" t="s">
        <v>40</v>
      </c>
      <c r="D3850">
        <v>5.1634510000000002</v>
      </c>
      <c r="E3850">
        <v>0.36566690000000002</v>
      </c>
      <c r="F3850" t="s">
        <v>41</v>
      </c>
      <c r="G3850">
        <v>-300.6524</v>
      </c>
      <c r="H3850">
        <v>1.0160979999999999</v>
      </c>
      <c r="I3850">
        <v>-47.589950000000002</v>
      </c>
      <c r="J3850">
        <v>-301.22430000000003</v>
      </c>
      <c r="K3850">
        <v>1.118398</v>
      </c>
      <c r="L3850">
        <v>-47.502809999999997</v>
      </c>
      <c r="M3850">
        <v>0.3022127</v>
      </c>
      <c r="N3850">
        <v>0</v>
      </c>
      <c r="O3850">
        <v>-0.95315689999999997</v>
      </c>
      <c r="P3850">
        <v>0.57251090000000004</v>
      </c>
      <c r="Q3850">
        <v>6.2573080000000003E-2</v>
      </c>
      <c r="R3850">
        <v>-0.81750599999999995</v>
      </c>
      <c r="S3850">
        <v>2.5523069999999999</v>
      </c>
      <c r="T3850">
        <v>-0.35619260000000003</v>
      </c>
      <c r="U3850">
        <v>-1.9435420000000001</v>
      </c>
      <c r="V3850">
        <v>-0.30109819999999998</v>
      </c>
      <c r="W3850">
        <v>6.4035739999999994E-2</v>
      </c>
      <c r="X3850">
        <v>0.95144059999999997</v>
      </c>
      <c r="Y3850">
        <v>-0.5698318</v>
      </c>
      <c r="Z3850">
        <v>0.1157103</v>
      </c>
      <c r="AA3850">
        <v>0.81357409999999997</v>
      </c>
      <c r="AB3850">
        <v>34</v>
      </c>
      <c r="AC3850">
        <v>0.57190000000002705</v>
      </c>
      <c r="AD3850">
        <v>-0.1023</v>
      </c>
      <c r="AE3850">
        <v>-8.7140000000005102E-2</v>
      </c>
      <c r="AF3850">
        <v>-0.50308493522268305</v>
      </c>
      <c r="AG3850">
        <v>-0.1023</v>
      </c>
      <c r="AH3850">
        <v>0.24815388117894499</v>
      </c>
      <c r="AI3850">
        <v>100.335244924035</v>
      </c>
      <c r="AJ3850">
        <v>153.744517722637</v>
      </c>
      <c r="AK3850">
        <v>0.57021056706464601</v>
      </c>
      <c r="AL3850">
        <v>86.328510082875994</v>
      </c>
      <c r="AM3850">
        <v>107.560786728971</v>
      </c>
      <c r="AN3850">
        <v>0.999999958684473</v>
      </c>
    </row>
    <row r="3851" spans="1:40" x14ac:dyDescent="0.3">
      <c r="A3851" t="str">
        <f>"20200111153957598"</f>
        <v>20200111153957598</v>
      </c>
      <c r="B3851" t="str">
        <f>"1578728397595075"</f>
        <v>1578728397595075</v>
      </c>
      <c r="C3851" t="s">
        <v>40</v>
      </c>
      <c r="D3851">
        <v>5.0803880000000001</v>
      </c>
      <c r="E3851">
        <v>0.3660216</v>
      </c>
      <c r="F3851" t="s">
        <v>41</v>
      </c>
      <c r="G3851">
        <v>-300.38850000000002</v>
      </c>
      <c r="H3851">
        <v>1.003439</v>
      </c>
      <c r="I3851">
        <v>-48.107669999999999</v>
      </c>
      <c r="J3851">
        <v>-301.05099999999999</v>
      </c>
      <c r="K3851">
        <v>1.1186579999999999</v>
      </c>
      <c r="L3851">
        <v>-47.978119999999997</v>
      </c>
      <c r="M3851">
        <v>0.32587880000000002</v>
      </c>
      <c r="N3851">
        <v>0</v>
      </c>
      <c r="O3851">
        <v>-0.94532590000000005</v>
      </c>
      <c r="P3851">
        <v>0.59301219999999999</v>
      </c>
      <c r="Q3851">
        <v>6.3958929999999997E-2</v>
      </c>
      <c r="R3851">
        <v>-0.80264930000000001</v>
      </c>
      <c r="S3851">
        <v>2.596832</v>
      </c>
      <c r="T3851">
        <v>-0.35707270000000002</v>
      </c>
      <c r="U3851">
        <v>-1.878387</v>
      </c>
      <c r="V3851">
        <v>-0.30158580000000001</v>
      </c>
      <c r="W3851">
        <v>6.5293390000000007E-2</v>
      </c>
      <c r="X3851">
        <v>0.95120070000000001</v>
      </c>
      <c r="Y3851">
        <v>-0.56938509999999998</v>
      </c>
      <c r="Z3851">
        <v>0.1160554</v>
      </c>
      <c r="AA3851">
        <v>0.81383760000000005</v>
      </c>
      <c r="AB3851">
        <v>34</v>
      </c>
      <c r="AC3851">
        <v>0.66249999999996501</v>
      </c>
      <c r="AD3851">
        <v>-0.115218999999999</v>
      </c>
      <c r="AE3851">
        <v>-0.129549999999994</v>
      </c>
      <c r="AF3851">
        <v>-0.56757322734828597</v>
      </c>
      <c r="AG3851">
        <v>-0.115218999999999</v>
      </c>
      <c r="AH3851">
        <v>0.32880998815429102</v>
      </c>
      <c r="AI3851">
        <v>99.9626647349845</v>
      </c>
      <c r="AJ3851">
        <v>149.91516727238701</v>
      </c>
      <c r="AK3851">
        <v>0.665981076813429</v>
      </c>
      <c r="AL3851">
        <v>86.256301050436406</v>
      </c>
      <c r="AM3851">
        <v>107.59163520716</v>
      </c>
      <c r="AN3851">
        <v>0.99999999660991101</v>
      </c>
    </row>
    <row r="3852" spans="1:40" x14ac:dyDescent="0.3">
      <c r="A3852" t="str">
        <f>"20200111153957633"</f>
        <v>20200111153957633</v>
      </c>
      <c r="B3852" t="str">
        <f>"1578728397625253"</f>
        <v>1578728397625253</v>
      </c>
      <c r="C3852" t="s">
        <v>40</v>
      </c>
      <c r="D3852">
        <v>5.2001609999999996</v>
      </c>
      <c r="E3852">
        <v>0.3775155</v>
      </c>
      <c r="F3852" t="s">
        <v>66</v>
      </c>
      <c r="G3852">
        <v>-292.67239999999998</v>
      </c>
      <c r="H3852" s="1">
        <v>-9.4760280000000003E-6</v>
      </c>
      <c r="I3852">
        <v>-53.726840000000003</v>
      </c>
      <c r="J3852">
        <v>-300.8621</v>
      </c>
      <c r="K3852">
        <v>1.1189089999999999</v>
      </c>
      <c r="L3852">
        <v>-48.45758</v>
      </c>
      <c r="M3852">
        <v>0.35014529999999999</v>
      </c>
      <c r="N3852">
        <v>0</v>
      </c>
      <c r="O3852">
        <v>-0.93660750000000004</v>
      </c>
      <c r="P3852">
        <v>0.6121451</v>
      </c>
      <c r="Q3852">
        <v>6.409115E-2</v>
      </c>
      <c r="R3852">
        <v>-0.7881435</v>
      </c>
      <c r="S3852">
        <v>2.6427309999999999</v>
      </c>
      <c r="T3852">
        <v>-0.35284389999999999</v>
      </c>
      <c r="U3852">
        <v>-1.813232</v>
      </c>
      <c r="V3852">
        <v>-0.29998970000000003</v>
      </c>
      <c r="W3852">
        <v>6.5389989999999995E-2</v>
      </c>
      <c r="X3852">
        <v>0.95169870000000001</v>
      </c>
      <c r="Y3852">
        <v>-0.568636699999999</v>
      </c>
      <c r="Z3852">
        <v>0.11456239999999999</v>
      </c>
      <c r="AA3852">
        <v>0.81457209999999902</v>
      </c>
      <c r="AB3852">
        <v>34</v>
      </c>
      <c r="AC3852">
        <v>8.1897000000000109</v>
      </c>
      <c r="AD3852">
        <v>-1.118918476028</v>
      </c>
      <c r="AE3852">
        <v>-5.2692600000000001</v>
      </c>
      <c r="AF3852">
        <v>-5.7500977413307499</v>
      </c>
      <c r="AG3852">
        <v>-1.118918476028</v>
      </c>
      <c r="AH3852">
        <v>7.7017810390298704</v>
      </c>
      <c r="AI3852">
        <v>96.640169176362505</v>
      </c>
      <c r="AJ3852">
        <v>126.74477011891901</v>
      </c>
      <c r="AK3852">
        <v>9.67641636991784</v>
      </c>
      <c r="AL3852">
        <v>86.250754599765898</v>
      </c>
      <c r="AM3852">
        <v>107.495632935505</v>
      </c>
      <c r="AN3852">
        <v>1.00000004323998</v>
      </c>
    </row>
    <row r="3853" spans="1:40" x14ac:dyDescent="0.3">
      <c r="A3853" t="str">
        <f>"20200111153957666"</f>
        <v>20200111153957666</v>
      </c>
      <c r="B3853" t="str">
        <f>"1578728397654534"</f>
        <v>1578728397654534</v>
      </c>
      <c r="C3853" t="s">
        <v>40</v>
      </c>
      <c r="D3853">
        <v>5.0434950000000001</v>
      </c>
      <c r="E3853">
        <v>0.35340199999999999</v>
      </c>
      <c r="F3853" t="s">
        <v>41</v>
      </c>
      <c r="G3853">
        <v>-300.12380000000002</v>
      </c>
      <c r="H3853">
        <v>1.020481</v>
      </c>
      <c r="I3853">
        <v>-48.96658</v>
      </c>
      <c r="J3853">
        <v>-300.66980000000001</v>
      </c>
      <c r="K3853">
        <v>1.119132</v>
      </c>
      <c r="L3853">
        <v>-48.91019</v>
      </c>
      <c r="M3853">
        <v>0.37342259999999999</v>
      </c>
      <c r="N3853">
        <v>0</v>
      </c>
      <c r="O3853">
        <v>-0.92757149999999999</v>
      </c>
      <c r="P3853">
        <v>0.6299825</v>
      </c>
      <c r="Q3853">
        <v>6.3694870000000001E-2</v>
      </c>
      <c r="R3853">
        <v>-0.77399300000000004</v>
      </c>
      <c r="S3853">
        <v>2.615326</v>
      </c>
      <c r="T3853">
        <v>-0.34871210000000002</v>
      </c>
      <c r="U3853">
        <v>-1.803436</v>
      </c>
      <c r="V3853">
        <v>-0.2979696</v>
      </c>
      <c r="W3853">
        <v>6.4986950000000002E-2</v>
      </c>
      <c r="X3853">
        <v>0.9523606</v>
      </c>
      <c r="Y3853">
        <v>-0.54613279999999997</v>
      </c>
      <c r="Z3853">
        <v>0.1134342</v>
      </c>
      <c r="AA3853">
        <v>0.82998289999999997</v>
      </c>
      <c r="AB3853">
        <v>34</v>
      </c>
      <c r="AC3853">
        <v>0.54599999999999205</v>
      </c>
      <c r="AD3853">
        <v>-9.8651000000000003E-2</v>
      </c>
      <c r="AE3853">
        <v>-5.6390000000000301E-2</v>
      </c>
      <c r="AF3853">
        <v>-0.47024793042129698</v>
      </c>
      <c r="AG3853">
        <v>-9.8651000000000003E-2</v>
      </c>
      <c r="AH3853">
        <v>0.248198890063315</v>
      </c>
      <c r="AI3853">
        <v>100.51050485997899</v>
      </c>
      <c r="AJ3853">
        <v>152.174714101863</v>
      </c>
      <c r="AK3853">
        <v>0.54080294460660505</v>
      </c>
      <c r="AL3853">
        <v>86.273895962551194</v>
      </c>
      <c r="AM3853">
        <v>107.373584699959</v>
      </c>
      <c r="AN3853">
        <v>0.99999994931340996</v>
      </c>
    </row>
    <row r="3854" spans="1:40" x14ac:dyDescent="0.3">
      <c r="A3854" t="str">
        <f>"20200111153957700"</f>
        <v>20200111153957700</v>
      </c>
      <c r="B3854" t="str">
        <f>"1578728397694549"</f>
        <v>1578728397694549</v>
      </c>
      <c r="C3854" t="s">
        <v>40</v>
      </c>
      <c r="D3854">
        <v>5.0455030000000001</v>
      </c>
      <c r="E3854">
        <v>0.35772880000000001</v>
      </c>
      <c r="F3854" t="s">
        <v>66</v>
      </c>
      <c r="G3854">
        <v>-288.51429999999999</v>
      </c>
      <c r="H3854" s="1">
        <v>-2.722485E-6</v>
      </c>
      <c r="I3854">
        <v>-55.909619999999997</v>
      </c>
      <c r="J3854">
        <v>-300.4599</v>
      </c>
      <c r="K3854">
        <v>1.1193409999999999</v>
      </c>
      <c r="L3854">
        <v>-49.372500000000002</v>
      </c>
      <c r="M3854">
        <v>0.39752130000000002</v>
      </c>
      <c r="N3854">
        <v>0</v>
      </c>
      <c r="O3854">
        <v>-0.91750100000000001</v>
      </c>
      <c r="P3854">
        <v>0.64895579999999997</v>
      </c>
      <c r="Q3854">
        <v>6.2610789999999999E-2</v>
      </c>
      <c r="R3854">
        <v>-0.75824579999999997</v>
      </c>
      <c r="S3854">
        <v>2.8042910000000001</v>
      </c>
      <c r="T3854">
        <v>-0.25818539999999901</v>
      </c>
      <c r="U3854">
        <v>-1.6147769999999999</v>
      </c>
      <c r="V3854">
        <v>-0.29664220000000002</v>
      </c>
      <c r="W3854">
        <v>6.3865870000000005E-2</v>
      </c>
      <c r="X3854">
        <v>0.9528508</v>
      </c>
      <c r="Y3854">
        <v>-0.59361609999999998</v>
      </c>
      <c r="Z3854">
        <v>8.3428730000000006E-2</v>
      </c>
      <c r="AA3854">
        <v>0.80041219999999902</v>
      </c>
      <c r="AB3854">
        <v>34</v>
      </c>
      <c r="AC3854">
        <v>11.945600000000001</v>
      </c>
      <c r="AD3854">
        <v>-1.119343722485</v>
      </c>
      <c r="AE3854">
        <v>-6.53711999999999</v>
      </c>
      <c r="AF3854">
        <v>-8.3060384060902006</v>
      </c>
      <c r="AG3854">
        <v>-1.119343722485</v>
      </c>
      <c r="AH3854">
        <v>10.6752205216342</v>
      </c>
      <c r="AI3854">
        <v>94.730757496309394</v>
      </c>
      <c r="AJ3854">
        <v>127.88531269498399</v>
      </c>
      <c r="AK3854">
        <v>13.5721603865425</v>
      </c>
      <c r="AL3854">
        <v>86.338263199580197</v>
      </c>
      <c r="AM3854">
        <v>107.29244774499701</v>
      </c>
      <c r="AN3854">
        <v>1.00000004561616</v>
      </c>
    </row>
    <row r="3855" spans="1:40" x14ac:dyDescent="0.3">
      <c r="A3855" t="str">
        <f>"20200111153957732"</f>
        <v>20200111153957732</v>
      </c>
      <c r="B3855" t="str">
        <f>"1578728397724823"</f>
        <v>1578728397724823</v>
      </c>
      <c r="C3855" t="s">
        <v>40</v>
      </c>
      <c r="D3855">
        <v>5.0349079999999997</v>
      </c>
      <c r="E3855">
        <v>0.36003390000000002</v>
      </c>
      <c r="F3855" t="s">
        <v>66</v>
      </c>
      <c r="G3855">
        <v>-288.53519999999997</v>
      </c>
      <c r="H3855" s="1">
        <v>-2.6892320000000001E-6</v>
      </c>
      <c r="I3855">
        <v>-56.003579999999999</v>
      </c>
      <c r="J3855">
        <v>-300.2371</v>
      </c>
      <c r="K3855">
        <v>1.1195580000000001</v>
      </c>
      <c r="L3855">
        <v>-49.83081</v>
      </c>
      <c r="M3855">
        <v>0.42173919999999998</v>
      </c>
      <c r="N3855">
        <v>0</v>
      </c>
      <c r="O3855">
        <v>-0.90662290000000001</v>
      </c>
      <c r="P3855">
        <v>0.66626980000000002</v>
      </c>
      <c r="Q3855">
        <v>6.3220929999999995E-2</v>
      </c>
      <c r="R3855">
        <v>-0.74302609999999902</v>
      </c>
      <c r="S3855">
        <v>2.8176570000000001</v>
      </c>
      <c r="T3855">
        <v>-0.26448539999999998</v>
      </c>
      <c r="U3855">
        <v>-1.5668329999999999</v>
      </c>
      <c r="V3855">
        <v>-0.29339979999999999</v>
      </c>
      <c r="W3855">
        <v>6.4526349999999996E-2</v>
      </c>
      <c r="X3855">
        <v>0.95380969999999998</v>
      </c>
      <c r="Y3855">
        <v>-0.58406250000000004</v>
      </c>
      <c r="Z3855">
        <v>8.5309570000000001E-2</v>
      </c>
      <c r="AA3855">
        <v>0.80721319999999996</v>
      </c>
      <c r="AB3855">
        <v>34</v>
      </c>
      <c r="AC3855">
        <v>11.7019</v>
      </c>
      <c r="AD3855">
        <v>-1.119560689232</v>
      </c>
      <c r="AE3855">
        <v>-6.1727699999999999</v>
      </c>
      <c r="AF3855">
        <v>-7.9496695605215404</v>
      </c>
      <c r="AG3855">
        <v>-1.119560689232</v>
      </c>
      <c r="AH3855">
        <v>10.457540170729301</v>
      </c>
      <c r="AI3855">
        <v>94.871416312534905</v>
      </c>
      <c r="AJ3855">
        <v>127.24156750073099</v>
      </c>
      <c r="AK3855">
        <v>13.1837327294198</v>
      </c>
      <c r="AL3855">
        <v>86.300342162979305</v>
      </c>
      <c r="AM3855">
        <v>107.098332942098</v>
      </c>
      <c r="AN3855">
        <v>1.0000000181492199</v>
      </c>
    </row>
    <row r="3856" spans="1:40" x14ac:dyDescent="0.3">
      <c r="A3856" t="str">
        <f>"20200111153957766"</f>
        <v>20200111153957766</v>
      </c>
      <c r="B3856" t="str">
        <f>"1578728397755062"</f>
        <v>1578728397755062</v>
      </c>
      <c r="C3856" t="s">
        <v>40</v>
      </c>
      <c r="D3856">
        <v>5.0375709999999998</v>
      </c>
      <c r="E3856">
        <v>0.36187180000000002</v>
      </c>
      <c r="F3856" t="s">
        <v>41</v>
      </c>
      <c r="G3856">
        <v>-299.43549999999999</v>
      </c>
      <c r="H3856">
        <v>1.0452589999999999</v>
      </c>
      <c r="I3856">
        <v>-50.257950000000001</v>
      </c>
      <c r="J3856">
        <v>-300.0043</v>
      </c>
      <c r="K3856">
        <v>1.1197520000000001</v>
      </c>
      <c r="L3856">
        <v>-50.277560000000001</v>
      </c>
      <c r="M3856">
        <v>0.44567560000000001</v>
      </c>
      <c r="N3856">
        <v>0</v>
      </c>
      <c r="O3856">
        <v>-0.895097899999999</v>
      </c>
      <c r="P3856">
        <v>0.68428040000000001</v>
      </c>
      <c r="Q3856">
        <v>6.4371120000000004E-2</v>
      </c>
      <c r="R3856">
        <v>-0.72637220000000002</v>
      </c>
      <c r="S3856">
        <v>2.8404850000000001</v>
      </c>
      <c r="T3856">
        <v>-0.26320359999999998</v>
      </c>
      <c r="U3856">
        <v>-1.512848</v>
      </c>
      <c r="V3856">
        <v>-0.29156130000000002</v>
      </c>
      <c r="W3856">
        <v>6.5677369999999999E-2</v>
      </c>
      <c r="X3856">
        <v>0.9542948</v>
      </c>
      <c r="Y3856">
        <v>-0.57718100000000006</v>
      </c>
      <c r="Z3856">
        <v>8.4573560000000006E-2</v>
      </c>
      <c r="AA3856">
        <v>0.81222490000000003</v>
      </c>
      <c r="AB3856">
        <v>34</v>
      </c>
      <c r="AC3856">
        <v>0.56880000000000996</v>
      </c>
      <c r="AD3856">
        <v>-7.4493000000000101E-2</v>
      </c>
      <c r="AE3856">
        <v>1.96100000000001E-2</v>
      </c>
      <c r="AF3856">
        <v>-0.50919293982065605</v>
      </c>
      <c r="AG3856">
        <v>-7.4493000000000101E-2</v>
      </c>
      <c r="AH3856">
        <v>0.231993424986287</v>
      </c>
      <c r="AI3856">
        <v>97.583181042034298</v>
      </c>
      <c r="AJ3856">
        <v>155.50551294118799</v>
      </c>
      <c r="AK3856">
        <v>0.56448880081811204</v>
      </c>
      <c r="AL3856">
        <v>86.234253444048605</v>
      </c>
      <c r="AM3856">
        <v>106.98924300435399</v>
      </c>
      <c r="AN3856">
        <v>1.00000003694742</v>
      </c>
    </row>
    <row r="3857" spans="1:40" x14ac:dyDescent="0.3">
      <c r="A3857" t="str">
        <f>"20200111153957801"</f>
        <v>20200111153957801</v>
      </c>
      <c r="B3857" t="str">
        <f>"1578728397795077"</f>
        <v>1578728397795077</v>
      </c>
      <c r="C3857" t="s">
        <v>40</v>
      </c>
      <c r="D3857">
        <v>5.046322</v>
      </c>
      <c r="E3857">
        <v>0.36397639999999998</v>
      </c>
      <c r="F3857" t="s">
        <v>41</v>
      </c>
      <c r="G3857">
        <v>-299.1037</v>
      </c>
      <c r="H3857">
        <v>1.0371600000000001</v>
      </c>
      <c r="I3857">
        <v>-50.734200000000001</v>
      </c>
      <c r="J3857">
        <v>-299.75470000000001</v>
      </c>
      <c r="K3857">
        <v>1.1199319999999999</v>
      </c>
      <c r="L3857">
        <v>-50.727780000000003</v>
      </c>
      <c r="M3857">
        <v>0.47007850000000001</v>
      </c>
      <c r="N3857">
        <v>0</v>
      </c>
      <c r="O3857">
        <v>-0.88252559999999902</v>
      </c>
      <c r="P3857">
        <v>0.70253849999999995</v>
      </c>
      <c r="Q3857">
        <v>6.3315750000000004E-2</v>
      </c>
      <c r="R3857">
        <v>-0.7088236</v>
      </c>
      <c r="S3857">
        <v>2.8665470000000002</v>
      </c>
      <c r="T3857">
        <v>-0.262824</v>
      </c>
      <c r="U3857">
        <v>-1.453003</v>
      </c>
      <c r="V3857">
        <v>-0.28959089999999998</v>
      </c>
      <c r="W3857">
        <v>6.4635780000000004E-2</v>
      </c>
      <c r="X3857">
        <v>0.95496559999999997</v>
      </c>
      <c r="Y3857">
        <v>-0.57126460000000001</v>
      </c>
      <c r="Z3857">
        <v>8.402809E-2</v>
      </c>
      <c r="AA3857">
        <v>0.81645330000000005</v>
      </c>
      <c r="AB3857">
        <v>34</v>
      </c>
      <c r="AC3857">
        <v>0.65100000000001002</v>
      </c>
      <c r="AD3857">
        <v>-8.2771999999999804E-2</v>
      </c>
      <c r="AE3857">
        <v>-6.4200000000056399E-3</v>
      </c>
      <c r="AF3857">
        <v>-0.56246424710045895</v>
      </c>
      <c r="AG3857">
        <v>-8.2771999999999804E-2</v>
      </c>
      <c r="AH3857">
        <v>0.306755602433261</v>
      </c>
      <c r="AI3857">
        <v>97.361545226419494</v>
      </c>
      <c r="AJ3857">
        <v>151.39292239132601</v>
      </c>
      <c r="AK3857">
        <v>0.64600018024337902</v>
      </c>
      <c r="AL3857">
        <v>86.294059048061996</v>
      </c>
      <c r="AM3857">
        <v>106.869794225417</v>
      </c>
      <c r="AN3857">
        <v>0.99999998530118905</v>
      </c>
    </row>
    <row r="3858" spans="1:40" x14ac:dyDescent="0.3">
      <c r="A3858" t="str">
        <f>"20200111153957834"</f>
        <v>20200111153957834</v>
      </c>
      <c r="B3858" t="str">
        <f>"1578728397825333"</f>
        <v>1578728397825333</v>
      </c>
      <c r="C3858" t="s">
        <v>40</v>
      </c>
      <c r="D3858">
        <v>4.8474209999999998</v>
      </c>
      <c r="E3858">
        <v>0.36435830000000002</v>
      </c>
      <c r="F3858" t="s">
        <v>66</v>
      </c>
      <c r="G3858">
        <v>-287.7045</v>
      </c>
      <c r="H3858" s="1">
        <v>-3.0655760000000001E-6</v>
      </c>
      <c r="I3858">
        <v>-56.522219999999997</v>
      </c>
      <c r="J3858">
        <v>-299.50279999999998</v>
      </c>
      <c r="K3858">
        <v>1.120106</v>
      </c>
      <c r="L3858">
        <v>-51.155000000000001</v>
      </c>
      <c r="M3858">
        <v>0.49347980000000002</v>
      </c>
      <c r="N3858">
        <v>0</v>
      </c>
      <c r="O3858">
        <v>-0.86965579999999998</v>
      </c>
      <c r="P3858">
        <v>0.72042130000000004</v>
      </c>
      <c r="Q3858">
        <v>6.3015959999999996E-2</v>
      </c>
      <c r="R3858">
        <v>-0.69066799999999995</v>
      </c>
      <c r="S3858">
        <v>2.8915709999999999</v>
      </c>
      <c r="T3858">
        <v>-0.26874120000000001</v>
      </c>
      <c r="U3858">
        <v>-1.390442</v>
      </c>
      <c r="V3858">
        <v>-0.28849330000000001</v>
      </c>
      <c r="W3858">
        <v>6.4316029999999996E-2</v>
      </c>
      <c r="X3858">
        <v>0.95531929999999998</v>
      </c>
      <c r="Y3858">
        <v>-0.56631390000000004</v>
      </c>
      <c r="Z3858">
        <v>8.5456909999999997E-2</v>
      </c>
      <c r="AA3858">
        <v>0.81974729999999996</v>
      </c>
      <c r="AB3858">
        <v>34</v>
      </c>
      <c r="AC3858">
        <v>11.7982999999999</v>
      </c>
      <c r="AD3858">
        <v>-1.120109065576</v>
      </c>
      <c r="AE3858">
        <v>-5.3672199999999899</v>
      </c>
      <c r="AF3858">
        <v>-7.5560896552436203</v>
      </c>
      <c r="AG3858">
        <v>-1.120109065576</v>
      </c>
      <c r="AH3858">
        <v>10.4130199731621</v>
      </c>
      <c r="AI3858">
        <v>94.975730229587896</v>
      </c>
      <c r="AJ3858">
        <v>125.966089121775</v>
      </c>
      <c r="AK3858">
        <v>12.914337774672701</v>
      </c>
      <c r="AL3858">
        <v>86.312417444296997</v>
      </c>
      <c r="AM3858">
        <v>106.803594562889</v>
      </c>
      <c r="AN3858">
        <v>0.99999995040616896</v>
      </c>
    </row>
    <row r="3859" spans="1:40" x14ac:dyDescent="0.3">
      <c r="A3859" t="str">
        <f>"20200111153957867"</f>
        <v>20200111153957867</v>
      </c>
      <c r="B3859" t="str">
        <f>"1578728397854613"</f>
        <v>1578728397854613</v>
      </c>
      <c r="C3859" t="s">
        <v>40</v>
      </c>
      <c r="D3859">
        <v>4.9284619999999997</v>
      </c>
      <c r="E3859">
        <v>0.34455520000000001</v>
      </c>
      <c r="F3859" t="s">
        <v>41</v>
      </c>
      <c r="G3859">
        <v>-298.68849999999998</v>
      </c>
      <c r="H3859">
        <v>1.045302</v>
      </c>
      <c r="I3859">
        <v>-51.52196</v>
      </c>
      <c r="J3859">
        <v>-299.23899999999998</v>
      </c>
      <c r="K3859">
        <v>1.1202529999999999</v>
      </c>
      <c r="L3859">
        <v>-51.574489999999997</v>
      </c>
      <c r="M3859">
        <v>0.51671679999999998</v>
      </c>
      <c r="N3859">
        <v>0</v>
      </c>
      <c r="O3859">
        <v>-0.85605229999999999</v>
      </c>
      <c r="P3859">
        <v>0.73843219999999898</v>
      </c>
      <c r="Q3859">
        <v>6.121472E-2</v>
      </c>
      <c r="R3859">
        <v>-0.67154340000000001</v>
      </c>
      <c r="S3859">
        <v>2.9244379999999999</v>
      </c>
      <c r="T3859">
        <v>-0.26863320000000002</v>
      </c>
      <c r="U3859">
        <v>-1.317688</v>
      </c>
      <c r="V3859">
        <v>-0.28790100000000002</v>
      </c>
      <c r="W3859">
        <v>6.2479140000000002E-2</v>
      </c>
      <c r="X3859">
        <v>0.95561989999999997</v>
      </c>
      <c r="Y3859">
        <v>-0.56458980000000003</v>
      </c>
      <c r="Z3859">
        <v>8.4869029999999998E-2</v>
      </c>
      <c r="AA3859">
        <v>0.82099679999999997</v>
      </c>
      <c r="AB3859">
        <v>34</v>
      </c>
      <c r="AC3859">
        <v>0.55050000000005594</v>
      </c>
      <c r="AD3859">
        <v>-7.4951000000000198E-2</v>
      </c>
      <c r="AE3859">
        <v>5.25300000000044E-2</v>
      </c>
      <c r="AF3859">
        <v>-0.48945319828456402</v>
      </c>
      <c r="AG3859">
        <v>-7.4951000000000198E-2</v>
      </c>
      <c r="AH3859">
        <v>0.235185215077024</v>
      </c>
      <c r="AI3859">
        <v>97.858589050825202</v>
      </c>
      <c r="AJ3859">
        <v>154.33543445418499</v>
      </c>
      <c r="AK3859">
        <v>0.54817348631871599</v>
      </c>
      <c r="AL3859">
        <v>86.417875871398294</v>
      </c>
      <c r="AM3859">
        <v>106.766054900187</v>
      </c>
      <c r="AN3859">
        <v>1.0000000110060701</v>
      </c>
    </row>
    <row r="3860" spans="1:40" x14ac:dyDescent="0.3">
      <c r="A3860" t="str">
        <f>"20200111153957901"</f>
        <v>20200111153957901</v>
      </c>
      <c r="B3860" t="str">
        <f>"1578728397894629"</f>
        <v>1578728397894629</v>
      </c>
      <c r="C3860" t="s">
        <v>40</v>
      </c>
      <c r="D3860">
        <v>5.0163039999999999</v>
      </c>
      <c r="E3860">
        <v>0.35675279999999998</v>
      </c>
      <c r="F3860" t="s">
        <v>66</v>
      </c>
      <c r="G3860">
        <v>-286.6617</v>
      </c>
      <c r="H3860" s="1">
        <v>-3.7238650000000001E-6</v>
      </c>
      <c r="I3860">
        <v>-56.178829999999998</v>
      </c>
      <c r="J3860">
        <v>-298.95209999999997</v>
      </c>
      <c r="K3860">
        <v>1.1203890000000001</v>
      </c>
      <c r="L3860">
        <v>-52.005249999999997</v>
      </c>
      <c r="M3860">
        <v>0.54075499999999999</v>
      </c>
      <c r="N3860">
        <v>0</v>
      </c>
      <c r="O3860">
        <v>-0.84107350000000003</v>
      </c>
      <c r="P3860">
        <v>0.75706200000000001</v>
      </c>
      <c r="Q3860">
        <v>6.1250220000000001E-2</v>
      </c>
      <c r="R3860">
        <v>-0.65046550000000003</v>
      </c>
      <c r="S3860">
        <v>3.0649109999999999</v>
      </c>
      <c r="T3860">
        <v>-0.27299030000000002</v>
      </c>
      <c r="U3860">
        <v>-1.122009</v>
      </c>
      <c r="V3860">
        <v>-0.28779159999999998</v>
      </c>
      <c r="W3860">
        <v>6.2461049999999997E-2</v>
      </c>
      <c r="X3860">
        <v>0.955654</v>
      </c>
      <c r="Y3860">
        <v>-0.60010859999999899</v>
      </c>
      <c r="Z3860">
        <v>8.5230429999999996E-2</v>
      </c>
      <c r="AA3860">
        <v>0.79536499999999999</v>
      </c>
      <c r="AB3860">
        <v>34</v>
      </c>
      <c r="AC3860">
        <v>12.290399999999901</v>
      </c>
      <c r="AD3860">
        <v>-1.12039272386499</v>
      </c>
      <c r="AE3860">
        <v>-4.1735800000000003</v>
      </c>
      <c r="AF3860">
        <v>-8.0212048677098</v>
      </c>
      <c r="AG3860">
        <v>-1.12039272386499</v>
      </c>
      <c r="AH3860">
        <v>10.082172275608899</v>
      </c>
      <c r="AI3860">
        <v>94.970051065071203</v>
      </c>
      <c r="AJ3860">
        <v>128.50516112462799</v>
      </c>
      <c r="AK3860">
        <v>12.9323317766177</v>
      </c>
      <c r="AL3860">
        <v>86.418914261192796</v>
      </c>
      <c r="AM3860">
        <v>106.759476755048</v>
      </c>
      <c r="AN3860">
        <v>0.99999997775683103</v>
      </c>
    </row>
    <row r="3861" spans="1:40" x14ac:dyDescent="0.3">
      <c r="A3861" t="str">
        <f>"20200111153957934"</f>
        <v>20200111153957934</v>
      </c>
      <c r="B3861" t="str">
        <f>"1578728397924671"</f>
        <v>1578728397924671</v>
      </c>
      <c r="C3861" t="s">
        <v>40</v>
      </c>
      <c r="D3861">
        <v>4.8480049999999997</v>
      </c>
      <c r="E3861">
        <v>0.35866749999999997</v>
      </c>
      <c r="F3861" t="s">
        <v>66</v>
      </c>
      <c r="G3861">
        <v>-287.83879999999999</v>
      </c>
      <c r="H3861" s="1">
        <v>-3.0844870000000001E-6</v>
      </c>
      <c r="I3861">
        <v>-56.079830000000001</v>
      </c>
      <c r="J3861">
        <v>-298.66500000000002</v>
      </c>
      <c r="K3861">
        <v>1.1204799999999999</v>
      </c>
      <c r="L3861">
        <v>-52.412019999999998</v>
      </c>
      <c r="M3861">
        <v>0.56359499999999996</v>
      </c>
      <c r="N3861">
        <v>0</v>
      </c>
      <c r="O3861">
        <v>-0.82594210000000001</v>
      </c>
      <c r="P3861">
        <v>0.77367069999999905</v>
      </c>
      <c r="Q3861">
        <v>5.9118070000000002E-2</v>
      </c>
      <c r="R3861">
        <v>-0.63082389999999999</v>
      </c>
      <c r="S3861">
        <v>3.0321959999999999</v>
      </c>
      <c r="T3861">
        <v>-0.30569220000000003</v>
      </c>
      <c r="U3861">
        <v>-1.1117250000000001</v>
      </c>
      <c r="V3861">
        <v>-0.2862034</v>
      </c>
      <c r="W3861">
        <v>6.035169E-2</v>
      </c>
      <c r="X3861">
        <v>0.95626630000000001</v>
      </c>
      <c r="Y3861">
        <v>-0.57663699999999996</v>
      </c>
      <c r="Z3861">
        <v>9.4826939999999998E-2</v>
      </c>
      <c r="AA3861">
        <v>0.811478699999999</v>
      </c>
      <c r="AB3861">
        <v>34</v>
      </c>
      <c r="AC3861">
        <v>10.8262</v>
      </c>
      <c r="AD3861">
        <v>-1.120483084487</v>
      </c>
      <c r="AE3861">
        <v>-3.6678099999999998</v>
      </c>
      <c r="AF3861">
        <v>-6.80984040456761</v>
      </c>
      <c r="AG3861">
        <v>-1.120483084487</v>
      </c>
      <c r="AH3861">
        <v>9.0449034567454198</v>
      </c>
      <c r="AI3861">
        <v>95.651956140195693</v>
      </c>
      <c r="AJ3861">
        <v>126.975818147865</v>
      </c>
      <c r="AK3861">
        <v>11.3771563767115</v>
      </c>
      <c r="AL3861">
        <v>86.540000208714204</v>
      </c>
      <c r="AM3861">
        <v>106.66205106604301</v>
      </c>
      <c r="AN3861">
        <v>0.99999997458655199</v>
      </c>
    </row>
    <row r="3862" spans="1:40" x14ac:dyDescent="0.3">
      <c r="A3862" t="str">
        <f>"20200111153957961"</f>
        <v>20200111153957961</v>
      </c>
      <c r="B3862" t="str">
        <f>"1578728397954927"</f>
        <v>1578728397954927</v>
      </c>
      <c r="C3862" t="s">
        <v>40</v>
      </c>
      <c r="D3862">
        <v>4.9776290000000003</v>
      </c>
      <c r="E3862">
        <v>0.36065809999999998</v>
      </c>
      <c r="F3862" t="s">
        <v>41</v>
      </c>
      <c r="G3862">
        <v>-297.82139999999998</v>
      </c>
      <c r="H3862">
        <v>1.030737</v>
      </c>
      <c r="I3862">
        <v>-52.701230000000002</v>
      </c>
      <c r="J3862">
        <v>-298.42</v>
      </c>
      <c r="K3862">
        <v>1.120544</v>
      </c>
      <c r="L3862">
        <v>-52.740079999999999</v>
      </c>
      <c r="M3862">
        <v>0.58213749999999997</v>
      </c>
      <c r="N3862">
        <v>0</v>
      </c>
      <c r="O3862">
        <v>-0.81297900000000001</v>
      </c>
      <c r="P3862">
        <v>0.78647199999999995</v>
      </c>
      <c r="Q3862">
        <v>5.5831220000000001E-2</v>
      </c>
      <c r="R3862">
        <v>-0.61509759999999902</v>
      </c>
      <c r="S3862">
        <v>3.0499269999999998</v>
      </c>
      <c r="T3862">
        <v>-0.32443880000000003</v>
      </c>
      <c r="U3862">
        <v>-1.0455319999999999</v>
      </c>
      <c r="V3862">
        <v>-0.28392119999999998</v>
      </c>
      <c r="W3862">
        <v>5.7133839999999998E-2</v>
      </c>
      <c r="X3862">
        <v>0.95714390000000005</v>
      </c>
      <c r="Y3862">
        <v>-0.57478569999999995</v>
      </c>
      <c r="Z3862">
        <v>9.9996340000000003E-2</v>
      </c>
      <c r="AA3862">
        <v>0.81217119999999998</v>
      </c>
      <c r="AB3862">
        <v>34</v>
      </c>
      <c r="AC3862">
        <v>0.59860000000003299</v>
      </c>
      <c r="AD3862">
        <v>-8.9806999999999901E-2</v>
      </c>
      <c r="AE3862">
        <v>3.8850000000003597E-2</v>
      </c>
      <c r="AF3862">
        <v>-0.49814588976083601</v>
      </c>
      <c r="AG3862">
        <v>-8.9806999999999901E-2</v>
      </c>
      <c r="AH3862">
        <v>0.309964391952462</v>
      </c>
      <c r="AI3862">
        <v>98.702665395475705</v>
      </c>
      <c r="AJ3862">
        <v>148.108631981077</v>
      </c>
      <c r="AK3862">
        <v>0.59354237339306604</v>
      </c>
      <c r="AL3862">
        <v>86.724688478701594</v>
      </c>
      <c r="AM3862">
        <v>106.522134854252</v>
      </c>
      <c r="AN3862">
        <v>0.99999998439489701</v>
      </c>
    </row>
    <row r="3863" spans="1:40" x14ac:dyDescent="0.3">
      <c r="A3863" t="str">
        <f>"20200111153957983"</f>
        <v>20200111153957983</v>
      </c>
      <c r="B3863" t="str">
        <f>"1578728397975423"</f>
        <v>1578728397975423</v>
      </c>
      <c r="C3863" t="s">
        <v>40</v>
      </c>
      <c r="D3863">
        <v>4.8581089999999998</v>
      </c>
      <c r="E3863">
        <v>0.36134480000000002</v>
      </c>
      <c r="F3863" t="s">
        <v>66</v>
      </c>
      <c r="G3863">
        <v>-288.29149999999998</v>
      </c>
      <c r="H3863" s="1">
        <v>-2.8269360000000001E-6</v>
      </c>
      <c r="I3863">
        <v>-56.03295</v>
      </c>
      <c r="J3863">
        <v>-298.2183</v>
      </c>
      <c r="K3863">
        <v>1.120587</v>
      </c>
      <c r="L3863">
        <v>-52.999569999999999</v>
      </c>
      <c r="M3863">
        <v>0.59683920000000001</v>
      </c>
      <c r="N3863">
        <v>0</v>
      </c>
      <c r="O3863">
        <v>-0.80224740000000005</v>
      </c>
      <c r="P3863">
        <v>0.79584279999999996</v>
      </c>
      <c r="Q3863">
        <v>5.3238670000000002E-2</v>
      </c>
      <c r="R3863">
        <v>-0.60315869999999905</v>
      </c>
      <c r="S3863">
        <v>3.0603940000000001</v>
      </c>
      <c r="T3863">
        <v>-0.33858179999999999</v>
      </c>
      <c r="U3863">
        <v>-0.99496459999999998</v>
      </c>
      <c r="V3863">
        <v>-0.28098689999999998</v>
      </c>
      <c r="W3863">
        <v>5.46496E-2</v>
      </c>
      <c r="X3863">
        <v>0.95815439999999996</v>
      </c>
      <c r="Y3863">
        <v>-0.57239130000000005</v>
      </c>
      <c r="Z3863">
        <v>0.1037883</v>
      </c>
      <c r="AA3863">
        <v>0.81338559999999904</v>
      </c>
      <c r="AB3863">
        <v>34</v>
      </c>
      <c r="AC3863">
        <v>9.9268000000000107</v>
      </c>
      <c r="AD3863">
        <v>-1.120589826936</v>
      </c>
      <c r="AE3863">
        <v>-3.0333800000000002</v>
      </c>
      <c r="AF3863">
        <v>-6.0829737496404297</v>
      </c>
      <c r="AG3863">
        <v>-1.120589826936</v>
      </c>
      <c r="AH3863">
        <v>8.2626855696674095</v>
      </c>
      <c r="AI3863">
        <v>96.232893740221002</v>
      </c>
      <c r="AJ3863">
        <v>126.36043130313099</v>
      </c>
      <c r="AK3863">
        <v>10.3213499127893</v>
      </c>
      <c r="AL3863">
        <v>86.8672479891667</v>
      </c>
      <c r="AM3863">
        <v>106.34422231380201</v>
      </c>
      <c r="AN3863">
        <v>1.00000003549556</v>
      </c>
    </row>
    <row r="3864" spans="1:40" x14ac:dyDescent="0.3">
      <c r="A3864" t="str">
        <f>"20200111153958004"</f>
        <v>20200111153958004</v>
      </c>
      <c r="B3864" t="str">
        <f>"1578728397994943"</f>
        <v>1578728397994943</v>
      </c>
      <c r="C3864" t="s">
        <v>40</v>
      </c>
      <c r="D3864">
        <v>4.8628400000000003</v>
      </c>
      <c r="E3864">
        <v>0.36053839999999998</v>
      </c>
      <c r="F3864" t="s">
        <v>66</v>
      </c>
      <c r="G3864">
        <v>-287.96559999999999</v>
      </c>
      <c r="H3864" s="1">
        <v>-2.98855E-6</v>
      </c>
      <c r="I3864">
        <v>-56.1736199999999</v>
      </c>
      <c r="J3864">
        <v>-298.01659999999998</v>
      </c>
      <c r="K3864">
        <v>1.1206259999999999</v>
      </c>
      <c r="L3864">
        <v>-53.249630000000003</v>
      </c>
      <c r="M3864">
        <v>0.61103980000000002</v>
      </c>
      <c r="N3864">
        <v>0</v>
      </c>
      <c r="O3864">
        <v>-0.79148479999999999</v>
      </c>
      <c r="P3864">
        <v>0.80532959999999998</v>
      </c>
      <c r="Q3864">
        <v>5.3003219999999997E-2</v>
      </c>
      <c r="R3864">
        <v>-0.5904528</v>
      </c>
      <c r="S3864">
        <v>3.0714419999999998</v>
      </c>
      <c r="T3864">
        <v>-0.33570080000000002</v>
      </c>
      <c r="U3864">
        <v>-0.95086669999999995</v>
      </c>
      <c r="V3864">
        <v>-0.27912859999999901</v>
      </c>
      <c r="W3864">
        <v>5.4476289999999997E-2</v>
      </c>
      <c r="X3864">
        <v>0.95870719999999998</v>
      </c>
      <c r="Y3864">
        <v>-0.56944039999999996</v>
      </c>
      <c r="Z3864">
        <v>0.102226</v>
      </c>
      <c r="AA3864">
        <v>0.81565149999999997</v>
      </c>
      <c r="AB3864">
        <v>34</v>
      </c>
      <c r="AC3864">
        <v>10.050999999999901</v>
      </c>
      <c r="AD3864">
        <v>-1.12062898855</v>
      </c>
      <c r="AE3864">
        <v>-2.9239899999999799</v>
      </c>
      <c r="AF3864">
        <v>-6.0991984427868404</v>
      </c>
      <c r="AG3864">
        <v>-1.12062898855</v>
      </c>
      <c r="AH3864">
        <v>8.3608017701875195</v>
      </c>
      <c r="AI3864">
        <v>96.180083856979394</v>
      </c>
      <c r="AJ3864">
        <v>126.110722162549</v>
      </c>
      <c r="AK3864">
        <v>10.4095646986241</v>
      </c>
      <c r="AL3864">
        <v>86.877192525064203</v>
      </c>
      <c r="AM3864">
        <v>106.232973985431</v>
      </c>
      <c r="AN3864">
        <v>0.99999996842098104</v>
      </c>
    </row>
    <row r="3865" spans="1:40" x14ac:dyDescent="0.3">
      <c r="A3865" t="str">
        <f>"20200111153958046"</f>
        <v>20200111153958046</v>
      </c>
      <c r="B3865" t="str">
        <f>"1578728398035272"</f>
        <v>1578728398035272</v>
      </c>
      <c r="C3865" t="s">
        <v>40</v>
      </c>
      <c r="D3865">
        <v>4.9071410000000002</v>
      </c>
      <c r="E3865">
        <v>0.36173850000000002</v>
      </c>
      <c r="F3865" t="s">
        <v>41</v>
      </c>
      <c r="G3865">
        <v>-297.01769999999999</v>
      </c>
      <c r="H3865">
        <v>1.0162659999999999</v>
      </c>
      <c r="I3865">
        <v>-53.539479999999998</v>
      </c>
      <c r="J3865">
        <v>-297.61689999999999</v>
      </c>
      <c r="K3865">
        <v>1.120719</v>
      </c>
      <c r="L3865">
        <v>-53.719940000000001</v>
      </c>
      <c r="M3865">
        <v>0.63780150000000002</v>
      </c>
      <c r="N3865">
        <v>0</v>
      </c>
      <c r="O3865">
        <v>-0.77008219999999905</v>
      </c>
      <c r="P3865">
        <v>0.82283449999999903</v>
      </c>
      <c r="Q3865">
        <v>5.7301579999999998E-2</v>
      </c>
      <c r="R3865">
        <v>-0.56538509999999997</v>
      </c>
      <c r="S3865">
        <v>3.089569</v>
      </c>
      <c r="T3865">
        <v>-0.32271329999999998</v>
      </c>
      <c r="U3865">
        <v>-0.89584349999999902</v>
      </c>
      <c r="V3865">
        <v>-0.27575309999999997</v>
      </c>
      <c r="W3865">
        <v>5.8885649999999998E-2</v>
      </c>
      <c r="X3865">
        <v>0.95942309999999997</v>
      </c>
      <c r="Y3865">
        <v>-0.55655779999999999</v>
      </c>
      <c r="Z3865">
        <v>9.6408720000000003E-2</v>
      </c>
      <c r="AA3865">
        <v>0.82519619999999905</v>
      </c>
      <c r="AB3865">
        <v>34</v>
      </c>
      <c r="AC3865">
        <v>0.59919999999999596</v>
      </c>
      <c r="AD3865">
        <v>-0.104453</v>
      </c>
      <c r="AE3865">
        <v>0.18045999999999601</v>
      </c>
      <c r="AF3865">
        <v>-0.56095497502862302</v>
      </c>
      <c r="AG3865">
        <v>-0.104453</v>
      </c>
      <c r="AH3865">
        <v>0.23663113011362399</v>
      </c>
      <c r="AI3865">
        <v>99.735206405802998</v>
      </c>
      <c r="AJ3865">
        <v>157.12822072423299</v>
      </c>
      <c r="AK3865">
        <v>0.61771773890444004</v>
      </c>
      <c r="AL3865">
        <v>86.624147849314298</v>
      </c>
      <c r="AM3865">
        <v>106.035472994966</v>
      </c>
      <c r="AN3865">
        <v>0.99999998837457105</v>
      </c>
    </row>
    <row r="3866" spans="1:40" x14ac:dyDescent="0.3">
      <c r="A3866" t="str">
        <f>"20200111153958068"</f>
        <v>20200111153958068</v>
      </c>
      <c r="B3866" t="str">
        <f>"1578728398064552"</f>
        <v>1578728398064552</v>
      </c>
      <c r="C3866" t="s">
        <v>40</v>
      </c>
      <c r="D3866">
        <v>4.9283720000000004</v>
      </c>
      <c r="E3866">
        <v>0.36346119999999998</v>
      </c>
      <c r="F3866" t="s">
        <v>41</v>
      </c>
      <c r="G3866">
        <v>-296.62790000000001</v>
      </c>
      <c r="H3866">
        <v>1.026786</v>
      </c>
      <c r="I3866">
        <v>-53.977400000000003</v>
      </c>
      <c r="J3866">
        <v>-297.38740000000001</v>
      </c>
      <c r="K3866">
        <v>1.120762</v>
      </c>
      <c r="L3866">
        <v>-53.976140000000001</v>
      </c>
      <c r="M3866">
        <v>0.65239279999999999</v>
      </c>
      <c r="N3866">
        <v>0</v>
      </c>
      <c r="O3866">
        <v>-0.75776049999999995</v>
      </c>
      <c r="P3866">
        <v>0.83339079999999999</v>
      </c>
      <c r="Q3866">
        <v>5.9262860000000001E-2</v>
      </c>
      <c r="R3866">
        <v>-0.54949769999999998</v>
      </c>
      <c r="S3866">
        <v>3.1104129999999999</v>
      </c>
      <c r="T3866">
        <v>-0.29538599999999998</v>
      </c>
      <c r="U3866">
        <v>-0.8093262</v>
      </c>
      <c r="V3866">
        <v>-0.27581470000000002</v>
      </c>
      <c r="W3866">
        <v>6.0821939999999998E-2</v>
      </c>
      <c r="X3866">
        <v>0.95928460000000004</v>
      </c>
      <c r="Y3866">
        <v>-0.56444669999999997</v>
      </c>
      <c r="Z3866">
        <v>8.7963219999999995E-2</v>
      </c>
      <c r="AA3866">
        <v>0.82076930000000003</v>
      </c>
      <c r="AB3866">
        <v>34</v>
      </c>
      <c r="AC3866">
        <v>0.75950000000000195</v>
      </c>
      <c r="AD3866">
        <v>-9.3976000000000004E-2</v>
      </c>
      <c r="AE3866">
        <v>-1.2600000000020299E-3</v>
      </c>
      <c r="AF3866">
        <v>-0.56608281171062602</v>
      </c>
      <c r="AG3866">
        <v>-9.3976000000000004E-2</v>
      </c>
      <c r="AH3866">
        <v>0.489005744452706</v>
      </c>
      <c r="AI3866">
        <v>97.160455290765498</v>
      </c>
      <c r="AJ3866">
        <v>139.17818933567401</v>
      </c>
      <c r="AK3866">
        <v>0.75392828332537998</v>
      </c>
      <c r="AL3866">
        <v>86.513007369929198</v>
      </c>
      <c r="AM3866">
        <v>106.04106747872299</v>
      </c>
      <c r="AN3866">
        <v>1.0000000004592999</v>
      </c>
    </row>
    <row r="3867" spans="1:40" x14ac:dyDescent="0.3">
      <c r="A3867" t="str">
        <f>"20200111153958091"</f>
        <v>20200111153958091</v>
      </c>
      <c r="B3867" t="str">
        <f>"1578728398085048"</f>
        <v>1578728398085048</v>
      </c>
      <c r="C3867" t="s">
        <v>40</v>
      </c>
      <c r="D3867">
        <v>4.928623</v>
      </c>
      <c r="E3867">
        <v>0.36457260000000002</v>
      </c>
      <c r="F3867" t="s">
        <v>41</v>
      </c>
      <c r="G3867">
        <v>-296.43979999999999</v>
      </c>
      <c r="H3867">
        <v>1.03335</v>
      </c>
      <c r="I3867">
        <v>-54.208089999999999</v>
      </c>
      <c r="J3867">
        <v>-297.1515</v>
      </c>
      <c r="K3867">
        <v>1.12079</v>
      </c>
      <c r="L3867">
        <v>-54.229579999999999</v>
      </c>
      <c r="M3867">
        <v>0.66682030000000003</v>
      </c>
      <c r="N3867">
        <v>0</v>
      </c>
      <c r="O3867">
        <v>-0.74509609999999904</v>
      </c>
      <c r="P3867">
        <v>0.84445720000000002</v>
      </c>
      <c r="Q3867">
        <v>5.9651530000000001E-2</v>
      </c>
      <c r="R3867">
        <v>-0.53229110000000002</v>
      </c>
      <c r="S3867">
        <v>3.1171570000000002</v>
      </c>
      <c r="T3867">
        <v>-0.28756120000000002</v>
      </c>
      <c r="U3867">
        <v>-0.7629089</v>
      </c>
      <c r="V3867">
        <v>-0.27707080000000001</v>
      </c>
      <c r="W3867">
        <v>6.1134170000000002E-2</v>
      </c>
      <c r="X3867">
        <v>0.9589027</v>
      </c>
      <c r="Y3867">
        <v>-0.560836</v>
      </c>
      <c r="Z3867">
        <v>8.4900420000000004E-2</v>
      </c>
      <c r="AA3867">
        <v>0.82356229999999997</v>
      </c>
      <c r="AB3867">
        <v>34</v>
      </c>
      <c r="AC3867">
        <v>0.71170000000000699</v>
      </c>
      <c r="AD3867">
        <v>-8.7439999999999907E-2</v>
      </c>
      <c r="AE3867">
        <v>2.1489999999999999E-2</v>
      </c>
      <c r="AF3867">
        <v>-0.53657250454260197</v>
      </c>
      <c r="AG3867">
        <v>-8.7439999999999907E-2</v>
      </c>
      <c r="AH3867">
        <v>0.45179225372796999</v>
      </c>
      <c r="AI3867">
        <v>97.105654450765499</v>
      </c>
      <c r="AJ3867">
        <v>139.90273355129699</v>
      </c>
      <c r="AK3867">
        <v>0.70687484518811405</v>
      </c>
      <c r="AL3867">
        <v>86.495084559876602</v>
      </c>
      <c r="AM3867">
        <v>106.116421839314</v>
      </c>
      <c r="AN3867">
        <v>1.00000000151075</v>
      </c>
    </row>
    <row r="3868" spans="1:40" x14ac:dyDescent="0.3">
      <c r="A3868" t="str">
        <f>"20200111153958114"</f>
        <v>20200111153958114</v>
      </c>
      <c r="B3868" t="str">
        <f>"1578728398104570"</f>
        <v>1578728398104570</v>
      </c>
      <c r="C3868" t="s">
        <v>40</v>
      </c>
      <c r="D3868">
        <v>4.9538419999999999</v>
      </c>
      <c r="E3868">
        <v>0.365867</v>
      </c>
      <c r="F3868" t="s">
        <v>41</v>
      </c>
      <c r="G3868">
        <v>-296.2466</v>
      </c>
      <c r="H3868">
        <v>1.037393</v>
      </c>
      <c r="I3868">
        <v>-54.434690000000003</v>
      </c>
      <c r="J3868">
        <v>-296.9169</v>
      </c>
      <c r="K3868">
        <v>1.1207940000000001</v>
      </c>
      <c r="L3868">
        <v>-54.472529999999999</v>
      </c>
      <c r="M3868">
        <v>0.68062319999999998</v>
      </c>
      <c r="N3868">
        <v>0</v>
      </c>
      <c r="O3868">
        <v>-0.73250879999999996</v>
      </c>
      <c r="P3868">
        <v>0.85469010000000001</v>
      </c>
      <c r="Q3868">
        <v>5.9332500000000003E-2</v>
      </c>
      <c r="R3868">
        <v>-0.51573639999999998</v>
      </c>
      <c r="S3868">
        <v>3.1266479999999999</v>
      </c>
      <c r="T3868">
        <v>-0.28808669999999997</v>
      </c>
      <c r="U3868">
        <v>-0.70797730000000003</v>
      </c>
      <c r="V3868">
        <v>-0.2778447</v>
      </c>
      <c r="W3868">
        <v>6.0765310000000003E-2</v>
      </c>
      <c r="X3868">
        <v>0.95870219999999995</v>
      </c>
      <c r="Y3868">
        <v>-0.55970759999999997</v>
      </c>
      <c r="Z3868">
        <v>8.4353239999999996E-2</v>
      </c>
      <c r="AA3868">
        <v>0.82438579999999995</v>
      </c>
      <c r="AB3868">
        <v>34</v>
      </c>
      <c r="AC3868">
        <v>0.67029999999999701</v>
      </c>
      <c r="AD3868">
        <v>-8.3401000000000003E-2</v>
      </c>
      <c r="AE3868">
        <v>3.7840000000002698E-2</v>
      </c>
      <c r="AF3868">
        <v>-0.50894860353063998</v>
      </c>
      <c r="AG3868">
        <v>-8.3401000000000003E-2</v>
      </c>
      <c r="AH3868">
        <v>0.42203002602378897</v>
      </c>
      <c r="AI3868">
        <v>97.189469313745306</v>
      </c>
      <c r="AJ3868">
        <v>140.33382077094799</v>
      </c>
      <c r="AK3868">
        <v>0.66640359445491404</v>
      </c>
      <c r="AL3868">
        <v>86.516258055731996</v>
      </c>
      <c r="AM3868">
        <v>106.162294089987</v>
      </c>
      <c r="AN3868">
        <v>1.0000000042511601</v>
      </c>
    </row>
    <row r="3869" spans="1:40" x14ac:dyDescent="0.3">
      <c r="A3869" t="str">
        <f>"20200111153958136"</f>
        <v>20200111153958136</v>
      </c>
      <c r="B3869" t="str">
        <f>"1578728398124597"</f>
        <v>1578728398124597</v>
      </c>
      <c r="C3869" t="s">
        <v>40</v>
      </c>
      <c r="D3869">
        <v>4.9260289999999998</v>
      </c>
      <c r="E3869">
        <v>0.36643789999999998</v>
      </c>
      <c r="F3869" t="s">
        <v>41</v>
      </c>
      <c r="G3869">
        <v>-296.04649999999998</v>
      </c>
      <c r="H3869">
        <v>1.0417299999999901</v>
      </c>
      <c r="I3869">
        <v>-54.654539999999997</v>
      </c>
      <c r="J3869">
        <v>-296.68220000000002</v>
      </c>
      <c r="K3869">
        <v>1.120789</v>
      </c>
      <c r="L3869">
        <v>-54.706670000000003</v>
      </c>
      <c r="M3869">
        <v>0.69389299999999998</v>
      </c>
      <c r="N3869">
        <v>0</v>
      </c>
      <c r="O3869">
        <v>-0.71995169999999997</v>
      </c>
      <c r="P3869">
        <v>0.86391369999999901</v>
      </c>
      <c r="Q3869">
        <v>5.8604580000000003E-2</v>
      </c>
      <c r="R3869">
        <v>-0.50021819999999995</v>
      </c>
      <c r="S3869">
        <v>3.1342469999999998</v>
      </c>
      <c r="T3869">
        <v>-0.28470210000000001</v>
      </c>
      <c r="U3869">
        <v>-0.65554809999999997</v>
      </c>
      <c r="V3869">
        <v>-0.2776458</v>
      </c>
      <c r="W3869">
        <v>6.0035650000000003E-2</v>
      </c>
      <c r="X3869">
        <v>0.95880580000000004</v>
      </c>
      <c r="Y3869">
        <v>-0.55833520000000003</v>
      </c>
      <c r="Z3869">
        <v>8.265778E-2</v>
      </c>
      <c r="AA3869">
        <v>0.82548739999999998</v>
      </c>
      <c r="AB3869">
        <v>34</v>
      </c>
      <c r="AC3869">
        <v>0.63570000000004201</v>
      </c>
      <c r="AD3869">
        <v>-7.9059000000000199E-2</v>
      </c>
      <c r="AE3869">
        <v>5.21299999999911E-2</v>
      </c>
      <c r="AF3869">
        <v>-0.48641786232829898</v>
      </c>
      <c r="AG3869">
        <v>-7.9059000000000199E-2</v>
      </c>
      <c r="AH3869">
        <v>0.39750638751617701</v>
      </c>
      <c r="AI3869">
        <v>97.173160217373194</v>
      </c>
      <c r="AJ3869">
        <v>140.74390277935899</v>
      </c>
      <c r="AK3869">
        <v>0.63313820796820697</v>
      </c>
      <c r="AL3869">
        <v>86.558141003640799</v>
      </c>
      <c r="AM3869">
        <v>106.14967330720501</v>
      </c>
      <c r="AN3869">
        <v>1.0000000158211</v>
      </c>
    </row>
    <row r="3870" spans="1:40" x14ac:dyDescent="0.3">
      <c r="A3870" t="str">
        <f>"20200111153958157"</f>
        <v>20200111153958157</v>
      </c>
      <c r="B3870" t="str">
        <f>"1578728398145093"</f>
        <v>1578728398145093</v>
      </c>
      <c r="C3870" t="s">
        <v>40</v>
      </c>
      <c r="D3870">
        <v>5.0285469999999997</v>
      </c>
      <c r="E3870">
        <v>0.38813979999999998</v>
      </c>
      <c r="F3870" t="s">
        <v>66</v>
      </c>
      <c r="G3870">
        <v>-284.29349999999999</v>
      </c>
      <c r="H3870" s="1">
        <v>-4.7303289999999996E-6</v>
      </c>
      <c r="I3870">
        <v>-57.079819999999998</v>
      </c>
      <c r="J3870">
        <v>-296.44510000000002</v>
      </c>
      <c r="K3870">
        <v>1.120749</v>
      </c>
      <c r="L3870">
        <v>-54.934359999999998</v>
      </c>
      <c r="M3870">
        <v>0.70675650000000001</v>
      </c>
      <c r="N3870">
        <v>0</v>
      </c>
      <c r="O3870">
        <v>-0.70732879999999998</v>
      </c>
      <c r="P3870">
        <v>0.87288290000000002</v>
      </c>
      <c r="Q3870">
        <v>5.7088779999999999E-2</v>
      </c>
      <c r="R3870">
        <v>-0.48457879999999998</v>
      </c>
      <c r="S3870">
        <v>3.1432190000000002</v>
      </c>
      <c r="T3870">
        <v>-0.28436509999999998</v>
      </c>
      <c r="U3870">
        <v>-0.60211179999999997</v>
      </c>
      <c r="V3870">
        <v>-0.2776362</v>
      </c>
      <c r="W3870">
        <v>5.8513889999999999E-2</v>
      </c>
      <c r="X3870">
        <v>0.9589027</v>
      </c>
      <c r="Y3870">
        <v>-0.55742899999999995</v>
      </c>
      <c r="Z3870">
        <v>8.1799129999999998E-2</v>
      </c>
      <c r="AA3870">
        <v>0.82618510000000001</v>
      </c>
      <c r="AB3870">
        <v>34</v>
      </c>
      <c r="AC3870">
        <v>12.1516</v>
      </c>
      <c r="AD3870">
        <v>-1.1207537303290001</v>
      </c>
      <c r="AE3870">
        <v>-2.1454599999999999</v>
      </c>
      <c r="AF3870">
        <v>-7.0215765883527501</v>
      </c>
      <c r="AG3870">
        <v>-1.1207537303290001</v>
      </c>
      <c r="AH3870">
        <v>10.0239918708667</v>
      </c>
      <c r="AI3870">
        <v>95.232292530678393</v>
      </c>
      <c r="AJ3870">
        <v>125.010361628905</v>
      </c>
      <c r="AK3870">
        <v>12.289794129168801</v>
      </c>
      <c r="AL3870">
        <v>86.645485166059203</v>
      </c>
      <c r="AM3870">
        <v>106.147597151876</v>
      </c>
      <c r="AN3870">
        <v>1.0000000614703199</v>
      </c>
    </row>
    <row r="3871" spans="1:40" x14ac:dyDescent="0.3">
      <c r="A3871" t="str">
        <f>"20200111153958181"</f>
        <v>20200111153958181</v>
      </c>
      <c r="B3871" t="str">
        <f>"1578728398175349"</f>
        <v>1578728398175349</v>
      </c>
      <c r="C3871" t="s">
        <v>40</v>
      </c>
      <c r="D3871">
        <v>4.9932629999999998</v>
      </c>
      <c r="E3871">
        <v>0.39276480000000003</v>
      </c>
      <c r="F3871" t="s">
        <v>41</v>
      </c>
      <c r="G3871">
        <v>-295.35120000000001</v>
      </c>
      <c r="H3871">
        <v>1.037115</v>
      </c>
      <c r="I3871">
        <v>-55.182189999999999</v>
      </c>
      <c r="J3871">
        <v>-296.1875</v>
      </c>
      <c r="K3871">
        <v>1.1206879999999999</v>
      </c>
      <c r="L3871">
        <v>-55.172879999999999</v>
      </c>
      <c r="M3871">
        <v>0.72017200000000003</v>
      </c>
      <c r="N3871">
        <v>0</v>
      </c>
      <c r="O3871">
        <v>-0.69366519999999898</v>
      </c>
      <c r="P3871">
        <v>0.88200599999999996</v>
      </c>
      <c r="Q3871">
        <v>5.4236949999999999E-2</v>
      </c>
      <c r="R3871">
        <v>-0.468107</v>
      </c>
      <c r="S3871">
        <v>3.0667420000000001</v>
      </c>
      <c r="T3871">
        <v>-0.2344234</v>
      </c>
      <c r="U3871">
        <v>-0.69433590000000001</v>
      </c>
      <c r="V3871">
        <v>-0.27727570000000001</v>
      </c>
      <c r="W3871">
        <v>5.5674670000000002E-2</v>
      </c>
      <c r="X3871">
        <v>0.95917589999999997</v>
      </c>
      <c r="Y3871">
        <v>-0.51463820000000005</v>
      </c>
      <c r="Z3871">
        <v>6.6489499999999896E-2</v>
      </c>
      <c r="AA3871">
        <v>0.85482559999999996</v>
      </c>
      <c r="AB3871">
        <v>34</v>
      </c>
      <c r="AC3871">
        <v>0.83629999999999405</v>
      </c>
      <c r="AD3871">
        <v>-8.3572999999999897E-2</v>
      </c>
      <c r="AE3871">
        <v>-9.3099999999992598E-3</v>
      </c>
      <c r="AF3871">
        <v>-0.56778981330404998</v>
      </c>
      <c r="AG3871">
        <v>-8.3572999999999897E-2</v>
      </c>
      <c r="AH3871">
        <v>0.60277414689039799</v>
      </c>
      <c r="AI3871">
        <v>95.762972682030593</v>
      </c>
      <c r="AJ3871">
        <v>133.28812585461</v>
      </c>
      <c r="AK3871">
        <v>0.83228984769748104</v>
      </c>
      <c r="AL3871">
        <v>86.808425953170897</v>
      </c>
      <c r="AM3871">
        <v>106.123365958962</v>
      </c>
      <c r="AN3871">
        <v>0.99999994491545297</v>
      </c>
    </row>
    <row r="3872" spans="1:40" x14ac:dyDescent="0.3">
      <c r="A3872" t="str">
        <f>"20200111153958202"</f>
        <v>20200111153958202</v>
      </c>
      <c r="B3872" t="str">
        <f>"1578728398194869"</f>
        <v>1578728398194869</v>
      </c>
      <c r="C3872" t="s">
        <v>40</v>
      </c>
      <c r="D3872">
        <v>5.0421490000000002</v>
      </c>
      <c r="E3872">
        <v>0.39527770000000001</v>
      </c>
      <c r="F3872" t="s">
        <v>41</v>
      </c>
      <c r="G3872">
        <v>-295.14479999999998</v>
      </c>
      <c r="H3872">
        <v>1.0381670000000001</v>
      </c>
      <c r="I3872">
        <v>-55.400759999999998</v>
      </c>
      <c r="J3872">
        <v>-295.93529999999998</v>
      </c>
      <c r="K3872">
        <v>1.1206179999999999</v>
      </c>
      <c r="L3872">
        <v>-55.398009999999999</v>
      </c>
      <c r="M3872">
        <v>0.73276319999999995</v>
      </c>
      <c r="N3872">
        <v>0</v>
      </c>
      <c r="O3872">
        <v>-0.6803515</v>
      </c>
      <c r="P3872">
        <v>0.89041049999999999</v>
      </c>
      <c r="Q3872">
        <v>5.1785009999999999E-2</v>
      </c>
      <c r="R3872">
        <v>-0.45220270000000001</v>
      </c>
      <c r="S3872">
        <v>3.061188</v>
      </c>
      <c r="T3872">
        <v>-0.24226710000000001</v>
      </c>
      <c r="U3872">
        <v>-0.66888429999999999</v>
      </c>
      <c r="V3872">
        <v>-0.27690219999999999</v>
      </c>
      <c r="W3872">
        <v>5.3239259999999997E-2</v>
      </c>
      <c r="X3872">
        <v>0.95942210000000006</v>
      </c>
      <c r="Y3872">
        <v>-0.50518669999999999</v>
      </c>
      <c r="Z3872">
        <v>6.7854490000000003E-2</v>
      </c>
      <c r="AA3872">
        <v>0.86033839999999995</v>
      </c>
      <c r="AB3872">
        <v>34</v>
      </c>
      <c r="AC3872">
        <v>0.79050000000000797</v>
      </c>
      <c r="AD3872">
        <v>-8.2450999999999997E-2</v>
      </c>
      <c r="AE3872">
        <v>-2.74999999999892E-3</v>
      </c>
      <c r="AF3872">
        <v>-0.53008426634677597</v>
      </c>
      <c r="AG3872">
        <v>-8.2450999999999997E-2</v>
      </c>
      <c r="AH3872">
        <v>0.57491811755667999</v>
      </c>
      <c r="AI3872">
        <v>96.018822558417298</v>
      </c>
      <c r="AJ3872">
        <v>132.676582158732</v>
      </c>
      <c r="AK3872">
        <v>0.78633220633795498</v>
      </c>
      <c r="AL3872">
        <v>86.948172265178798</v>
      </c>
      <c r="AM3872">
        <v>106.098855582186</v>
      </c>
      <c r="AN3872">
        <v>1.00000000656929</v>
      </c>
    </row>
    <row r="3873" spans="1:40" x14ac:dyDescent="0.3">
      <c r="A3873" t="str">
        <f>"20200111153958225"</f>
        <v>20200111153958225</v>
      </c>
      <c r="B3873" t="str">
        <f>"1578728398215365"</f>
        <v>1578728398215365</v>
      </c>
      <c r="C3873" t="s">
        <v>40</v>
      </c>
      <c r="D3873">
        <v>5.0867509999999996</v>
      </c>
      <c r="E3873">
        <v>0.39649899999999999</v>
      </c>
      <c r="F3873" t="s">
        <v>41</v>
      </c>
      <c r="G3873">
        <v>-294.928</v>
      </c>
      <c r="H3873">
        <v>1.03831299999999</v>
      </c>
      <c r="I3873">
        <v>-55.605550000000001</v>
      </c>
      <c r="J3873">
        <v>-295.68200000000002</v>
      </c>
      <c r="K3873">
        <v>1.1205430000000001</v>
      </c>
      <c r="L3873">
        <v>-55.61618</v>
      </c>
      <c r="M3873">
        <v>0.74488449999999995</v>
      </c>
      <c r="N3873">
        <v>0</v>
      </c>
      <c r="O3873">
        <v>-0.66705939999999997</v>
      </c>
      <c r="P3873">
        <v>0.89832409999999996</v>
      </c>
      <c r="Q3873">
        <v>5.1672540000000003E-2</v>
      </c>
      <c r="R3873">
        <v>-0.43628450000000002</v>
      </c>
      <c r="S3873">
        <v>3.0632630000000001</v>
      </c>
      <c r="T3873">
        <v>-0.25030089999999999</v>
      </c>
      <c r="U3873">
        <v>-0.63116459999999996</v>
      </c>
      <c r="V3873">
        <v>-0.27670790000000001</v>
      </c>
      <c r="W3873">
        <v>5.3137370000000003E-2</v>
      </c>
      <c r="X3873">
        <v>0.9594838</v>
      </c>
      <c r="Y3873">
        <v>-0.49975730000000002</v>
      </c>
      <c r="Z3873">
        <v>6.9227919999999998E-2</v>
      </c>
      <c r="AA3873">
        <v>0.86339460000000001</v>
      </c>
      <c r="AB3873">
        <v>34</v>
      </c>
      <c r="AC3873">
        <v>0.75400000000001899</v>
      </c>
      <c r="AD3873">
        <v>-8.2230000000000206E-2</v>
      </c>
      <c r="AE3873">
        <v>1.06300000000061E-2</v>
      </c>
      <c r="AF3873">
        <v>-0.50492238401595402</v>
      </c>
      <c r="AG3873">
        <v>-8.2230000000000206E-2</v>
      </c>
      <c r="AH3873">
        <v>0.54808419859058599</v>
      </c>
      <c r="AI3873">
        <v>96.296785594694498</v>
      </c>
      <c r="AJ3873">
        <v>132.652810264284</v>
      </c>
      <c r="AK3873">
        <v>0.74973640402813602</v>
      </c>
      <c r="AL3873">
        <v>86.954018394126706</v>
      </c>
      <c r="AM3873">
        <v>106.08716277892501</v>
      </c>
      <c r="AN3873">
        <v>1.00000000223768</v>
      </c>
    </row>
    <row r="3874" spans="1:40" x14ac:dyDescent="0.3">
      <c r="A3874" t="str">
        <f>"20200111153958247"</f>
        <v>20200111153958247</v>
      </c>
      <c r="B3874" t="str">
        <f>"1578728398235330"</f>
        <v>1578728398235330</v>
      </c>
      <c r="C3874" t="s">
        <v>40</v>
      </c>
      <c r="D3874">
        <v>5.0886239999999896</v>
      </c>
      <c r="E3874">
        <v>0.41469820000000002</v>
      </c>
      <c r="F3874" t="s">
        <v>41</v>
      </c>
      <c r="G3874">
        <v>-294.70490000000001</v>
      </c>
      <c r="H3874">
        <v>1.0398810000000001</v>
      </c>
      <c r="I3874">
        <v>-55.802630000000001</v>
      </c>
      <c r="J3874">
        <v>-295.42579999999998</v>
      </c>
      <c r="K3874">
        <v>1.1204540000000001</v>
      </c>
      <c r="L3874">
        <v>-55.829189999999997</v>
      </c>
      <c r="M3874">
        <v>0.75662949999999995</v>
      </c>
      <c r="N3874">
        <v>0</v>
      </c>
      <c r="O3874">
        <v>-0.65370799999999996</v>
      </c>
      <c r="P3874">
        <v>0.90615310000000004</v>
      </c>
      <c r="Q3874">
        <v>5.1485379999999997E-2</v>
      </c>
      <c r="R3874">
        <v>-0.41980469999999998</v>
      </c>
      <c r="S3874">
        <v>3.06955</v>
      </c>
      <c r="T3874">
        <v>-0.25341000000000002</v>
      </c>
      <c r="U3874">
        <v>-0.58605959999999901</v>
      </c>
      <c r="V3874">
        <v>-0.2771573</v>
      </c>
      <c r="W3874">
        <v>5.2935000000000003E-2</v>
      </c>
      <c r="X3874">
        <v>0.95936520000000003</v>
      </c>
      <c r="Y3874">
        <v>-0.49688470000000001</v>
      </c>
      <c r="Z3874">
        <v>6.9210170000000001E-2</v>
      </c>
      <c r="AA3874">
        <v>0.8650523</v>
      </c>
      <c r="AB3874">
        <v>35</v>
      </c>
      <c r="AC3874">
        <v>0.72089999999997101</v>
      </c>
      <c r="AD3874">
        <v>-8.0573000000000006E-2</v>
      </c>
      <c r="AE3874">
        <v>2.6559999999996298E-2</v>
      </c>
      <c r="AF3874">
        <v>-0.48534318002346699</v>
      </c>
      <c r="AG3874">
        <v>-8.0573000000000006E-2</v>
      </c>
      <c r="AH3874">
        <v>0.52163129546282705</v>
      </c>
      <c r="AI3874">
        <v>96.451872679382006</v>
      </c>
      <c r="AJ3874">
        <v>132.936137825809</v>
      </c>
      <c r="AK3874">
        <v>0.71704199258517498</v>
      </c>
      <c r="AL3874">
        <v>86.965629478847902</v>
      </c>
      <c r="AM3874">
        <v>106.113823564669</v>
      </c>
      <c r="AN3874">
        <v>0.999999935069663</v>
      </c>
    </row>
    <row r="3875" spans="1:40" x14ac:dyDescent="0.3">
      <c r="A3875" t="str">
        <f>"20200111153958270"</f>
        <v>20200111153958270</v>
      </c>
      <c r="B3875" t="str">
        <f>"1578728398264610"</f>
        <v>1578728398264610</v>
      </c>
      <c r="C3875" t="s">
        <v>40</v>
      </c>
      <c r="D3875">
        <v>5.1902290000000004</v>
      </c>
      <c r="E3875">
        <v>0.41780299999999998</v>
      </c>
      <c r="F3875" t="s">
        <v>41</v>
      </c>
      <c r="G3875">
        <v>-294.49790000000002</v>
      </c>
      <c r="H3875">
        <v>1.0439240000000001</v>
      </c>
      <c r="I3875">
        <v>-56.032699999999998</v>
      </c>
      <c r="J3875">
        <v>-295.15649999999999</v>
      </c>
      <c r="K3875">
        <v>1.12035</v>
      </c>
      <c r="L3875">
        <v>-56.045140000000004</v>
      </c>
      <c r="M3875">
        <v>0.76842730000000004</v>
      </c>
      <c r="N3875">
        <v>0</v>
      </c>
      <c r="O3875">
        <v>-0.63979960000000002</v>
      </c>
      <c r="P3875">
        <v>0.91339859999999995</v>
      </c>
      <c r="Q3875">
        <v>4.9391549999999999E-2</v>
      </c>
      <c r="R3875">
        <v>-0.4040589</v>
      </c>
      <c r="S3875">
        <v>3.0183409999999999</v>
      </c>
      <c r="T3875">
        <v>-0.24890960000000001</v>
      </c>
      <c r="U3875">
        <v>-0.66162109999999996</v>
      </c>
      <c r="V3875">
        <v>-0.27623740000000002</v>
      </c>
      <c r="W3875">
        <v>5.0892600000000003E-2</v>
      </c>
      <c r="X3875">
        <v>0.95974110000000001</v>
      </c>
      <c r="Y3875">
        <v>-0.4573004</v>
      </c>
      <c r="Z3875">
        <v>6.6402149999999993E-2</v>
      </c>
      <c r="AA3875">
        <v>0.88682989999999995</v>
      </c>
      <c r="AB3875">
        <v>35</v>
      </c>
      <c r="AC3875">
        <v>0.65859999999997798</v>
      </c>
      <c r="AD3875">
        <v>-7.64259999999998E-2</v>
      </c>
      <c r="AE3875">
        <v>1.24400000000051E-2</v>
      </c>
      <c r="AF3875">
        <v>-0.42524486213488999</v>
      </c>
      <c r="AG3875">
        <v>-7.64259999999998E-2</v>
      </c>
      <c r="AH3875">
        <v>0.49155403401799502</v>
      </c>
      <c r="AI3875">
        <v>96.706285987940007</v>
      </c>
      <c r="AJ3875">
        <v>130.86318045905</v>
      </c>
      <c r="AK3875">
        <v>0.65444594475593298</v>
      </c>
      <c r="AL3875">
        <v>87.082808804214395</v>
      </c>
      <c r="AM3875">
        <v>106.057136778066</v>
      </c>
      <c r="AN3875">
        <v>1.0000000684613599</v>
      </c>
    </row>
    <row r="3876" spans="1:40" x14ac:dyDescent="0.3">
      <c r="A3876" t="str">
        <f>"20200111153958291"</f>
        <v>20200111153958291</v>
      </c>
      <c r="B3876" t="str">
        <f>"1578728398285106"</f>
        <v>1578728398285106</v>
      </c>
      <c r="C3876" t="s">
        <v>40</v>
      </c>
      <c r="D3876">
        <v>5.1679120000000003</v>
      </c>
      <c r="E3876">
        <v>0.4203904</v>
      </c>
      <c r="F3876" t="s">
        <v>41</v>
      </c>
      <c r="G3876">
        <v>-294.25839999999999</v>
      </c>
      <c r="H3876">
        <v>1.040035</v>
      </c>
      <c r="I3876">
        <v>-56.232869999999998</v>
      </c>
      <c r="J3876">
        <v>-294.89609999999999</v>
      </c>
      <c r="K3876">
        <v>1.120236</v>
      </c>
      <c r="L3876">
        <v>-56.246639999999999</v>
      </c>
      <c r="M3876">
        <v>0.77932460000000003</v>
      </c>
      <c r="N3876">
        <v>0</v>
      </c>
      <c r="O3876">
        <v>-0.62648079999999995</v>
      </c>
      <c r="P3876">
        <v>0.9194002</v>
      </c>
      <c r="Q3876">
        <v>4.7364370000000003E-2</v>
      </c>
      <c r="R3876">
        <v>-0.39046069999999999</v>
      </c>
      <c r="S3876">
        <v>3.0197750000000001</v>
      </c>
      <c r="T3876">
        <v>-0.27005499999999999</v>
      </c>
      <c r="U3876">
        <v>-0.63131709999999996</v>
      </c>
      <c r="V3876">
        <v>-0.27393109999999998</v>
      </c>
      <c r="W3876">
        <v>4.8983819999999997E-2</v>
      </c>
      <c r="X3876">
        <v>0.9605011</v>
      </c>
      <c r="Y3876">
        <v>-0.45008860000000001</v>
      </c>
      <c r="Z3876">
        <v>7.0911500000000002E-2</v>
      </c>
      <c r="AA3876">
        <v>0.89016390000000001</v>
      </c>
      <c r="AB3876">
        <v>35</v>
      </c>
      <c r="AC3876">
        <v>0.63769999999999505</v>
      </c>
      <c r="AD3876">
        <v>-8.0200999999999897E-2</v>
      </c>
      <c r="AE3876">
        <v>1.37700000000009E-2</v>
      </c>
      <c r="AF3876">
        <v>-0.40388863359112198</v>
      </c>
      <c r="AG3876">
        <v>-8.0200999999999897E-2</v>
      </c>
      <c r="AH3876">
        <v>0.4807902261516</v>
      </c>
      <c r="AI3876">
        <v>97.278670140586001</v>
      </c>
      <c r="AJ3876">
        <v>130.03199504799801</v>
      </c>
      <c r="AK3876">
        <v>0.63302248799549798</v>
      </c>
      <c r="AL3876">
        <v>87.192310318853401</v>
      </c>
      <c r="AM3876">
        <v>105.91793929629701</v>
      </c>
      <c r="AN3876">
        <v>1.0000000126351001</v>
      </c>
    </row>
    <row r="3877" spans="1:40" x14ac:dyDescent="0.3">
      <c r="A3877" t="str">
        <f>"20200111153958313"</f>
        <v>20200111153958313</v>
      </c>
      <c r="B3877" t="str">
        <f>"1578728398304626"</f>
        <v>1578728398304626</v>
      </c>
      <c r="C3877" t="s">
        <v>40</v>
      </c>
      <c r="D3877">
        <v>5.072235</v>
      </c>
      <c r="E3877">
        <v>0.42094779999999998</v>
      </c>
      <c r="F3877" t="s">
        <v>41</v>
      </c>
      <c r="G3877">
        <v>-293.95249999999999</v>
      </c>
      <c r="H3877">
        <v>1.0325580000000001</v>
      </c>
      <c r="I3877">
        <v>-56.435650000000003</v>
      </c>
      <c r="J3877">
        <v>-294.62520000000001</v>
      </c>
      <c r="K3877">
        <v>1.120117</v>
      </c>
      <c r="L3877">
        <v>-56.449069999999899</v>
      </c>
      <c r="M3877">
        <v>0.79015279999999999</v>
      </c>
      <c r="N3877">
        <v>0</v>
      </c>
      <c r="O3877">
        <v>-0.61276850000000005</v>
      </c>
      <c r="P3877">
        <v>0.92520610000000003</v>
      </c>
      <c r="Q3877">
        <v>4.7717080000000002E-2</v>
      </c>
      <c r="R3877">
        <v>-0.37645269999999997</v>
      </c>
      <c r="S3877">
        <v>3.0206599999999999</v>
      </c>
      <c r="T3877">
        <v>-0.2806305</v>
      </c>
      <c r="U3877">
        <v>-0.60467530000000003</v>
      </c>
      <c r="V3877">
        <v>-0.2717215</v>
      </c>
      <c r="W3877">
        <v>4.9456260000000002E-2</v>
      </c>
      <c r="X3877">
        <v>0.96110430000000002</v>
      </c>
      <c r="Y3877">
        <v>-0.44184560000000001</v>
      </c>
      <c r="Z3877">
        <v>7.2422299999999995E-2</v>
      </c>
      <c r="AA3877">
        <v>0.89416299999999904</v>
      </c>
      <c r="AB3877">
        <v>35</v>
      </c>
      <c r="AC3877">
        <v>0.67270000000001995</v>
      </c>
      <c r="AD3877">
        <v>-8.7558999999999901E-2</v>
      </c>
      <c r="AE3877">
        <v>1.34199999999893E-2</v>
      </c>
      <c r="AF3877">
        <v>-0.41580814324509802</v>
      </c>
      <c r="AG3877">
        <v>-8.7558999999999901E-2</v>
      </c>
      <c r="AH3877">
        <v>0.51464230892381002</v>
      </c>
      <c r="AI3877">
        <v>97.538631294631401</v>
      </c>
      <c r="AJ3877">
        <v>128.93667259428901</v>
      </c>
      <c r="AK3877">
        <v>0.66739770497385298</v>
      </c>
      <c r="AL3877">
        <v>87.165208575127195</v>
      </c>
      <c r="AM3877">
        <v>105.786553431054</v>
      </c>
      <c r="AN3877">
        <v>0.99999998534696299</v>
      </c>
    </row>
    <row r="3878" spans="1:40" x14ac:dyDescent="0.3">
      <c r="A3878" t="str">
        <f>"20200111153958336"</f>
        <v>20200111153958336</v>
      </c>
      <c r="B3878" t="str">
        <f>"1578728398324496"</f>
        <v>1578728398324496</v>
      </c>
      <c r="C3878" t="s">
        <v>40</v>
      </c>
      <c r="D3878">
        <v>4.9998089999999999</v>
      </c>
      <c r="E3878">
        <v>0.39972220000000003</v>
      </c>
      <c r="F3878" t="s">
        <v>66</v>
      </c>
      <c r="G3878">
        <v>-282.53719999999998</v>
      </c>
      <c r="H3878" s="1">
        <v>-5.2611549999999999E-6</v>
      </c>
      <c r="I3878">
        <v>-58.693869999999997</v>
      </c>
      <c r="J3878">
        <v>-294.35169999999999</v>
      </c>
      <c r="K3878">
        <v>1.1200000000000001</v>
      </c>
      <c r="L3878">
        <v>-56.645940000000003</v>
      </c>
      <c r="M3878">
        <v>0.80056879999999997</v>
      </c>
      <c r="N3878">
        <v>0</v>
      </c>
      <c r="O3878">
        <v>-0.59909749999999995</v>
      </c>
      <c r="P3878">
        <v>0.93075419999999998</v>
      </c>
      <c r="Q3878">
        <v>5.0860509999999998E-2</v>
      </c>
      <c r="R3878">
        <v>-0.3620912</v>
      </c>
      <c r="S3878">
        <v>3.0281980000000002</v>
      </c>
      <c r="T3878">
        <v>-0.2806032</v>
      </c>
      <c r="U3878">
        <v>-0.56234740000000005</v>
      </c>
      <c r="V3878">
        <v>-0.2700823</v>
      </c>
      <c r="W3878">
        <v>5.2699280000000001E-2</v>
      </c>
      <c r="X3878">
        <v>0.96139399999999997</v>
      </c>
      <c r="Y3878">
        <v>-0.4389826</v>
      </c>
      <c r="Z3878">
        <v>7.128748E-2</v>
      </c>
      <c r="AA3878">
        <v>0.89566309999999905</v>
      </c>
      <c r="AB3878">
        <v>35</v>
      </c>
      <c r="AC3878">
        <v>11.814500000000001</v>
      </c>
      <c r="AD3878">
        <v>-1.120005261155</v>
      </c>
      <c r="AE3878">
        <v>-2.0479299999999898</v>
      </c>
      <c r="AF3878">
        <v>-5.3919523556355697</v>
      </c>
      <c r="AG3878">
        <v>-1.120005261155</v>
      </c>
      <c r="AH3878">
        <v>10.593720270936499</v>
      </c>
      <c r="AI3878">
        <v>95.382589619338702</v>
      </c>
      <c r="AJ3878">
        <v>116.975014634137</v>
      </c>
      <c r="AK3878">
        <v>11.939617714538</v>
      </c>
      <c r="AL3878">
        <v>86.979154445115498</v>
      </c>
      <c r="AM3878">
        <v>105.69152884567301</v>
      </c>
      <c r="AN3878">
        <v>1.0000000430609</v>
      </c>
    </row>
    <row r="3879" spans="1:40" x14ac:dyDescent="0.3">
      <c r="A3879" t="str">
        <f>"20200111153958358"</f>
        <v>20200111153958358</v>
      </c>
      <c r="B3879" t="str">
        <f>"1578728398354753"</f>
        <v>1578728398354753</v>
      </c>
      <c r="C3879" t="s">
        <v>40</v>
      </c>
      <c r="D3879">
        <v>5.1473519999999997</v>
      </c>
      <c r="E3879">
        <v>0.39191160000000003</v>
      </c>
      <c r="F3879" t="s">
        <v>41</v>
      </c>
      <c r="G3879">
        <v>-293.23160000000001</v>
      </c>
      <c r="H3879">
        <v>1.0389280000000001</v>
      </c>
      <c r="I3879">
        <v>-56.774549999999998</v>
      </c>
      <c r="J3879">
        <v>-294.07479999999998</v>
      </c>
      <c r="K3879">
        <v>1.1198790000000001</v>
      </c>
      <c r="L3879">
        <v>-56.838039999999999</v>
      </c>
      <c r="M3879">
        <v>0.8106177</v>
      </c>
      <c r="N3879">
        <v>0</v>
      </c>
      <c r="O3879">
        <v>-0.58543069999999997</v>
      </c>
      <c r="P3879">
        <v>0.93600459999999996</v>
      </c>
      <c r="Q3879">
        <v>5.3669750000000002E-2</v>
      </c>
      <c r="R3879">
        <v>-0.34787230000000002</v>
      </c>
      <c r="S3879">
        <v>3.0970759999999999</v>
      </c>
      <c r="T3879">
        <v>-0.2241745</v>
      </c>
      <c r="U3879">
        <v>-0.3557129</v>
      </c>
      <c r="V3879">
        <v>-0.26841569999999998</v>
      </c>
      <c r="W3879">
        <v>5.5612300000000003E-2</v>
      </c>
      <c r="X3879">
        <v>0.96169660000000001</v>
      </c>
      <c r="Y3879">
        <v>-0.48658810000000002</v>
      </c>
      <c r="Z3879">
        <v>5.7164479999999997E-2</v>
      </c>
      <c r="AA3879">
        <v>0.87175930000000001</v>
      </c>
      <c r="AB3879">
        <v>35</v>
      </c>
      <c r="AC3879">
        <v>0.84319999999996698</v>
      </c>
      <c r="AD3879">
        <v>-8.0950999999999995E-2</v>
      </c>
      <c r="AE3879">
        <v>6.3490000000001601E-2</v>
      </c>
      <c r="AF3879">
        <v>-0.54019672857106005</v>
      </c>
      <c r="AG3879">
        <v>-8.0950999999999995E-2</v>
      </c>
      <c r="AH3879">
        <v>0.64052836283903303</v>
      </c>
      <c r="AI3879">
        <v>95.518270508407198</v>
      </c>
      <c r="AJ3879">
        <v>130.14298234714801</v>
      </c>
      <c r="AK3879">
        <v>0.84180885809138895</v>
      </c>
      <c r="AL3879">
        <v>86.812005317899093</v>
      </c>
      <c r="AM3879">
        <v>105.59475949189201</v>
      </c>
      <c r="AN3879">
        <v>1.0000000331846599</v>
      </c>
    </row>
    <row r="3880" spans="1:40" x14ac:dyDescent="0.3">
      <c r="A3880" t="str">
        <f>"20200111153958382"</f>
        <v>20200111153958382</v>
      </c>
      <c r="B3880" t="str">
        <f>"1578728398375248"</f>
        <v>1578728398375248</v>
      </c>
      <c r="C3880" t="s">
        <v>40</v>
      </c>
      <c r="D3880">
        <v>5.0931829999999998</v>
      </c>
      <c r="E3880">
        <v>0.39362999999999998</v>
      </c>
      <c r="F3880" t="s">
        <v>41</v>
      </c>
      <c r="G3880">
        <v>-292.97820000000002</v>
      </c>
      <c r="H3880">
        <v>1.050632</v>
      </c>
      <c r="I3880">
        <v>-56.92586</v>
      </c>
      <c r="J3880">
        <v>-293.77789999999999</v>
      </c>
      <c r="K3880">
        <v>1.119739</v>
      </c>
      <c r="L3880">
        <v>-57.036560000000001</v>
      </c>
      <c r="M3880">
        <v>0.82088890000000003</v>
      </c>
      <c r="N3880">
        <v>0</v>
      </c>
      <c r="O3880">
        <v>-0.57094040000000001</v>
      </c>
      <c r="P3880">
        <v>0.94118729999999995</v>
      </c>
      <c r="Q3880">
        <v>5.4001130000000001E-2</v>
      </c>
      <c r="R3880">
        <v>-0.33354220000000001</v>
      </c>
      <c r="S3880">
        <v>3.1236570000000001</v>
      </c>
      <c r="T3880">
        <v>-0.19721730000000001</v>
      </c>
      <c r="U3880">
        <v>-0.24966430000000001</v>
      </c>
      <c r="V3880">
        <v>-0.26599539999999999</v>
      </c>
      <c r="W3880">
        <v>5.6080770000000002E-2</v>
      </c>
      <c r="X3880">
        <v>0.96234169999999997</v>
      </c>
      <c r="Y3880">
        <v>-0.50177740000000004</v>
      </c>
      <c r="Z3880">
        <v>4.9787339999999999E-2</v>
      </c>
      <c r="AA3880">
        <v>0.86356279999999996</v>
      </c>
      <c r="AB3880">
        <v>35</v>
      </c>
      <c r="AC3880">
        <v>0.79969999999997299</v>
      </c>
      <c r="AD3880">
        <v>-6.9107000000000002E-2</v>
      </c>
      <c r="AE3880">
        <v>0.110699999999994</v>
      </c>
      <c r="AF3880">
        <v>-0.54351702369214705</v>
      </c>
      <c r="AG3880">
        <v>-6.9107000000000002E-2</v>
      </c>
      <c r="AH3880">
        <v>0.588995955026413</v>
      </c>
      <c r="AI3880">
        <v>94.928260950184907</v>
      </c>
      <c r="AJ3880">
        <v>132.70037825361399</v>
      </c>
      <c r="AK3880">
        <v>0.80442698085634001</v>
      </c>
      <c r="AL3880">
        <v>86.785122149301003</v>
      </c>
      <c r="AM3880">
        <v>105.45102869916801</v>
      </c>
      <c r="AN3880">
        <v>1.0000000765719099</v>
      </c>
    </row>
    <row r="3881" spans="1:40" x14ac:dyDescent="0.3">
      <c r="A3881" t="str">
        <f>"20200111153958404"</f>
        <v>20200111153958404</v>
      </c>
      <c r="B3881" t="str">
        <f>"1578728398394768"</f>
        <v>1578728398394768</v>
      </c>
      <c r="C3881" t="s">
        <v>40</v>
      </c>
      <c r="D3881">
        <v>5.1024390000000004</v>
      </c>
      <c r="E3881">
        <v>0.39544669999999998</v>
      </c>
      <c r="F3881" t="s">
        <v>41</v>
      </c>
      <c r="G3881">
        <v>-292.7364</v>
      </c>
      <c r="H3881">
        <v>1.05719599999999</v>
      </c>
      <c r="I3881">
        <v>-57.107930000000003</v>
      </c>
      <c r="J3881">
        <v>-293.49680000000001</v>
      </c>
      <c r="K3881">
        <v>1.1196170000000001</v>
      </c>
      <c r="L3881">
        <v>-57.217829999999999</v>
      </c>
      <c r="M3881">
        <v>0.8301674</v>
      </c>
      <c r="N3881">
        <v>0</v>
      </c>
      <c r="O3881">
        <v>-0.55736459999999999</v>
      </c>
      <c r="P3881">
        <v>0.9453937</v>
      </c>
      <c r="Q3881">
        <v>5.2993030000000003E-2</v>
      </c>
      <c r="R3881">
        <v>-0.32159399999999999</v>
      </c>
      <c r="S3881">
        <v>3.1224370000000001</v>
      </c>
      <c r="T3881">
        <v>-0.18749859999999999</v>
      </c>
      <c r="U3881">
        <v>-0.21383669999999999</v>
      </c>
      <c r="V3881">
        <v>-0.26233020000000001</v>
      </c>
      <c r="W3881">
        <v>5.5260940000000001E-2</v>
      </c>
      <c r="X3881">
        <v>0.96339459999999999</v>
      </c>
      <c r="Y3881">
        <v>-0.4976023</v>
      </c>
      <c r="Z3881">
        <v>4.6605679999999997E-2</v>
      </c>
      <c r="AA3881">
        <v>0.86615229999999999</v>
      </c>
      <c r="AB3881">
        <v>35</v>
      </c>
      <c r="AC3881">
        <v>0.76040000000000396</v>
      </c>
      <c r="AD3881">
        <v>-6.2421000000000199E-2</v>
      </c>
      <c r="AE3881">
        <v>0.109900000000003</v>
      </c>
      <c r="AF3881">
        <v>-0.51172061466531704</v>
      </c>
      <c r="AG3881">
        <v>-6.2421000000000199E-2</v>
      </c>
      <c r="AH3881">
        <v>0.56631431610736704</v>
      </c>
      <c r="AI3881">
        <v>94.675347605735695</v>
      </c>
      <c r="AJ3881">
        <v>132.10091140215201</v>
      </c>
      <c r="AK3881">
        <v>0.76581086003177401</v>
      </c>
      <c r="AL3881">
        <v>86.832167758975999</v>
      </c>
      <c r="AM3881">
        <v>105.232211124952</v>
      </c>
      <c r="AN3881">
        <v>1.0000000303154399</v>
      </c>
    </row>
    <row r="3882" spans="1:40" x14ac:dyDescent="0.3">
      <c r="A3882" t="str">
        <f>"20200111153958425"</f>
        <v>20200111153958425</v>
      </c>
      <c r="B3882" t="str">
        <f>"1578728398415264"</f>
        <v>1578728398415264</v>
      </c>
      <c r="C3882" t="s">
        <v>40</v>
      </c>
      <c r="D3882">
        <v>5.1663430000000004</v>
      </c>
      <c r="E3882">
        <v>0.39784979999999998</v>
      </c>
      <c r="F3882" t="s">
        <v>41</v>
      </c>
      <c r="G3882">
        <v>-292.48809999999997</v>
      </c>
      <c r="H3882">
        <v>1.058357</v>
      </c>
      <c r="I3882">
        <v>-57.278280000000002</v>
      </c>
      <c r="J3882">
        <v>-293.21679999999998</v>
      </c>
      <c r="K3882">
        <v>1.119497</v>
      </c>
      <c r="L3882">
        <v>-57.392150000000001</v>
      </c>
      <c r="M3882">
        <v>0.83899460000000003</v>
      </c>
      <c r="N3882">
        <v>0</v>
      </c>
      <c r="O3882">
        <v>-0.54398729999999995</v>
      </c>
      <c r="P3882">
        <v>0.94940789999999997</v>
      </c>
      <c r="Q3882">
        <v>5.3379299999999998E-2</v>
      </c>
      <c r="R3882">
        <v>-0.30947560000000002</v>
      </c>
      <c r="S3882">
        <v>3.1203919999999998</v>
      </c>
      <c r="T3882">
        <v>-0.18949070000000001</v>
      </c>
      <c r="U3882">
        <v>-0.18667600000000001</v>
      </c>
      <c r="V3882">
        <v>-0.25919429999999999</v>
      </c>
      <c r="W3882">
        <v>5.5810819999999997E-2</v>
      </c>
      <c r="X3882">
        <v>0.96421129999999999</v>
      </c>
      <c r="Y3882">
        <v>-0.4911568</v>
      </c>
      <c r="Z3882">
        <v>4.6287729999999999E-2</v>
      </c>
      <c r="AA3882">
        <v>0.86984039999999996</v>
      </c>
      <c r="AB3882">
        <v>35</v>
      </c>
      <c r="AC3882">
        <v>0.72870000000000301</v>
      </c>
      <c r="AD3882">
        <v>-6.1139999999999903E-2</v>
      </c>
      <c r="AE3882">
        <v>0.113869999999998</v>
      </c>
      <c r="AF3882">
        <v>-0.488622906545227</v>
      </c>
      <c r="AG3882">
        <v>-6.1139999999999903E-2</v>
      </c>
      <c r="AH3882">
        <v>0.54572693372195502</v>
      </c>
      <c r="AI3882">
        <v>94.771218269826406</v>
      </c>
      <c r="AJ3882">
        <v>131.84004227065299</v>
      </c>
      <c r="AK3882">
        <v>0.73505668529051105</v>
      </c>
      <c r="AL3882">
        <v>86.800613102969393</v>
      </c>
      <c r="AM3882">
        <v>105.046265145858</v>
      </c>
      <c r="AN3882">
        <v>0.99999998191462602</v>
      </c>
    </row>
    <row r="3883" spans="1:40" x14ac:dyDescent="0.3">
      <c r="A3883" t="str">
        <f>"20200111153958447"</f>
        <v>20200111153958447</v>
      </c>
      <c r="B3883" t="str">
        <f>"1578728398445051"</f>
        <v>1578728398445051</v>
      </c>
      <c r="C3883" t="s">
        <v>40</v>
      </c>
      <c r="D3883">
        <v>5.1109679999999997</v>
      </c>
      <c r="E3883">
        <v>0.40093109999999998</v>
      </c>
      <c r="F3883" t="s">
        <v>41</v>
      </c>
      <c r="G3883">
        <v>-292.23630000000003</v>
      </c>
      <c r="H3883">
        <v>1.0597490000000001</v>
      </c>
      <c r="I3883">
        <v>-57.443860000000001</v>
      </c>
      <c r="J3883">
        <v>-292.92599999999999</v>
      </c>
      <c r="K3883">
        <v>1.11937</v>
      </c>
      <c r="L3883">
        <v>-57.56671</v>
      </c>
      <c r="M3883">
        <v>0.84774760000000005</v>
      </c>
      <c r="N3883">
        <v>0</v>
      </c>
      <c r="O3883">
        <v>-0.53024479999999996</v>
      </c>
      <c r="P3883">
        <v>0.95356240000000003</v>
      </c>
      <c r="Q3883">
        <v>5.4376870000000001E-2</v>
      </c>
      <c r="R3883">
        <v>-0.29624669999999997</v>
      </c>
      <c r="S3883">
        <v>3.1168819999999999</v>
      </c>
      <c r="T3883">
        <v>-0.1899401</v>
      </c>
      <c r="U3883">
        <v>-0.1646118</v>
      </c>
      <c r="V3883">
        <v>-0.2568761</v>
      </c>
      <c r="W3883">
        <v>5.693865E-2</v>
      </c>
      <c r="X3883">
        <v>0.9647656</v>
      </c>
      <c r="Y3883">
        <v>-0.48305599999999999</v>
      </c>
      <c r="Z3883">
        <v>4.5516790000000001E-2</v>
      </c>
      <c r="AA3883">
        <v>0.87440560000000001</v>
      </c>
      <c r="AB3883">
        <v>35</v>
      </c>
      <c r="AC3883">
        <v>0.68969999999995901</v>
      </c>
      <c r="AD3883">
        <v>-5.9620999999999903E-2</v>
      </c>
      <c r="AE3883">
        <v>0.122849999999999</v>
      </c>
      <c r="AF3883">
        <v>-0.46651534213071699</v>
      </c>
      <c r="AG3883">
        <v>-5.9620999999999903E-2</v>
      </c>
      <c r="AH3883">
        <v>0.51585736392439896</v>
      </c>
      <c r="AI3883">
        <v>94.899514877377399</v>
      </c>
      <c r="AJ3883">
        <v>132.12459864719</v>
      </c>
      <c r="AK3883">
        <v>0.69806879890120399</v>
      </c>
      <c r="AL3883">
        <v>86.735890334217999</v>
      </c>
      <c r="AM3883">
        <v>104.909529132565</v>
      </c>
      <c r="AN3883">
        <v>1.0000000017791899</v>
      </c>
    </row>
    <row r="3884" spans="1:40" x14ac:dyDescent="0.3">
      <c r="A3884" t="str">
        <f>"20200111153958471"</f>
        <v>20200111153958471</v>
      </c>
      <c r="B3884" t="str">
        <f>"1578728398464571"</f>
        <v>1578728398464571</v>
      </c>
      <c r="C3884" t="s">
        <v>40</v>
      </c>
      <c r="D3884">
        <v>5.1075239999999997</v>
      </c>
      <c r="E3884">
        <v>0.4019295</v>
      </c>
      <c r="F3884" t="s">
        <v>41</v>
      </c>
      <c r="G3884">
        <v>-291.98309999999998</v>
      </c>
      <c r="H3884">
        <v>1.0623849999999999</v>
      </c>
      <c r="I3884">
        <v>-57.610570000000003</v>
      </c>
      <c r="J3884">
        <v>-292.62389999999999</v>
      </c>
      <c r="K3884">
        <v>1.1192439999999999</v>
      </c>
      <c r="L3884">
        <v>-57.741549999999997</v>
      </c>
      <c r="M3884">
        <v>0.85642689999999999</v>
      </c>
      <c r="N3884">
        <v>0</v>
      </c>
      <c r="O3884">
        <v>-0.51611010000000002</v>
      </c>
      <c r="P3884">
        <v>0.95744410000000002</v>
      </c>
      <c r="Q3884">
        <v>5.3974729999999999E-2</v>
      </c>
      <c r="R3884">
        <v>-0.28352670000000002</v>
      </c>
      <c r="S3884">
        <v>3.1118769999999998</v>
      </c>
      <c r="T3884">
        <v>-0.18804199999999999</v>
      </c>
      <c r="U3884">
        <v>-0.14450070000000001</v>
      </c>
      <c r="V3884">
        <v>-0.25369049999999999</v>
      </c>
      <c r="W3884">
        <v>5.6703009999999998E-2</v>
      </c>
      <c r="X3884">
        <v>0.96562199999999998</v>
      </c>
      <c r="Y3884">
        <v>-0.47414859999999998</v>
      </c>
      <c r="Z3884">
        <v>4.4152770000000001E-2</v>
      </c>
      <c r="AA3884">
        <v>0.87933700000000004</v>
      </c>
      <c r="AB3884">
        <v>35</v>
      </c>
      <c r="AC3884">
        <v>0.64080000000001203</v>
      </c>
      <c r="AD3884">
        <v>-5.6858999999999903E-2</v>
      </c>
      <c r="AE3884">
        <v>0.13098000000000001</v>
      </c>
      <c r="AF3884">
        <v>-0.43961195831387001</v>
      </c>
      <c r="AG3884">
        <v>-5.6858999999999903E-2</v>
      </c>
      <c r="AH3884">
        <v>0.47762789063939598</v>
      </c>
      <c r="AI3884">
        <v>95.0058088459988</v>
      </c>
      <c r="AJ3884">
        <v>132.62667684659399</v>
      </c>
      <c r="AK3884">
        <v>0.65162874529151604</v>
      </c>
      <c r="AL3884">
        <v>86.749413269256706</v>
      </c>
      <c r="AM3884">
        <v>104.72022276064099</v>
      </c>
      <c r="AN3884">
        <v>0.99999997400865404</v>
      </c>
    </row>
    <row r="3885" spans="1:40" x14ac:dyDescent="0.3">
      <c r="A3885" t="str">
        <f>"20200111153958492"</f>
        <v>20200111153958492</v>
      </c>
      <c r="B3885" t="str">
        <f>"1578728398485070"</f>
        <v>1578728398485070</v>
      </c>
      <c r="C3885" t="s">
        <v>40</v>
      </c>
      <c r="D3885">
        <v>5.1240249999999996</v>
      </c>
      <c r="E3885">
        <v>0.42053099999999999</v>
      </c>
      <c r="F3885" t="s">
        <v>41</v>
      </c>
      <c r="G3885">
        <v>-291.72680000000003</v>
      </c>
      <c r="H3885">
        <v>1.0650010000000001</v>
      </c>
      <c r="I3885">
        <v>-57.773200000000003</v>
      </c>
      <c r="J3885">
        <v>-292.32209999999998</v>
      </c>
      <c r="K3885">
        <v>1.1191230000000001</v>
      </c>
      <c r="L3885">
        <v>-57.909730000000003</v>
      </c>
      <c r="M3885">
        <v>0.86469640000000003</v>
      </c>
      <c r="N3885">
        <v>0</v>
      </c>
      <c r="O3885">
        <v>-0.50213339999999995</v>
      </c>
      <c r="P3885">
        <v>0.96114180000000005</v>
      </c>
      <c r="Q3885">
        <v>5.3843769999999999E-2</v>
      </c>
      <c r="R3885">
        <v>-0.27075300000000002</v>
      </c>
      <c r="S3885">
        <v>3.111389</v>
      </c>
      <c r="T3885">
        <v>-0.1881429</v>
      </c>
      <c r="U3885">
        <v>-0.1098633</v>
      </c>
      <c r="V3885">
        <v>-0.25084309999999999</v>
      </c>
      <c r="W3885">
        <v>5.672348E-2</v>
      </c>
      <c r="X3885">
        <v>0.96636440000000001</v>
      </c>
      <c r="Y3885">
        <v>-0.46964679999999998</v>
      </c>
      <c r="Z3885">
        <v>4.3343960000000001E-2</v>
      </c>
      <c r="AA3885">
        <v>0.88178979999999996</v>
      </c>
      <c r="AB3885">
        <v>35</v>
      </c>
      <c r="AC3885">
        <v>0.59529999999995198</v>
      </c>
      <c r="AD3885">
        <v>-5.4121999999999698E-2</v>
      </c>
      <c r="AE3885">
        <v>0.13653000000000001</v>
      </c>
      <c r="AF3885">
        <v>-0.41376173132420901</v>
      </c>
      <c r="AG3885">
        <v>-5.4121999999999698E-2</v>
      </c>
      <c r="AH3885">
        <v>0.44275689549993802</v>
      </c>
      <c r="AI3885">
        <v>95.103583459986893</v>
      </c>
      <c r="AJ3885">
        <v>133.06114390147599</v>
      </c>
      <c r="AK3885">
        <v>0.60840909732280501</v>
      </c>
      <c r="AL3885">
        <v>86.7482385657474</v>
      </c>
      <c r="AM3885">
        <v>104.551352842637</v>
      </c>
      <c r="AN3885">
        <v>0.99999998379414001</v>
      </c>
    </row>
    <row r="3886" spans="1:40" x14ac:dyDescent="0.3">
      <c r="A3886" t="str">
        <f>"20200111153958515"</f>
        <v>20200111153958515</v>
      </c>
      <c r="B3886" t="str">
        <f>"1578728398504587"</f>
        <v>1578728398504587</v>
      </c>
      <c r="C3886" t="s">
        <v>40</v>
      </c>
      <c r="D3886">
        <v>5.192755</v>
      </c>
      <c r="E3886">
        <v>0.4233616</v>
      </c>
      <c r="F3886" t="s">
        <v>42</v>
      </c>
      <c r="G3886">
        <v>-274.90899999999999</v>
      </c>
      <c r="H3886" s="1">
        <v>-1.5428099999999999E-6</v>
      </c>
      <c r="I3886">
        <v>-59.105559999999997</v>
      </c>
      <c r="J3886">
        <v>-292.03179999999998</v>
      </c>
      <c r="K3886">
        <v>1.1190070000000001</v>
      </c>
      <c r="L3886">
        <v>-58.065460000000002</v>
      </c>
      <c r="M3886">
        <v>0.87228749999999999</v>
      </c>
      <c r="N3886">
        <v>0</v>
      </c>
      <c r="O3886">
        <v>-0.48882890000000001</v>
      </c>
      <c r="P3886">
        <v>0.96449819999999997</v>
      </c>
      <c r="Q3886">
        <v>5.4095709999999998E-2</v>
      </c>
      <c r="R3886">
        <v>-0.2584901</v>
      </c>
      <c r="S3886">
        <v>3.0728759999999999</v>
      </c>
      <c r="T3886">
        <v>-0.19749159999999999</v>
      </c>
      <c r="U3886">
        <v>-0.2110291</v>
      </c>
      <c r="V3886">
        <v>-0.24832950000000001</v>
      </c>
      <c r="W3886">
        <v>5.7112419999999997E-2</v>
      </c>
      <c r="X3886">
        <v>0.96699049999999998</v>
      </c>
      <c r="Y3886">
        <v>-0.42615629999999999</v>
      </c>
      <c r="Z3886">
        <v>4.3815180000000002E-2</v>
      </c>
      <c r="AA3886">
        <v>0.9035879</v>
      </c>
      <c r="AB3886">
        <v>35</v>
      </c>
      <c r="AC3886">
        <v>17.122799999999899</v>
      </c>
      <c r="AD3886">
        <v>-1.1190085428099901</v>
      </c>
      <c r="AE3886">
        <v>-1.0401</v>
      </c>
      <c r="AF3886">
        <v>-7.4318296767708798</v>
      </c>
      <c r="AG3886">
        <v>-1.1190085428099901</v>
      </c>
      <c r="AH3886">
        <v>15.380231786451599</v>
      </c>
      <c r="AI3886">
        <v>93.748050877019395</v>
      </c>
      <c r="AJ3886">
        <v>115.790140506936</v>
      </c>
      <c r="AK3886">
        <v>17.118288532104799</v>
      </c>
      <c r="AL3886">
        <v>86.725917806449502</v>
      </c>
      <c r="AM3886">
        <v>104.402698094963</v>
      </c>
      <c r="AN3886">
        <v>0.99999999808937801</v>
      </c>
    </row>
    <row r="3887" spans="1:40" x14ac:dyDescent="0.3">
      <c r="A3887" t="str">
        <f>"20200111153958537"</f>
        <v>20200111153958537</v>
      </c>
      <c r="B3887" t="str">
        <f>"1578728398535352"</f>
        <v>1578728398535352</v>
      </c>
      <c r="C3887" t="s">
        <v>40</v>
      </c>
      <c r="D3887">
        <v>5.1725399999999997</v>
      </c>
      <c r="E3887">
        <v>0.42671759999999997</v>
      </c>
      <c r="F3887" t="s">
        <v>41</v>
      </c>
      <c r="G3887">
        <v>-290.91039999999998</v>
      </c>
      <c r="H3887">
        <v>1.043685</v>
      </c>
      <c r="I3887">
        <v>-58.136229999999998</v>
      </c>
      <c r="J3887">
        <v>-291.72680000000003</v>
      </c>
      <c r="K3887">
        <v>1.1188880000000001</v>
      </c>
      <c r="L3887">
        <v>-58.222630000000002</v>
      </c>
      <c r="M3887">
        <v>0.87990089999999999</v>
      </c>
      <c r="N3887">
        <v>0</v>
      </c>
      <c r="O3887">
        <v>-0.4749892</v>
      </c>
      <c r="P3887">
        <v>0.96780259999999996</v>
      </c>
      <c r="Q3887">
        <v>5.4437680000000002E-2</v>
      </c>
      <c r="R3887">
        <v>-0.24575330000000001</v>
      </c>
      <c r="S3887">
        <v>3.0701900000000002</v>
      </c>
      <c r="T3887">
        <v>-0.20619179999999901</v>
      </c>
      <c r="U3887">
        <v>-0.19326779999999999</v>
      </c>
      <c r="V3887">
        <v>-0.2457849</v>
      </c>
      <c r="W3887">
        <v>5.7594190000000003E-2</v>
      </c>
      <c r="X3887">
        <v>0.96761180000000002</v>
      </c>
      <c r="Y3887">
        <v>-0.41688570000000003</v>
      </c>
      <c r="Z3887">
        <v>4.4669899999999998E-2</v>
      </c>
      <c r="AA3887">
        <v>0.90786060000000002</v>
      </c>
      <c r="AB3887">
        <v>35</v>
      </c>
      <c r="AC3887">
        <v>0.81640000000004398</v>
      </c>
      <c r="AD3887">
        <v>-7.5202999999999895E-2</v>
      </c>
      <c r="AE3887">
        <v>8.6399999999997507E-2</v>
      </c>
      <c r="AF3887">
        <v>-0.45998182436492402</v>
      </c>
      <c r="AG3887">
        <v>-7.5202999999999895E-2</v>
      </c>
      <c r="AH3887">
        <v>0.67172944896203801</v>
      </c>
      <c r="AI3887">
        <v>95.277577720313005</v>
      </c>
      <c r="AJ3887">
        <v>124.40226883554401</v>
      </c>
      <c r="AK3887">
        <v>0.81759355584417803</v>
      </c>
      <c r="AL3887">
        <v>86.698268753286996</v>
      </c>
      <c r="AM3887">
        <v>104.252381227741</v>
      </c>
      <c r="AN3887">
        <v>0.99999995164450195</v>
      </c>
    </row>
    <row r="3888" spans="1:40" x14ac:dyDescent="0.3">
      <c r="A3888" t="str">
        <f>"20200111153958560"</f>
        <v>20200111153958560</v>
      </c>
      <c r="B3888" t="str">
        <f>"1578728398554871"</f>
        <v>1578728398554871</v>
      </c>
      <c r="C3888" t="s">
        <v>40</v>
      </c>
      <c r="D3888">
        <v>5.370241</v>
      </c>
      <c r="E3888">
        <v>0.42805779999999899</v>
      </c>
      <c r="F3888" t="s">
        <v>41</v>
      </c>
      <c r="G3888">
        <v>-290.64490000000001</v>
      </c>
      <c r="H3888">
        <v>1.043099</v>
      </c>
      <c r="I3888">
        <v>-58.285800000000002</v>
      </c>
      <c r="J3888">
        <v>-291.41849999999999</v>
      </c>
      <c r="K3888">
        <v>1.118765</v>
      </c>
      <c r="L3888">
        <v>-58.375430000000001</v>
      </c>
      <c r="M3888">
        <v>0.88725049999999905</v>
      </c>
      <c r="N3888">
        <v>0</v>
      </c>
      <c r="O3888">
        <v>-0.46111560000000001</v>
      </c>
      <c r="P3888">
        <v>0.97121590000000002</v>
      </c>
      <c r="Q3888">
        <v>5.4406210000000003E-2</v>
      </c>
      <c r="R3888">
        <v>-0.23190440000000001</v>
      </c>
      <c r="S3888">
        <v>3.0664669999999998</v>
      </c>
      <c r="T3888">
        <v>-0.21480579999999999</v>
      </c>
      <c r="U3888">
        <v>-0.17877199999999999</v>
      </c>
      <c r="V3888">
        <v>-0.24439369999999999</v>
      </c>
      <c r="W3888">
        <v>5.765369E-2</v>
      </c>
      <c r="X3888">
        <v>0.96796070000000001</v>
      </c>
      <c r="Y3888">
        <v>-0.4066902</v>
      </c>
      <c r="Z3888">
        <v>4.5381360000000003E-2</v>
      </c>
      <c r="AA3888">
        <v>0.91243830000000004</v>
      </c>
      <c r="AB3888">
        <v>35</v>
      </c>
      <c r="AC3888">
        <v>0.77359999999998696</v>
      </c>
      <c r="AD3888">
        <v>-7.5665999999999997E-2</v>
      </c>
      <c r="AE3888">
        <v>8.9629999999999599E-2</v>
      </c>
      <c r="AF3888">
        <v>-0.43219796484991302</v>
      </c>
      <c r="AG3888">
        <v>-7.5665999999999997E-2</v>
      </c>
      <c r="AH3888">
        <v>0.63906561142706697</v>
      </c>
      <c r="AI3888">
        <v>95.601511345100207</v>
      </c>
      <c r="AJ3888">
        <v>124.070359582487</v>
      </c>
      <c r="AK3888">
        <v>0.77519370487966299</v>
      </c>
      <c r="AL3888">
        <v>86.694854380526706</v>
      </c>
      <c r="AM3888">
        <v>104.170066282078</v>
      </c>
      <c r="AN3888">
        <v>1.0000000726573901</v>
      </c>
    </row>
    <row r="3889" spans="1:40" x14ac:dyDescent="0.3">
      <c r="A3889" t="str">
        <f>"20200111153958584"</f>
        <v>20200111153958584</v>
      </c>
      <c r="B3889" t="str">
        <f>"1578728398575366"</f>
        <v>1578728398575366</v>
      </c>
      <c r="C3889" t="s">
        <v>40</v>
      </c>
      <c r="D3889">
        <v>5.2296250000000004</v>
      </c>
      <c r="E3889">
        <v>0.44209900000000002</v>
      </c>
      <c r="F3889" t="s">
        <v>41</v>
      </c>
      <c r="G3889">
        <v>-290.37400000000002</v>
      </c>
      <c r="H3889">
        <v>1.045218</v>
      </c>
      <c r="I3889">
        <v>-58.425159999999998</v>
      </c>
      <c r="J3889">
        <v>-291.09070000000003</v>
      </c>
      <c r="K3889">
        <v>1.11864599999999</v>
      </c>
      <c r="L3889">
        <v>-58.531460000000003</v>
      </c>
      <c r="M3889">
        <v>0.894706</v>
      </c>
      <c r="N3889">
        <v>0</v>
      </c>
      <c r="O3889">
        <v>-0.44647920000000002</v>
      </c>
      <c r="P3889">
        <v>0.97434219999999905</v>
      </c>
      <c r="Q3889">
        <v>5.3690429999999997E-2</v>
      </c>
      <c r="R3889">
        <v>-0.2185752</v>
      </c>
      <c r="S3889">
        <v>3.0662229999999999</v>
      </c>
      <c r="T3889">
        <v>-0.21587809999999999</v>
      </c>
      <c r="U3889">
        <v>-0.1455688</v>
      </c>
      <c r="V3889">
        <v>-0.24172779999999999</v>
      </c>
      <c r="W3889">
        <v>5.7081010000000001E-2</v>
      </c>
      <c r="X3889">
        <v>0.96866379999999996</v>
      </c>
      <c r="Y3889">
        <v>-0.40155800000000003</v>
      </c>
      <c r="Z3889">
        <v>4.4536340000000001E-2</v>
      </c>
      <c r="AA3889">
        <v>0.91475010000000001</v>
      </c>
      <c r="AB3889">
        <v>35</v>
      </c>
      <c r="AC3889">
        <v>0.716700000000003</v>
      </c>
      <c r="AD3889">
        <v>-7.3427999999999799E-2</v>
      </c>
      <c r="AE3889">
        <v>0.10629999999999699</v>
      </c>
      <c r="AF3889">
        <v>-0.41091125298331299</v>
      </c>
      <c r="AG3889">
        <v>-7.3427999999999799E-2</v>
      </c>
      <c r="AH3889">
        <v>0.58778487708467797</v>
      </c>
      <c r="AI3889">
        <v>95.845866238499497</v>
      </c>
      <c r="AJ3889">
        <v>124.9567979604</v>
      </c>
      <c r="AK3889">
        <v>0.72092356789174705</v>
      </c>
      <c r="AL3889">
        <v>86.727720624167702</v>
      </c>
      <c r="AM3889">
        <v>104.011849096191</v>
      </c>
      <c r="AN3889">
        <v>1.0000000642129401</v>
      </c>
    </row>
    <row r="3890" spans="1:40" x14ac:dyDescent="0.3">
      <c r="A3890" t="str">
        <f>"20200111153958604"</f>
        <v>20200111153958604</v>
      </c>
      <c r="B3890" t="str">
        <f>"1578728398594887"</f>
        <v>1578728398594887</v>
      </c>
      <c r="C3890" t="s">
        <v>40</v>
      </c>
      <c r="D3890">
        <v>5.2069049999999999</v>
      </c>
      <c r="E3890">
        <v>0.44308750000000002</v>
      </c>
      <c r="F3890" t="s">
        <v>42</v>
      </c>
      <c r="G3890">
        <v>-275.8331</v>
      </c>
      <c r="H3890" s="1">
        <v>-1.830258E-6</v>
      </c>
      <c r="I3890">
        <v>-59.598550000000003</v>
      </c>
      <c r="J3890">
        <v>-290.79450000000003</v>
      </c>
      <c r="K3890">
        <v>1.1185389999999999</v>
      </c>
      <c r="L3890">
        <v>-58.666989999999998</v>
      </c>
      <c r="M3890">
        <v>0.90113739999999998</v>
      </c>
      <c r="N3890">
        <v>0</v>
      </c>
      <c r="O3890">
        <v>-0.43335230000000002</v>
      </c>
      <c r="P3890">
        <v>0.97675849999999997</v>
      </c>
      <c r="Q3890">
        <v>5.3287950000000001E-2</v>
      </c>
      <c r="R3890">
        <v>-0.20761299999999999</v>
      </c>
      <c r="S3890">
        <v>3.0435490000000001</v>
      </c>
      <c r="T3890">
        <v>-0.22314539999999999</v>
      </c>
      <c r="U3890">
        <v>-0.2128601</v>
      </c>
      <c r="V3890">
        <v>-0.238428</v>
      </c>
      <c r="W3890">
        <v>5.6841549999999998E-2</v>
      </c>
      <c r="X3890">
        <v>0.96949529999999995</v>
      </c>
      <c r="Y3890">
        <v>-0.3673923</v>
      </c>
      <c r="Z3890">
        <v>4.4184460000000002E-2</v>
      </c>
      <c r="AA3890">
        <v>0.92901590000000001</v>
      </c>
      <c r="AB3890">
        <v>35</v>
      </c>
      <c r="AC3890">
        <v>14.961399999999999</v>
      </c>
      <c r="AD3890">
        <v>-1.118540830258</v>
      </c>
      <c r="AE3890">
        <v>-0.93155999999999695</v>
      </c>
      <c r="AF3890">
        <v>-5.6132838461690202</v>
      </c>
      <c r="AG3890">
        <v>-1.118540830258</v>
      </c>
      <c r="AH3890">
        <v>13.810170714484499</v>
      </c>
      <c r="AI3890">
        <v>94.291017875571001</v>
      </c>
      <c r="AJ3890">
        <v>112.119781849704</v>
      </c>
      <c r="AK3890">
        <v>14.949277717997701</v>
      </c>
      <c r="AL3890">
        <v>86.741462789309793</v>
      </c>
      <c r="AM3890">
        <v>103.816558786127</v>
      </c>
      <c r="AN3890">
        <v>1.0000000048562401</v>
      </c>
    </row>
    <row r="3891" spans="1:40" x14ac:dyDescent="0.3">
      <c r="A3891" t="str">
        <f>"20200111153958626"</f>
        <v>20200111153958626</v>
      </c>
      <c r="B3891" t="str">
        <f>"1578728398615383"</f>
        <v>1578728398615383</v>
      </c>
      <c r="C3891" t="s">
        <v>40</v>
      </c>
      <c r="D3891">
        <v>5.2032160000000003</v>
      </c>
      <c r="E3891">
        <v>0.44501590000000002</v>
      </c>
      <c r="F3891" t="s">
        <v>42</v>
      </c>
      <c r="G3891">
        <v>-275.4889</v>
      </c>
      <c r="H3891" s="1">
        <v>-1.6815140000000001E-6</v>
      </c>
      <c r="I3891">
        <v>-59.603340000000003</v>
      </c>
      <c r="J3891">
        <v>-290.4889</v>
      </c>
      <c r="K3891">
        <v>1.1184289999999999</v>
      </c>
      <c r="L3891">
        <v>-58.801450000000003</v>
      </c>
      <c r="M3891">
        <v>0.90747860000000002</v>
      </c>
      <c r="N3891">
        <v>0</v>
      </c>
      <c r="O3891">
        <v>-0.41991220000000001</v>
      </c>
      <c r="P3891">
        <v>0.97908649999999997</v>
      </c>
      <c r="Q3891">
        <v>5.2540179999999999E-2</v>
      </c>
      <c r="R3891">
        <v>-0.19654340000000001</v>
      </c>
      <c r="S3891">
        <v>3.0439449999999999</v>
      </c>
      <c r="T3891">
        <v>-0.2224526</v>
      </c>
      <c r="U3891">
        <v>-0.1862183</v>
      </c>
      <c r="V3891">
        <v>-0.23496520000000001</v>
      </c>
      <c r="W3891">
        <v>5.6263109999999998E-2</v>
      </c>
      <c r="X3891">
        <v>0.97037399999999996</v>
      </c>
      <c r="Y3891">
        <v>-0.36173470000000002</v>
      </c>
      <c r="Z3891">
        <v>4.2968159999999998E-2</v>
      </c>
      <c r="AA3891">
        <v>0.93129039999999996</v>
      </c>
      <c r="AB3891">
        <v>35</v>
      </c>
      <c r="AC3891">
        <v>15</v>
      </c>
      <c r="AD3891">
        <v>-1.1184306815139999</v>
      </c>
      <c r="AE3891">
        <v>-0.80188999999999999</v>
      </c>
      <c r="AF3891">
        <v>-5.5407047481925398</v>
      </c>
      <c r="AG3891">
        <v>-1.1184306815139999</v>
      </c>
      <c r="AH3891">
        <v>13.873085267459899</v>
      </c>
      <c r="AI3891">
        <v>94.281660133409503</v>
      </c>
      <c r="AJ3891">
        <v>111.77103562454199</v>
      </c>
      <c r="AK3891">
        <v>14.98041358355</v>
      </c>
      <c r="AL3891">
        <v>86.774657879707803</v>
      </c>
      <c r="AM3891">
        <v>103.61154723591901</v>
      </c>
      <c r="AN3891">
        <v>0.99999994131695402</v>
      </c>
    </row>
    <row r="3892" spans="1:40" x14ac:dyDescent="0.3">
      <c r="A3892" t="str">
        <f>"20200111153958650"</f>
        <v>20200111153958650</v>
      </c>
      <c r="B3892" t="str">
        <f>"1578728398645171"</f>
        <v>1578728398645171</v>
      </c>
      <c r="C3892" t="s">
        <v>40</v>
      </c>
      <c r="D3892">
        <v>5.3442699999999999</v>
      </c>
      <c r="E3892">
        <v>0.44736039999999999</v>
      </c>
      <c r="F3892" t="s">
        <v>42</v>
      </c>
      <c r="G3892">
        <v>-275.47980000000001</v>
      </c>
      <c r="H3892" s="1">
        <v>-1.6729779999999999E-6</v>
      </c>
      <c r="I3892">
        <v>-59.624290000000002</v>
      </c>
      <c r="J3892">
        <v>-290.16640000000001</v>
      </c>
      <c r="K3892">
        <v>1.118309</v>
      </c>
      <c r="L3892">
        <v>-58.937620000000003</v>
      </c>
      <c r="M3892">
        <v>0.91385729999999998</v>
      </c>
      <c r="N3892">
        <v>0</v>
      </c>
      <c r="O3892">
        <v>-0.4058446</v>
      </c>
      <c r="P3892">
        <v>0.981352</v>
      </c>
      <c r="Q3892">
        <v>5.179417E-2</v>
      </c>
      <c r="R3892">
        <v>-0.18511059999999999</v>
      </c>
      <c r="S3892">
        <v>3.0427249999999999</v>
      </c>
      <c r="T3892">
        <v>-0.2267343</v>
      </c>
      <c r="U3892">
        <v>-0.16680909999999999</v>
      </c>
      <c r="V3892">
        <v>-0.2312632</v>
      </c>
      <c r="W3892">
        <v>5.5696570000000001E-2</v>
      </c>
      <c r="X3892">
        <v>0.97129569999999998</v>
      </c>
      <c r="Y3892">
        <v>-0.35320269999999998</v>
      </c>
      <c r="Z3892">
        <v>4.2549299999999998E-2</v>
      </c>
      <c r="AA3892">
        <v>0.93457869999999998</v>
      </c>
      <c r="AB3892">
        <v>35</v>
      </c>
      <c r="AC3892">
        <v>14.6866</v>
      </c>
      <c r="AD3892">
        <v>-1.1183106729779999</v>
      </c>
      <c r="AE3892">
        <v>-0.686670000000006</v>
      </c>
      <c r="AF3892">
        <v>-5.3026939979820602</v>
      </c>
      <c r="AG3892">
        <v>-1.1183106729779999</v>
      </c>
      <c r="AH3892">
        <v>13.6223886994197</v>
      </c>
      <c r="AI3892">
        <v>94.374716309912998</v>
      </c>
      <c r="AJ3892">
        <v>111.269129976307</v>
      </c>
      <c r="AK3892">
        <v>14.660786345745899</v>
      </c>
      <c r="AL3892">
        <v>86.807169581248303</v>
      </c>
      <c r="AM3892">
        <v>103.392627213056</v>
      </c>
      <c r="AN3892">
        <v>1.0000000562112401</v>
      </c>
    </row>
    <row r="3893" spans="1:40" x14ac:dyDescent="0.3">
      <c r="A3893" t="str">
        <f>"20200111153958671"</f>
        <v>20200111153958671</v>
      </c>
      <c r="B3893" t="str">
        <f>"1578728398664690"</f>
        <v>1578728398664690</v>
      </c>
      <c r="C3893" t="s">
        <v>40</v>
      </c>
      <c r="D3893">
        <v>5.1955390000000001</v>
      </c>
      <c r="E3893">
        <v>0.46113310000000002</v>
      </c>
      <c r="F3893" t="s">
        <v>42</v>
      </c>
      <c r="G3893">
        <v>-275.65699999999998</v>
      </c>
      <c r="H3893" s="1">
        <v>-1.742819E-6</v>
      </c>
      <c r="I3893">
        <v>-59.652230000000003</v>
      </c>
      <c r="J3893">
        <v>-289.84440000000001</v>
      </c>
      <c r="K3893">
        <v>1.118185</v>
      </c>
      <c r="L3893">
        <v>-59.067959999999999</v>
      </c>
      <c r="M3893">
        <v>0.91991650000000003</v>
      </c>
      <c r="N3893">
        <v>0</v>
      </c>
      <c r="O3893">
        <v>-0.39191740000000003</v>
      </c>
      <c r="P3893">
        <v>0.98343970000000003</v>
      </c>
      <c r="Q3893">
        <v>5.144812E-2</v>
      </c>
      <c r="R3893">
        <v>-0.1737793</v>
      </c>
      <c r="S3893">
        <v>3.0411380000000001</v>
      </c>
      <c r="T3893">
        <v>-0.23439479999999999</v>
      </c>
      <c r="U3893">
        <v>-0.14978029999999901</v>
      </c>
      <c r="V3893">
        <v>-0.22768740000000001</v>
      </c>
      <c r="W3893">
        <v>5.552327E-2</v>
      </c>
      <c r="X3893">
        <v>0.97214999999999996</v>
      </c>
      <c r="Y3893">
        <v>-0.34409849999999997</v>
      </c>
      <c r="Z3893">
        <v>4.2678239999999999E-2</v>
      </c>
      <c r="AA3893">
        <v>0.93796310000000005</v>
      </c>
      <c r="AB3893">
        <v>35</v>
      </c>
      <c r="AC3893">
        <v>14.1874</v>
      </c>
      <c r="AD3893">
        <v>-1.118186742819</v>
      </c>
      <c r="AE3893">
        <v>-0.58427000000000295</v>
      </c>
      <c r="AF3893">
        <v>-4.9922383944411397</v>
      </c>
      <c r="AG3893">
        <v>-1.118186742819</v>
      </c>
      <c r="AH3893">
        <v>13.199380039593301</v>
      </c>
      <c r="AI3893">
        <v>94.530484492401101</v>
      </c>
      <c r="AJ3893">
        <v>110.717502317173</v>
      </c>
      <c r="AK3893">
        <v>14.1561442210922</v>
      </c>
      <c r="AL3893">
        <v>86.817114161932906</v>
      </c>
      <c r="AM3893">
        <v>103.18165714883</v>
      </c>
      <c r="AN3893">
        <v>1.00000000406512</v>
      </c>
    </row>
    <row r="3894" spans="1:40" x14ac:dyDescent="0.3">
      <c r="A3894" t="str">
        <f>"20200111153958693"</f>
        <v>20200111153958693</v>
      </c>
      <c r="B3894" t="str">
        <f>"1578728398685189"</f>
        <v>1578728398685189</v>
      </c>
      <c r="C3894" t="s">
        <v>40</v>
      </c>
      <c r="D3894">
        <v>5.2555339999999999</v>
      </c>
      <c r="E3894">
        <v>0.46170349999999999</v>
      </c>
      <c r="F3894" t="s">
        <v>42</v>
      </c>
      <c r="G3894">
        <v>-275.76940000000002</v>
      </c>
      <c r="H3894" s="1">
        <v>-1.690616E-6</v>
      </c>
      <c r="I3894">
        <v>-60.106540000000003</v>
      </c>
      <c r="J3894">
        <v>-289.53120000000001</v>
      </c>
      <c r="K3894">
        <v>1.1180669999999999</v>
      </c>
      <c r="L3894">
        <v>-59.189390000000003</v>
      </c>
      <c r="M3894">
        <v>0.9255215</v>
      </c>
      <c r="N3894">
        <v>0</v>
      </c>
      <c r="O3894">
        <v>-0.3784922</v>
      </c>
      <c r="P3894">
        <v>0.98531559999999996</v>
      </c>
      <c r="Q3894">
        <v>5.141188E-2</v>
      </c>
      <c r="R3894">
        <v>-0.16281889999999999</v>
      </c>
      <c r="S3894">
        <v>3.023682</v>
      </c>
      <c r="T3894">
        <v>-0.24021619999999999</v>
      </c>
      <c r="U3894">
        <v>-0.22311400000000001</v>
      </c>
      <c r="V3894">
        <v>-0.22434680000000001</v>
      </c>
      <c r="W3894">
        <v>5.5649909999999997E-2</v>
      </c>
      <c r="X3894">
        <v>0.97291910000000004</v>
      </c>
      <c r="Y3894">
        <v>-0.30729329999999999</v>
      </c>
      <c r="Z3894">
        <v>4.1470890000000003E-2</v>
      </c>
      <c r="AA3894">
        <v>0.95071079999999997</v>
      </c>
      <c r="AB3894">
        <v>35</v>
      </c>
      <c r="AC3894">
        <v>13.7617999999999</v>
      </c>
      <c r="AD3894">
        <v>-1.118068690616</v>
      </c>
      <c r="AE3894">
        <v>-0.91714999999999902</v>
      </c>
      <c r="AF3894">
        <v>-4.3317608181252201</v>
      </c>
      <c r="AG3894">
        <v>-1.118068690616</v>
      </c>
      <c r="AH3894">
        <v>12.999554865927401</v>
      </c>
      <c r="AI3894">
        <v>94.664843440016099</v>
      </c>
      <c r="AJ3894">
        <v>108.42929941728799</v>
      </c>
      <c r="AK3894">
        <v>13.747823685756201</v>
      </c>
      <c r="AL3894">
        <v>86.809846934426105</v>
      </c>
      <c r="AM3894">
        <v>102.984943900494</v>
      </c>
      <c r="AN3894">
        <v>0.99999998714902805</v>
      </c>
    </row>
    <row r="3895" spans="1:40" x14ac:dyDescent="0.3">
      <c r="A3895" t="str">
        <f>"20200111153958716"</f>
        <v>20200111153958716</v>
      </c>
      <c r="B3895" t="str">
        <f>"1578728398704709"</f>
        <v>1578728398704709</v>
      </c>
      <c r="C3895" t="s">
        <v>40</v>
      </c>
      <c r="D3895">
        <v>5.2188569999999999</v>
      </c>
      <c r="E3895">
        <v>0.46142369999999999</v>
      </c>
      <c r="F3895" t="s">
        <v>42</v>
      </c>
      <c r="G3895">
        <v>-274.76310000000001</v>
      </c>
      <c r="H3895" s="1">
        <v>-1.2525690000000001E-6</v>
      </c>
      <c r="I3895">
        <v>-60.135269999999998</v>
      </c>
      <c r="J3895">
        <v>-289.21710000000002</v>
      </c>
      <c r="K3895">
        <v>1.117937</v>
      </c>
      <c r="L3895">
        <v>-59.305819999999997</v>
      </c>
      <c r="M3895">
        <v>0.93086069999999999</v>
      </c>
      <c r="N3895">
        <v>0</v>
      </c>
      <c r="O3895">
        <v>-0.36516539999999997</v>
      </c>
      <c r="P3895">
        <v>0.98690800000000001</v>
      </c>
      <c r="Q3895">
        <v>5.1852099999999998E-2</v>
      </c>
      <c r="R3895">
        <v>-0.15272069999999999</v>
      </c>
      <c r="S3895">
        <v>3.0246580000000001</v>
      </c>
      <c r="T3895">
        <v>-0.228992</v>
      </c>
      <c r="U3895">
        <v>-0.1937256</v>
      </c>
      <c r="V3895">
        <v>-0.22032660000000001</v>
      </c>
      <c r="W3895">
        <v>5.6274539999999998E-2</v>
      </c>
      <c r="X3895">
        <v>0.97380149999999999</v>
      </c>
      <c r="Y3895">
        <v>-0.303087</v>
      </c>
      <c r="Z3895">
        <v>3.8451800000000001E-2</v>
      </c>
      <c r="AA3895">
        <v>0.9521868</v>
      </c>
      <c r="AB3895">
        <v>35</v>
      </c>
      <c r="AC3895">
        <v>14.454000000000001</v>
      </c>
      <c r="AD3895">
        <v>-1.117938252569</v>
      </c>
      <c r="AE3895">
        <v>-0.82945000000000102</v>
      </c>
      <c r="AF3895">
        <v>-4.4796320932397196</v>
      </c>
      <c r="AG3895">
        <v>-1.117938252569</v>
      </c>
      <c r="AH3895">
        <v>13.6770467221993</v>
      </c>
      <c r="AI3895">
        <v>94.441698573279794</v>
      </c>
      <c r="AJ3895">
        <v>108.13513209772501</v>
      </c>
      <c r="AK3895">
        <v>14.4353211487851</v>
      </c>
      <c r="AL3895">
        <v>86.774002132616602</v>
      </c>
      <c r="AM3895">
        <v>102.74875838346399</v>
      </c>
      <c r="AN3895">
        <v>0.99999999796101002</v>
      </c>
    </row>
    <row r="3896" spans="1:40" x14ac:dyDescent="0.3">
      <c r="A3896" t="str">
        <f>"20200111153958739"</f>
        <v>20200111153958739</v>
      </c>
      <c r="B3896" t="str">
        <f>"1578728398734495"</f>
        <v>1578728398734495</v>
      </c>
      <c r="C3896" t="s">
        <v>40</v>
      </c>
      <c r="D3896">
        <v>5.2225780000000004</v>
      </c>
      <c r="E3896">
        <v>0.46306720000000001</v>
      </c>
      <c r="F3896" t="s">
        <v>42</v>
      </c>
      <c r="G3896">
        <v>-274.73160000000001</v>
      </c>
      <c r="H3896" s="1">
        <v>-1.2523949999999999E-6</v>
      </c>
      <c r="I3896">
        <v>-60.074939999999998</v>
      </c>
      <c r="J3896">
        <v>-288.8852</v>
      </c>
      <c r="K3896">
        <v>1.117796</v>
      </c>
      <c r="L3896">
        <v>-59.423219999999901</v>
      </c>
      <c r="M3896">
        <v>0.93620440000000005</v>
      </c>
      <c r="N3896">
        <v>0</v>
      </c>
      <c r="O3896">
        <v>-0.35124030000000001</v>
      </c>
      <c r="P3896">
        <v>0.98856840000000001</v>
      </c>
      <c r="Q3896">
        <v>5.087564E-2</v>
      </c>
      <c r="R3896">
        <v>-0.1419299</v>
      </c>
      <c r="S3896">
        <v>3.0272519999999998</v>
      </c>
      <c r="T3896">
        <v>-0.2336329</v>
      </c>
      <c r="U3896">
        <v>-0.16073609999999999</v>
      </c>
      <c r="V3896">
        <v>-0.21640010000000001</v>
      </c>
      <c r="W3896">
        <v>5.5474700000000002E-2</v>
      </c>
      <c r="X3896">
        <v>0.97472749999999997</v>
      </c>
      <c r="Y3896">
        <v>-0.29924420000000002</v>
      </c>
      <c r="Z3896">
        <v>3.8064130000000002E-2</v>
      </c>
      <c r="AA3896">
        <v>0.95341699999999996</v>
      </c>
      <c r="AB3896">
        <v>35</v>
      </c>
      <c r="AC3896">
        <v>14.1535999999999</v>
      </c>
      <c r="AD3896">
        <v>-1.1177972523949999</v>
      </c>
      <c r="AE3896">
        <v>-0.65172000000001096</v>
      </c>
      <c r="AF3896">
        <v>-4.3345238826393704</v>
      </c>
      <c r="AG3896">
        <v>-1.1177972523949999</v>
      </c>
      <c r="AH3896">
        <v>13.3972098358644</v>
      </c>
      <c r="AI3896">
        <v>94.538828047491606</v>
      </c>
      <c r="AJ3896">
        <v>107.928432594578</v>
      </c>
      <c r="AK3896">
        <v>14.1252539578166</v>
      </c>
      <c r="AL3896">
        <v>86.819901531304794</v>
      </c>
      <c r="AM3896">
        <v>102.517267449421</v>
      </c>
      <c r="AN3896">
        <v>1.0000000724381699</v>
      </c>
    </row>
    <row r="3897" spans="1:40" x14ac:dyDescent="0.3">
      <c r="A3897" t="str">
        <f>"20200111153958761"</f>
        <v>20200111153958761</v>
      </c>
      <c r="B3897" t="str">
        <f>"1578728398754990"</f>
        <v>1578728398754990</v>
      </c>
      <c r="C3897" t="s">
        <v>40</v>
      </c>
      <c r="D3897">
        <v>5.2364449999999998</v>
      </c>
      <c r="E3897">
        <v>0.46326040000000002</v>
      </c>
      <c r="F3897" t="s">
        <v>42</v>
      </c>
      <c r="G3897">
        <v>-275.1046</v>
      </c>
      <c r="H3897" s="1">
        <v>-1.415055E-6</v>
      </c>
      <c r="I3897">
        <v>-60.062829999999998</v>
      </c>
      <c r="J3897">
        <v>-288.5453</v>
      </c>
      <c r="K3897">
        <v>1.117659</v>
      </c>
      <c r="L3897">
        <v>-59.537930000000003</v>
      </c>
      <c r="M3897">
        <v>0.9413783</v>
      </c>
      <c r="N3897">
        <v>0</v>
      </c>
      <c r="O3897">
        <v>-0.33712979999999998</v>
      </c>
      <c r="P3897">
        <v>0.99009320000000001</v>
      </c>
      <c r="Q3897">
        <v>5.089602E-2</v>
      </c>
      <c r="R3897">
        <v>-0.1308629</v>
      </c>
      <c r="S3897">
        <v>3.027161</v>
      </c>
      <c r="T3897">
        <v>-0.24554400000000001</v>
      </c>
      <c r="U3897">
        <v>-0.14050289999999999</v>
      </c>
      <c r="V3897">
        <v>-0.21263099999999999</v>
      </c>
      <c r="W3897">
        <v>5.566277E-2</v>
      </c>
      <c r="X3897">
        <v>0.97554580000000002</v>
      </c>
      <c r="Y3897">
        <v>-0.29112549999999998</v>
      </c>
      <c r="Z3897">
        <v>3.8604760000000002E-2</v>
      </c>
      <c r="AA3897">
        <v>0.95590569999999997</v>
      </c>
      <c r="AB3897">
        <v>35</v>
      </c>
      <c r="AC3897">
        <v>13.4406999999999</v>
      </c>
      <c r="AD3897">
        <v>-1.117660415055</v>
      </c>
      <c r="AE3897">
        <v>-0.52490000000000203</v>
      </c>
      <c r="AF3897">
        <v>-4.0097504812729703</v>
      </c>
      <c r="AG3897">
        <v>-1.117660415055</v>
      </c>
      <c r="AH3897">
        <v>12.742729115997999</v>
      </c>
      <c r="AI3897">
        <v>94.782528524471502</v>
      </c>
      <c r="AJ3897">
        <v>107.46720811251799</v>
      </c>
      <c r="AK3897">
        <v>13.405387314402899</v>
      </c>
      <c r="AL3897">
        <v>86.809108838623402</v>
      </c>
      <c r="AM3897">
        <v>102.295941689324</v>
      </c>
      <c r="AN3897">
        <v>0.99999994701135497</v>
      </c>
    </row>
    <row r="3898" spans="1:40" x14ac:dyDescent="0.3">
      <c r="A3898" t="str">
        <f>"20200111153958784"</f>
        <v>20200111153958784</v>
      </c>
      <c r="B3898" t="str">
        <f>"1578728398774510"</f>
        <v>1578728398774510</v>
      </c>
      <c r="C3898" t="s">
        <v>40</v>
      </c>
      <c r="D3898">
        <v>5.4347059999999896</v>
      </c>
      <c r="E3898">
        <v>0.46297280000000002</v>
      </c>
      <c r="F3898" t="s">
        <v>42</v>
      </c>
      <c r="G3898">
        <v>-274.8519</v>
      </c>
      <c r="H3898" s="1">
        <v>-1.3142550000000001E-6</v>
      </c>
      <c r="I3898">
        <v>-60.028500000000001</v>
      </c>
      <c r="J3898">
        <v>-288.22239999999999</v>
      </c>
      <c r="K3898">
        <v>1.1175349999999999</v>
      </c>
      <c r="L3898">
        <v>-59.641910000000003</v>
      </c>
      <c r="M3898">
        <v>0.94602439999999999</v>
      </c>
      <c r="N3898">
        <v>0</v>
      </c>
      <c r="O3898">
        <v>-0.32386500000000001</v>
      </c>
      <c r="P3898">
        <v>0.99128579999999999</v>
      </c>
      <c r="Q3898">
        <v>5.1944200000000003E-2</v>
      </c>
      <c r="R3898">
        <v>-0.1210545</v>
      </c>
      <c r="S3898">
        <v>3.0283509999999998</v>
      </c>
      <c r="T3898">
        <v>-0.24717410000000001</v>
      </c>
      <c r="U3898">
        <v>-0.10849</v>
      </c>
      <c r="V3898">
        <v>-0.20857200000000001</v>
      </c>
      <c r="W3898">
        <v>5.6885819999999997E-2</v>
      </c>
      <c r="X3898">
        <v>0.97635130000000003</v>
      </c>
      <c r="Y3898">
        <v>-0.28781380000000001</v>
      </c>
      <c r="Z3898">
        <v>3.7701970000000001E-2</v>
      </c>
      <c r="AA3898">
        <v>0.95694400000000002</v>
      </c>
      <c r="AB3898">
        <v>35</v>
      </c>
      <c r="AC3898">
        <v>13.3704999999999</v>
      </c>
      <c r="AD3898">
        <v>-1.1175363142550001</v>
      </c>
      <c r="AE3898">
        <v>-0.38659000000000499</v>
      </c>
      <c r="AF3898">
        <v>-3.9373262387009702</v>
      </c>
      <c r="AG3898">
        <v>-1.1175363142550001</v>
      </c>
      <c r="AH3898">
        <v>12.6864226768002</v>
      </c>
      <c r="AI3898">
        <v>94.808997745908997</v>
      </c>
      <c r="AJ3898">
        <v>107.242120913588</v>
      </c>
      <c r="AK3898">
        <v>13.3302942825008</v>
      </c>
      <c r="AL3898">
        <v>86.738922401660204</v>
      </c>
      <c r="AM3898">
        <v>102.05849928856701</v>
      </c>
      <c r="AN3898">
        <v>1.0000000683563699</v>
      </c>
    </row>
    <row r="3899" spans="1:40" x14ac:dyDescent="0.3">
      <c r="A3899" t="str">
        <f>"20200111153958805"</f>
        <v>20200111153958805</v>
      </c>
      <c r="B3899" t="str">
        <f>"1578728398795006"</f>
        <v>1578728398795006</v>
      </c>
      <c r="C3899" t="s">
        <v>40</v>
      </c>
      <c r="D3899">
        <v>5.2155940000000003</v>
      </c>
      <c r="E3899">
        <v>0.46365440000000002</v>
      </c>
      <c r="F3899" t="s">
        <v>42</v>
      </c>
      <c r="G3899">
        <v>-274.50229999999999</v>
      </c>
      <c r="H3899" s="1">
        <v>-1.1728630000000001E-6</v>
      </c>
      <c r="I3899">
        <v>-59.989730000000002</v>
      </c>
      <c r="J3899">
        <v>-287.90559999999999</v>
      </c>
      <c r="K3899">
        <v>1.117402</v>
      </c>
      <c r="L3899">
        <v>-59.739199999999997</v>
      </c>
      <c r="M3899">
        <v>0.95032649999999996</v>
      </c>
      <c r="N3899">
        <v>0</v>
      </c>
      <c r="O3899">
        <v>-0.31101669999999998</v>
      </c>
      <c r="P3899">
        <v>0.99230969999999996</v>
      </c>
      <c r="Q3899">
        <v>5.2758779999999998E-2</v>
      </c>
      <c r="R3899">
        <v>-0.11197319999999999</v>
      </c>
      <c r="S3899">
        <v>3.029938</v>
      </c>
      <c r="T3899">
        <v>-0.24679680000000001</v>
      </c>
      <c r="U3899">
        <v>-7.6812740000000004E-2</v>
      </c>
      <c r="V3899">
        <v>-0.20427229999999999</v>
      </c>
      <c r="W3899">
        <v>5.788314E-2</v>
      </c>
      <c r="X3899">
        <v>0.97720130000000005</v>
      </c>
      <c r="Y3899">
        <v>-0.28491149999999998</v>
      </c>
      <c r="Z3899">
        <v>3.6524590000000003E-2</v>
      </c>
      <c r="AA3899">
        <v>0.95785770000000003</v>
      </c>
      <c r="AB3899">
        <v>35</v>
      </c>
      <c r="AC3899">
        <v>13.4033</v>
      </c>
      <c r="AD3899">
        <v>-1.1174031728630001</v>
      </c>
      <c r="AE3899">
        <v>-0.25053000000000403</v>
      </c>
      <c r="AF3899">
        <v>-3.9037338433203401</v>
      </c>
      <c r="AG3899">
        <v>-1.1174031728630001</v>
      </c>
      <c r="AH3899">
        <v>12.7279489407552</v>
      </c>
      <c r="AI3899">
        <v>94.797722935826499</v>
      </c>
      <c r="AJ3899">
        <v>107.051072490913</v>
      </c>
      <c r="AK3899">
        <v>13.359955539173001</v>
      </c>
      <c r="AL3899">
        <v>86.681685650756293</v>
      </c>
      <c r="AM3899">
        <v>101.806983757156</v>
      </c>
      <c r="AN3899">
        <v>1.0000000055826099</v>
      </c>
    </row>
    <row r="3900" spans="1:40" x14ac:dyDescent="0.3">
      <c r="A3900" t="str">
        <f>"20200111153958827"</f>
        <v>20200111153958827</v>
      </c>
      <c r="B3900" t="str">
        <f>"1578728398824793"</f>
        <v>1578728398824793</v>
      </c>
      <c r="C3900" t="s">
        <v>40</v>
      </c>
      <c r="D3900">
        <v>5.2720640000000003</v>
      </c>
      <c r="E3900">
        <v>0.46509699999999998</v>
      </c>
      <c r="F3900" t="s">
        <v>42</v>
      </c>
      <c r="G3900">
        <v>-274.1397</v>
      </c>
      <c r="H3900" s="1">
        <v>-1.018007E-6</v>
      </c>
      <c r="I3900">
        <v>-59.986530000000002</v>
      </c>
      <c r="J3900">
        <v>-287.57600000000002</v>
      </c>
      <c r="K3900">
        <v>1.117254</v>
      </c>
      <c r="L3900">
        <v>-59.835659999999997</v>
      </c>
      <c r="M3900">
        <v>0.95454229999999995</v>
      </c>
      <c r="N3900">
        <v>0</v>
      </c>
      <c r="O3900">
        <v>-0.2978288</v>
      </c>
      <c r="P3900">
        <v>0.99341290000000004</v>
      </c>
      <c r="Q3900">
        <v>5.217343E-2</v>
      </c>
      <c r="R3900">
        <v>-0.1020253</v>
      </c>
      <c r="S3900">
        <v>3.0301819999999999</v>
      </c>
      <c r="T3900">
        <v>-0.24596460000000001</v>
      </c>
      <c r="U3900">
        <v>-5.4443360000000003E-2</v>
      </c>
      <c r="V3900">
        <v>-0.20049719999999999</v>
      </c>
      <c r="W3900">
        <v>5.7461850000000002E-2</v>
      </c>
      <c r="X3900">
        <v>0.97800770000000004</v>
      </c>
      <c r="Y3900">
        <v>-0.27878320000000001</v>
      </c>
      <c r="Z3900">
        <v>3.5133770000000002E-2</v>
      </c>
      <c r="AA3900">
        <v>0.95971119999999999</v>
      </c>
      <c r="AB3900">
        <v>35</v>
      </c>
      <c r="AC3900">
        <v>13.4362999999999</v>
      </c>
      <c r="AD3900">
        <v>-1.117255018007</v>
      </c>
      <c r="AE3900">
        <v>-0.150870000000004</v>
      </c>
      <c r="AF3900">
        <v>-3.8315002666827498</v>
      </c>
      <c r="AG3900">
        <v>-1.117255018007</v>
      </c>
      <c r="AH3900">
        <v>12.7830223371574</v>
      </c>
      <c r="AI3900">
        <v>94.7857318280725</v>
      </c>
      <c r="AJ3900">
        <v>106.685235642534</v>
      </c>
      <c r="AK3900">
        <v>13.391576200773301</v>
      </c>
      <c r="AL3900">
        <v>86.705864101746101</v>
      </c>
      <c r="AM3900">
        <v>101.58544227350799</v>
      </c>
      <c r="AN3900">
        <v>1.0000000263362701</v>
      </c>
    </row>
    <row r="3901" spans="1:40" x14ac:dyDescent="0.3">
      <c r="A3901" t="str">
        <f>"20200111153958851"</f>
        <v>20200111153958851</v>
      </c>
      <c r="B3901" t="str">
        <f>"1578728398845289"</f>
        <v>1578728398845289</v>
      </c>
      <c r="C3901" t="s">
        <v>40</v>
      </c>
      <c r="D3901">
        <v>5.5868769999999897</v>
      </c>
      <c r="E3901">
        <v>0.46502549999999998</v>
      </c>
      <c r="F3901" t="s">
        <v>42</v>
      </c>
      <c r="G3901">
        <v>-273.92720000000003</v>
      </c>
      <c r="H3901" s="1">
        <v>-9.248591E-7</v>
      </c>
      <c r="I3901">
        <v>-59.995570000000001</v>
      </c>
      <c r="J3901">
        <v>-287.23860000000002</v>
      </c>
      <c r="K3901">
        <v>1.1170880000000001</v>
      </c>
      <c r="L3901">
        <v>-59.92953</v>
      </c>
      <c r="M3901">
        <v>0.958588</v>
      </c>
      <c r="N3901">
        <v>0</v>
      </c>
      <c r="O3901">
        <v>-0.28454099999999999</v>
      </c>
      <c r="P3901">
        <v>0.9944115</v>
      </c>
      <c r="Q3901">
        <v>5.269356E-2</v>
      </c>
      <c r="R3901">
        <v>-9.1486029999999996E-2</v>
      </c>
      <c r="S3901">
        <v>3.0292970000000001</v>
      </c>
      <c r="T3901">
        <v>-0.24797</v>
      </c>
      <c r="U3901">
        <v>-3.549194E-2</v>
      </c>
      <c r="V3901">
        <v>-0.1972632</v>
      </c>
      <c r="W3901">
        <v>5.8126400000000002E-2</v>
      </c>
      <c r="X3901">
        <v>0.97862579999999999</v>
      </c>
      <c r="Y3901">
        <v>-0.27147320000000003</v>
      </c>
      <c r="Z3901">
        <v>3.4090380000000003E-2</v>
      </c>
      <c r="AA3901">
        <v>0.96184210000000003</v>
      </c>
      <c r="AB3901">
        <v>35</v>
      </c>
      <c r="AC3901">
        <v>13.3113999999999</v>
      </c>
      <c r="AD3901">
        <v>-1.1170889248590901</v>
      </c>
      <c r="AE3901">
        <v>-6.6039999999986707E-2</v>
      </c>
      <c r="AF3901">
        <v>-3.69855830078314</v>
      </c>
      <c r="AG3901">
        <v>-1.1170889248590901</v>
      </c>
      <c r="AH3901">
        <v>12.690498066693401</v>
      </c>
      <c r="AI3901">
        <v>94.830569388917993</v>
      </c>
      <c r="AJ3901">
        <v>106.248399679201</v>
      </c>
      <c r="AK3901">
        <v>13.2655931775056</v>
      </c>
      <c r="AL3901">
        <v>86.667724195663197</v>
      </c>
      <c r="AM3901">
        <v>101.396490768763</v>
      </c>
      <c r="AN3901">
        <v>0.99999995243841799</v>
      </c>
    </row>
    <row r="3902" spans="1:40" x14ac:dyDescent="0.3">
      <c r="A3902" t="str">
        <f>"20200111153958873"</f>
        <v>20200111153958873</v>
      </c>
      <c r="B3902" t="str">
        <f>"1578728398864812"</f>
        <v>1578728398864812</v>
      </c>
      <c r="C3902" t="s">
        <v>40</v>
      </c>
      <c r="D3902">
        <v>5.2242509999999998</v>
      </c>
      <c r="E3902">
        <v>0.46569300000000002</v>
      </c>
      <c r="F3902" t="s">
        <v>42</v>
      </c>
      <c r="G3902">
        <v>-273.85930000000002</v>
      </c>
      <c r="H3902" s="1">
        <v>-9.0726599999999999E-7</v>
      </c>
      <c r="I3902">
        <v>-59.943280000000001</v>
      </c>
      <c r="J3902">
        <v>-286.8947</v>
      </c>
      <c r="K3902">
        <v>1.1168979999999999</v>
      </c>
      <c r="L3902">
        <v>-60.020389999999999</v>
      </c>
      <c r="M3902">
        <v>0.96243639999999997</v>
      </c>
      <c r="N3902">
        <v>0</v>
      </c>
      <c r="O3902">
        <v>-0.27124110000000001</v>
      </c>
      <c r="P3902">
        <v>0.99531789999999998</v>
      </c>
      <c r="Q3902">
        <v>5.3769989999999997E-2</v>
      </c>
      <c r="R3902">
        <v>-8.0319580000000002E-2</v>
      </c>
      <c r="S3902">
        <v>3.029938</v>
      </c>
      <c r="T3902">
        <v>-0.25298039999999999</v>
      </c>
      <c r="U3902">
        <v>-3.112793E-3</v>
      </c>
      <c r="V3902">
        <v>-0.1946841</v>
      </c>
      <c r="W3902">
        <v>5.932453E-2</v>
      </c>
      <c r="X3902">
        <v>0.97907029999999995</v>
      </c>
      <c r="Y3902">
        <v>-0.26841209999999999</v>
      </c>
      <c r="Z3902">
        <v>3.3577940000000001E-2</v>
      </c>
      <c r="AA3902">
        <v>0.96271879999999999</v>
      </c>
      <c r="AB3902">
        <v>35</v>
      </c>
      <c r="AC3902">
        <v>13.0353999999999</v>
      </c>
      <c r="AD3902">
        <v>-1.1168989072660001</v>
      </c>
      <c r="AE3902">
        <v>7.71099999999975E-2</v>
      </c>
      <c r="AF3902">
        <v>-3.5839005136408701</v>
      </c>
      <c r="AG3902">
        <v>-1.1168989072660001</v>
      </c>
      <c r="AH3902">
        <v>12.434449599311099</v>
      </c>
      <c r="AI3902">
        <v>94.932943894053494</v>
      </c>
      <c r="AJ3902">
        <v>106.07822434222599</v>
      </c>
      <c r="AK3902">
        <v>12.9887390803933</v>
      </c>
      <c r="AL3902">
        <v>86.598957795223797</v>
      </c>
      <c r="AM3902">
        <v>101.246335755334</v>
      </c>
      <c r="AN3902">
        <v>0.99999997549731001</v>
      </c>
    </row>
    <row r="3903" spans="1:40" x14ac:dyDescent="0.3">
      <c r="A3903" t="str">
        <f>"20200111153958895"</f>
        <v>20200111153958895</v>
      </c>
      <c r="B3903" t="str">
        <f>"1578728398885308"</f>
        <v>1578728398885308</v>
      </c>
      <c r="C3903" t="s">
        <v>40</v>
      </c>
      <c r="D3903">
        <v>5.4561999999999999</v>
      </c>
      <c r="E3903">
        <v>0.4660649</v>
      </c>
      <c r="F3903" t="s">
        <v>42</v>
      </c>
      <c r="G3903">
        <v>-273.47190000000001</v>
      </c>
      <c r="H3903" s="1">
        <v>-7.4855039999999998E-7</v>
      </c>
      <c r="I3903">
        <v>-59.909519999999901</v>
      </c>
      <c r="J3903">
        <v>-286.57049999999998</v>
      </c>
      <c r="K3903">
        <v>1.1167</v>
      </c>
      <c r="L3903">
        <v>-60.101439999999997</v>
      </c>
      <c r="M3903">
        <v>0.96581039999999996</v>
      </c>
      <c r="N3903">
        <v>0</v>
      </c>
      <c r="O3903">
        <v>-0.25897429999999999</v>
      </c>
      <c r="P3903">
        <v>0.99611870000000002</v>
      </c>
      <c r="Q3903">
        <v>5.412782E-2</v>
      </c>
      <c r="R3903">
        <v>-6.9411379999999995E-2</v>
      </c>
      <c r="S3903">
        <v>3.0297550000000002</v>
      </c>
      <c r="T3903">
        <v>-0.25210389999999999</v>
      </c>
      <c r="U3903">
        <v>2.502441E-2</v>
      </c>
      <c r="V3903">
        <v>-0.19292690000000001</v>
      </c>
      <c r="W3903">
        <v>5.9778619999999998E-2</v>
      </c>
      <c r="X3903">
        <v>0.97939050000000005</v>
      </c>
      <c r="Y3903">
        <v>-0.26516469999999998</v>
      </c>
      <c r="Z3903">
        <v>3.2344680000000001E-2</v>
      </c>
      <c r="AA3903">
        <v>0.96366050000000003</v>
      </c>
      <c r="AB3903">
        <v>35</v>
      </c>
      <c r="AC3903">
        <v>13.0985999999999</v>
      </c>
      <c r="AD3903">
        <v>-1.1167007485503999</v>
      </c>
      <c r="AE3903">
        <v>0.19192000000001</v>
      </c>
      <c r="AF3903">
        <v>-3.5520032255805298</v>
      </c>
      <c r="AG3903">
        <v>-1.1167007485503999</v>
      </c>
      <c r="AH3903">
        <v>12.5110475561565</v>
      </c>
      <c r="AI3903">
        <v>94.907592348115102</v>
      </c>
      <c r="AJ3903">
        <v>105.84973945309299</v>
      </c>
      <c r="AK3903">
        <v>13.053354297986299</v>
      </c>
      <c r="AL3903">
        <v>86.572894221404994</v>
      </c>
      <c r="AM3903">
        <v>101.143827525855</v>
      </c>
      <c r="AN3903">
        <v>1.00000001182148</v>
      </c>
    </row>
    <row r="3904" spans="1:40" x14ac:dyDescent="0.3">
      <c r="A3904" t="str">
        <f>"20200111153958917"</f>
        <v>20200111153958917</v>
      </c>
      <c r="B3904" t="str">
        <f>"1578728398904824"</f>
        <v>1578728398904824</v>
      </c>
      <c r="C3904" t="s">
        <v>40</v>
      </c>
      <c r="D3904">
        <v>5.5893930000000003</v>
      </c>
      <c r="E3904">
        <v>0.4663852</v>
      </c>
      <c r="F3904" t="s">
        <v>42</v>
      </c>
      <c r="G3904">
        <v>-273.26429999999999</v>
      </c>
      <c r="H3904" s="1">
        <v>-6.700236E-7</v>
      </c>
      <c r="I3904">
        <v>-59.8617699999999</v>
      </c>
      <c r="J3904">
        <v>-286.23489999999998</v>
      </c>
      <c r="K3904">
        <v>1.116473</v>
      </c>
      <c r="L3904">
        <v>-60.180729999999997</v>
      </c>
      <c r="M3904">
        <v>0.96905030000000003</v>
      </c>
      <c r="N3904">
        <v>0</v>
      </c>
      <c r="O3904">
        <v>-0.2465772</v>
      </c>
      <c r="P3904">
        <v>0.99679399999999996</v>
      </c>
      <c r="Q3904">
        <v>5.418564E-2</v>
      </c>
      <c r="R3904">
        <v>-5.8868040000000003E-2</v>
      </c>
      <c r="S3904">
        <v>3.0293269999999999</v>
      </c>
      <c r="T3904">
        <v>-0.25422979999999901</v>
      </c>
      <c r="U3904">
        <v>5.4565429999999998E-2</v>
      </c>
      <c r="V3904">
        <v>-0.1907037</v>
      </c>
      <c r="W3904">
        <v>5.9954260000000002E-2</v>
      </c>
      <c r="X3904">
        <v>0.97981510000000005</v>
      </c>
      <c r="Y3904">
        <v>-0.2622314</v>
      </c>
      <c r="Z3904">
        <v>3.1489549999999998E-2</v>
      </c>
      <c r="AA3904">
        <v>0.96449110000000005</v>
      </c>
      <c r="AB3904">
        <v>35</v>
      </c>
      <c r="AC3904">
        <v>12.9705999999999</v>
      </c>
      <c r="AD3904">
        <v>-1.1164736700236</v>
      </c>
      <c r="AE3904">
        <v>0.31896000000001101</v>
      </c>
      <c r="AF3904">
        <v>-3.4818080105979101</v>
      </c>
      <c r="AG3904">
        <v>-1.1164736700236</v>
      </c>
      <c r="AH3904">
        <v>12.399580865226699</v>
      </c>
      <c r="AI3904">
        <v>94.954495483548001</v>
      </c>
      <c r="AJ3904">
        <v>105.684766339031</v>
      </c>
      <c r="AK3904">
        <v>12.9274555157547</v>
      </c>
      <c r="AL3904">
        <v>86.562812744744505</v>
      </c>
      <c r="AM3904">
        <v>101.013913583915</v>
      </c>
      <c r="AN3904">
        <v>1.0000000223369201</v>
      </c>
    </row>
    <row r="3905" spans="1:40" x14ac:dyDescent="0.3">
      <c r="A3905" t="str">
        <f>"20200111153958939"</f>
        <v>20200111153958939</v>
      </c>
      <c r="B3905" t="str">
        <f>"1578728398934613"</f>
        <v>1578728398934613</v>
      </c>
      <c r="C3905" t="s">
        <v>40</v>
      </c>
      <c r="D3905">
        <v>5.5661909999999999</v>
      </c>
      <c r="E3905">
        <v>0.46721780000000002</v>
      </c>
      <c r="F3905" t="s">
        <v>42</v>
      </c>
      <c r="G3905">
        <v>-273.10210000000001</v>
      </c>
      <c r="H3905" s="1">
        <v>-6.1055330000000003E-7</v>
      </c>
      <c r="I3905">
        <v>-59.81615</v>
      </c>
      <c r="J3905">
        <v>-285.8965</v>
      </c>
      <c r="K3905">
        <v>1.116247</v>
      </c>
      <c r="L3905">
        <v>-60.256320000000002</v>
      </c>
      <c r="M3905">
        <v>0.97208249999999996</v>
      </c>
      <c r="N3905">
        <v>0</v>
      </c>
      <c r="O3905">
        <v>-0.23434189999999999</v>
      </c>
      <c r="P3905">
        <v>0.99736429999999998</v>
      </c>
      <c r="Q3905">
        <v>5.3493430000000002E-2</v>
      </c>
      <c r="R3905">
        <v>-4.9021530000000001E-2</v>
      </c>
      <c r="S3905">
        <v>3.0285950000000001</v>
      </c>
      <c r="T3905">
        <v>-0.25747429999999999</v>
      </c>
      <c r="U3905">
        <v>8.4075929999999993E-2</v>
      </c>
      <c r="V3905">
        <v>-0.1879789</v>
      </c>
      <c r="W3905">
        <v>5.939403E-2</v>
      </c>
      <c r="X3905">
        <v>0.98037560000000001</v>
      </c>
      <c r="Y3905">
        <v>-0.25947429999999999</v>
      </c>
      <c r="Z3905">
        <v>3.0767240000000001E-2</v>
      </c>
      <c r="AA3905">
        <v>0.9652598</v>
      </c>
      <c r="AB3905">
        <v>35</v>
      </c>
      <c r="AC3905">
        <v>12.7943999999999</v>
      </c>
      <c r="AD3905">
        <v>-1.1162476105532999</v>
      </c>
      <c r="AE3905">
        <v>0.44016999999999401</v>
      </c>
      <c r="AF3905">
        <v>-3.40053133658642</v>
      </c>
      <c r="AG3905">
        <v>-1.1162476105532999</v>
      </c>
      <c r="AH3905">
        <v>12.241851324946101</v>
      </c>
      <c r="AI3905">
        <v>95.020905271966299</v>
      </c>
      <c r="AJ3905">
        <v>105.52418520874799</v>
      </c>
      <c r="AK3905">
        <v>12.7543147977952</v>
      </c>
      <c r="AL3905">
        <v>86.594968847130602</v>
      </c>
      <c r="AM3905">
        <v>100.85425222147801</v>
      </c>
      <c r="AN3905">
        <v>1.0000000173601</v>
      </c>
    </row>
    <row r="3906" spans="1:40" x14ac:dyDescent="0.3">
      <c r="A3906" t="str">
        <f>"20200111153958962"</f>
        <v>20200111153958962</v>
      </c>
      <c r="B3906" t="str">
        <f>"1578728398955109"</f>
        <v>1578728398955109</v>
      </c>
      <c r="C3906" t="s">
        <v>40</v>
      </c>
      <c r="D3906">
        <v>5.3127240000000002</v>
      </c>
      <c r="E3906">
        <v>0.46761029999999998</v>
      </c>
      <c r="F3906" t="s">
        <v>42</v>
      </c>
      <c r="G3906">
        <v>-272.6404</v>
      </c>
      <c r="H3906" s="1">
        <v>-4.1903649999999998E-7</v>
      </c>
      <c r="I3906">
        <v>-59.7864</v>
      </c>
      <c r="J3906">
        <v>-285.5376</v>
      </c>
      <c r="K3906">
        <v>1.1160139999999901</v>
      </c>
      <c r="L3906">
        <v>-60.331910000000001</v>
      </c>
      <c r="M3906">
        <v>0.97505070000000005</v>
      </c>
      <c r="N3906">
        <v>0</v>
      </c>
      <c r="O3906">
        <v>-0.22167120000000001</v>
      </c>
      <c r="P3906">
        <v>0.99780670000000005</v>
      </c>
      <c r="Q3906">
        <v>5.351736E-2</v>
      </c>
      <c r="R3906">
        <v>-3.8957569999999997E-2</v>
      </c>
      <c r="S3906">
        <v>3.0268860000000002</v>
      </c>
      <c r="T3906">
        <v>-0.2548822</v>
      </c>
      <c r="U3906">
        <v>0.1072998</v>
      </c>
      <c r="V3906">
        <v>-0.1850714</v>
      </c>
      <c r="W3906">
        <v>5.9558710000000001E-2</v>
      </c>
      <c r="X3906">
        <v>0.98091859999999997</v>
      </c>
      <c r="Y3906">
        <v>-0.25441609999999998</v>
      </c>
      <c r="Z3906">
        <v>2.9218729999999998E-2</v>
      </c>
      <c r="AA3906">
        <v>0.96665330000000005</v>
      </c>
      <c r="AB3906">
        <v>35</v>
      </c>
      <c r="AC3906">
        <v>12.8971999999999</v>
      </c>
      <c r="AD3906">
        <v>-1.11601441903649</v>
      </c>
      <c r="AE3906">
        <v>0.54551000000000005</v>
      </c>
      <c r="AF3906">
        <v>-3.3659137573519402</v>
      </c>
      <c r="AG3906">
        <v>-1.11601441903649</v>
      </c>
      <c r="AH3906">
        <v>12.362954705519201</v>
      </c>
      <c r="AI3906">
        <v>94.977923284034006</v>
      </c>
      <c r="AJ3906">
        <v>105.230091685576</v>
      </c>
      <c r="AK3906">
        <v>12.8614739690343</v>
      </c>
      <c r="AL3906">
        <v>86.585516522384097</v>
      </c>
      <c r="AM3906">
        <v>100.68448480526099</v>
      </c>
      <c r="AN3906">
        <v>0.99999998143039104</v>
      </c>
    </row>
    <row r="3907" spans="1:40" x14ac:dyDescent="0.3">
      <c r="A3907" t="str">
        <f>"20200111153958984"</f>
        <v>20200111153958984</v>
      </c>
      <c r="B3907" t="str">
        <f>"1578728398974632"</f>
        <v>1578728398974632</v>
      </c>
      <c r="C3907" t="s">
        <v>40</v>
      </c>
      <c r="D3907">
        <v>5.2826370000000002</v>
      </c>
      <c r="E3907">
        <v>0.46813709999999997</v>
      </c>
      <c r="F3907" t="s">
        <v>42</v>
      </c>
      <c r="G3907">
        <v>-272.07190000000003</v>
      </c>
      <c r="H3907" s="1">
        <v>-1.87353E-7</v>
      </c>
      <c r="I3907">
        <v>-59.731389999999998</v>
      </c>
      <c r="J3907">
        <v>-285.21260000000001</v>
      </c>
      <c r="K3907">
        <v>1.1157999999999999</v>
      </c>
      <c r="L3907">
        <v>-60.396450000000002</v>
      </c>
      <c r="M3907">
        <v>0.97752640000000002</v>
      </c>
      <c r="N3907">
        <v>0</v>
      </c>
      <c r="O3907">
        <v>-0.21048819999999999</v>
      </c>
      <c r="P3907">
        <v>0.99804470000000001</v>
      </c>
      <c r="Q3907">
        <v>5.4125930000000003E-2</v>
      </c>
      <c r="R3907">
        <v>-3.1260469999999999E-2</v>
      </c>
      <c r="S3907">
        <v>3.0253299999999999</v>
      </c>
      <c r="T3907">
        <v>-0.25073489999999998</v>
      </c>
      <c r="U3907">
        <v>0.13491819999999999</v>
      </c>
      <c r="V3907">
        <v>-0.18137539999999999</v>
      </c>
      <c r="W3907">
        <v>6.032933E-2</v>
      </c>
      <c r="X3907">
        <v>0.98156169999999998</v>
      </c>
      <c r="Y3907">
        <v>-0.2522683</v>
      </c>
      <c r="Z3907">
        <v>2.7760099999999999E-2</v>
      </c>
      <c r="AA3907">
        <v>0.96725899999999998</v>
      </c>
      <c r="AB3907">
        <v>35</v>
      </c>
      <c r="AC3907">
        <v>13.140699999999899</v>
      </c>
      <c r="AD3907">
        <v>-1.1158001873529999</v>
      </c>
      <c r="AE3907">
        <v>0.66505999999999599</v>
      </c>
      <c r="AF3907">
        <v>-3.3919165052982598</v>
      </c>
      <c r="AG3907">
        <v>-1.1158001873529999</v>
      </c>
      <c r="AH3907">
        <v>12.6155376077898</v>
      </c>
      <c r="AI3907">
        <v>94.8819616089541</v>
      </c>
      <c r="AJ3907">
        <v>105.04911510143801</v>
      </c>
      <c r="AK3907">
        <v>13.1111363645784</v>
      </c>
      <c r="AL3907">
        <v>86.541283829123998</v>
      </c>
      <c r="AM3907">
        <v>100.469166833996</v>
      </c>
      <c r="AN3907">
        <v>1.00000001734514</v>
      </c>
    </row>
    <row r="3908" spans="1:40" x14ac:dyDescent="0.3">
      <c r="A3908" t="str">
        <f>"20200111153959006"</f>
        <v>20200111153959006</v>
      </c>
      <c r="B3908" t="str">
        <f>"1578728398995125"</f>
        <v>1578728398995125</v>
      </c>
      <c r="C3908" t="s">
        <v>40</v>
      </c>
      <c r="D3908">
        <v>5.2539819999999997</v>
      </c>
      <c r="E3908">
        <v>0.46869260000000001</v>
      </c>
      <c r="F3908" t="s">
        <v>42</v>
      </c>
      <c r="G3908">
        <v>-271.48689999999999</v>
      </c>
      <c r="H3908" s="1">
        <v>5.5682509999999999E-8</v>
      </c>
      <c r="I3908">
        <v>-59.695430000000002</v>
      </c>
      <c r="J3908">
        <v>-284.8655</v>
      </c>
      <c r="K3908">
        <v>1.115551</v>
      </c>
      <c r="L3908">
        <v>-60.461399999999998</v>
      </c>
      <c r="M3908">
        <v>0.97995589999999999</v>
      </c>
      <c r="N3908">
        <v>0</v>
      </c>
      <c r="O3908">
        <v>-0.198874</v>
      </c>
      <c r="P3908">
        <v>0.99825240000000004</v>
      </c>
      <c r="Q3908">
        <v>5.4274950000000002E-2</v>
      </c>
      <c r="R3908">
        <v>-2.3366749999999999E-2</v>
      </c>
      <c r="S3908">
        <v>3.0240480000000001</v>
      </c>
      <c r="T3908">
        <v>-0.245833</v>
      </c>
      <c r="U3908">
        <v>0.15444949999999999</v>
      </c>
      <c r="V3908">
        <v>-0.17745060000000001</v>
      </c>
      <c r="W3908">
        <v>6.0651080000000003E-2</v>
      </c>
      <c r="X3908">
        <v>0.98225899999999999</v>
      </c>
      <c r="Y3908">
        <v>-0.24715219999999999</v>
      </c>
      <c r="Z3908">
        <v>2.6092790000000001E-2</v>
      </c>
      <c r="AA3908">
        <v>0.96862530000000002</v>
      </c>
      <c r="AB3908">
        <v>35</v>
      </c>
      <c r="AC3908">
        <v>13.3786</v>
      </c>
      <c r="AD3908">
        <v>-1.11555094431749</v>
      </c>
      <c r="AE3908">
        <v>0.76596999999999504</v>
      </c>
      <c r="AF3908">
        <v>-3.3880245958650499</v>
      </c>
      <c r="AG3908">
        <v>-1.11555094431749</v>
      </c>
      <c r="AH3908">
        <v>12.8697966139912</v>
      </c>
      <c r="AI3908">
        <v>94.791549094401503</v>
      </c>
      <c r="AJ3908">
        <v>104.74870900140201</v>
      </c>
      <c r="AK3908">
        <v>13.3549552397997</v>
      </c>
      <c r="AL3908">
        <v>86.522815052734998</v>
      </c>
      <c r="AM3908">
        <v>100.240354442696</v>
      </c>
      <c r="AN3908">
        <v>1.0000000060132599</v>
      </c>
    </row>
    <row r="3909" spans="1:40" x14ac:dyDescent="0.3">
      <c r="A3909" t="str">
        <f>"20200111153959029"</f>
        <v>20200111153959029</v>
      </c>
      <c r="B3909" t="str">
        <f>"1578728399024913"</f>
        <v>1578728399024913</v>
      </c>
      <c r="C3909" t="s">
        <v>40</v>
      </c>
      <c r="D3909">
        <v>5.2080760000000001</v>
      </c>
      <c r="E3909">
        <v>0.4695549</v>
      </c>
      <c r="F3909" t="s">
        <v>42</v>
      </c>
      <c r="G3909">
        <v>-271.07510000000002</v>
      </c>
      <c r="H3909" s="1">
        <v>2.260506E-7</v>
      </c>
      <c r="I3909">
        <v>-59.666930000000001</v>
      </c>
      <c r="J3909">
        <v>-284.51940000000002</v>
      </c>
      <c r="K3909">
        <v>1.1152799999999901</v>
      </c>
      <c r="L3909">
        <v>-60.522190000000002</v>
      </c>
      <c r="M3909">
        <v>0.98216700000000001</v>
      </c>
      <c r="N3909">
        <v>0</v>
      </c>
      <c r="O3909">
        <v>-0.1876543</v>
      </c>
      <c r="P3909">
        <v>0.99838530000000003</v>
      </c>
      <c r="Q3909">
        <v>5.4402190000000003E-2</v>
      </c>
      <c r="R3909">
        <v>-1.635002E-2</v>
      </c>
      <c r="S3909">
        <v>3.0226139999999999</v>
      </c>
      <c r="T3909">
        <v>-0.2445088</v>
      </c>
      <c r="U3909">
        <v>0.17413329999999999</v>
      </c>
      <c r="V3909">
        <v>-0.17307700000000001</v>
      </c>
      <c r="W3909">
        <v>6.0966159999999998E-2</v>
      </c>
      <c r="X3909">
        <v>0.98301959999999999</v>
      </c>
      <c r="Y3909">
        <v>-0.24245040000000001</v>
      </c>
      <c r="Z3909">
        <v>2.4878440000000002E-2</v>
      </c>
      <c r="AA3909">
        <v>0.96984479999999995</v>
      </c>
      <c r="AB3909">
        <v>35</v>
      </c>
      <c r="AC3909">
        <v>13.444299999999901</v>
      </c>
      <c r="AD3909">
        <v>-1.11527977394939</v>
      </c>
      <c r="AE3909">
        <v>0.85525999999999403</v>
      </c>
      <c r="AF3909">
        <v>-3.3402204232422501</v>
      </c>
      <c r="AG3909">
        <v>-1.11527977394939</v>
      </c>
      <c r="AH3909">
        <v>12.956127724618201</v>
      </c>
      <c r="AI3909">
        <v>94.764912039125207</v>
      </c>
      <c r="AJ3909">
        <v>104.456625792534</v>
      </c>
      <c r="AK3909">
        <v>13.426174699691799</v>
      </c>
      <c r="AL3909">
        <v>86.504728903439201</v>
      </c>
      <c r="AM3909">
        <v>99.985535090502907</v>
      </c>
      <c r="AN3909">
        <v>1.0000000272891501</v>
      </c>
    </row>
    <row r="3910" spans="1:40" x14ac:dyDescent="0.3">
      <c r="A3910" t="str">
        <f>"20200111153959052"</f>
        <v>20200111153959052</v>
      </c>
      <c r="B3910" t="str">
        <f>"1578728399045408"</f>
        <v>1578728399045408</v>
      </c>
      <c r="C3910" t="s">
        <v>40</v>
      </c>
      <c r="D3910">
        <v>5.4705199999999996</v>
      </c>
      <c r="E3910">
        <v>0.4701225</v>
      </c>
      <c r="F3910" t="s">
        <v>42</v>
      </c>
      <c r="G3910">
        <v>-270.6721</v>
      </c>
      <c r="H3910" s="1">
        <v>3.9536709999999999E-7</v>
      </c>
      <c r="I3910">
        <v>-59.656100000000002</v>
      </c>
      <c r="J3910">
        <v>-284.1696</v>
      </c>
      <c r="K3910">
        <v>1.114992</v>
      </c>
      <c r="L3910">
        <v>-60.579799999999999</v>
      </c>
      <c r="M3910">
        <v>0.98420010000000002</v>
      </c>
      <c r="N3910">
        <v>0</v>
      </c>
      <c r="O3910">
        <v>-0.1766857</v>
      </c>
      <c r="P3910">
        <v>0.99846400000000002</v>
      </c>
      <c r="Q3910">
        <v>5.4664409999999997E-2</v>
      </c>
      <c r="R3910">
        <v>-9.0260059999999996E-3</v>
      </c>
      <c r="S3910">
        <v>3.0212400000000001</v>
      </c>
      <c r="T3910">
        <v>-0.2433343</v>
      </c>
      <c r="U3910">
        <v>0.18896479999999999</v>
      </c>
      <c r="V3910">
        <v>-0.1692767</v>
      </c>
      <c r="W3910">
        <v>6.1402129999999999E-2</v>
      </c>
      <c r="X3910">
        <v>0.98365400000000003</v>
      </c>
      <c r="Y3910">
        <v>-0.23646220000000001</v>
      </c>
      <c r="Z3910">
        <v>2.3655700000000002E-2</v>
      </c>
      <c r="AA3910">
        <v>0.97135269999999996</v>
      </c>
      <c r="AB3910">
        <v>35</v>
      </c>
      <c r="AC3910">
        <v>13.4975</v>
      </c>
      <c r="AD3910">
        <v>-1.11499160463289</v>
      </c>
      <c r="AE3910">
        <v>0.92369999999999597</v>
      </c>
      <c r="AF3910">
        <v>-3.2719154827992001</v>
      </c>
      <c r="AG3910">
        <v>-1.11499160463289</v>
      </c>
      <c r="AH3910">
        <v>13.0333798037781</v>
      </c>
      <c r="AI3910">
        <v>94.743210617743003</v>
      </c>
      <c r="AJ3910">
        <v>104.092377596752</v>
      </c>
      <c r="AK3910">
        <v>13.4839766506218</v>
      </c>
      <c r="AL3910">
        <v>86.479702705633599</v>
      </c>
      <c r="AM3910">
        <v>99.764371716956205</v>
      </c>
      <c r="AN3910">
        <v>1.0000000072237101</v>
      </c>
    </row>
    <row r="3911" spans="1:40" x14ac:dyDescent="0.3">
      <c r="A3911" t="str">
        <f>"20200111153959073"</f>
        <v>20200111153959073</v>
      </c>
      <c r="B3911" t="str">
        <f>"1578728399064931"</f>
        <v>1578728399064931</v>
      </c>
      <c r="C3911" t="s">
        <v>40</v>
      </c>
      <c r="D3911">
        <v>5.3172839999999999</v>
      </c>
      <c r="E3911">
        <v>0.47078370000000003</v>
      </c>
      <c r="F3911" t="s">
        <v>42</v>
      </c>
      <c r="G3911">
        <v>-270.27030000000002</v>
      </c>
      <c r="H3911" s="1">
        <v>5.2359590000000001E-7</v>
      </c>
      <c r="I3911">
        <v>-59.628709999999998</v>
      </c>
      <c r="J3911">
        <v>-283.82769999999999</v>
      </c>
      <c r="K3911">
        <v>1.114695</v>
      </c>
      <c r="L3911">
        <v>-60.632510000000003</v>
      </c>
      <c r="M3911">
        <v>0.98600359999999998</v>
      </c>
      <c r="N3911">
        <v>0</v>
      </c>
      <c r="O3911">
        <v>-0.16633120000000001</v>
      </c>
      <c r="P3911">
        <v>0.99845950000000006</v>
      </c>
      <c r="Q3911">
        <v>5.5482280000000002E-2</v>
      </c>
      <c r="R3911">
        <v>-7.7201440000000004E-4</v>
      </c>
      <c r="S3911">
        <v>3.0197750000000001</v>
      </c>
      <c r="T3911">
        <v>-0.24224409999999999</v>
      </c>
      <c r="U3911">
        <v>0.2066345</v>
      </c>
      <c r="V3911">
        <v>-0.1670343</v>
      </c>
      <c r="W3911">
        <v>6.2348260000000003E-2</v>
      </c>
      <c r="X3911">
        <v>0.98397769999999996</v>
      </c>
      <c r="Y3911">
        <v>-0.2319968</v>
      </c>
      <c r="Z3911">
        <v>2.2558729999999999E-2</v>
      </c>
      <c r="AA3911">
        <v>0.97245490000000001</v>
      </c>
      <c r="AB3911">
        <v>35</v>
      </c>
      <c r="AC3911">
        <v>13.5573999999999</v>
      </c>
      <c r="AD3911">
        <v>-1.1146944764041</v>
      </c>
      <c r="AE3911">
        <v>1.00379999999999</v>
      </c>
      <c r="AF3911">
        <v>-3.2233099232137801</v>
      </c>
      <c r="AG3911">
        <v>-1.1146944764041</v>
      </c>
      <c r="AH3911">
        <v>13.1133799646048</v>
      </c>
      <c r="AI3911">
        <v>94.718908057228006</v>
      </c>
      <c r="AJ3911">
        <v>103.809703221397</v>
      </c>
      <c r="AK3911">
        <v>13.5496496166105</v>
      </c>
      <c r="AL3911">
        <v>86.425389132049304</v>
      </c>
      <c r="AM3911">
        <v>99.634354357140793</v>
      </c>
      <c r="AN3911">
        <v>0.99999993849940105</v>
      </c>
    </row>
    <row r="3912" spans="1:40" x14ac:dyDescent="0.3">
      <c r="A3912" t="str">
        <f>"20200111153959096"</f>
        <v>20200111153959096</v>
      </c>
      <c r="B3912" t="str">
        <f>"1578728399085424"</f>
        <v>1578728399085424</v>
      </c>
      <c r="C3912" t="s">
        <v>40</v>
      </c>
      <c r="D3912">
        <v>5.2140389999999996</v>
      </c>
      <c r="E3912">
        <v>0.47135470000000002</v>
      </c>
      <c r="F3912" t="s">
        <v>42</v>
      </c>
      <c r="G3912">
        <v>-269.74169999999998</v>
      </c>
      <c r="H3912" s="1">
        <v>-3.327633E-6</v>
      </c>
      <c r="I3912">
        <v>-59.57629</v>
      </c>
      <c r="J3912">
        <v>-283.48680000000002</v>
      </c>
      <c r="K3912">
        <v>1.114398</v>
      </c>
      <c r="L3912">
        <v>-60.6815199999999</v>
      </c>
      <c r="M3912">
        <v>0.98762939999999999</v>
      </c>
      <c r="N3912">
        <v>0</v>
      </c>
      <c r="O3912">
        <v>-0.15639229999999901</v>
      </c>
      <c r="P3912">
        <v>0.99839789999999995</v>
      </c>
      <c r="Q3912">
        <v>5.6372520000000002E-2</v>
      </c>
      <c r="R3912">
        <v>4.869455E-3</v>
      </c>
      <c r="S3912">
        <v>3.0180359999999999</v>
      </c>
      <c r="T3912">
        <v>-0.23883309999999999</v>
      </c>
      <c r="U3912">
        <v>0.22628780000000001</v>
      </c>
      <c r="V3912">
        <v>-0.16264579999999901</v>
      </c>
      <c r="W3912">
        <v>6.3427600000000001E-2</v>
      </c>
      <c r="X3912">
        <v>0.98464370000000001</v>
      </c>
      <c r="Y3912">
        <v>-0.22861570000000001</v>
      </c>
      <c r="Z3912">
        <v>2.133929E-2</v>
      </c>
      <c r="AA3912">
        <v>0.97328289999999995</v>
      </c>
      <c r="AB3912">
        <v>35</v>
      </c>
      <c r="AC3912">
        <v>13.745100000000001</v>
      </c>
      <c r="AD3912">
        <v>-1.114401327633</v>
      </c>
      <c r="AE3912">
        <v>1.1052299999999899</v>
      </c>
      <c r="AF3912">
        <v>-3.2203629040977999</v>
      </c>
      <c r="AG3912">
        <v>-1.114401327633</v>
      </c>
      <c r="AH3912">
        <v>13.316114754801999</v>
      </c>
      <c r="AI3912">
        <v>94.650385527352</v>
      </c>
      <c r="AJ3912">
        <v>103.595348534951</v>
      </c>
      <c r="AK3912">
        <v>13.7452369829033</v>
      </c>
      <c r="AL3912">
        <v>86.363424947435206</v>
      </c>
      <c r="AM3912">
        <v>99.379558028895701</v>
      </c>
      <c r="AN3912">
        <v>0.99999996632454402</v>
      </c>
    </row>
    <row r="3913" spans="1:40" x14ac:dyDescent="0.3">
      <c r="A3913" t="str">
        <f>"20200111153959106"</f>
        <v>20200111153959106</v>
      </c>
      <c r="B3913" t="str">
        <f>"1578728399095185"</f>
        <v>1578728399095185</v>
      </c>
      <c r="C3913" t="s">
        <v>40</v>
      </c>
      <c r="D3913">
        <v>5.4093019999999896</v>
      </c>
      <c r="E3913">
        <v>0.47164499999999998</v>
      </c>
      <c r="F3913" t="s">
        <v>77</v>
      </c>
      <c r="G3913">
        <v>-269.23149999999998</v>
      </c>
      <c r="H3913" s="1">
        <v>-3.1126340000000002E-6</v>
      </c>
      <c r="I3913">
        <v>-59.554540000000003</v>
      </c>
      <c r="J3913">
        <v>-283.30650000000003</v>
      </c>
      <c r="K3913">
        <v>1.1142449999999999</v>
      </c>
      <c r="L3913">
        <v>-60.705930000000002</v>
      </c>
      <c r="M3913">
        <v>0.98842160000000001</v>
      </c>
      <c r="N3913">
        <v>0</v>
      </c>
      <c r="O3913">
        <v>-0.15130729999999901</v>
      </c>
      <c r="P3913">
        <v>0.99836119999999995</v>
      </c>
      <c r="Q3913">
        <v>5.672663E-2</v>
      </c>
      <c r="R3913">
        <v>7.5370389999999997E-3</v>
      </c>
      <c r="S3913">
        <v>3.016937</v>
      </c>
      <c r="T3913">
        <v>-0.2358481</v>
      </c>
      <c r="U3913">
        <v>0.23849490000000001</v>
      </c>
      <c r="V3913">
        <v>-0.16018650000000001</v>
      </c>
      <c r="W3913">
        <v>6.3882990000000001E-2</v>
      </c>
      <c r="X3913">
        <v>0.98501740000000004</v>
      </c>
      <c r="Y3913">
        <v>-0.22759550000000001</v>
      </c>
      <c r="Z3913">
        <v>2.0645050000000002E-2</v>
      </c>
      <c r="AA3913">
        <v>0.97353690000000004</v>
      </c>
      <c r="AB3913">
        <v>36</v>
      </c>
      <c r="AC3913">
        <v>14.074999999999999</v>
      </c>
      <c r="AD3913">
        <v>-1.114248112634</v>
      </c>
      <c r="AE3913">
        <v>1.1513899999999899</v>
      </c>
      <c r="AF3913">
        <v>-3.2477011356090499</v>
      </c>
      <c r="AG3913">
        <v>-1.114248112634</v>
      </c>
      <c r="AH3913">
        <v>13.653704997302</v>
      </c>
      <c r="AI3913">
        <v>94.539344570414599</v>
      </c>
      <c r="AJ3913">
        <v>103.379864589207</v>
      </c>
      <c r="AK3913">
        <v>14.078805761714801</v>
      </c>
      <c r="AL3913">
        <v>86.337280175505398</v>
      </c>
      <c r="AM3913">
        <v>99.236753054034295</v>
      </c>
      <c r="AN3913">
        <v>1.00000001474817</v>
      </c>
    </row>
    <row r="3914" spans="1:40" x14ac:dyDescent="0.3">
      <c r="A3914" t="str">
        <f>"20200111153959120"</f>
        <v>20200111153959120</v>
      </c>
      <c r="B3914" t="str">
        <f>"1578728399114704"</f>
        <v>1578728399114704</v>
      </c>
      <c r="C3914" t="s">
        <v>40</v>
      </c>
      <c r="D3914">
        <v>5.1519529999999998</v>
      </c>
      <c r="E3914">
        <v>0.47224929999999898</v>
      </c>
      <c r="F3914" t="s">
        <v>42</v>
      </c>
      <c r="G3914">
        <v>-268.99130000000002</v>
      </c>
      <c r="H3914" s="1">
        <v>-3.0107350000000002E-6</v>
      </c>
      <c r="I3914">
        <v>-59.548090000000002</v>
      </c>
      <c r="J3914">
        <v>-283.12009999999998</v>
      </c>
      <c r="K3914">
        <v>1.114085</v>
      </c>
      <c r="L3914">
        <v>-60.730530000000002</v>
      </c>
      <c r="M3914">
        <v>0.98920359999999996</v>
      </c>
      <c r="N3914">
        <v>0</v>
      </c>
      <c r="O3914">
        <v>-0.14610999999999999</v>
      </c>
      <c r="P3914">
        <v>0.99829369999999995</v>
      </c>
      <c r="Q3914">
        <v>5.7551610000000003E-2</v>
      </c>
      <c r="R3914">
        <v>9.8791030000000002E-3</v>
      </c>
      <c r="S3914">
        <v>3.0163880000000001</v>
      </c>
      <c r="T3914">
        <v>-0.23478570000000001</v>
      </c>
      <c r="U3914">
        <v>0.24395749999999999</v>
      </c>
      <c r="V3914">
        <v>-0.1573051</v>
      </c>
      <c r="W3914">
        <v>6.4819459999999995E-2</v>
      </c>
      <c r="X3914">
        <v>0.98542050000000003</v>
      </c>
      <c r="Y3914">
        <v>-0.2242787</v>
      </c>
      <c r="Z3914">
        <v>2.00252E-2</v>
      </c>
      <c r="AA3914">
        <v>0.9743193</v>
      </c>
      <c r="AB3914">
        <v>36</v>
      </c>
      <c r="AC3914">
        <v>14.128799999999901</v>
      </c>
      <c r="AD3914">
        <v>-1.114088010735</v>
      </c>
      <c r="AE3914">
        <v>1.1824399999999899</v>
      </c>
      <c r="AF3914">
        <v>-3.2143929803375602</v>
      </c>
      <c r="AG3914">
        <v>-1.114088010735</v>
      </c>
      <c r="AH3914">
        <v>13.719666560301601</v>
      </c>
      <c r="AI3914">
        <v>94.520558145471</v>
      </c>
      <c r="AJ3914">
        <v>103.186042779964</v>
      </c>
      <c r="AK3914">
        <v>14.1351605881775</v>
      </c>
      <c r="AL3914">
        <v>86.283512932895206</v>
      </c>
      <c r="AM3914">
        <v>99.069742976709605</v>
      </c>
      <c r="AN3914">
        <v>1.00000000935047</v>
      </c>
    </row>
    <row r="3915" spans="1:40" x14ac:dyDescent="0.3">
      <c r="A3915" t="str">
        <f>"20200111153959131"</f>
        <v>20200111153959131</v>
      </c>
      <c r="B3915" t="str">
        <f>"1578728399124973"</f>
        <v>1578728399124973</v>
      </c>
      <c r="C3915" t="s">
        <v>40</v>
      </c>
      <c r="D3915">
        <v>5.1353169999999997</v>
      </c>
      <c r="E3915">
        <v>0.47256629999999999</v>
      </c>
      <c r="F3915" t="s">
        <v>77</v>
      </c>
      <c r="G3915">
        <v>-268.64030000000002</v>
      </c>
      <c r="H3915" s="1">
        <v>-2.8597069999999999E-6</v>
      </c>
      <c r="I3915">
        <v>-59.550460000000001</v>
      </c>
      <c r="J3915">
        <v>-282.9151</v>
      </c>
      <c r="K3915">
        <v>1.1139190000000001</v>
      </c>
      <c r="L3915">
        <v>-60.756529999999998</v>
      </c>
      <c r="M3915">
        <v>0.99001719999999904</v>
      </c>
      <c r="N3915">
        <v>0</v>
      </c>
      <c r="O3915">
        <v>-0.14049400000000001</v>
      </c>
      <c r="P3915">
        <v>0.99821910000000003</v>
      </c>
      <c r="Q3915">
        <v>5.8364140000000002E-2</v>
      </c>
      <c r="R3915">
        <v>1.2339350000000001E-2</v>
      </c>
      <c r="S3915">
        <v>3.0160830000000001</v>
      </c>
      <c r="T3915">
        <v>-0.2320594</v>
      </c>
      <c r="U3915">
        <v>0.2457886</v>
      </c>
      <c r="V3915">
        <v>-0.15412319999999999</v>
      </c>
      <c r="W3915">
        <v>6.5750180000000005E-2</v>
      </c>
      <c r="X3915">
        <v>0.98586149999999995</v>
      </c>
      <c r="Y3915">
        <v>-0.2193987</v>
      </c>
      <c r="Z3915">
        <v>1.9179180000000001E-2</v>
      </c>
      <c r="AA3915">
        <v>0.97544679999999995</v>
      </c>
      <c r="AB3915">
        <v>36</v>
      </c>
      <c r="AC3915">
        <v>14.2747999999999</v>
      </c>
      <c r="AD3915">
        <v>-1.113921859707</v>
      </c>
      <c r="AE3915">
        <v>1.20607</v>
      </c>
      <c r="AF3915">
        <v>-3.1805275902241101</v>
      </c>
      <c r="AG3915">
        <v>-1.113921859707</v>
      </c>
      <c r="AH3915">
        <v>13.879821572673601</v>
      </c>
      <c r="AI3915">
        <v>94.472981458562998</v>
      </c>
      <c r="AJ3915">
        <v>102.906369906945</v>
      </c>
      <c r="AK3915">
        <v>14.2830677569969</v>
      </c>
      <c r="AL3915">
        <v>86.230072456925399</v>
      </c>
      <c r="AM3915">
        <v>98.885330472680593</v>
      </c>
      <c r="AN3915">
        <v>0.99999997206526003</v>
      </c>
    </row>
    <row r="3916" spans="1:40" x14ac:dyDescent="0.3">
      <c r="A3916" t="str">
        <f>"20200111153959144"</f>
        <v>20200111153959144</v>
      </c>
      <c r="B3916" t="str">
        <f>"1578728399134733"</f>
        <v>1578728399134733</v>
      </c>
      <c r="C3916" t="s">
        <v>40</v>
      </c>
      <c r="D3916">
        <v>5.1937069999999999</v>
      </c>
      <c r="E3916">
        <v>0.47281509999999999</v>
      </c>
      <c r="F3916" t="s">
        <v>42</v>
      </c>
      <c r="G3916">
        <v>-268.27910000000003</v>
      </c>
      <c r="H3916" s="1">
        <v>-2.7062399999999999E-6</v>
      </c>
      <c r="I3916">
        <v>-59.542259999999999</v>
      </c>
      <c r="J3916">
        <v>-282.72550000000001</v>
      </c>
      <c r="K3916">
        <v>1.113772</v>
      </c>
      <c r="L3916">
        <v>-60.779299999999999</v>
      </c>
      <c r="M3916">
        <v>0.99072179999999999</v>
      </c>
      <c r="N3916">
        <v>0</v>
      </c>
      <c r="O3916">
        <v>-0.1354387</v>
      </c>
      <c r="P3916">
        <v>0.9981449</v>
      </c>
      <c r="Q3916">
        <v>5.9265659999999998E-2</v>
      </c>
      <c r="R3916">
        <v>1.395096E-2</v>
      </c>
      <c r="S3916">
        <v>3.0156860000000001</v>
      </c>
      <c r="T3916">
        <v>-0.2295198</v>
      </c>
      <c r="U3916">
        <v>0.25018309999999999</v>
      </c>
      <c r="V3916">
        <v>-0.1506681</v>
      </c>
      <c r="W3916">
        <v>6.6771200000000003E-2</v>
      </c>
      <c r="X3916">
        <v>0.98632690000000001</v>
      </c>
      <c r="Y3916">
        <v>-0.2158881</v>
      </c>
      <c r="Z3916">
        <v>1.8456469999999999E-2</v>
      </c>
      <c r="AA3916">
        <v>0.97624370000000005</v>
      </c>
      <c r="AB3916">
        <v>36</v>
      </c>
      <c r="AC3916">
        <v>14.446399999999899</v>
      </c>
      <c r="AD3916">
        <v>-1.1137747062400001</v>
      </c>
      <c r="AE3916">
        <v>1.2370399999999999</v>
      </c>
      <c r="AF3916">
        <v>-3.1636977069100198</v>
      </c>
      <c r="AG3916">
        <v>-1.1137747062400001</v>
      </c>
      <c r="AH3916">
        <v>14.062736481601</v>
      </c>
      <c r="AI3916">
        <v>94.418419521459398</v>
      </c>
      <c r="AJ3916">
        <v>102.678762482111</v>
      </c>
      <c r="AK3916">
        <v>14.457179345498799</v>
      </c>
      <c r="AL3916">
        <v>86.171443621180302</v>
      </c>
      <c r="AM3916">
        <v>98.685177726774199</v>
      </c>
      <c r="AN3916">
        <v>1.00000001158533</v>
      </c>
    </row>
    <row r="3917" spans="1:40" x14ac:dyDescent="0.3">
      <c r="A3917" t="str">
        <f>"20200111153959156"</f>
        <v>20200111153959156</v>
      </c>
      <c r="B3917" t="str">
        <f>"1578728399145469"</f>
        <v>1578728399145469</v>
      </c>
      <c r="C3917" t="s">
        <v>40</v>
      </c>
      <c r="D3917">
        <v>5.1717769999999996</v>
      </c>
      <c r="E3917">
        <v>0.47281509999999999</v>
      </c>
      <c r="F3917" t="s">
        <v>42</v>
      </c>
      <c r="G3917">
        <v>-267.93770000000001</v>
      </c>
      <c r="H3917" s="1">
        <v>-2.5602160000000001E-6</v>
      </c>
      <c r="I3917">
        <v>-59.539639999999999</v>
      </c>
      <c r="J3917">
        <v>-282.54300000000001</v>
      </c>
      <c r="K3917">
        <v>1.113629</v>
      </c>
      <c r="L3917">
        <v>-60.800750000000001</v>
      </c>
      <c r="M3917">
        <v>0.99136860000000004</v>
      </c>
      <c r="N3917">
        <v>0</v>
      </c>
      <c r="O3917">
        <v>-0.13062280000000001</v>
      </c>
      <c r="P3917">
        <v>0.99802670000000004</v>
      </c>
      <c r="Q3917">
        <v>6.1099399999999998E-2</v>
      </c>
      <c r="R3917">
        <v>1.447699E-2</v>
      </c>
      <c r="S3917">
        <v>3.015533</v>
      </c>
      <c r="T3917">
        <v>-0.22712070000000001</v>
      </c>
      <c r="U3917">
        <v>0.25277709999999998</v>
      </c>
      <c r="V3917">
        <v>-0.14639489999999999</v>
      </c>
      <c r="W3917">
        <v>6.8742220000000007E-2</v>
      </c>
      <c r="X3917">
        <v>0.98683480000000001</v>
      </c>
      <c r="Y3917">
        <v>-0.21202589999999999</v>
      </c>
      <c r="Z3917">
        <v>1.7759359999999998E-2</v>
      </c>
      <c r="AA3917">
        <v>0.97710260000000004</v>
      </c>
      <c r="AB3917">
        <v>36</v>
      </c>
      <c r="AC3917">
        <v>14.6053</v>
      </c>
      <c r="AD3917">
        <v>-1.1136315602159901</v>
      </c>
      <c r="AE3917">
        <v>1.26110999999999</v>
      </c>
      <c r="AF3917">
        <v>-3.1400881560609699</v>
      </c>
      <c r="AG3917">
        <v>-1.1136315602159901</v>
      </c>
      <c r="AH3917">
        <v>14.2332704881516</v>
      </c>
      <c r="AI3917">
        <v>94.369148331108406</v>
      </c>
      <c r="AJ3917">
        <v>102.441082657463</v>
      </c>
      <c r="AK3917">
        <v>14.6180134651953</v>
      </c>
      <c r="AL3917">
        <v>86.058252070093999</v>
      </c>
      <c r="AM3917">
        <v>98.438169529190503</v>
      </c>
      <c r="AN3917">
        <v>0.99999994102378698</v>
      </c>
    </row>
    <row r="3918" spans="1:40" x14ac:dyDescent="0.3">
      <c r="A3918" t="str">
        <f>"20200111153959167"</f>
        <v>20200111153959167</v>
      </c>
      <c r="B3918" t="str">
        <f>"1578728399164989"</f>
        <v>1578728399164989</v>
      </c>
      <c r="C3918" t="s">
        <v>40</v>
      </c>
      <c r="D3918">
        <v>6.1324430000000003</v>
      </c>
      <c r="E3918">
        <v>0.48748320000000001</v>
      </c>
      <c r="F3918" t="s">
        <v>42</v>
      </c>
      <c r="G3918">
        <v>-267.39760000000001</v>
      </c>
      <c r="H3918" s="1">
        <v>-2.3311750000000002E-6</v>
      </c>
      <c r="I3918">
        <v>-59.524630000000002</v>
      </c>
      <c r="J3918">
        <v>-282.36320000000001</v>
      </c>
      <c r="K3918">
        <v>1.113489</v>
      </c>
      <c r="L3918">
        <v>-60.820650000000001</v>
      </c>
      <c r="M3918">
        <v>0.99196530000000005</v>
      </c>
      <c r="N3918">
        <v>0</v>
      </c>
      <c r="O3918">
        <v>-0.12601319999999999</v>
      </c>
      <c r="P3918">
        <v>0.99793980000000004</v>
      </c>
      <c r="Q3918">
        <v>6.2272260000000003E-2</v>
      </c>
      <c r="R3918">
        <v>1.5432039999999999E-2</v>
      </c>
      <c r="S3918">
        <v>3.0157780000000001</v>
      </c>
      <c r="T3918">
        <v>-0.221747</v>
      </c>
      <c r="U3918">
        <v>0.25408940000000002</v>
      </c>
      <c r="V3918">
        <v>-0.14274129999999999</v>
      </c>
      <c r="W3918">
        <v>7.0032750000000005E-2</v>
      </c>
      <c r="X3918">
        <v>0.98727920000000002</v>
      </c>
      <c r="Y3918">
        <v>-0.2079664</v>
      </c>
      <c r="Z3918">
        <v>1.6853179999999999E-2</v>
      </c>
      <c r="AA3918">
        <v>0.97799069999999999</v>
      </c>
      <c r="AB3918">
        <v>36</v>
      </c>
      <c r="AC3918">
        <v>14.965599999999901</v>
      </c>
      <c r="AD3918">
        <v>-1.1134913311750001</v>
      </c>
      <c r="AE3918">
        <v>1.29601999999999</v>
      </c>
      <c r="AF3918">
        <v>-3.15433707056556</v>
      </c>
      <c r="AG3918">
        <v>-1.1134913311750001</v>
      </c>
      <c r="AH3918">
        <v>14.602724817968801</v>
      </c>
      <c r="AI3918">
        <v>94.262559039567194</v>
      </c>
      <c r="AJ3918">
        <v>102.189189924993</v>
      </c>
      <c r="AK3918">
        <v>14.980963834435601</v>
      </c>
      <c r="AL3918">
        <v>85.984131494557303</v>
      </c>
      <c r="AM3918">
        <v>98.226844031848401</v>
      </c>
      <c r="AN3918">
        <v>0.99999994177544405</v>
      </c>
    </row>
    <row r="3919" spans="1:40" x14ac:dyDescent="0.3">
      <c r="A3919" t="str">
        <f>"20200111153959179"</f>
        <v>20200111153959179</v>
      </c>
      <c r="B3919" t="str">
        <f>"1578728399174748"</f>
        <v>1578728399174748</v>
      </c>
      <c r="C3919" t="s">
        <v>40</v>
      </c>
      <c r="D3919">
        <v>5.1563049999999997</v>
      </c>
      <c r="E3919">
        <v>0.48739399999999999</v>
      </c>
      <c r="F3919" t="s">
        <v>42</v>
      </c>
      <c r="G3919">
        <v>-266.553</v>
      </c>
      <c r="H3919" s="1">
        <v>-1.8691499999999999E-6</v>
      </c>
      <c r="I3919">
        <v>-60.086759999999998</v>
      </c>
      <c r="J3919">
        <v>-282.19310000000002</v>
      </c>
      <c r="K3919">
        <v>1.1133580000000001</v>
      </c>
      <c r="L3919">
        <v>-60.839019999999998</v>
      </c>
      <c r="M3919">
        <v>0.99250389999999999</v>
      </c>
      <c r="N3919">
        <v>0</v>
      </c>
      <c r="O3919">
        <v>-0.1217008</v>
      </c>
      <c r="P3919">
        <v>0.99787780000000004</v>
      </c>
      <c r="Q3919">
        <v>6.3182920000000004E-2</v>
      </c>
      <c r="R3919">
        <v>1.5754150000000001E-2</v>
      </c>
      <c r="S3919">
        <v>3.0172729999999999</v>
      </c>
      <c r="T3919">
        <v>-0.2125021</v>
      </c>
      <c r="U3919">
        <v>0.14004520000000001</v>
      </c>
      <c r="V3919">
        <v>-0.1387553</v>
      </c>
      <c r="W3919">
        <v>7.106585E-2</v>
      </c>
      <c r="X3919">
        <v>0.98777360000000003</v>
      </c>
      <c r="Y3919">
        <v>-0.16688430000000001</v>
      </c>
      <c r="Z3919">
        <v>1.4412909999999999E-2</v>
      </c>
      <c r="AA3919">
        <v>0.9858711</v>
      </c>
      <c r="AB3919">
        <v>36</v>
      </c>
      <c r="AC3919">
        <v>15.6401</v>
      </c>
      <c r="AD3919">
        <v>-1.11335986915</v>
      </c>
      <c r="AE3919">
        <v>0.75225999999999904</v>
      </c>
      <c r="AF3919">
        <v>-2.6368677731845001</v>
      </c>
      <c r="AG3919">
        <v>-1.11335986915</v>
      </c>
      <c r="AH3919">
        <v>15.354643796705799</v>
      </c>
      <c r="AI3919">
        <v>94.087609256709797</v>
      </c>
      <c r="AJ3919">
        <v>99.744408862014893</v>
      </c>
      <c r="AK3919">
        <v>15.619146198663</v>
      </c>
      <c r="AL3919">
        <v>85.924791747439599</v>
      </c>
      <c r="AM3919">
        <v>97.996176037105599</v>
      </c>
      <c r="AN3919">
        <v>1.0000000365856301</v>
      </c>
    </row>
    <row r="3920" spans="1:40" x14ac:dyDescent="0.3">
      <c r="A3920" t="str">
        <f>"20200111153959191"</f>
        <v>20200111153959191</v>
      </c>
      <c r="B3920" t="str">
        <f>"1578728399185485"</f>
        <v>1578728399185485</v>
      </c>
      <c r="C3920" t="s">
        <v>40</v>
      </c>
      <c r="D3920">
        <v>5.1553800000000001</v>
      </c>
      <c r="E3920">
        <v>0.48758800000000002</v>
      </c>
      <c r="F3920" t="s">
        <v>77</v>
      </c>
      <c r="G3920">
        <v>-266.13299999999998</v>
      </c>
      <c r="H3920" s="1">
        <v>-1.6893639999999999E-6</v>
      </c>
      <c r="I3920">
        <v>-60.08446</v>
      </c>
      <c r="J3920">
        <v>-281.99489999999997</v>
      </c>
      <c r="K3920">
        <v>1.1132010000000001</v>
      </c>
      <c r="L3920">
        <v>-60.859439999999999</v>
      </c>
      <c r="M3920">
        <v>0.99309499999999995</v>
      </c>
      <c r="N3920">
        <v>0</v>
      </c>
      <c r="O3920">
        <v>-0.116782</v>
      </c>
      <c r="P3920">
        <v>0.99782130000000002</v>
      </c>
      <c r="Q3920">
        <v>6.3714709999999994E-2</v>
      </c>
      <c r="R3920">
        <v>1.712054E-2</v>
      </c>
      <c r="S3920">
        <v>3.017395</v>
      </c>
      <c r="T3920">
        <v>-0.2091799</v>
      </c>
      <c r="U3920">
        <v>0.1417542</v>
      </c>
      <c r="V3920">
        <v>-0.13519020000000001</v>
      </c>
      <c r="W3920">
        <v>7.1709369999999995E-2</v>
      </c>
      <c r="X3920">
        <v>0.98822129999999997</v>
      </c>
      <c r="Y3920">
        <v>-0.16259760000000001</v>
      </c>
      <c r="Z3920">
        <v>1.370004E-2</v>
      </c>
      <c r="AA3920">
        <v>0.98659739999999996</v>
      </c>
      <c r="AB3920">
        <v>36</v>
      </c>
      <c r="AC3920">
        <v>15.861899999999901</v>
      </c>
      <c r="AD3920">
        <v>-1.1132026893639999</v>
      </c>
      <c r="AE3920">
        <v>0.774979999999999</v>
      </c>
      <c r="AF3920">
        <v>-2.6093547148320901</v>
      </c>
      <c r="AG3920">
        <v>-1.1132026893639999</v>
      </c>
      <c r="AH3920">
        <v>15.586258094746301</v>
      </c>
      <c r="AI3920">
        <v>94.029358286194807</v>
      </c>
      <c r="AJ3920">
        <v>99.503967849384395</v>
      </c>
      <c r="AK3920">
        <v>15.842329173813701</v>
      </c>
      <c r="AL3920">
        <v>85.887826227116605</v>
      </c>
      <c r="AM3920">
        <v>97.789796814840301</v>
      </c>
      <c r="AN3920">
        <v>0.99999998084776298</v>
      </c>
    </row>
    <row r="3921" spans="1:40" x14ac:dyDescent="0.3">
      <c r="A3921" t="str">
        <f>"20200111153959203"</f>
        <v>20200111153959203</v>
      </c>
      <c r="B3921" t="str">
        <f>"1578728399195245"</f>
        <v>1578728399195245</v>
      </c>
      <c r="C3921" t="s">
        <v>40</v>
      </c>
      <c r="D3921">
        <v>5.1539849999999996</v>
      </c>
      <c r="E3921">
        <v>0.48759740000000001</v>
      </c>
      <c r="F3921" t="s">
        <v>42</v>
      </c>
      <c r="G3921">
        <v>-265.74130000000002</v>
      </c>
      <c r="H3921" s="1">
        <v>-1.5215829999999999E-6</v>
      </c>
      <c r="I3921">
        <v>-60.083109999999998</v>
      </c>
      <c r="J3921">
        <v>-281.8109</v>
      </c>
      <c r="K3921">
        <v>1.113054</v>
      </c>
      <c r="L3921">
        <v>-60.877409999999998</v>
      </c>
      <c r="M3921">
        <v>0.99361010000000005</v>
      </c>
      <c r="N3921">
        <v>0</v>
      </c>
      <c r="O3921">
        <v>-0.1123175</v>
      </c>
      <c r="P3921">
        <v>0.99776980000000004</v>
      </c>
      <c r="Q3921">
        <v>6.4136639999999995E-2</v>
      </c>
      <c r="R3921">
        <v>1.8496390000000001E-2</v>
      </c>
      <c r="S3921">
        <v>3.0173030000000001</v>
      </c>
      <c r="T3921">
        <v>-0.2066538</v>
      </c>
      <c r="U3921">
        <v>0.14410400000000001</v>
      </c>
      <c r="V3921">
        <v>-0.13208810000000001</v>
      </c>
      <c r="W3921">
        <v>7.2229210000000002E-2</v>
      </c>
      <c r="X3921">
        <v>0.98860289999999995</v>
      </c>
      <c r="Y3921">
        <v>-0.15896540000000001</v>
      </c>
      <c r="Z3921">
        <v>1.3106909999999999E-2</v>
      </c>
      <c r="AA3921">
        <v>0.9871972</v>
      </c>
      <c r="AB3921">
        <v>36</v>
      </c>
      <c r="AC3921">
        <v>16.069599999999902</v>
      </c>
      <c r="AD3921">
        <v>-1.113055521583</v>
      </c>
      <c r="AE3921">
        <v>0.79429999999999901</v>
      </c>
      <c r="AF3921">
        <v>-2.58192548364151</v>
      </c>
      <c r="AG3921">
        <v>-1.113055521583</v>
      </c>
      <c r="AH3921">
        <v>15.8030537264394</v>
      </c>
      <c r="AI3921">
        <v>93.976308049941196</v>
      </c>
      <c r="AJ3921">
        <v>99.279082204946903</v>
      </c>
      <c r="AK3921">
        <v>16.051222348404899</v>
      </c>
      <c r="AL3921">
        <v>85.857964269817302</v>
      </c>
      <c r="AM3921">
        <v>97.610267088287003</v>
      </c>
      <c r="AN3921">
        <v>1.0000000094136201</v>
      </c>
    </row>
    <row r="3922" spans="1:40" x14ac:dyDescent="0.3">
      <c r="A3922" t="str">
        <f>"20200111153959213"</f>
        <v>20200111153959213</v>
      </c>
      <c r="B3922" t="str">
        <f>"1578728399205005"</f>
        <v>1578728399205005</v>
      </c>
      <c r="C3922" t="s">
        <v>40</v>
      </c>
      <c r="D3922">
        <v>5.091888</v>
      </c>
      <c r="E3922">
        <v>0.48761139999999997</v>
      </c>
      <c r="F3922" t="s">
        <v>42</v>
      </c>
      <c r="G3922">
        <v>-265.5197</v>
      </c>
      <c r="H3922" s="1">
        <v>-1.427119E-6</v>
      </c>
      <c r="I3922">
        <v>-60.079819999999998</v>
      </c>
      <c r="J3922">
        <v>-281.63299999999998</v>
      </c>
      <c r="K3922">
        <v>1.112914</v>
      </c>
      <c r="L3922">
        <v>-60.894440000000003</v>
      </c>
      <c r="M3922">
        <v>0.99408439999999998</v>
      </c>
      <c r="N3922">
        <v>0</v>
      </c>
      <c r="O3922">
        <v>-0.1080424</v>
      </c>
      <c r="P3922">
        <v>0.99771790000000005</v>
      </c>
      <c r="Q3922">
        <v>6.4506190000000005E-2</v>
      </c>
      <c r="R3922">
        <v>1.99545E-2</v>
      </c>
      <c r="S3922">
        <v>3.0172119999999998</v>
      </c>
      <c r="T3922">
        <v>-0.20614460000000001</v>
      </c>
      <c r="U3922">
        <v>0.14770510000000001</v>
      </c>
      <c r="V3922">
        <v>-0.12925680000000001</v>
      </c>
      <c r="W3922">
        <v>7.2687189999999999E-2</v>
      </c>
      <c r="X3922">
        <v>0.98894349999999998</v>
      </c>
      <c r="Y3922">
        <v>-0.1559152</v>
      </c>
      <c r="Z3922">
        <v>1.2680189999999999E-2</v>
      </c>
      <c r="AA3922">
        <v>0.98768909999999999</v>
      </c>
      <c r="AB3922">
        <v>36</v>
      </c>
      <c r="AC3922">
        <v>16.113299999999899</v>
      </c>
      <c r="AD3922">
        <v>-1.112915427119</v>
      </c>
      <c r="AE3922">
        <v>0.81462000000000501</v>
      </c>
      <c r="AF3922">
        <v>-2.5387973612161399</v>
      </c>
      <c r="AG3922">
        <v>-1.112915427119</v>
      </c>
      <c r="AH3922">
        <v>15.855502451837401</v>
      </c>
      <c r="AI3922">
        <v>93.964730131724096</v>
      </c>
      <c r="AJ3922">
        <v>99.097031083083806</v>
      </c>
      <c r="AK3922">
        <v>16.095994246689401</v>
      </c>
      <c r="AL3922">
        <v>85.831654741387098</v>
      </c>
      <c r="AM3922">
        <v>97.446456444453602</v>
      </c>
      <c r="AN3922">
        <v>0.99999999706429299</v>
      </c>
    </row>
    <row r="3923" spans="1:40" x14ac:dyDescent="0.3">
      <c r="A3923" t="str">
        <f>"20200111153959225"</f>
        <v>20200111153959225</v>
      </c>
      <c r="B3923" t="str">
        <f>"1578728399214765"</f>
        <v>1578728399214765</v>
      </c>
      <c r="C3923" t="s">
        <v>40</v>
      </c>
      <c r="D3923">
        <v>5.1313430000000002</v>
      </c>
      <c r="E3923">
        <v>0.48759200000000003</v>
      </c>
      <c r="F3923" t="s">
        <v>42</v>
      </c>
      <c r="G3923">
        <v>-265.30090000000001</v>
      </c>
      <c r="H3923" s="1">
        <v>-1.33409699999999E-6</v>
      </c>
      <c r="I3923">
        <v>-60.075000000000003</v>
      </c>
      <c r="J3923">
        <v>-281.46510000000001</v>
      </c>
      <c r="K3923">
        <v>1.112781</v>
      </c>
      <c r="L3923">
        <v>-60.909300000000002</v>
      </c>
      <c r="M3923">
        <v>0.99450139999999998</v>
      </c>
      <c r="N3923">
        <v>0</v>
      </c>
      <c r="O3923">
        <v>-0.10413699999999999</v>
      </c>
      <c r="P3923">
        <v>0.99765519999999996</v>
      </c>
      <c r="Q3923">
        <v>6.5098310000000006E-2</v>
      </c>
      <c r="R3923">
        <v>2.11358E-2</v>
      </c>
      <c r="S3923">
        <v>3.0171199999999998</v>
      </c>
      <c r="T3923">
        <v>-0.20559569999999999</v>
      </c>
      <c r="U3923">
        <v>0.15136720000000001</v>
      </c>
      <c r="V3923">
        <v>-0.12652439999999901</v>
      </c>
      <c r="W3923">
        <v>7.3360590000000003E-2</v>
      </c>
      <c r="X3923">
        <v>0.98924710000000005</v>
      </c>
      <c r="Y3923">
        <v>-0.153251</v>
      </c>
      <c r="Z3923">
        <v>1.2291120000000001E-2</v>
      </c>
      <c r="AA3923">
        <v>0.98811079999999996</v>
      </c>
      <c r="AB3923">
        <v>36</v>
      </c>
      <c r="AC3923">
        <v>16.164199999999902</v>
      </c>
      <c r="AD3923">
        <v>-1.112782334097</v>
      </c>
      <c r="AE3923">
        <v>0.83429999999999804</v>
      </c>
      <c r="AF3923">
        <v>-2.5013346679461002</v>
      </c>
      <c r="AG3923">
        <v>-1.112782334097</v>
      </c>
      <c r="AH3923">
        <v>15.9141956407425</v>
      </c>
      <c r="AI3923">
        <v>93.9514777901082</v>
      </c>
      <c r="AJ3923">
        <v>98.932461031459098</v>
      </c>
      <c r="AK3923">
        <v>16.1479590826821</v>
      </c>
      <c r="AL3923">
        <v>85.792968542374496</v>
      </c>
      <c r="AM3923">
        <v>97.288541690804905</v>
      </c>
      <c r="AN3923">
        <v>1.0000000124094499</v>
      </c>
    </row>
    <row r="3924" spans="1:40" x14ac:dyDescent="0.3">
      <c r="A3924" t="str">
        <f>"20200111153959236"</f>
        <v>20200111153959236</v>
      </c>
      <c r="B3924" t="str">
        <f>"1578728399225033"</f>
        <v>1578728399225033</v>
      </c>
      <c r="C3924" t="s">
        <v>40</v>
      </c>
      <c r="D3924">
        <v>5.1373620000000004</v>
      </c>
      <c r="E3924">
        <v>0.48761480000000001</v>
      </c>
      <c r="F3924" t="s">
        <v>77</v>
      </c>
      <c r="G3924">
        <v>-264.96379999999999</v>
      </c>
      <c r="H3924" s="1">
        <v>-1.191649E-6</v>
      </c>
      <c r="I3924">
        <v>-60.062829999999998</v>
      </c>
      <c r="J3924">
        <v>-281.2867</v>
      </c>
      <c r="K3924">
        <v>1.1126370000000001</v>
      </c>
      <c r="L3924">
        <v>-60.924930000000003</v>
      </c>
      <c r="M3924">
        <v>0.99492510000000001</v>
      </c>
      <c r="N3924">
        <v>0</v>
      </c>
      <c r="O3924">
        <v>-0.10000970000000001</v>
      </c>
      <c r="P3924">
        <v>0.99755249999999995</v>
      </c>
      <c r="Q3924">
        <v>6.5989619999999999E-2</v>
      </c>
      <c r="R3924">
        <v>2.3121679999999999E-2</v>
      </c>
      <c r="S3924">
        <v>3.0170590000000002</v>
      </c>
      <c r="T3924">
        <v>-0.20345840000000001</v>
      </c>
      <c r="U3924">
        <v>0.15475459999999999</v>
      </c>
      <c r="V3924">
        <v>-0.1243727</v>
      </c>
      <c r="W3924">
        <v>7.4319750000000004E-2</v>
      </c>
      <c r="X3924">
        <v>0.98944829999999995</v>
      </c>
      <c r="Y3924">
        <v>-0.15028639999999999</v>
      </c>
      <c r="Z3924">
        <v>1.178675E-2</v>
      </c>
      <c r="AA3924">
        <v>0.98857220000000001</v>
      </c>
      <c r="AB3924">
        <v>36</v>
      </c>
      <c r="AC3924">
        <v>16.322900000000001</v>
      </c>
      <c r="AD3924">
        <v>-1.112638191649</v>
      </c>
      <c r="AE3924">
        <v>0.86209999999999798</v>
      </c>
      <c r="AF3924">
        <v>-2.47883975168555</v>
      </c>
      <c r="AG3924">
        <v>-1.112638191649</v>
      </c>
      <c r="AH3924">
        <v>16.080323666145301</v>
      </c>
      <c r="AI3924">
        <v>93.912068070833698</v>
      </c>
      <c r="AJ3924">
        <v>98.763369435725807</v>
      </c>
      <c r="AK3924">
        <v>16.308262306820001</v>
      </c>
      <c r="AL3924">
        <v>85.737862087905796</v>
      </c>
      <c r="AM3924">
        <v>97.164448724462602</v>
      </c>
      <c r="AN3924">
        <v>0.99999996605912</v>
      </c>
    </row>
    <row r="3925" spans="1:40" x14ac:dyDescent="0.3">
      <c r="A3925" t="str">
        <f>"20200111153959247"</f>
        <v>20200111153959247</v>
      </c>
      <c r="B3925" t="str">
        <f>"1578728399234793"</f>
        <v>1578728399234793</v>
      </c>
      <c r="C3925" t="s">
        <v>40</v>
      </c>
      <c r="D3925">
        <v>5.1727089999999896</v>
      </c>
      <c r="E3925">
        <v>0.48762699999999998</v>
      </c>
      <c r="F3925" t="s">
        <v>42</v>
      </c>
      <c r="G3925">
        <v>-264.66559999999998</v>
      </c>
      <c r="H3925" s="1">
        <v>-1.0674219999999999E-6</v>
      </c>
      <c r="I3925">
        <v>-60.04186</v>
      </c>
      <c r="J3925">
        <v>-281.10879999999997</v>
      </c>
      <c r="K3925">
        <v>1.1124849999999999</v>
      </c>
      <c r="L3925">
        <v>-60.939419999999998</v>
      </c>
      <c r="M3925">
        <v>0.99531849999999999</v>
      </c>
      <c r="N3925">
        <v>0</v>
      </c>
      <c r="O3925">
        <v>-9.6019259999999995E-2</v>
      </c>
      <c r="P3925">
        <v>0.99746500000000005</v>
      </c>
      <c r="Q3925">
        <v>6.6619289999999998E-2</v>
      </c>
      <c r="R3925">
        <v>2.501463E-2</v>
      </c>
      <c r="S3925">
        <v>3.0169980000000001</v>
      </c>
      <c r="T3925">
        <v>-0.2019618</v>
      </c>
      <c r="U3925">
        <v>0.16027829999999901</v>
      </c>
      <c r="V3925">
        <v>-0.1222618</v>
      </c>
      <c r="W3925">
        <v>7.5013510000000005E-2</v>
      </c>
      <c r="X3925">
        <v>0.98965910000000001</v>
      </c>
      <c r="Y3925">
        <v>-0.1481499</v>
      </c>
      <c r="Z3925">
        <v>1.136265E-2</v>
      </c>
      <c r="AA3925">
        <v>0.98889959999999999</v>
      </c>
      <c r="AB3925">
        <v>36</v>
      </c>
      <c r="AC3925">
        <v>16.443199999999901</v>
      </c>
      <c r="AD3925">
        <v>-1.1124860674219901</v>
      </c>
      <c r="AE3925">
        <v>0.89755999999999803</v>
      </c>
      <c r="AF3925">
        <v>-2.4611399349370999</v>
      </c>
      <c r="AG3925">
        <v>-1.1124860674219901</v>
      </c>
      <c r="AH3925">
        <v>16.207060872522302</v>
      </c>
      <c r="AI3925">
        <v>93.882370262909802</v>
      </c>
      <c r="AJ3925">
        <v>98.634739856887904</v>
      </c>
      <c r="AK3925">
        <v>16.430570810388598</v>
      </c>
      <c r="AL3925">
        <v>85.698001676777494</v>
      </c>
      <c r="AM3925">
        <v>97.042597642188596</v>
      </c>
      <c r="AN3925">
        <v>1.00000005431728</v>
      </c>
    </row>
    <row r="3926" spans="1:40" x14ac:dyDescent="0.3">
      <c r="A3926" t="str">
        <f>"20200111153959264"</f>
        <v>20200111153959264</v>
      </c>
      <c r="B3926" t="str">
        <f>"1578728399255288"</f>
        <v>1578728399255288</v>
      </c>
      <c r="C3926" t="s">
        <v>40</v>
      </c>
      <c r="D3926">
        <v>5.1686690000000004</v>
      </c>
      <c r="E3926">
        <v>0.48772480000000001</v>
      </c>
      <c r="F3926" t="s">
        <v>42</v>
      </c>
      <c r="G3926">
        <v>-264.34620000000001</v>
      </c>
      <c r="H3926" s="1">
        <v>-9.3457330000000004E-7</v>
      </c>
      <c r="I3926">
        <v>-60.018259999999998</v>
      </c>
      <c r="J3926">
        <v>-280.84230000000002</v>
      </c>
      <c r="K3926">
        <v>1.1122700000000001</v>
      </c>
      <c r="L3926">
        <v>-60.960169999999998</v>
      </c>
      <c r="M3926">
        <v>0.99586750000000002</v>
      </c>
      <c r="N3926">
        <v>0</v>
      </c>
      <c r="O3926">
        <v>-9.0153830000000004E-2</v>
      </c>
      <c r="P3926">
        <v>0.99735370000000001</v>
      </c>
      <c r="Q3926">
        <v>6.7628930000000004E-2</v>
      </c>
      <c r="R3926">
        <v>2.6687570000000001E-2</v>
      </c>
      <c r="S3926">
        <v>3.0168149999999998</v>
      </c>
      <c r="T3926">
        <v>-0.20021720000000001</v>
      </c>
      <c r="U3926">
        <v>0.16577149999999999</v>
      </c>
      <c r="V3926">
        <v>-0.1180596</v>
      </c>
      <c r="W3926">
        <v>7.613992E-2</v>
      </c>
      <c r="X3926">
        <v>0.99008320000000005</v>
      </c>
      <c r="Y3926">
        <v>-0.14415229999999901</v>
      </c>
      <c r="Z3926">
        <v>1.0744780000000001E-2</v>
      </c>
      <c r="AA3926">
        <v>0.98949719999999997</v>
      </c>
      <c r="AB3926">
        <v>36</v>
      </c>
      <c r="AC3926">
        <v>16.496099999999998</v>
      </c>
      <c r="AD3926">
        <v>-1.1122709345733</v>
      </c>
      <c r="AE3926">
        <v>0.94191000000000003</v>
      </c>
      <c r="AF3926">
        <v>-2.4144089612730002</v>
      </c>
      <c r="AG3926">
        <v>-1.1122709345733</v>
      </c>
      <c r="AH3926">
        <v>16.270266230851998</v>
      </c>
      <c r="AI3926">
        <v>93.868548491917295</v>
      </c>
      <c r="AJ3926">
        <v>98.440749089557499</v>
      </c>
      <c r="AK3926">
        <v>16.485996496632399</v>
      </c>
      <c r="AL3926">
        <v>85.633278007542899</v>
      </c>
      <c r="AM3926">
        <v>96.799961549904594</v>
      </c>
      <c r="AN3926">
        <v>1.000000049746</v>
      </c>
    </row>
    <row r="3927" spans="1:40" x14ac:dyDescent="0.3">
      <c r="A3927" t="str">
        <f>"20200111153959275"</f>
        <v>20200111153959275</v>
      </c>
      <c r="B3927" t="str">
        <f>"1578728399265050"</f>
        <v>1578728399265050</v>
      </c>
      <c r="C3927" t="s">
        <v>40</v>
      </c>
      <c r="D3927">
        <v>5.1474029999999997</v>
      </c>
      <c r="E3927">
        <v>0.48771330000000002</v>
      </c>
      <c r="F3927" t="s">
        <v>42</v>
      </c>
      <c r="G3927">
        <v>-263.95319999999998</v>
      </c>
      <c r="H3927" s="1">
        <v>-7.6760930000000003E-7</v>
      </c>
      <c r="I3927">
        <v>-60.009189999999997</v>
      </c>
      <c r="J3927">
        <v>-280.6662</v>
      </c>
      <c r="K3927">
        <v>1.112131</v>
      </c>
      <c r="L3927">
        <v>-60.973329999999997</v>
      </c>
      <c r="M3927">
        <v>0.99620560000000002</v>
      </c>
      <c r="N3927">
        <v>0</v>
      </c>
      <c r="O3927">
        <v>-8.6339269999999996E-2</v>
      </c>
      <c r="P3927">
        <v>0.99727929999999998</v>
      </c>
      <c r="Q3927">
        <v>6.7838419999999997E-2</v>
      </c>
      <c r="R3927">
        <v>2.8843170000000001E-2</v>
      </c>
      <c r="S3927">
        <v>3.0168759999999999</v>
      </c>
      <c r="T3927">
        <v>-0.19868279999999999</v>
      </c>
      <c r="U3927">
        <v>0.16986080000000001</v>
      </c>
      <c r="V3927">
        <v>-0.1163811</v>
      </c>
      <c r="W3927">
        <v>7.6401399999999994E-2</v>
      </c>
      <c r="X3927">
        <v>0.99026170000000002</v>
      </c>
      <c r="Y3927">
        <v>-0.14171979999999901</v>
      </c>
      <c r="Z3927">
        <v>1.03318E-2</v>
      </c>
      <c r="AA3927">
        <v>0.98985290000000004</v>
      </c>
      <c r="AB3927">
        <v>36</v>
      </c>
      <c r="AC3927">
        <v>16.713000000000001</v>
      </c>
      <c r="AD3927">
        <v>-1.1121317676093001</v>
      </c>
      <c r="AE3927">
        <v>0.96414</v>
      </c>
      <c r="AF3927">
        <v>-2.3930528323408402</v>
      </c>
      <c r="AG3927">
        <v>-1.1121317676093001</v>
      </c>
      <c r="AH3927">
        <v>16.494539660497999</v>
      </c>
      <c r="AI3927">
        <v>93.817439510788205</v>
      </c>
      <c r="AJ3927">
        <v>98.254961566172398</v>
      </c>
      <c r="AK3927">
        <v>16.704292189094499</v>
      </c>
      <c r="AL3927">
        <v>85.6182522541162</v>
      </c>
      <c r="AM3927">
        <v>96.702972611894793</v>
      </c>
      <c r="AN3927">
        <v>0.99999998442302895</v>
      </c>
    </row>
    <row r="3928" spans="1:40" x14ac:dyDescent="0.3">
      <c r="A3928" t="str">
        <f>"20200111153959287"</f>
        <v>20200111153959287</v>
      </c>
      <c r="B3928" t="str">
        <f>"1578728399274810"</f>
        <v>1578728399274810</v>
      </c>
      <c r="C3928" t="s">
        <v>40</v>
      </c>
      <c r="D3928">
        <v>5.2003149999999998</v>
      </c>
      <c r="E3928">
        <v>0.48781360000000001</v>
      </c>
      <c r="F3928" t="s">
        <v>42</v>
      </c>
      <c r="G3928">
        <v>-263.78460000000001</v>
      </c>
      <c r="H3928" s="1">
        <v>-6.9926059999999898E-7</v>
      </c>
      <c r="I3928">
        <v>-59.986820000000002</v>
      </c>
      <c r="J3928">
        <v>-280.48050000000001</v>
      </c>
      <c r="K3928">
        <v>1.1119859999999999</v>
      </c>
      <c r="L3928">
        <v>-60.986080000000001</v>
      </c>
      <c r="M3928">
        <v>0.99653599999999998</v>
      </c>
      <c r="N3928">
        <v>0</v>
      </c>
      <c r="O3928">
        <v>-8.2444030000000001E-2</v>
      </c>
      <c r="P3928">
        <v>0.99721079999999995</v>
      </c>
      <c r="Q3928">
        <v>6.7823259999999996E-2</v>
      </c>
      <c r="R3928">
        <v>3.1159610000000001E-2</v>
      </c>
      <c r="S3928">
        <v>3.0166019999999998</v>
      </c>
      <c r="T3928">
        <v>-0.19872899999999999</v>
      </c>
      <c r="U3928">
        <v>0.1762695</v>
      </c>
      <c r="V3928">
        <v>-0.1147799</v>
      </c>
      <c r="W3928">
        <v>7.6435160000000002E-2</v>
      </c>
      <c r="X3928">
        <v>0.99044600000000005</v>
      </c>
      <c r="Y3928">
        <v>-0.1399628</v>
      </c>
      <c r="Z3928">
        <v>1.002112E-2</v>
      </c>
      <c r="AA3928">
        <v>0.99010600000000004</v>
      </c>
      <c r="AB3928">
        <v>36</v>
      </c>
      <c r="AC3928">
        <v>16.695899999999899</v>
      </c>
      <c r="AD3928">
        <v>-1.1119866992606</v>
      </c>
      <c r="AE3928">
        <v>0.99926000000000603</v>
      </c>
      <c r="AF3928">
        <v>-2.3619769437912801</v>
      </c>
      <c r="AG3928">
        <v>-1.1119866992606</v>
      </c>
      <c r="AH3928">
        <v>16.483808227530101</v>
      </c>
      <c r="AI3928">
        <v>93.820383990429704</v>
      </c>
      <c r="AJ3928">
        <v>98.154446835121007</v>
      </c>
      <c r="AK3928">
        <v>16.689259515758199</v>
      </c>
      <c r="AL3928">
        <v>85.616312427745996</v>
      </c>
      <c r="AM3928">
        <v>96.6103541729357</v>
      </c>
      <c r="AN3928">
        <v>1.0000000190221101</v>
      </c>
    </row>
    <row r="3929" spans="1:40" x14ac:dyDescent="0.3">
      <c r="A3929" t="str">
        <f>"20200111153959299"</f>
        <v>20200111153959299</v>
      </c>
      <c r="B3929" t="str">
        <f>"1578728399295305"</f>
        <v>1578728399295305</v>
      </c>
      <c r="C3929" t="s">
        <v>40</v>
      </c>
      <c r="D3929">
        <v>5.1818470000000003</v>
      </c>
      <c r="E3929">
        <v>0.48807240000000002</v>
      </c>
      <c r="F3929" t="s">
        <v>77</v>
      </c>
      <c r="G3929">
        <v>-263.6508</v>
      </c>
      <c r="H3929" s="1">
        <v>-6.4496750000000002E-7</v>
      </c>
      <c r="I3929">
        <v>-59.969119999999997</v>
      </c>
      <c r="J3929">
        <v>-280.2971</v>
      </c>
      <c r="K3929">
        <v>1.111847</v>
      </c>
      <c r="L3929">
        <v>-60.998260000000002</v>
      </c>
      <c r="M3929">
        <v>0.99684329999999999</v>
      </c>
      <c r="N3929">
        <v>0</v>
      </c>
      <c r="O3929">
        <v>-7.8642989999999996E-2</v>
      </c>
      <c r="P3929">
        <v>0.99712970000000001</v>
      </c>
      <c r="Q3929">
        <v>6.7876480000000003E-2</v>
      </c>
      <c r="R3929">
        <v>3.3546319999999998E-2</v>
      </c>
      <c r="S3929">
        <v>3.0162659999999999</v>
      </c>
      <c r="T3929">
        <v>-0.1992931</v>
      </c>
      <c r="U3929">
        <v>0.182251</v>
      </c>
      <c r="V3929">
        <v>-0.1133451</v>
      </c>
      <c r="W3929">
        <v>7.6534060000000001E-2</v>
      </c>
      <c r="X3929">
        <v>0.99060360000000003</v>
      </c>
      <c r="Y3929">
        <v>-0.13815910000000001</v>
      </c>
      <c r="Z3929">
        <v>9.7403179999999995E-3</v>
      </c>
      <c r="AA3929">
        <v>0.99036219999999997</v>
      </c>
      <c r="AB3929">
        <v>36</v>
      </c>
      <c r="AC3929">
        <v>16.646299999999901</v>
      </c>
      <c r="AD3929">
        <v>-1.1118476449674899</v>
      </c>
      <c r="AE3929">
        <v>1.02913999999999</v>
      </c>
      <c r="AF3929">
        <v>-2.3248126859073799</v>
      </c>
      <c r="AG3929">
        <v>-1.1118476449674899</v>
      </c>
      <c r="AH3929">
        <v>16.4407315322524</v>
      </c>
      <c r="AI3929">
        <v>93.8308909485947</v>
      </c>
      <c r="AJ3929">
        <v>98.048585937757395</v>
      </c>
      <c r="AK3929">
        <v>16.641472666978</v>
      </c>
      <c r="AL3929">
        <v>85.610629290094494</v>
      </c>
      <c r="AM3929">
        <v>96.527409922448399</v>
      </c>
      <c r="AN3929">
        <v>1.0000000331835199</v>
      </c>
    </row>
    <row r="3930" spans="1:40" x14ac:dyDescent="0.3">
      <c r="A3930" t="str">
        <f>"20200111153959310"</f>
        <v>20200111153959310</v>
      </c>
      <c r="B3930" t="str">
        <f>"1578728399305065"</f>
        <v>1578728399305065</v>
      </c>
      <c r="C3930" t="s">
        <v>40</v>
      </c>
      <c r="D3930">
        <v>5.1839370000000002</v>
      </c>
      <c r="E3930">
        <v>0.48809540000000001</v>
      </c>
      <c r="F3930" t="s">
        <v>42</v>
      </c>
      <c r="G3930">
        <v>-263.74380000000002</v>
      </c>
      <c r="H3930" s="1">
        <v>-6.846524E-7</v>
      </c>
      <c r="I3930">
        <v>-59.970480000000002</v>
      </c>
      <c r="J3930">
        <v>-280.10289999999998</v>
      </c>
      <c r="K3930">
        <v>1.1116980000000001</v>
      </c>
      <c r="L3930">
        <v>-61.010379999999998</v>
      </c>
      <c r="M3930">
        <v>0.99714639999999999</v>
      </c>
      <c r="N3930">
        <v>0</v>
      </c>
      <c r="O3930">
        <v>-7.4705010000000002E-2</v>
      </c>
      <c r="P3930">
        <v>0.9970251</v>
      </c>
      <c r="Q3930">
        <v>6.8307999999999994E-2</v>
      </c>
      <c r="R3930">
        <v>3.5705090000000002E-2</v>
      </c>
      <c r="S3930">
        <v>3.0161129999999998</v>
      </c>
      <c r="T3930">
        <v>-0.2025855</v>
      </c>
      <c r="U3930">
        <v>0.1872559</v>
      </c>
      <c r="V3930">
        <v>-0.111552399999999</v>
      </c>
      <c r="W3930">
        <v>7.7017089999999996E-2</v>
      </c>
      <c r="X3930">
        <v>0.99076960000000003</v>
      </c>
      <c r="Y3930">
        <v>-0.13588549999999999</v>
      </c>
      <c r="Z3930">
        <v>9.5610580000000008E-3</v>
      </c>
      <c r="AA3930">
        <v>0.99067839999999996</v>
      </c>
      <c r="AB3930">
        <v>36</v>
      </c>
      <c r="AC3930">
        <v>16.359099999999899</v>
      </c>
      <c r="AD3930">
        <v>-1.1116986846524</v>
      </c>
      <c r="AE3930">
        <v>1.0399</v>
      </c>
      <c r="AF3930">
        <v>-2.2488294784213001</v>
      </c>
      <c r="AG3930">
        <v>-1.1116986846524</v>
      </c>
      <c r="AH3930">
        <v>16.1613586010956</v>
      </c>
      <c r="AI3930">
        <v>93.897597096749493</v>
      </c>
      <c r="AJ3930">
        <v>97.921757638440695</v>
      </c>
      <c r="AK3930">
        <v>16.3548958976106</v>
      </c>
      <c r="AL3930">
        <v>85.582871568879597</v>
      </c>
      <c r="AM3930">
        <v>96.423973118028201</v>
      </c>
      <c r="AN3930">
        <v>0.99999998519099398</v>
      </c>
    </row>
    <row r="3931" spans="1:40" x14ac:dyDescent="0.3">
      <c r="A3931" t="str">
        <f>"20200111153959322"</f>
        <v>20200111153959322</v>
      </c>
      <c r="B3931" t="str">
        <f>"1578728399314825"</f>
        <v>1578728399314825</v>
      </c>
      <c r="C3931" t="s">
        <v>40</v>
      </c>
      <c r="D3931">
        <v>5.2002639999999998</v>
      </c>
      <c r="E3931">
        <v>0.48809540000000001</v>
      </c>
      <c r="F3931" t="s">
        <v>42</v>
      </c>
      <c r="G3931">
        <v>-263.63659999999999</v>
      </c>
      <c r="H3931" s="1">
        <v>-6.416558E-7</v>
      </c>
      <c r="I3931">
        <v>-59.953449999999997</v>
      </c>
      <c r="J3931">
        <v>-279.92439999999999</v>
      </c>
      <c r="K3931">
        <v>1.1115660000000001</v>
      </c>
      <c r="L3931">
        <v>-61.020870000000002</v>
      </c>
      <c r="M3931">
        <v>0.99740530000000005</v>
      </c>
      <c r="N3931">
        <v>0</v>
      </c>
      <c r="O3931">
        <v>-7.1169759999999999E-2</v>
      </c>
      <c r="P3931">
        <v>0.99696949999999995</v>
      </c>
      <c r="Q3931">
        <v>6.8276110000000001E-2</v>
      </c>
      <c r="R3931">
        <v>3.729006E-2</v>
      </c>
      <c r="S3931">
        <v>3.0159609999999999</v>
      </c>
      <c r="T3931">
        <v>-0.2036181</v>
      </c>
      <c r="U3931">
        <v>0.193573</v>
      </c>
      <c r="V3931">
        <v>-0.1095872</v>
      </c>
      <c r="W3931">
        <v>7.7037530000000007E-2</v>
      </c>
      <c r="X3931">
        <v>0.99098730000000002</v>
      </c>
      <c r="Y3931">
        <v>-0.13444999999999999</v>
      </c>
      <c r="Z3931">
        <v>9.3233029999999998E-3</v>
      </c>
      <c r="AA3931">
        <v>0.99087650000000005</v>
      </c>
      <c r="AB3931">
        <v>36</v>
      </c>
      <c r="AC3931">
        <v>16.287800000000001</v>
      </c>
      <c r="AD3931">
        <v>-1.1115666416558001</v>
      </c>
      <c r="AE3931">
        <v>1.06741999999999</v>
      </c>
      <c r="AF3931">
        <v>-2.21371376005288</v>
      </c>
      <c r="AG3931">
        <v>-1.1115666416558001</v>
      </c>
      <c r="AH3931">
        <v>16.0958755356781</v>
      </c>
      <c r="AI3931">
        <v>93.913796736269404</v>
      </c>
      <c r="AJ3931">
        <v>97.830931165508005</v>
      </c>
      <c r="AK3931">
        <v>16.285371296667801</v>
      </c>
      <c r="AL3931">
        <v>85.581696939628202</v>
      </c>
      <c r="AM3931">
        <v>96.310349115624504</v>
      </c>
      <c r="AN3931">
        <v>0.99999998209681495</v>
      </c>
    </row>
    <row r="3932" spans="1:40" x14ac:dyDescent="0.3">
      <c r="A3932" t="str">
        <f>"20200111153959332"</f>
        <v>20200111153959332</v>
      </c>
      <c r="B3932" t="str">
        <f>"1578728399325092"</f>
        <v>1578728399325092</v>
      </c>
      <c r="C3932" t="s">
        <v>40</v>
      </c>
      <c r="D3932">
        <v>5.2623389999999999</v>
      </c>
      <c r="E3932">
        <v>0.48863630000000002</v>
      </c>
      <c r="F3932" t="s">
        <v>42</v>
      </c>
      <c r="G3932">
        <v>-263.46420000000001</v>
      </c>
      <c r="H3932" s="1">
        <v>-5.7065959999999998E-7</v>
      </c>
      <c r="I3932">
        <v>-59.936909999999997</v>
      </c>
      <c r="J3932">
        <v>-279.74759999999998</v>
      </c>
      <c r="K3932">
        <v>1.1114379999999999</v>
      </c>
      <c r="L3932">
        <v>-61.030850000000001</v>
      </c>
      <c r="M3932">
        <v>0.99764629999999999</v>
      </c>
      <c r="N3932">
        <v>0</v>
      </c>
      <c r="O3932">
        <v>-6.7710300000000001E-2</v>
      </c>
      <c r="P3932">
        <v>0.99691399999999997</v>
      </c>
      <c r="Q3932">
        <v>6.8380360000000001E-2</v>
      </c>
      <c r="R3932">
        <v>3.855915E-2</v>
      </c>
      <c r="S3932">
        <v>3.015625</v>
      </c>
      <c r="T3932">
        <v>-0.20364740000000001</v>
      </c>
      <c r="U3932">
        <v>0.1985779</v>
      </c>
      <c r="V3932">
        <v>-0.10738540000000001</v>
      </c>
      <c r="W3932">
        <v>7.7197260000000004E-2</v>
      </c>
      <c r="X3932">
        <v>0.99121590000000004</v>
      </c>
      <c r="Y3932">
        <v>-0.1326697</v>
      </c>
      <c r="Z3932">
        <v>9.0323109999999995E-3</v>
      </c>
      <c r="AA3932">
        <v>0.99111910000000003</v>
      </c>
      <c r="AB3932">
        <v>36</v>
      </c>
      <c r="AC3932">
        <v>16.283399999999901</v>
      </c>
      <c r="AD3932">
        <v>-1.1114385706595999</v>
      </c>
      <c r="AE3932">
        <v>1.0939399999999999</v>
      </c>
      <c r="AF3932">
        <v>-2.1839187581611998</v>
      </c>
      <c r="AG3932">
        <v>-1.1114385706595999</v>
      </c>
      <c r="AH3932">
        <v>16.0972920006094</v>
      </c>
      <c r="AI3932">
        <v>93.913978595792997</v>
      </c>
      <c r="AJ3932">
        <v>97.726142523765006</v>
      </c>
      <c r="AK3932">
        <v>16.282739529682399</v>
      </c>
      <c r="AL3932">
        <v>85.572517831887495</v>
      </c>
      <c r="AM3932">
        <v>96.183140272516894</v>
      </c>
      <c r="AN3932">
        <v>1.00000000074873</v>
      </c>
    </row>
    <row r="3933" spans="1:40" x14ac:dyDescent="0.3">
      <c r="A3933" t="str">
        <f>"20200111153959344"</f>
        <v>20200111153959344</v>
      </c>
      <c r="B3933" t="str">
        <f>"1578728399334852"</f>
        <v>1578728399334852</v>
      </c>
      <c r="C3933" t="s">
        <v>40</v>
      </c>
      <c r="D3933">
        <v>5.211792</v>
      </c>
      <c r="E3933">
        <v>0.48961199999999999</v>
      </c>
      <c r="F3933" t="s">
        <v>77</v>
      </c>
      <c r="G3933">
        <v>-267.0754</v>
      </c>
      <c r="H3933" s="1">
        <v>-2.0726759999999998E-6</v>
      </c>
      <c r="I3933">
        <v>-60.202739999999999</v>
      </c>
      <c r="J3933">
        <v>-279.57490000000001</v>
      </c>
      <c r="K3933">
        <v>1.111308</v>
      </c>
      <c r="L3933">
        <v>-61.039760000000001</v>
      </c>
      <c r="M3933">
        <v>0.99786319999999995</v>
      </c>
      <c r="N3933">
        <v>0</v>
      </c>
      <c r="O3933">
        <v>-6.4439419999999997E-2</v>
      </c>
      <c r="P3933">
        <v>0.99690849999999998</v>
      </c>
      <c r="Q3933">
        <v>6.8088800000000005E-2</v>
      </c>
      <c r="R3933">
        <v>3.9213150000000002E-2</v>
      </c>
      <c r="S3933">
        <v>3.0198670000000001</v>
      </c>
      <c r="T3933">
        <v>-0.26486219999999999</v>
      </c>
      <c r="U3933">
        <v>0.19732669999999999</v>
      </c>
      <c r="V3933">
        <v>-0.10475520000000001</v>
      </c>
      <c r="W3933">
        <v>7.6968599999999998E-2</v>
      </c>
      <c r="X3933">
        <v>0.99151509999999998</v>
      </c>
      <c r="Y3933">
        <v>-0.12863569999999999</v>
      </c>
      <c r="Z3933">
        <v>1.125964E-2</v>
      </c>
      <c r="AA3933">
        <v>0.99162799999999995</v>
      </c>
      <c r="AB3933">
        <v>36</v>
      </c>
      <c r="AC3933">
        <v>12.499499999999999</v>
      </c>
      <c r="AD3933">
        <v>-1.1113100726759999</v>
      </c>
      <c r="AE3933">
        <v>0.83701999999999499</v>
      </c>
      <c r="AF3933">
        <v>-1.62797643079661</v>
      </c>
      <c r="AG3933">
        <v>-1.1113100726759999</v>
      </c>
      <c r="AH3933">
        <v>12.3226064113706</v>
      </c>
      <c r="AI3933">
        <v>95.1091037582311</v>
      </c>
      <c r="AJ3933">
        <v>97.525933456530396</v>
      </c>
      <c r="AK3933">
        <v>12.4792606394134</v>
      </c>
      <c r="AL3933">
        <v>85.585658202197294</v>
      </c>
      <c r="AM3933">
        <v>96.031019729366406</v>
      </c>
      <c r="AN3933">
        <v>1.0000000054205</v>
      </c>
    </row>
    <row r="3934" spans="1:40" x14ac:dyDescent="0.3">
      <c r="A3934" t="str">
        <f>"20200111153959356"</f>
        <v>20200111153959356</v>
      </c>
      <c r="B3934" t="str">
        <f>"1578728399344613"</f>
        <v>1578728399344613</v>
      </c>
      <c r="C3934" t="s">
        <v>40</v>
      </c>
      <c r="D3934">
        <v>5.1743180000000004</v>
      </c>
      <c r="E3934">
        <v>0.48989470000000002</v>
      </c>
      <c r="F3934" t="s">
        <v>77</v>
      </c>
      <c r="G3934">
        <v>-266.7328</v>
      </c>
      <c r="H3934" s="1">
        <v>-1.922099E-6</v>
      </c>
      <c r="I3934">
        <v>-60.223059999999997</v>
      </c>
      <c r="J3934">
        <v>-279.38060000000002</v>
      </c>
      <c r="K3934">
        <v>1.1111599999999999</v>
      </c>
      <c r="L3934">
        <v>-61.049529999999997</v>
      </c>
      <c r="M3934">
        <v>0.99809210000000004</v>
      </c>
      <c r="N3934">
        <v>0</v>
      </c>
      <c r="O3934">
        <v>-6.0795920000000003E-2</v>
      </c>
      <c r="P3934">
        <v>0.99687800000000004</v>
      </c>
      <c r="Q3934">
        <v>6.767194E-2</v>
      </c>
      <c r="R3934">
        <v>4.0681630000000003E-2</v>
      </c>
      <c r="S3934">
        <v>3.0195919999999998</v>
      </c>
      <c r="T3934">
        <v>-0.26130389999999998</v>
      </c>
      <c r="U3934">
        <v>0.19201660000000001</v>
      </c>
      <c r="V3934">
        <v>-0.10256029999999999</v>
      </c>
      <c r="W3934">
        <v>7.6606309999999997E-2</v>
      </c>
      <c r="X3934">
        <v>0.9917726</v>
      </c>
      <c r="Y3934">
        <v>-0.12333570000000001</v>
      </c>
      <c r="Z3934">
        <v>1.056757E-2</v>
      </c>
      <c r="AA3934">
        <v>0.99230870000000004</v>
      </c>
      <c r="AB3934">
        <v>36</v>
      </c>
      <c r="AC3934">
        <v>12.6478</v>
      </c>
      <c r="AD3934">
        <v>-1.1111619220990001</v>
      </c>
      <c r="AE3934">
        <v>0.82647000000000703</v>
      </c>
      <c r="AF3934">
        <v>-1.58176357437419</v>
      </c>
      <c r="AG3934">
        <v>-1.1111619220990001</v>
      </c>
      <c r="AH3934">
        <v>12.478250617680599</v>
      </c>
      <c r="AI3934">
        <v>95.048458857502595</v>
      </c>
      <c r="AJ3934">
        <v>97.224376683328501</v>
      </c>
      <c r="AK3934">
        <v>12.6270897399197</v>
      </c>
      <c r="AL3934">
        <v>85.606477405564803</v>
      </c>
      <c r="AM3934">
        <v>95.904033895221602</v>
      </c>
      <c r="AN3934">
        <v>1.0000000159893301</v>
      </c>
    </row>
    <row r="3935" spans="1:40" x14ac:dyDescent="0.3">
      <c r="A3935" t="str">
        <f>"20200111153959367"</f>
        <v>20200111153959367</v>
      </c>
      <c r="B3935" t="str">
        <f>"1578728399355349"</f>
        <v>1578728399355349</v>
      </c>
      <c r="C3935" t="s">
        <v>40</v>
      </c>
      <c r="D3935">
        <v>5.2011669999999999</v>
      </c>
      <c r="E3935">
        <v>0.49000389999999999</v>
      </c>
      <c r="F3935" t="s">
        <v>77</v>
      </c>
      <c r="G3935">
        <v>-266.71039999999999</v>
      </c>
      <c r="H3935" s="1">
        <v>-1.9103819999999999E-6</v>
      </c>
      <c r="I3935">
        <v>-60.235010000000003</v>
      </c>
      <c r="J3935">
        <v>-279.1986</v>
      </c>
      <c r="K3935">
        <v>1.1110260000000001</v>
      </c>
      <c r="L3935">
        <v>-61.0578</v>
      </c>
      <c r="M3935">
        <v>0.99828760000000005</v>
      </c>
      <c r="N3935">
        <v>0</v>
      </c>
      <c r="O3935">
        <v>-5.7500799999999998E-2</v>
      </c>
      <c r="P3935">
        <v>0.99687789999999998</v>
      </c>
      <c r="Q3935">
        <v>6.7027390000000006E-2</v>
      </c>
      <c r="R3935">
        <v>4.173487E-2</v>
      </c>
      <c r="S3935">
        <v>3.0194399999999999</v>
      </c>
      <c r="T3935">
        <v>-0.26480169999999997</v>
      </c>
      <c r="U3935">
        <v>0.19409180000000001</v>
      </c>
      <c r="V3935">
        <v>-0.10029739999999999</v>
      </c>
      <c r="W3935">
        <v>7.6015810000000003E-2</v>
      </c>
      <c r="X3935">
        <v>0.99204939999999997</v>
      </c>
      <c r="Y3935">
        <v>-0.1207461</v>
      </c>
      <c r="Z3935">
        <v>1.030756E-2</v>
      </c>
      <c r="AA3935">
        <v>0.99262989999999995</v>
      </c>
      <c r="AB3935">
        <v>36</v>
      </c>
      <c r="AC3935">
        <v>12.488200000000001</v>
      </c>
      <c r="AD3935">
        <v>-1.111027910382</v>
      </c>
      <c r="AE3935">
        <v>0.82279000000000402</v>
      </c>
      <c r="AF3935">
        <v>-1.5275134814551401</v>
      </c>
      <c r="AG3935">
        <v>-1.111027910382</v>
      </c>
      <c r="AH3935">
        <v>12.3231059067099</v>
      </c>
      <c r="AI3935">
        <v>95.112830980161704</v>
      </c>
      <c r="AJ3935">
        <v>97.066069064790099</v>
      </c>
      <c r="AK3935">
        <v>12.467021281832499</v>
      </c>
      <c r="AL3935">
        <v>85.640409402210807</v>
      </c>
      <c r="AM3935">
        <v>95.773056589726593</v>
      </c>
      <c r="AN3935">
        <v>0.99999999192853795</v>
      </c>
    </row>
    <row r="3936" spans="1:40" x14ac:dyDescent="0.3">
      <c r="A3936" t="str">
        <f>"20200111153959379"</f>
        <v>20200111153959379</v>
      </c>
      <c r="B3936" t="str">
        <f>"1578728399374868"</f>
        <v>1578728399374868</v>
      </c>
      <c r="C3936" t="s">
        <v>40</v>
      </c>
      <c r="D3936">
        <v>5.1727869999999996</v>
      </c>
      <c r="E3936">
        <v>0.49135620000000002</v>
      </c>
      <c r="F3936" t="s">
        <v>77</v>
      </c>
      <c r="G3936">
        <v>-266.67770000000002</v>
      </c>
      <c r="H3936" s="1">
        <v>-1.8947160000000001E-6</v>
      </c>
      <c r="I3936">
        <v>-60.244199999999999</v>
      </c>
      <c r="J3936">
        <v>-279.01920000000001</v>
      </c>
      <c r="K3936">
        <v>1.1108899999999999</v>
      </c>
      <c r="L3936">
        <v>-61.065579999999997</v>
      </c>
      <c r="M3936">
        <v>0.99846710000000005</v>
      </c>
      <c r="N3936">
        <v>0</v>
      </c>
      <c r="O3936">
        <v>-5.4297570000000003E-2</v>
      </c>
      <c r="P3936">
        <v>0.99677789999999999</v>
      </c>
      <c r="Q3936">
        <v>6.6358349999999997E-2</v>
      </c>
      <c r="R3936">
        <v>4.5061039999999997E-2</v>
      </c>
      <c r="S3936">
        <v>3.019196</v>
      </c>
      <c r="T3936">
        <v>-0.26790370000000002</v>
      </c>
      <c r="U3936">
        <v>0.19616700000000001</v>
      </c>
      <c r="V3936">
        <v>-0.10038999999999999</v>
      </c>
      <c r="W3936">
        <v>7.5357759999999996E-2</v>
      </c>
      <c r="X3936">
        <v>0.99209020000000003</v>
      </c>
      <c r="Y3936">
        <v>-0.1182518</v>
      </c>
      <c r="Z3936">
        <v>1.003482E-2</v>
      </c>
      <c r="AA3936">
        <v>0.99293290000000001</v>
      </c>
      <c r="AB3936">
        <v>36</v>
      </c>
      <c r="AC3936">
        <v>12.3414999999999</v>
      </c>
      <c r="AD3936">
        <v>-1.110891894716</v>
      </c>
      <c r="AE3936">
        <v>0.821380000000004</v>
      </c>
      <c r="AF3936">
        <v>-1.47839467349779</v>
      </c>
      <c r="AG3936">
        <v>-1.110891894716</v>
      </c>
      <c r="AH3936">
        <v>12.1804360060344</v>
      </c>
      <c r="AI3936">
        <v>95.173369408753402</v>
      </c>
      <c r="AJ3936">
        <v>96.920397439548296</v>
      </c>
      <c r="AK3936">
        <v>12.3200143226163</v>
      </c>
      <c r="AL3936">
        <v>85.678221187134895</v>
      </c>
      <c r="AM3936">
        <v>95.778114509359696</v>
      </c>
      <c r="AN3936">
        <v>0.99999995451412704</v>
      </c>
    </row>
    <row r="3937" spans="1:40" x14ac:dyDescent="0.3">
      <c r="A3937" t="str">
        <f>"20200111153959391"</f>
        <v>20200111153959391</v>
      </c>
      <c r="B3937" t="str">
        <f>"1578728399384628"</f>
        <v>1578728399384628</v>
      </c>
      <c r="C3937" t="s">
        <v>40</v>
      </c>
      <c r="D3937">
        <v>5.2240979999999997</v>
      </c>
      <c r="E3937">
        <v>0.4919114</v>
      </c>
      <c r="F3937" t="s">
        <v>42</v>
      </c>
      <c r="G3937">
        <v>-265.94490000000002</v>
      </c>
      <c r="H3937" s="1">
        <v>-1.5845930000000001E-6</v>
      </c>
      <c r="I3937">
        <v>-60.220170000000003</v>
      </c>
      <c r="J3937">
        <v>-278.82029999999997</v>
      </c>
      <c r="K3937">
        <v>1.1107400000000001</v>
      </c>
      <c r="L3937">
        <v>-61.07358</v>
      </c>
      <c r="M3937">
        <v>0.99864989999999998</v>
      </c>
      <c r="N3937">
        <v>0</v>
      </c>
      <c r="O3937">
        <v>-5.0829300000000001E-2</v>
      </c>
      <c r="P3937">
        <v>0.99671980000000004</v>
      </c>
      <c r="Q3937">
        <v>6.6023650000000003E-2</v>
      </c>
      <c r="R3937">
        <v>4.6805850000000003E-2</v>
      </c>
      <c r="S3937">
        <v>3.017944</v>
      </c>
      <c r="T3937">
        <v>-0.25642589999999998</v>
      </c>
      <c r="U3937">
        <v>0.19512940000000001</v>
      </c>
      <c r="V3937">
        <v>-9.8646360000000002E-2</v>
      </c>
      <c r="W3937">
        <v>7.5067250000000002E-2</v>
      </c>
      <c r="X3937">
        <v>0.99228720000000004</v>
      </c>
      <c r="Y3937">
        <v>-0.114570699999999</v>
      </c>
      <c r="Z3937">
        <v>9.1607679999999997E-3</v>
      </c>
      <c r="AA3937">
        <v>0.9933729</v>
      </c>
      <c r="AB3937">
        <v>36</v>
      </c>
      <c r="AC3937">
        <v>12.8753999999999</v>
      </c>
      <c r="AD3937">
        <v>-1.110741584593</v>
      </c>
      <c r="AE3937">
        <v>0.85341000000000999</v>
      </c>
      <c r="AF3937">
        <v>-1.49570908259097</v>
      </c>
      <c r="AG3937">
        <v>-1.110741584593</v>
      </c>
      <c r="AH3937">
        <v>12.7211143782175</v>
      </c>
      <c r="AI3937">
        <v>94.956145691757001</v>
      </c>
      <c r="AJ3937">
        <v>96.705871357770803</v>
      </c>
      <c r="AK3937">
        <v>12.856813118000099</v>
      </c>
      <c r="AL3937">
        <v>85.694913841856106</v>
      </c>
      <c r="AM3937">
        <v>95.677298016737694</v>
      </c>
      <c r="AN3937">
        <v>1.00000004182382</v>
      </c>
    </row>
    <row r="3938" spans="1:40" x14ac:dyDescent="0.3">
      <c r="A3938" t="str">
        <f>"20200111153959403"</f>
        <v>20200111153959403</v>
      </c>
      <c r="B3938" t="str">
        <f>"1578728399395364"</f>
        <v>1578728399395364</v>
      </c>
      <c r="C3938" t="s">
        <v>40</v>
      </c>
      <c r="D3938">
        <v>5.2921300000000002</v>
      </c>
      <c r="E3938">
        <v>0.49237130000000001</v>
      </c>
      <c r="F3938" t="s">
        <v>42</v>
      </c>
      <c r="G3938">
        <v>-265.52289999999999</v>
      </c>
      <c r="H3938" s="1">
        <v>-1.4053370000000001E-6</v>
      </c>
      <c r="I3938">
        <v>-60.210360000000001</v>
      </c>
      <c r="J3938">
        <v>-278.6318</v>
      </c>
      <c r="K3938">
        <v>1.1105969999999901</v>
      </c>
      <c r="L3938">
        <v>-61.080469999999998</v>
      </c>
      <c r="M3938">
        <v>0.99880729999999995</v>
      </c>
      <c r="N3938">
        <v>0</v>
      </c>
      <c r="O3938">
        <v>-4.7640000000000002E-2</v>
      </c>
      <c r="P3938">
        <v>0.99669129999999995</v>
      </c>
      <c r="Q3938">
        <v>6.5421779999999999E-2</v>
      </c>
      <c r="R3938">
        <v>4.8233020000000001E-2</v>
      </c>
      <c r="S3938">
        <v>3.0173649999999999</v>
      </c>
      <c r="T3938">
        <v>-0.25204379999999998</v>
      </c>
      <c r="U3938">
        <v>0.1958618</v>
      </c>
      <c r="V3938">
        <v>-9.686314E-2</v>
      </c>
      <c r="W3938">
        <v>7.4509000000000006E-2</v>
      </c>
      <c r="X3938">
        <v>0.99250490000000002</v>
      </c>
      <c r="Y3938">
        <v>-0.1116914</v>
      </c>
      <c r="Z3938">
        <v>8.6208580000000003E-3</v>
      </c>
      <c r="AA3938">
        <v>0.99370559999999997</v>
      </c>
      <c r="AB3938">
        <v>36</v>
      </c>
      <c r="AC3938">
        <v>13.1089</v>
      </c>
      <c r="AD3938">
        <v>-1.1105984053369999</v>
      </c>
      <c r="AE3938">
        <v>0.87011000000000305</v>
      </c>
      <c r="AF3938">
        <v>-1.48306743239998</v>
      </c>
      <c r="AG3938">
        <v>-1.1105984053369999</v>
      </c>
      <c r="AH3938">
        <v>12.9599458747205</v>
      </c>
      <c r="AI3938">
        <v>94.866371627479793</v>
      </c>
      <c r="AJ3938">
        <v>96.528227431798598</v>
      </c>
      <c r="AK3938">
        <v>13.0917193256908</v>
      </c>
      <c r="AL3938">
        <v>85.726988935079703</v>
      </c>
      <c r="AM3938">
        <v>95.574107386497602</v>
      </c>
      <c r="AN3938">
        <v>1.0000000177478301</v>
      </c>
    </row>
    <row r="3939" spans="1:40" x14ac:dyDescent="0.3">
      <c r="A3939" t="str">
        <f>"20200111153959413"</f>
        <v>20200111153959413</v>
      </c>
      <c r="B3939" t="str">
        <f>"1578728399405124"</f>
        <v>1578728399405124</v>
      </c>
      <c r="C3939" t="s">
        <v>40</v>
      </c>
      <c r="D3939">
        <v>5.1902929999999996</v>
      </c>
      <c r="E3939">
        <v>0.49272949999999999</v>
      </c>
      <c r="F3939" t="s">
        <v>42</v>
      </c>
      <c r="G3939">
        <v>-265.13189999999997</v>
      </c>
      <c r="H3939" s="1">
        <v>-1.2391680000000001E-6</v>
      </c>
      <c r="I3939">
        <v>-60.201469999999901</v>
      </c>
      <c r="J3939">
        <v>-278.4477</v>
      </c>
      <c r="K3939">
        <v>1.110457</v>
      </c>
      <c r="L3939">
        <v>-61.086979999999997</v>
      </c>
      <c r="M3939">
        <v>0.99894970000000005</v>
      </c>
      <c r="N3939">
        <v>0</v>
      </c>
      <c r="O3939">
        <v>-4.4559179999999997E-2</v>
      </c>
      <c r="P3939">
        <v>0.99666770000000005</v>
      </c>
      <c r="Q3939">
        <v>6.4916989999999994E-2</v>
      </c>
      <c r="R3939">
        <v>4.9387380000000002E-2</v>
      </c>
      <c r="S3939">
        <v>3.0167540000000002</v>
      </c>
      <c r="T3939">
        <v>-0.24817939999999999</v>
      </c>
      <c r="U3939">
        <v>0.19641110000000001</v>
      </c>
      <c r="V3939">
        <v>-9.4918260000000004E-2</v>
      </c>
      <c r="W3939">
        <v>7.4050130000000006E-2</v>
      </c>
      <c r="X3939">
        <v>0.99272709999999997</v>
      </c>
      <c r="Y3939">
        <v>-0.10885590000000001</v>
      </c>
      <c r="Z3939">
        <v>8.1217140000000004E-3</v>
      </c>
      <c r="AA3939">
        <v>0.99402429999999997</v>
      </c>
      <c r="AB3939">
        <v>36</v>
      </c>
      <c r="AC3939">
        <v>13.315799999999999</v>
      </c>
      <c r="AD3939">
        <v>-1.110458239168</v>
      </c>
      <c r="AE3939">
        <v>0.88551000000001001</v>
      </c>
      <c r="AF3939">
        <v>-1.4678420524070801</v>
      </c>
      <c r="AG3939">
        <v>-1.110458239168</v>
      </c>
      <c r="AH3939">
        <v>13.171911098261299</v>
      </c>
      <c r="AI3939">
        <v>94.789419652465796</v>
      </c>
      <c r="AJ3939">
        <v>96.358651742160404</v>
      </c>
      <c r="AK3939">
        <v>13.2998842014602</v>
      </c>
      <c r="AL3939">
        <v>85.753352990679801</v>
      </c>
      <c r="AM3939">
        <v>95.461655474548607</v>
      </c>
      <c r="AN3939">
        <v>0.99999999645442705</v>
      </c>
    </row>
    <row r="3940" spans="1:40" x14ac:dyDescent="0.3">
      <c r="A3940" t="str">
        <f>"20200111153959426"</f>
        <v>20200111153959426</v>
      </c>
      <c r="B3940" t="str">
        <f>"1578728399414884"</f>
        <v>1578728399414884</v>
      </c>
      <c r="C3940" t="s">
        <v>40</v>
      </c>
      <c r="D3940">
        <v>5.1618870000000001</v>
      </c>
      <c r="E3940">
        <v>0.49305480000000002</v>
      </c>
      <c r="F3940" t="s">
        <v>42</v>
      </c>
      <c r="G3940">
        <v>-264.7364</v>
      </c>
      <c r="H3940" s="1">
        <v>-1.0713250000000001E-6</v>
      </c>
      <c r="I3940">
        <v>-60.190989999999999</v>
      </c>
      <c r="J3940">
        <v>-278.26499999999999</v>
      </c>
      <c r="K3940">
        <v>1.110314</v>
      </c>
      <c r="L3940">
        <v>-61.092529999999996</v>
      </c>
      <c r="M3940">
        <v>0.99907579999999996</v>
      </c>
      <c r="N3940">
        <v>0</v>
      </c>
      <c r="O3940">
        <v>-4.1640070000000001E-2</v>
      </c>
      <c r="P3940">
        <v>0.99663650000000004</v>
      </c>
      <c r="Q3940">
        <v>6.4534499999999995E-2</v>
      </c>
      <c r="R3940">
        <v>5.0512750000000002E-2</v>
      </c>
      <c r="S3940">
        <v>3.0162049999999998</v>
      </c>
      <c r="T3940">
        <v>-0.24427650000000001</v>
      </c>
      <c r="U3940">
        <v>0.19708249999999999</v>
      </c>
      <c r="V3940">
        <v>-9.3106510000000003E-2</v>
      </c>
      <c r="W3940">
        <v>7.3710120000000004E-2</v>
      </c>
      <c r="X3940">
        <v>0.99292400000000003</v>
      </c>
      <c r="Y3940">
        <v>-0.10621709999999999</v>
      </c>
      <c r="Z3940">
        <v>7.65344599999999E-3</v>
      </c>
      <c r="AA3940">
        <v>0.99431349999999996</v>
      </c>
      <c r="AB3940">
        <v>36</v>
      </c>
      <c r="AC3940">
        <v>13.5285999999999</v>
      </c>
      <c r="AD3940">
        <v>-1.1103150713249901</v>
      </c>
      <c r="AE3940">
        <v>0.901540000000004</v>
      </c>
      <c r="AF3940">
        <v>-1.4543688772782699</v>
      </c>
      <c r="AG3940">
        <v>-1.1103150713249901</v>
      </c>
      <c r="AH3940">
        <v>13.3895326978969</v>
      </c>
      <c r="AI3940">
        <v>94.712762047705596</v>
      </c>
      <c r="AJ3940">
        <v>96.199154776577402</v>
      </c>
      <c r="AK3940">
        <v>13.5139769963123</v>
      </c>
      <c r="AL3940">
        <v>85.772887685381704</v>
      </c>
      <c r="AM3940">
        <v>95.356962489532293</v>
      </c>
      <c r="AN3940">
        <v>1.0000000368853901</v>
      </c>
    </row>
    <row r="3941" spans="1:40" x14ac:dyDescent="0.3">
      <c r="A3941" t="str">
        <f>"20200111153959439"</f>
        <v>20200111153959439</v>
      </c>
      <c r="B3941" t="str">
        <f>"1578728399424645"</f>
        <v>1578728399424645</v>
      </c>
      <c r="C3941" t="s">
        <v>40</v>
      </c>
      <c r="D3941">
        <v>5.2189579999999998</v>
      </c>
      <c r="E3941">
        <v>0.49317290000000003</v>
      </c>
      <c r="F3941" t="s">
        <v>42</v>
      </c>
      <c r="G3941">
        <v>-264.41460000000001</v>
      </c>
      <c r="H3941" s="1">
        <v>-9.3451989999999999E-7</v>
      </c>
      <c r="I3941">
        <v>-60.18394</v>
      </c>
      <c r="J3941">
        <v>-278.06290000000001</v>
      </c>
      <c r="K3941">
        <v>1.110163</v>
      </c>
      <c r="L3941">
        <v>-61.098390000000002</v>
      </c>
      <c r="M3941">
        <v>0.99920350000000002</v>
      </c>
      <c r="N3941">
        <v>0</v>
      </c>
      <c r="O3941">
        <v>-3.846045E-2</v>
      </c>
      <c r="P3941">
        <v>0.99658170000000001</v>
      </c>
      <c r="Q3941">
        <v>6.4107239999999996E-2</v>
      </c>
      <c r="R3941">
        <v>5.210625E-2</v>
      </c>
      <c r="S3941">
        <v>3.015717</v>
      </c>
      <c r="T3941">
        <v>-0.24175250000000001</v>
      </c>
      <c r="U3941">
        <v>0.19781489999999999</v>
      </c>
      <c r="V3941">
        <v>-9.1498750000000004E-2</v>
      </c>
      <c r="W3941">
        <v>7.33235E-2</v>
      </c>
      <c r="X3941">
        <v>0.99310200000000004</v>
      </c>
      <c r="Y3941">
        <v>-0.10333249999999999</v>
      </c>
      <c r="Z3941">
        <v>7.2062330000000003E-3</v>
      </c>
      <c r="AA3941">
        <v>0.99462070000000002</v>
      </c>
      <c r="AB3941">
        <v>36</v>
      </c>
      <c r="AC3941">
        <v>13.648300000000001</v>
      </c>
      <c r="AD3941">
        <v>-1.1101639345198999</v>
      </c>
      <c r="AE3941">
        <v>0.91445000000000198</v>
      </c>
      <c r="AF3941">
        <v>-1.42930829385603</v>
      </c>
      <c r="AG3941">
        <v>-1.1101639345198999</v>
      </c>
      <c r="AH3941">
        <v>13.5140150683775</v>
      </c>
      <c r="AI3941">
        <v>94.670317728427506</v>
      </c>
      <c r="AJ3941">
        <v>96.037436467366803</v>
      </c>
      <c r="AK3941">
        <v>13.6346613243135</v>
      </c>
      <c r="AL3941">
        <v>85.795099201382499</v>
      </c>
      <c r="AM3941">
        <v>95.264044654044795</v>
      </c>
      <c r="AN3941">
        <v>0.99999996965390503</v>
      </c>
    </row>
    <row r="3942" spans="1:40" x14ac:dyDescent="0.3">
      <c r="A3942" t="str">
        <f>"20200111153959454"</f>
        <v>20200111153959454</v>
      </c>
      <c r="B3942" t="str">
        <f>"1578728399445140"</f>
        <v>1578728399445140</v>
      </c>
      <c r="C3942" t="s">
        <v>40</v>
      </c>
      <c r="D3942">
        <v>5.1760489999999999</v>
      </c>
      <c r="E3942">
        <v>0.49351909999999999</v>
      </c>
      <c r="F3942" t="s">
        <v>42</v>
      </c>
      <c r="G3942">
        <v>-264.28620000000001</v>
      </c>
      <c r="H3942" s="1">
        <v>-8.8042699999999997E-7</v>
      </c>
      <c r="I3942">
        <v>-60.178510000000003</v>
      </c>
      <c r="J3942">
        <v>-277.80610000000001</v>
      </c>
      <c r="K3942">
        <v>1.1099650000000001</v>
      </c>
      <c r="L3942">
        <v>-61.105069999999998</v>
      </c>
      <c r="M3942">
        <v>0.99934650000000003</v>
      </c>
      <c r="N3942">
        <v>0</v>
      </c>
      <c r="O3942">
        <v>-3.4557060000000001E-2</v>
      </c>
      <c r="P3942">
        <v>0.9965311</v>
      </c>
      <c r="Q3942">
        <v>6.4121410000000004E-2</v>
      </c>
      <c r="R3942">
        <v>5.305166E-2</v>
      </c>
      <c r="S3942">
        <v>3.0153810000000001</v>
      </c>
      <c r="T3942">
        <v>-0.24298700000000001</v>
      </c>
      <c r="U3942">
        <v>0.20132449999999999</v>
      </c>
      <c r="V3942">
        <v>-8.8522519999999993E-2</v>
      </c>
      <c r="W3942">
        <v>7.3402439999999999E-2</v>
      </c>
      <c r="X3942">
        <v>0.99336590000000002</v>
      </c>
      <c r="Y3942">
        <v>-0.1006235</v>
      </c>
      <c r="Z3942">
        <v>6.8208619999999996E-3</v>
      </c>
      <c r="AA3942">
        <v>0.99490120000000004</v>
      </c>
      <c r="AB3942">
        <v>36</v>
      </c>
      <c r="AC3942">
        <v>13.5199</v>
      </c>
      <c r="AD3942">
        <v>-1.1099658804269901</v>
      </c>
      <c r="AE3942">
        <v>0.92656000000000205</v>
      </c>
      <c r="AF3942">
        <v>-1.3839562545114701</v>
      </c>
      <c r="AG3942">
        <v>-1.1099658804269901</v>
      </c>
      <c r="AH3942">
        <v>13.389973930086599</v>
      </c>
      <c r="AI3942">
        <v>94.7137193746007</v>
      </c>
      <c r="AJ3942">
        <v>95.901003631689605</v>
      </c>
      <c r="AK3942">
        <v>13.5069893395424</v>
      </c>
      <c r="AL3942">
        <v>85.7905641079101</v>
      </c>
      <c r="AM3942">
        <v>95.092387884763696</v>
      </c>
      <c r="AN3942">
        <v>0.99999998301395598</v>
      </c>
    </row>
    <row r="3943" spans="1:40" x14ac:dyDescent="0.3">
      <c r="A3943" t="str">
        <f>"20200111153959467"</f>
        <v>20200111153959467</v>
      </c>
      <c r="B3943" t="str">
        <f>"1578728399454902"</f>
        <v>1578728399454902</v>
      </c>
      <c r="C3943" t="s">
        <v>40</v>
      </c>
      <c r="D3943">
        <v>5.1524739999999998</v>
      </c>
      <c r="E3943">
        <v>0.49352990000000002</v>
      </c>
      <c r="F3943" t="s">
        <v>42</v>
      </c>
      <c r="G3943">
        <v>-263.88319999999999</v>
      </c>
      <c r="H3943" s="1">
        <v>-7.0787019999999898E-7</v>
      </c>
      <c r="I3943">
        <v>-60.176789999999997</v>
      </c>
      <c r="J3943">
        <v>-277.61</v>
      </c>
      <c r="K3943">
        <v>1.109815</v>
      </c>
      <c r="L3943">
        <v>-61.109310000000001</v>
      </c>
      <c r="M3943">
        <v>0.99944080000000002</v>
      </c>
      <c r="N3943">
        <v>0</v>
      </c>
      <c r="O3943">
        <v>-3.1722420000000001E-2</v>
      </c>
      <c r="P3943">
        <v>0.9964288</v>
      </c>
      <c r="Q3943">
        <v>6.4482490000000003E-2</v>
      </c>
      <c r="R3943">
        <v>5.451375E-2</v>
      </c>
      <c r="S3943">
        <v>3.0151979999999998</v>
      </c>
      <c r="T3943">
        <v>-0.2403795</v>
      </c>
      <c r="U3943">
        <v>0.20101930000000001</v>
      </c>
      <c r="V3943">
        <v>-8.7137240000000005E-2</v>
      </c>
      <c r="W3943">
        <v>7.3797619999999994E-2</v>
      </c>
      <c r="X3943">
        <v>0.99345910000000004</v>
      </c>
      <c r="Y3943">
        <v>-9.7732360000000004E-2</v>
      </c>
      <c r="Z3943">
        <v>6.4079699999999998E-3</v>
      </c>
      <c r="AA3943">
        <v>0.99519210000000002</v>
      </c>
      <c r="AB3943">
        <v>36</v>
      </c>
      <c r="AC3943">
        <v>13.726800000000001</v>
      </c>
      <c r="AD3943">
        <v>-1.1098157078702</v>
      </c>
      <c r="AE3943">
        <v>0.93251999999999602</v>
      </c>
      <c r="AF3943">
        <v>-1.3586816912880799</v>
      </c>
      <c r="AG3943">
        <v>-1.1098157078702</v>
      </c>
      <c r="AH3943">
        <v>13.601803924978</v>
      </c>
      <c r="AI3943">
        <v>94.641619199981406</v>
      </c>
      <c r="AJ3943">
        <v>95.704342496696796</v>
      </c>
      <c r="AK3943">
        <v>13.714473262113399</v>
      </c>
      <c r="AL3943">
        <v>85.767860394966704</v>
      </c>
      <c r="AM3943">
        <v>95.012639005033904</v>
      </c>
      <c r="AN3943">
        <v>0.999999985342646</v>
      </c>
    </row>
    <row r="3944" spans="1:40" x14ac:dyDescent="0.3">
      <c r="A3944" t="str">
        <f>"20200111153959480"</f>
        <v>20200111153959480</v>
      </c>
      <c r="B3944" t="str">
        <f>"1578728399475396"</f>
        <v>1578728399475396</v>
      </c>
      <c r="C3944" t="s">
        <v>40</v>
      </c>
      <c r="D3944">
        <v>5.1715939999999998</v>
      </c>
      <c r="E3944">
        <v>0.49362070000000002</v>
      </c>
      <c r="F3944" t="s">
        <v>42</v>
      </c>
      <c r="G3944">
        <v>-263.62909999999999</v>
      </c>
      <c r="H3944" s="1">
        <v>-6.0215919999999899E-7</v>
      </c>
      <c r="I3944">
        <v>-60.158000000000001</v>
      </c>
      <c r="J3944">
        <v>-277.4015</v>
      </c>
      <c r="K3944">
        <v>1.109658</v>
      </c>
      <c r="L3944">
        <v>-61.113489999999999</v>
      </c>
      <c r="M3944">
        <v>0.99953040000000004</v>
      </c>
      <c r="N3944">
        <v>0</v>
      </c>
      <c r="O3944">
        <v>-2.8764209999999998E-2</v>
      </c>
      <c r="P3944">
        <v>0.99632430000000005</v>
      </c>
      <c r="Q3944">
        <v>6.4780009999999999E-2</v>
      </c>
      <c r="R3944">
        <v>5.6051040000000003E-2</v>
      </c>
      <c r="S3944">
        <v>3.0150450000000002</v>
      </c>
      <c r="T3944">
        <v>-0.23933599999999999</v>
      </c>
      <c r="U3944">
        <v>0.20513919999999999</v>
      </c>
      <c r="V3944">
        <v>-8.5702490000000006E-2</v>
      </c>
      <c r="W3944">
        <v>7.4130470000000004E-2</v>
      </c>
      <c r="X3944">
        <v>0.99355910000000003</v>
      </c>
      <c r="Y3944">
        <v>-9.6161590000000005E-2</v>
      </c>
      <c r="Z3944">
        <v>6.0838690000000004E-3</v>
      </c>
      <c r="AA3944">
        <v>0.99534710000000004</v>
      </c>
      <c r="AB3944">
        <v>36</v>
      </c>
      <c r="AC3944">
        <v>13.772399999999999</v>
      </c>
      <c r="AD3944">
        <v>-1.1096586021592001</v>
      </c>
      <c r="AE3944">
        <v>0.95549000000000395</v>
      </c>
      <c r="AF3944">
        <v>-1.34259491508482</v>
      </c>
      <c r="AG3944">
        <v>-1.1096586021592001</v>
      </c>
      <c r="AH3944">
        <v>13.6510211754882</v>
      </c>
      <c r="AI3944">
        <v>94.625000600791793</v>
      </c>
      <c r="AJ3944">
        <v>95.617046506486503</v>
      </c>
      <c r="AK3944">
        <v>13.7616962055186</v>
      </c>
      <c r="AL3944">
        <v>85.748737024280601</v>
      </c>
      <c r="AM3944">
        <v>94.9300203058243</v>
      </c>
      <c r="AN3944">
        <v>0.99999996428371396</v>
      </c>
    </row>
    <row r="3945" spans="1:40" x14ac:dyDescent="0.3">
      <c r="A3945" t="str">
        <f>"20200111153959491"</f>
        <v>20200111153959491</v>
      </c>
      <c r="B3945" t="str">
        <f>"1578728399485156"</f>
        <v>1578728399485156</v>
      </c>
      <c r="C3945" t="s">
        <v>40</v>
      </c>
      <c r="D3945">
        <v>5.1917049999999998</v>
      </c>
      <c r="E3945">
        <v>0.49373309999999998</v>
      </c>
      <c r="F3945" t="s">
        <v>42</v>
      </c>
      <c r="G3945">
        <v>-263.26679999999999</v>
      </c>
      <c r="H3945" s="1">
        <v>-4.5121449999999999E-7</v>
      </c>
      <c r="I3945">
        <v>-60.13288</v>
      </c>
      <c r="J3945">
        <v>-277.19619999999998</v>
      </c>
      <c r="K3945">
        <v>1.1095090000000001</v>
      </c>
      <c r="L3945">
        <v>-61.117159999999998</v>
      </c>
      <c r="M3945">
        <v>0.99960800000000005</v>
      </c>
      <c r="N3945">
        <v>0</v>
      </c>
      <c r="O3945">
        <v>-2.5937709999999999E-2</v>
      </c>
      <c r="P3945">
        <v>0.99623289999999998</v>
      </c>
      <c r="Q3945">
        <v>6.4829529999999996E-2</v>
      </c>
      <c r="R3945">
        <v>5.759823E-2</v>
      </c>
      <c r="S3945">
        <v>3.0147089999999999</v>
      </c>
      <c r="T3945">
        <v>-0.23667379999999999</v>
      </c>
      <c r="U3945">
        <v>0.20913699999999999</v>
      </c>
      <c r="V3945">
        <v>-8.4407599999999999E-2</v>
      </c>
      <c r="W3945">
        <v>7.4212280000000005E-2</v>
      </c>
      <c r="X3945">
        <v>0.99366379999999999</v>
      </c>
      <c r="Y3945">
        <v>-9.4689990000000002E-2</v>
      </c>
      <c r="Z3945">
        <v>5.737855E-3</v>
      </c>
      <c r="AA3945">
        <v>0.99549030000000005</v>
      </c>
      <c r="AB3945">
        <v>36</v>
      </c>
      <c r="AC3945">
        <v>13.9293999999999</v>
      </c>
      <c r="AD3945">
        <v>-1.1095094512145001</v>
      </c>
      <c r="AE3945">
        <v>0.98427999999999105</v>
      </c>
      <c r="AF3945">
        <v>-1.33682626765023</v>
      </c>
      <c r="AG3945">
        <v>-1.1095094512145001</v>
      </c>
      <c r="AH3945">
        <v>13.8119869638839</v>
      </c>
      <c r="AI3945">
        <v>94.5714064565922</v>
      </c>
      <c r="AJ3945">
        <v>95.528289641961905</v>
      </c>
      <c r="AK3945">
        <v>13.920815334696201</v>
      </c>
      <c r="AL3945">
        <v>85.744036548040995</v>
      </c>
      <c r="AM3945">
        <v>94.855381671755893</v>
      </c>
      <c r="AN3945">
        <v>0.99999992643549596</v>
      </c>
    </row>
    <row r="3946" spans="1:40" x14ac:dyDescent="0.3">
      <c r="A3946" t="str">
        <f>"20200111153959504"</f>
        <v>20200111153959504</v>
      </c>
      <c r="B3946" t="str">
        <f>"1578728399494915"</f>
        <v>1578728399494915</v>
      </c>
      <c r="C3946" t="s">
        <v>40</v>
      </c>
      <c r="D3946">
        <v>5.1887460000000001</v>
      </c>
      <c r="E3946">
        <v>0.49391390000000002</v>
      </c>
      <c r="F3946" t="s">
        <v>42</v>
      </c>
      <c r="G3946">
        <v>-262.99270000000001</v>
      </c>
      <c r="H3946" s="1">
        <v>-3.3701529999999998E-7</v>
      </c>
      <c r="I3946">
        <v>-60.113660000000003</v>
      </c>
      <c r="J3946">
        <v>-277.00599999999997</v>
      </c>
      <c r="K3946">
        <v>1.1093649999999999</v>
      </c>
      <c r="L3946">
        <v>-61.119869999999999</v>
      </c>
      <c r="M3946">
        <v>0.99966980000000005</v>
      </c>
      <c r="N3946">
        <v>0</v>
      </c>
      <c r="O3946">
        <v>-2.3440240000000001E-2</v>
      </c>
      <c r="P3946">
        <v>0.99617160000000005</v>
      </c>
      <c r="Q3946">
        <v>6.4646439999999999E-2</v>
      </c>
      <c r="R3946">
        <v>5.8847570000000002E-2</v>
      </c>
      <c r="S3946">
        <v>3.0143430000000002</v>
      </c>
      <c r="T3946">
        <v>-0.23546510000000001</v>
      </c>
      <c r="U3946">
        <v>0.21295169999999999</v>
      </c>
      <c r="V3946">
        <v>-8.3141010000000001E-2</v>
      </c>
      <c r="W3946">
        <v>7.4059639999999996E-2</v>
      </c>
      <c r="X3946">
        <v>0.99378200000000005</v>
      </c>
      <c r="Y3946">
        <v>-9.347983E-2</v>
      </c>
      <c r="Z3946">
        <v>5.4673489999999998E-3</v>
      </c>
      <c r="AA3946">
        <v>0.9956062</v>
      </c>
      <c r="AB3946">
        <v>36</v>
      </c>
      <c r="AC3946">
        <v>14.0132999999999</v>
      </c>
      <c r="AD3946">
        <v>-1.1093653370152901</v>
      </c>
      <c r="AE3946">
        <v>1.00621</v>
      </c>
      <c r="AF3946">
        <v>-1.3261582565072301</v>
      </c>
      <c r="AG3946">
        <v>-1.1093653370152901</v>
      </c>
      <c r="AH3946">
        <v>13.899200946211099</v>
      </c>
      <c r="AI3946">
        <v>94.542847066832195</v>
      </c>
      <c r="AJ3946">
        <v>95.450237751424197</v>
      </c>
      <c r="AK3946">
        <v>14.006326217657101</v>
      </c>
      <c r="AL3946">
        <v>85.752806455285594</v>
      </c>
      <c r="AM3946">
        <v>94.782297884162503</v>
      </c>
      <c r="AN3946">
        <v>0.99999996067237396</v>
      </c>
    </row>
    <row r="3947" spans="1:40" x14ac:dyDescent="0.3">
      <c r="A3947" t="str">
        <f>"20200111153959515"</f>
        <v>20200111153959515</v>
      </c>
      <c r="B3947" t="str">
        <f>"1578728399504677"</f>
        <v>1578728399504677</v>
      </c>
      <c r="C3947" t="s">
        <v>40</v>
      </c>
      <c r="D3947">
        <v>5.1807400000000001</v>
      </c>
      <c r="E3947">
        <v>0.49406050000000001</v>
      </c>
      <c r="F3947" t="s">
        <v>42</v>
      </c>
      <c r="G3947">
        <v>-262.80329999999998</v>
      </c>
      <c r="H3947" s="1">
        <v>-2.5711450000000002E-7</v>
      </c>
      <c r="I3947">
        <v>-60.106000000000002</v>
      </c>
      <c r="J3947">
        <v>-276.82260000000002</v>
      </c>
      <c r="K3947">
        <v>1.1092299999999999</v>
      </c>
      <c r="L3947">
        <v>-61.12238</v>
      </c>
      <c r="M3947">
        <v>0.99972269999999996</v>
      </c>
      <c r="N3947">
        <v>0</v>
      </c>
      <c r="O3947">
        <v>-2.1072299999999999E-2</v>
      </c>
      <c r="P3947">
        <v>0.99607599999999996</v>
      </c>
      <c r="Q3947">
        <v>6.4750249999999995E-2</v>
      </c>
      <c r="R3947">
        <v>6.0334350000000002E-2</v>
      </c>
      <c r="S3947">
        <v>3.0140989999999999</v>
      </c>
      <c r="T3947">
        <v>-0.23542920000000001</v>
      </c>
      <c r="U3947">
        <v>0.2151489</v>
      </c>
      <c r="V3947">
        <v>-8.224505E-2</v>
      </c>
      <c r="W3947">
        <v>7.4188030000000002E-2</v>
      </c>
      <c r="X3947">
        <v>0.99384700000000004</v>
      </c>
      <c r="Y3947">
        <v>-9.1861490000000004E-2</v>
      </c>
      <c r="Z3947">
        <v>5.2192999999999996E-3</v>
      </c>
      <c r="AA3947">
        <v>0.99575809999999998</v>
      </c>
      <c r="AB3947">
        <v>36</v>
      </c>
      <c r="AC3947">
        <v>14.019299999999999</v>
      </c>
      <c r="AD3947">
        <v>-1.1092302571145001</v>
      </c>
      <c r="AE3947">
        <v>1.0163800000000001</v>
      </c>
      <c r="AF3947">
        <v>-1.3034721295109</v>
      </c>
      <c r="AG3947">
        <v>-1.1092302571145001</v>
      </c>
      <c r="AH3947">
        <v>13.908154985264501</v>
      </c>
      <c r="AI3947">
        <v>94.540101313440502</v>
      </c>
      <c r="AJ3947">
        <v>95.354120504516303</v>
      </c>
      <c r="AK3947">
        <v>14.0130726983716</v>
      </c>
      <c r="AL3947">
        <v>85.745430064234299</v>
      </c>
      <c r="AM3947">
        <v>94.730689155019604</v>
      </c>
      <c r="AN3947">
        <v>0.99999998572689097</v>
      </c>
    </row>
    <row r="3948" spans="1:40" x14ac:dyDescent="0.3">
      <c r="A3948" t="str">
        <f>"20200111153959527"</f>
        <v>20200111153959527</v>
      </c>
      <c r="B3948" t="str">
        <f>"1578728399515412"</f>
        <v>1578728399515412</v>
      </c>
      <c r="C3948" t="s">
        <v>40</v>
      </c>
      <c r="D3948">
        <v>5.1998110000000004</v>
      </c>
      <c r="E3948">
        <v>0.4942667</v>
      </c>
      <c r="F3948" t="s">
        <v>42</v>
      </c>
      <c r="G3948">
        <v>-262.62520000000001</v>
      </c>
      <c r="H3948" s="1">
        <v>-1.829477E-7</v>
      </c>
      <c r="I3948">
        <v>-60.093429999999998</v>
      </c>
      <c r="J3948">
        <v>-276.64030000000002</v>
      </c>
      <c r="K3948">
        <v>1.1090850000000001</v>
      </c>
      <c r="L3948">
        <v>-61.12424</v>
      </c>
      <c r="M3948">
        <v>0.99976710000000002</v>
      </c>
      <c r="N3948">
        <v>0</v>
      </c>
      <c r="O3948">
        <v>-1.885856E-2</v>
      </c>
      <c r="P3948">
        <v>0.99597119999999995</v>
      </c>
      <c r="Q3948">
        <v>6.5333520000000006E-2</v>
      </c>
      <c r="R3948">
        <v>6.142744E-2</v>
      </c>
      <c r="S3948">
        <v>3.0138850000000001</v>
      </c>
      <c r="T3948">
        <v>-0.23547119999999999</v>
      </c>
      <c r="U3948">
        <v>0.21841430000000001</v>
      </c>
      <c r="V3948">
        <v>-8.1113389999999994E-2</v>
      </c>
      <c r="W3948">
        <v>7.4797639999999999E-2</v>
      </c>
      <c r="X3948">
        <v>0.99389430000000001</v>
      </c>
      <c r="Y3948">
        <v>-9.0744839999999993E-2</v>
      </c>
      <c r="Z3948">
        <v>5.0043889999999997E-3</v>
      </c>
      <c r="AA3948">
        <v>0.99586160000000001</v>
      </c>
      <c r="AB3948">
        <v>36</v>
      </c>
      <c r="AC3948">
        <v>14.0151</v>
      </c>
      <c r="AD3948">
        <v>-1.1090851829477</v>
      </c>
      <c r="AE3948">
        <v>1.03080999999999</v>
      </c>
      <c r="AF3948">
        <v>-1.28692997294067</v>
      </c>
      <c r="AG3948">
        <v>-1.1090851829477</v>
      </c>
      <c r="AH3948">
        <v>13.9065475320558</v>
      </c>
      <c r="AI3948">
        <v>94.540524575410004</v>
      </c>
      <c r="AJ3948">
        <v>95.287167266335402</v>
      </c>
      <c r="AK3948">
        <v>14.0099365794287</v>
      </c>
      <c r="AL3948">
        <v>85.710404617479796</v>
      </c>
      <c r="AM3948">
        <v>94.665665024774896</v>
      </c>
      <c r="AN3948">
        <v>0.99999997427967502</v>
      </c>
    </row>
    <row r="3949" spans="1:40" x14ac:dyDescent="0.3">
      <c r="A3949" t="str">
        <f>"20200111153959543"</f>
        <v>20200111153959543</v>
      </c>
      <c r="B3949" t="str">
        <f>"1578728399534933"</f>
        <v>1578728399534933</v>
      </c>
      <c r="C3949" t="s">
        <v>40</v>
      </c>
      <c r="D3949">
        <v>5.176768</v>
      </c>
      <c r="E3949">
        <v>0.49464079999999999</v>
      </c>
      <c r="F3949" t="s">
        <v>42</v>
      </c>
      <c r="G3949">
        <v>-262.31939999999997</v>
      </c>
      <c r="H3949" s="1">
        <v>-5.4368799999999998E-8</v>
      </c>
      <c r="I3949">
        <v>-60.078809999999997</v>
      </c>
      <c r="J3949">
        <v>-276.37599999999998</v>
      </c>
      <c r="K3949">
        <v>1.1088819999999999</v>
      </c>
      <c r="L3949">
        <v>-61.126559999999998</v>
      </c>
      <c r="M3949">
        <v>0.99982090000000001</v>
      </c>
      <c r="N3949">
        <v>0</v>
      </c>
      <c r="O3949">
        <v>-1.5765959999999999E-2</v>
      </c>
      <c r="P3949">
        <v>0.99579379999999995</v>
      </c>
      <c r="Q3949">
        <v>6.6667539999999997E-2</v>
      </c>
      <c r="R3949">
        <v>6.2852229999999995E-2</v>
      </c>
      <c r="S3949">
        <v>3.0138850000000001</v>
      </c>
      <c r="T3949">
        <v>-0.2334117</v>
      </c>
      <c r="U3949">
        <v>0.22000120000000001</v>
      </c>
      <c r="V3949">
        <v>-7.9433009999999998E-2</v>
      </c>
      <c r="W3949">
        <v>7.6167479999999996E-2</v>
      </c>
      <c r="X3949">
        <v>0.99392599999999998</v>
      </c>
      <c r="Y3949">
        <v>-8.8208339999999996E-2</v>
      </c>
      <c r="Z3949">
        <v>4.6238169999999997E-3</v>
      </c>
      <c r="AA3949">
        <v>0.99609130000000001</v>
      </c>
      <c r="AB3949">
        <v>36</v>
      </c>
      <c r="AC3949">
        <v>14.0566</v>
      </c>
      <c r="AD3949">
        <v>-1.1088820543687901</v>
      </c>
      <c r="AE3949">
        <v>1.04775</v>
      </c>
      <c r="AF3949">
        <v>-1.2614409393505199</v>
      </c>
      <c r="AG3949">
        <v>-1.1088820543687901</v>
      </c>
      <c r="AH3949">
        <v>13.9519874604203</v>
      </c>
      <c r="AI3949">
        <v>94.525842833978501</v>
      </c>
      <c r="AJ3949">
        <v>95.166236297372706</v>
      </c>
      <c r="AK3949">
        <v>14.0527152803185</v>
      </c>
      <c r="AL3949">
        <v>85.631694079028307</v>
      </c>
      <c r="AM3949">
        <v>94.569277594267902</v>
      </c>
      <c r="AN3949">
        <v>0.99999999078160495</v>
      </c>
    </row>
    <row r="3950" spans="1:40" x14ac:dyDescent="0.3">
      <c r="A3950" t="str">
        <f>"20200111153959554"</f>
        <v>20200111153959554</v>
      </c>
      <c r="B3950" t="str">
        <f>"1578728399544692"</f>
        <v>1578728399544692</v>
      </c>
      <c r="C3950" t="s">
        <v>40</v>
      </c>
      <c r="D3950">
        <v>5.1777410000000001</v>
      </c>
      <c r="E3950">
        <v>0.49479669999999998</v>
      </c>
      <c r="F3950" t="s">
        <v>42</v>
      </c>
      <c r="G3950">
        <v>-261.7457</v>
      </c>
      <c r="H3950" s="1">
        <v>1.8714709999999999E-7</v>
      </c>
      <c r="I3950">
        <v>-60.052810000000001</v>
      </c>
      <c r="J3950">
        <v>-276.19420000000002</v>
      </c>
      <c r="K3950">
        <v>1.1087389999999999</v>
      </c>
      <c r="L3950">
        <v>-61.127809999999997</v>
      </c>
      <c r="M3950">
        <v>0.9998515</v>
      </c>
      <c r="N3950">
        <v>0</v>
      </c>
      <c r="O3950">
        <v>-1.370701E-2</v>
      </c>
      <c r="P3950">
        <v>0.9956817</v>
      </c>
      <c r="Q3950">
        <v>6.7094589999999996E-2</v>
      </c>
      <c r="R3950">
        <v>6.4162460000000004E-2</v>
      </c>
      <c r="S3950">
        <v>3.0140380000000002</v>
      </c>
      <c r="T3950">
        <v>-0.22844410000000001</v>
      </c>
      <c r="U3950">
        <v>0.22119140000000001</v>
      </c>
      <c r="V3950">
        <v>-7.8669619999999996E-2</v>
      </c>
      <c r="W3950">
        <v>7.6614399999999902E-2</v>
      </c>
      <c r="X3950">
        <v>0.99395239999999996</v>
      </c>
      <c r="Y3950">
        <v>-8.6568229999999996E-2</v>
      </c>
      <c r="Z3950">
        <v>4.3077590000000004E-3</v>
      </c>
      <c r="AA3950">
        <v>0.99623660000000003</v>
      </c>
      <c r="AB3950">
        <v>36</v>
      </c>
      <c r="AC3950">
        <v>14.448499999999999</v>
      </c>
      <c r="AD3950">
        <v>-1.1087388128529001</v>
      </c>
      <c r="AE3950">
        <v>1.07499999999999</v>
      </c>
      <c r="AF3950">
        <v>-1.26554426215181</v>
      </c>
      <c r="AG3950">
        <v>-1.1087388128529001</v>
      </c>
      <c r="AH3950">
        <v>14.3483797392184</v>
      </c>
      <c r="AI3950">
        <v>94.401601657864703</v>
      </c>
      <c r="AJ3950">
        <v>95.040512511589498</v>
      </c>
      <c r="AK3950">
        <v>14.4466918419203</v>
      </c>
      <c r="AL3950">
        <v>85.606012553627195</v>
      </c>
      <c r="AM3950">
        <v>94.525428196648093</v>
      </c>
      <c r="AN3950">
        <v>1.00000002443203</v>
      </c>
    </row>
    <row r="3951" spans="1:40" x14ac:dyDescent="0.3">
      <c r="A3951" t="str">
        <f>"20200111153959565"</f>
        <v>20200111153959565</v>
      </c>
      <c r="B3951" t="str">
        <f>"1578728399555430"</f>
        <v>1578728399555430</v>
      </c>
      <c r="C3951" t="s">
        <v>40</v>
      </c>
      <c r="D3951">
        <v>5.4159459999999999</v>
      </c>
      <c r="E3951">
        <v>0.49494090000000002</v>
      </c>
      <c r="F3951" t="s">
        <v>42</v>
      </c>
      <c r="G3951">
        <v>-261.45139999999998</v>
      </c>
      <c r="H3951" s="1">
        <v>3.0977889999999999E-7</v>
      </c>
      <c r="I3951">
        <v>-60.03246</v>
      </c>
      <c r="J3951">
        <v>-276.02359999999999</v>
      </c>
      <c r="K3951">
        <v>1.108598</v>
      </c>
      <c r="L3951">
        <v>-61.128540000000001</v>
      </c>
      <c r="M3951">
        <v>0.9998745</v>
      </c>
      <c r="N3951">
        <v>0</v>
      </c>
      <c r="O3951">
        <v>-1.191123E-2</v>
      </c>
      <c r="P3951">
        <v>0.99561880000000003</v>
      </c>
      <c r="Q3951">
        <v>6.7176169999999993E-2</v>
      </c>
      <c r="R3951">
        <v>6.5043400000000001E-2</v>
      </c>
      <c r="S3951">
        <v>3.013855</v>
      </c>
      <c r="T3951">
        <v>-0.22665869999999999</v>
      </c>
      <c r="U3951">
        <v>0.22390750000000001</v>
      </c>
      <c r="V3951">
        <v>-7.7736680000000002E-2</v>
      </c>
      <c r="W3951">
        <v>7.6717569999999999E-2</v>
      </c>
      <c r="X3951">
        <v>0.99401779999999995</v>
      </c>
      <c r="Y3951">
        <v>-8.5688269999999997E-2</v>
      </c>
      <c r="Z3951">
        <v>4.1066000000000002E-3</v>
      </c>
      <c r="AA3951">
        <v>0.99631349999999996</v>
      </c>
      <c r="AB3951">
        <v>36</v>
      </c>
      <c r="AC3951">
        <v>14.5722</v>
      </c>
      <c r="AD3951">
        <v>-1.1085976902211001</v>
      </c>
      <c r="AE3951">
        <v>1.0960799999999999</v>
      </c>
      <c r="AF3951">
        <v>-1.26231984212938</v>
      </c>
      <c r="AG3951">
        <v>-1.1085976902211001</v>
      </c>
      <c r="AH3951">
        <v>14.4748068066722</v>
      </c>
      <c r="AI3951">
        <v>94.363128377110996</v>
      </c>
      <c r="AJ3951">
        <v>94.984044424858993</v>
      </c>
      <c r="AK3951">
        <v>14.571975580307599</v>
      </c>
      <c r="AL3951">
        <v>85.600083711404395</v>
      </c>
      <c r="AM3951">
        <v>94.471687272014506</v>
      </c>
      <c r="AN3951">
        <v>0.999999981840483</v>
      </c>
    </row>
    <row r="3952" spans="1:40" x14ac:dyDescent="0.3">
      <c r="A3952" t="str">
        <f>"20200111153959576"</f>
        <v>20200111153959576</v>
      </c>
      <c r="B3952" t="str">
        <f>"1578728399565188"</f>
        <v>1578728399565188</v>
      </c>
      <c r="C3952" t="s">
        <v>40</v>
      </c>
      <c r="D3952">
        <v>5.2384500000000003</v>
      </c>
      <c r="E3952">
        <v>0.4951585</v>
      </c>
      <c r="F3952" t="s">
        <v>42</v>
      </c>
      <c r="G3952">
        <v>-261.19330000000002</v>
      </c>
      <c r="H3952" s="1">
        <v>4.181598E-7</v>
      </c>
      <c r="I3952">
        <v>-60.019260000000003</v>
      </c>
      <c r="J3952">
        <v>-275.83760000000001</v>
      </c>
      <c r="K3952">
        <v>1.1084449999999999</v>
      </c>
      <c r="L3952">
        <v>-61.129179999999998</v>
      </c>
      <c r="M3952">
        <v>0.99989600000000001</v>
      </c>
      <c r="N3952">
        <v>0</v>
      </c>
      <c r="O3952">
        <v>-9.9805659999999997E-3</v>
      </c>
      <c r="P3952">
        <v>0.99552350000000001</v>
      </c>
      <c r="Q3952">
        <v>6.7521769999999995E-2</v>
      </c>
      <c r="R3952">
        <v>6.6137570000000007E-2</v>
      </c>
      <c r="S3952">
        <v>3.0136720000000001</v>
      </c>
      <c r="T3952">
        <v>-0.22527839999999999</v>
      </c>
      <c r="U3952">
        <v>0.22540279999999999</v>
      </c>
      <c r="V3952">
        <v>-7.6883209999999994E-2</v>
      </c>
      <c r="W3952">
        <v>7.7084130000000001E-2</v>
      </c>
      <c r="X3952">
        <v>0.99405589999999999</v>
      </c>
      <c r="Y3952">
        <v>-8.4273130000000002E-2</v>
      </c>
      <c r="Z3952">
        <v>3.885136E-3</v>
      </c>
      <c r="AA3952">
        <v>0.99643510000000002</v>
      </c>
      <c r="AB3952">
        <v>36</v>
      </c>
      <c r="AC3952">
        <v>14.6442999999999</v>
      </c>
      <c r="AD3952">
        <v>-1.1084445818402</v>
      </c>
      <c r="AE3952">
        <v>1.10992</v>
      </c>
      <c r="AF3952">
        <v>-1.24891666367613</v>
      </c>
      <c r="AG3952">
        <v>-1.1084445818402</v>
      </c>
      <c r="AH3952">
        <v>14.5496113932979</v>
      </c>
      <c r="AI3952">
        <v>94.340693337071599</v>
      </c>
      <c r="AJ3952">
        <v>94.906156825284597</v>
      </c>
      <c r="AK3952">
        <v>14.6451232128583</v>
      </c>
      <c r="AL3952">
        <v>85.579019345724205</v>
      </c>
      <c r="AM3952">
        <v>94.422619698845395</v>
      </c>
      <c r="AN3952">
        <v>1.0000000617012801</v>
      </c>
    </row>
    <row r="3953" spans="1:40" x14ac:dyDescent="0.3">
      <c r="A3953" t="str">
        <f>"20200111153959587"</f>
        <v>20200111153959587</v>
      </c>
      <c r="B3953" t="str">
        <f>"1578728399574948"</f>
        <v>1578728399574948</v>
      </c>
      <c r="C3953" t="s">
        <v>40</v>
      </c>
      <c r="D3953">
        <v>5.2587989999999998</v>
      </c>
      <c r="E3953">
        <v>0.49536439999999998</v>
      </c>
      <c r="F3953" t="s">
        <v>77</v>
      </c>
      <c r="G3953">
        <v>-260.8827</v>
      </c>
      <c r="H3953" s="1">
        <v>5.4860840000000001E-7</v>
      </c>
      <c r="I3953">
        <v>-60.003439999999998</v>
      </c>
      <c r="J3953">
        <v>-275.65679999999998</v>
      </c>
      <c r="K3953">
        <v>1.108298</v>
      </c>
      <c r="L3953">
        <v>-61.129460000000002</v>
      </c>
      <c r="M3953">
        <v>0.99991209999999997</v>
      </c>
      <c r="N3953">
        <v>0</v>
      </c>
      <c r="O3953">
        <v>-8.2211609999999994E-3</v>
      </c>
      <c r="P3953">
        <v>0.99546889999999999</v>
      </c>
      <c r="Q3953">
        <v>6.7457390000000006E-2</v>
      </c>
      <c r="R3953">
        <v>6.7016560000000003E-2</v>
      </c>
      <c r="S3953">
        <v>3.013611</v>
      </c>
      <c r="T3953">
        <v>-0.22336610000000001</v>
      </c>
      <c r="U3953">
        <v>0.22683719999999999</v>
      </c>
      <c r="V3953">
        <v>-7.5980919999999993E-2</v>
      </c>
      <c r="W3953">
        <v>7.7041810000000002E-2</v>
      </c>
      <c r="X3953">
        <v>0.99412849999999997</v>
      </c>
      <c r="Y3953">
        <v>-8.3005570000000001E-2</v>
      </c>
      <c r="Z3953">
        <v>3.6753440000000001E-3</v>
      </c>
      <c r="AA3953">
        <v>0.99654229999999999</v>
      </c>
      <c r="AB3953">
        <v>36</v>
      </c>
      <c r="AC3953">
        <v>14.774099999999899</v>
      </c>
      <c r="AD3953">
        <v>-1.1082974513916</v>
      </c>
      <c r="AE3953">
        <v>1.12601999999998</v>
      </c>
      <c r="AF3953">
        <v>-1.2405082049466201</v>
      </c>
      <c r="AG3953">
        <v>-1.1082974513916</v>
      </c>
      <c r="AH3953">
        <v>14.682197015413101</v>
      </c>
      <c r="AI3953">
        <v>94.301562592450296</v>
      </c>
      <c r="AJ3953">
        <v>94.829486773121502</v>
      </c>
      <c r="AK3953">
        <v>14.776132547006601</v>
      </c>
      <c r="AL3953">
        <v>85.581451095631195</v>
      </c>
      <c r="AM3953">
        <v>94.3706008475137</v>
      </c>
      <c r="AN3953">
        <v>1.00000000760218</v>
      </c>
    </row>
    <row r="3954" spans="1:40" x14ac:dyDescent="0.3">
      <c r="A3954" t="str">
        <f>"20200111153959599"</f>
        <v>20200111153959599</v>
      </c>
      <c r="B3954" t="str">
        <f>"1578728399595444"</f>
        <v>1578728399595444</v>
      </c>
      <c r="C3954" t="s">
        <v>40</v>
      </c>
      <c r="D3954">
        <v>5.2017309999999997</v>
      </c>
      <c r="E3954">
        <v>0.4956795</v>
      </c>
      <c r="F3954" t="s">
        <v>42</v>
      </c>
      <c r="G3954">
        <v>-260.68</v>
      </c>
      <c r="H3954" s="1">
        <v>6.3441869999999998E-7</v>
      </c>
      <c r="I3954">
        <v>-59.997</v>
      </c>
      <c r="J3954">
        <v>-275.48070000000001</v>
      </c>
      <c r="K3954">
        <v>1.1081529999999999</v>
      </c>
      <c r="L3954">
        <v>-61.129550000000002</v>
      </c>
      <c r="M3954">
        <v>0.9999247</v>
      </c>
      <c r="N3954">
        <v>0</v>
      </c>
      <c r="O3954">
        <v>-6.5607670000000003E-3</v>
      </c>
      <c r="P3954">
        <v>0.99543409999999999</v>
      </c>
      <c r="Q3954">
        <v>6.7299860000000003E-2</v>
      </c>
      <c r="R3954">
        <v>6.7692269999999999E-2</v>
      </c>
      <c r="S3954">
        <v>3.0134280000000002</v>
      </c>
      <c r="T3954">
        <v>-0.222997</v>
      </c>
      <c r="U3954">
        <v>0.2278442</v>
      </c>
      <c r="V3954">
        <v>-7.497529E-2</v>
      </c>
      <c r="W3954">
        <v>7.6906299999999997E-2</v>
      </c>
      <c r="X3954">
        <v>0.99421530000000002</v>
      </c>
      <c r="Y3954">
        <v>-8.1695290000000004E-2</v>
      </c>
      <c r="Z3954">
        <v>3.4985649999999999E-3</v>
      </c>
      <c r="AA3954">
        <v>0.99665119999999896</v>
      </c>
      <c r="AB3954">
        <v>36</v>
      </c>
      <c r="AC3954">
        <v>14.800700000000001</v>
      </c>
      <c r="AD3954">
        <v>-1.1081523655812999</v>
      </c>
      <c r="AE3954">
        <v>1.1325499999999999</v>
      </c>
      <c r="AF3954">
        <v>-1.2228198587199099</v>
      </c>
      <c r="AG3954">
        <v>-1.1081523655812999</v>
      </c>
      <c r="AH3954">
        <v>14.7109645561479</v>
      </c>
      <c r="AI3954">
        <v>94.293109150795999</v>
      </c>
      <c r="AJ3954">
        <v>94.751674743325097</v>
      </c>
      <c r="AK3954">
        <v>14.803235060096201</v>
      </c>
      <c r="AL3954">
        <v>85.589238175331005</v>
      </c>
      <c r="AM3954">
        <v>94.312599253745304</v>
      </c>
      <c r="AN3954">
        <v>0.99999996792218104</v>
      </c>
    </row>
    <row r="3955" spans="1:40" x14ac:dyDescent="0.3">
      <c r="A3955" t="str">
        <f>"20200111153959611"</f>
        <v>20200111153959611</v>
      </c>
      <c r="B3955" t="str">
        <f>"1578728399605204"</f>
        <v>1578728399605204</v>
      </c>
      <c r="C3955" t="s">
        <v>40</v>
      </c>
      <c r="D3955">
        <v>5.1790900000000004</v>
      </c>
      <c r="E3955">
        <v>0.495861</v>
      </c>
      <c r="F3955" t="s">
        <v>77</v>
      </c>
      <c r="G3955">
        <v>-260.51139999999998</v>
      </c>
      <c r="H3955" s="1">
        <v>7.0725659999999904E-7</v>
      </c>
      <c r="I3955">
        <v>-59.999899999999997</v>
      </c>
      <c r="J3955">
        <v>-275.2817</v>
      </c>
      <c r="K3955">
        <v>1.10799</v>
      </c>
      <c r="L3955">
        <v>-61.129330000000003</v>
      </c>
      <c r="M3955">
        <v>0.99993480000000001</v>
      </c>
      <c r="N3955">
        <v>0</v>
      </c>
      <c r="O3955">
        <v>-4.781848E-3</v>
      </c>
      <c r="P3955">
        <v>0.99538170000000004</v>
      </c>
      <c r="Q3955">
        <v>6.7293080000000005E-2</v>
      </c>
      <c r="R3955">
        <v>6.8460969999999996E-2</v>
      </c>
      <c r="S3955">
        <v>3.0133670000000001</v>
      </c>
      <c r="T3955">
        <v>-0.2230743</v>
      </c>
      <c r="U3955">
        <v>0.22738649999999999</v>
      </c>
      <c r="V3955">
        <v>-7.394212E-2</v>
      </c>
      <c r="W3955">
        <v>7.6923430000000001E-2</v>
      </c>
      <c r="X3955">
        <v>0.99429140000000005</v>
      </c>
      <c r="Y3955">
        <v>-7.9782939999999997E-2</v>
      </c>
      <c r="Z3955">
        <v>3.2979350000000001E-3</v>
      </c>
      <c r="AA3955">
        <v>0.99680679999999999</v>
      </c>
      <c r="AB3955">
        <v>36</v>
      </c>
      <c r="AC3955">
        <v>14.770300000000001</v>
      </c>
      <c r="AD3955">
        <v>-1.1079892927433901</v>
      </c>
      <c r="AE3955">
        <v>1.1294299999999999</v>
      </c>
      <c r="AF3955">
        <v>-1.1933738941829499</v>
      </c>
      <c r="AG3955">
        <v>-1.1079892927433901</v>
      </c>
      <c r="AH3955">
        <v>14.682588459062501</v>
      </c>
      <c r="AI3955">
        <v>94.301389893756095</v>
      </c>
      <c r="AJ3955">
        <v>94.646681755918294</v>
      </c>
      <c r="AK3955">
        <v>14.772616064270601</v>
      </c>
      <c r="AL3955">
        <v>85.5882540111716</v>
      </c>
      <c r="AM3955">
        <v>94.2530662958211</v>
      </c>
      <c r="AN3955">
        <v>1.0000000196534999</v>
      </c>
    </row>
    <row r="3956" spans="1:40" x14ac:dyDescent="0.3">
      <c r="A3956" t="str">
        <f>"20200111153959621"</f>
        <v>20200111153959621</v>
      </c>
      <c r="B3956" t="str">
        <f>"1578728399614964"</f>
        <v>1578728399614964</v>
      </c>
      <c r="C3956" t="s">
        <v>40</v>
      </c>
      <c r="D3956">
        <v>5.1372200000000001</v>
      </c>
      <c r="E3956">
        <v>0.49606349999999999</v>
      </c>
      <c r="F3956" t="s">
        <v>42</v>
      </c>
      <c r="G3956">
        <v>-260.29070000000002</v>
      </c>
      <c r="H3956" s="1">
        <v>7.9548540000000003E-7</v>
      </c>
      <c r="I3956">
        <v>-59.992550000000001</v>
      </c>
      <c r="J3956">
        <v>-275.11290000000002</v>
      </c>
      <c r="K3956">
        <v>1.107853</v>
      </c>
      <c r="L3956">
        <v>-61.128909999999998</v>
      </c>
      <c r="M3956">
        <v>0.99994079999999996</v>
      </c>
      <c r="N3956">
        <v>0</v>
      </c>
      <c r="O3956">
        <v>-3.3609529999999999E-3</v>
      </c>
      <c r="P3956">
        <v>0.9953765</v>
      </c>
      <c r="Q3956">
        <v>6.7044439999999997E-2</v>
      </c>
      <c r="R3956">
        <v>6.8781529999999994E-2</v>
      </c>
      <c r="S3956">
        <v>3.0132750000000001</v>
      </c>
      <c r="T3956">
        <v>-0.2227112</v>
      </c>
      <c r="U3956">
        <v>0.2284851</v>
      </c>
      <c r="V3956">
        <v>-7.2819709999999996E-2</v>
      </c>
      <c r="W3956">
        <v>7.6697130000000002E-2</v>
      </c>
      <c r="X3956">
        <v>0.99439169999999999</v>
      </c>
      <c r="Y3956">
        <v>-7.8737539999999995E-2</v>
      </c>
      <c r="Z3956">
        <v>3.1493720000000001E-3</v>
      </c>
      <c r="AA3956">
        <v>0.99689039999999995</v>
      </c>
      <c r="AB3956">
        <v>36</v>
      </c>
      <c r="AC3956">
        <v>14.8222</v>
      </c>
      <c r="AD3956">
        <v>-1.1078522045146</v>
      </c>
      <c r="AE3956">
        <v>1.13635999999999</v>
      </c>
      <c r="AF3956">
        <v>-1.1796215406888499</v>
      </c>
      <c r="AG3956">
        <v>-1.1078522045146</v>
      </c>
      <c r="AH3956">
        <v>14.7364529583083</v>
      </c>
      <c r="AI3956">
        <v>94.285618869945495</v>
      </c>
      <c r="AJ3956">
        <v>94.576646054384398</v>
      </c>
      <c r="AK3956">
        <v>14.825042640031</v>
      </c>
      <c r="AL3956">
        <v>85.601258406461298</v>
      </c>
      <c r="AM3956">
        <v>94.188317106864702</v>
      </c>
      <c r="AN3956">
        <v>1.0000000064718</v>
      </c>
    </row>
    <row r="3957" spans="1:40" x14ac:dyDescent="0.3">
      <c r="A3957" t="str">
        <f>"20200111153959633"</f>
        <v>20200111153959633</v>
      </c>
      <c r="B3957" t="str">
        <f>"1578728399624726"</f>
        <v>1578728399624726</v>
      </c>
      <c r="C3957" t="s">
        <v>40</v>
      </c>
      <c r="D3957">
        <v>5.158785</v>
      </c>
      <c r="E3957">
        <v>0.49623329999999999</v>
      </c>
      <c r="F3957" t="s">
        <v>77</v>
      </c>
      <c r="G3957">
        <v>-260.1619</v>
      </c>
      <c r="H3957" s="1">
        <v>8.4079179999999997E-7</v>
      </c>
      <c r="I3957">
        <v>-59.998150000000003</v>
      </c>
      <c r="J3957">
        <v>-274.9117</v>
      </c>
      <c r="K3957">
        <v>1.107691</v>
      </c>
      <c r="L3957">
        <v>-61.128269999999901</v>
      </c>
      <c r="M3957">
        <v>0.99994510000000003</v>
      </c>
      <c r="N3957">
        <v>0</v>
      </c>
      <c r="O3957">
        <v>-1.724642E-3</v>
      </c>
      <c r="P3957">
        <v>0.99535039999999997</v>
      </c>
      <c r="Q3957">
        <v>6.6858650000000006E-2</v>
      </c>
      <c r="R3957">
        <v>6.9337759999999998E-2</v>
      </c>
      <c r="S3957">
        <v>3.0131839999999999</v>
      </c>
      <c r="T3957">
        <v>-0.2232739</v>
      </c>
      <c r="U3957">
        <v>0.22787479999999999</v>
      </c>
      <c r="V3957">
        <v>-7.1714330000000007E-2</v>
      </c>
      <c r="W3957">
        <v>7.6534989999999997E-2</v>
      </c>
      <c r="X3957">
        <v>0.99448449999999999</v>
      </c>
      <c r="Y3957">
        <v>-7.6915899999999995E-2</v>
      </c>
      <c r="Z3957">
        <v>2.9692009999999999E-3</v>
      </c>
      <c r="AA3957">
        <v>0.99703319999999995</v>
      </c>
      <c r="AB3957">
        <v>36</v>
      </c>
      <c r="AC3957">
        <v>14.749799999999899</v>
      </c>
      <c r="AD3957">
        <v>-1.1076901592082</v>
      </c>
      <c r="AE3957">
        <v>1.13011999999999</v>
      </c>
      <c r="AF3957">
        <v>-1.14911483879813</v>
      </c>
      <c r="AG3957">
        <v>-1.1076901592082</v>
      </c>
      <c r="AH3957">
        <v>14.665600456190599</v>
      </c>
      <c r="AI3957">
        <v>94.306190120711193</v>
      </c>
      <c r="AJ3957">
        <v>94.480224741917596</v>
      </c>
      <c r="AK3957">
        <v>14.7521957396915</v>
      </c>
      <c r="AL3957">
        <v>85.610575637595801</v>
      </c>
      <c r="AM3957">
        <v>94.1245773382891</v>
      </c>
      <c r="AN3957">
        <v>0.99999998528094902</v>
      </c>
    </row>
    <row r="3958" spans="1:40" x14ac:dyDescent="0.3">
      <c r="A3958" t="str">
        <f>"20200111153959655"</f>
        <v>20200111153959655</v>
      </c>
      <c r="B3958" t="str">
        <f>"1578728399645219"</f>
        <v>1578728399645219</v>
      </c>
      <c r="C3958" t="s">
        <v>40</v>
      </c>
      <c r="D3958">
        <v>5.139977</v>
      </c>
      <c r="E3958">
        <v>0.50277519999999998</v>
      </c>
      <c r="F3958" t="s">
        <v>77</v>
      </c>
      <c r="G3958">
        <v>-259.99009999999998</v>
      </c>
      <c r="H3958" s="1">
        <v>8.9923199999999898E-7</v>
      </c>
      <c r="I3958">
        <v>-59.998060000000002</v>
      </c>
      <c r="J3958">
        <v>-274.55950000000001</v>
      </c>
      <c r="K3958">
        <v>1.107402</v>
      </c>
      <c r="L3958">
        <v>-61.126399999999997</v>
      </c>
      <c r="M3958">
        <v>0.99994649999999996</v>
      </c>
      <c r="N3958">
        <v>0</v>
      </c>
      <c r="O3958">
        <v>8.6253009999999995E-4</v>
      </c>
      <c r="P3958">
        <v>0.99538530000000003</v>
      </c>
      <c r="Q3958">
        <v>6.5771659999999996E-2</v>
      </c>
      <c r="R3958">
        <v>6.9875209999999993E-2</v>
      </c>
      <c r="S3958">
        <v>3.013153</v>
      </c>
      <c r="T3958">
        <v>-0.2236785</v>
      </c>
      <c r="U3958">
        <v>0.22821040000000001</v>
      </c>
      <c r="V3958">
        <v>-6.9613289999999994E-2</v>
      </c>
      <c r="W3958">
        <v>7.5491849999999999E-2</v>
      </c>
      <c r="X3958">
        <v>0.99471350000000003</v>
      </c>
      <c r="Y3958">
        <v>-7.4460299999999993E-2</v>
      </c>
      <c r="Z3958">
        <v>2.692163E-3</v>
      </c>
      <c r="AA3958">
        <v>0.99722029999999995</v>
      </c>
      <c r="AB3958">
        <v>36</v>
      </c>
      <c r="AC3958">
        <v>14.5694</v>
      </c>
      <c r="AD3958">
        <v>-1.107401100768</v>
      </c>
      <c r="AE3958">
        <v>1.1283399999999999</v>
      </c>
      <c r="AF3958">
        <v>-1.10940121190486</v>
      </c>
      <c r="AG3958">
        <v>-1.107401100768</v>
      </c>
      <c r="AH3958">
        <v>14.487169825516199</v>
      </c>
      <c r="AI3958">
        <v>94.358484630612395</v>
      </c>
      <c r="AJ3958">
        <v>94.379060387101205</v>
      </c>
      <c r="AK3958">
        <v>14.571725971905501</v>
      </c>
      <c r="AL3958">
        <v>85.670516595345006</v>
      </c>
      <c r="AM3958">
        <v>94.003218284684806</v>
      </c>
      <c r="AN3958">
        <v>0.99999998832164805</v>
      </c>
    </row>
    <row r="3959" spans="1:40" x14ac:dyDescent="0.3">
      <c r="A3959" t="str">
        <f>"20200111153959668"</f>
        <v>20200111153959668</v>
      </c>
      <c r="B3959" t="str">
        <f>"1578728399654980"</f>
        <v>1578728399654980</v>
      </c>
      <c r="C3959" t="s">
        <v>40</v>
      </c>
      <c r="D3959">
        <v>5.1528019999999897</v>
      </c>
      <c r="E3959">
        <v>0.50299959999999999</v>
      </c>
      <c r="F3959" t="s">
        <v>78</v>
      </c>
      <c r="G3959">
        <v>-259.19139999999999</v>
      </c>
      <c r="H3959" s="1">
        <v>-3.114836E-6</v>
      </c>
      <c r="I3959">
        <v>-60.222709999999999</v>
      </c>
      <c r="J3959">
        <v>-274.35210000000001</v>
      </c>
      <c r="K3959">
        <v>1.1072340000000001</v>
      </c>
      <c r="L3959">
        <v>-61.124940000000002</v>
      </c>
      <c r="M3959">
        <v>0.99994439999999996</v>
      </c>
      <c r="N3959">
        <v>0</v>
      </c>
      <c r="O3959">
        <v>2.2283619999999998E-3</v>
      </c>
      <c r="P3959">
        <v>0.99534800000000001</v>
      </c>
      <c r="Q3959">
        <v>6.5595979999999998E-2</v>
      </c>
      <c r="R3959">
        <v>7.0567939999999996E-2</v>
      </c>
      <c r="S3959">
        <v>3.0157780000000001</v>
      </c>
      <c r="T3959">
        <v>-0.21731329999999999</v>
      </c>
      <c r="U3959">
        <v>0.17733759999999901</v>
      </c>
      <c r="V3959">
        <v>-6.8914000000000003E-2</v>
      </c>
      <c r="W3959">
        <v>7.5335410000000005E-2</v>
      </c>
      <c r="X3959">
        <v>0.99477400000000005</v>
      </c>
      <c r="Y3959">
        <v>-5.63373E-2</v>
      </c>
      <c r="Z3959">
        <v>1.865195E-3</v>
      </c>
      <c r="AA3959">
        <v>0.99841000000000002</v>
      </c>
      <c r="AB3959">
        <v>36</v>
      </c>
      <c r="AC3959">
        <v>15.1607</v>
      </c>
      <c r="AD3959">
        <v>-1.1072371148360001</v>
      </c>
      <c r="AE3959">
        <v>0.90223000000000297</v>
      </c>
      <c r="AF3959">
        <v>-0.86385102553891102</v>
      </c>
      <c r="AG3959">
        <v>-1.1072371148360001</v>
      </c>
      <c r="AH3959">
        <v>15.0825086618198</v>
      </c>
      <c r="AI3959">
        <v>94.1918205734938</v>
      </c>
      <c r="AJ3959">
        <v>93.278035747131099</v>
      </c>
      <c r="AK3959">
        <v>15.147748352698001</v>
      </c>
      <c r="AL3959">
        <v>85.679505323564698</v>
      </c>
      <c r="AM3959">
        <v>93.962893078028799</v>
      </c>
      <c r="AN3959">
        <v>0.99999993723593195</v>
      </c>
    </row>
    <row r="3960" spans="1:40" x14ac:dyDescent="0.3">
      <c r="A3960" t="str">
        <f>"20200111153959681"</f>
        <v>20200111153959681</v>
      </c>
      <c r="B3960" t="str">
        <f>"1578728399675478"</f>
        <v>1578728399675478</v>
      </c>
      <c r="C3960" t="s">
        <v>40</v>
      </c>
      <c r="D3960">
        <v>5.1450239999999896</v>
      </c>
      <c r="E3960">
        <v>0.50319360000000002</v>
      </c>
      <c r="F3960" t="s">
        <v>78</v>
      </c>
      <c r="G3960">
        <v>-258.93599999999998</v>
      </c>
      <c r="H3960" s="1">
        <v>-3.0061619999999999E-6</v>
      </c>
      <c r="I3960">
        <v>-60.218559999999997</v>
      </c>
      <c r="J3960">
        <v>-274.13959999999997</v>
      </c>
      <c r="K3960">
        <v>1.10707</v>
      </c>
      <c r="L3960">
        <v>-61.123260000000002</v>
      </c>
      <c r="M3960">
        <v>0.99994079999999996</v>
      </c>
      <c r="N3960">
        <v>0</v>
      </c>
      <c r="O3960">
        <v>3.5635459999999999E-3</v>
      </c>
      <c r="P3960">
        <v>0.99533190000000005</v>
      </c>
      <c r="Q3960">
        <v>6.5330219999999994E-2</v>
      </c>
      <c r="R3960">
        <v>7.1037959999999997E-2</v>
      </c>
      <c r="S3960">
        <v>3.0157470000000002</v>
      </c>
      <c r="T3960">
        <v>-0.2166005</v>
      </c>
      <c r="U3960">
        <v>0.1773071</v>
      </c>
      <c r="V3960">
        <v>-6.8022040000000006E-2</v>
      </c>
      <c r="W3960">
        <v>7.5090530000000003E-2</v>
      </c>
      <c r="X3960">
        <v>0.99485400000000002</v>
      </c>
      <c r="Y3960">
        <v>-5.5002420000000003E-2</v>
      </c>
      <c r="Z3960">
        <v>1.7155860000000001E-3</v>
      </c>
      <c r="AA3960">
        <v>0.9984847</v>
      </c>
      <c r="AB3960">
        <v>36</v>
      </c>
      <c r="AC3960">
        <v>15.2035999999999</v>
      </c>
      <c r="AD3960">
        <v>-1.107073006162</v>
      </c>
      <c r="AE3960">
        <v>0.90469999999999795</v>
      </c>
      <c r="AF3960">
        <v>-0.84604256827869595</v>
      </c>
      <c r="AG3960">
        <v>-1.107073006162</v>
      </c>
      <c r="AH3960">
        <v>15.126804568471099</v>
      </c>
      <c r="AI3960">
        <v>94.179287942171499</v>
      </c>
      <c r="AJ3960">
        <v>93.201219217009097</v>
      </c>
      <c r="AK3960">
        <v>15.190839842518001</v>
      </c>
      <c r="AL3960">
        <v>85.693576184811306</v>
      </c>
      <c r="AM3960">
        <v>93.9114476983938</v>
      </c>
      <c r="AN3960">
        <v>1.00000003346872</v>
      </c>
    </row>
    <row r="3961" spans="1:40" x14ac:dyDescent="0.3">
      <c r="A3961" t="str">
        <f>"20200111153959694"</f>
        <v>20200111153959694</v>
      </c>
      <c r="B3961" t="str">
        <f>"1578728399685237"</f>
        <v>1578728399685237</v>
      </c>
      <c r="C3961" t="s">
        <v>40</v>
      </c>
      <c r="D3961">
        <v>5.1657590000000004</v>
      </c>
      <c r="E3961">
        <v>0.50319360000000002</v>
      </c>
      <c r="F3961" t="s">
        <v>78</v>
      </c>
      <c r="G3961">
        <v>-258.68939999999998</v>
      </c>
      <c r="H3961" s="1">
        <v>-2.9007130000000002E-6</v>
      </c>
      <c r="I3961">
        <v>-60.217030000000001</v>
      </c>
      <c r="J3961">
        <v>-273.92259999999999</v>
      </c>
      <c r="K3961">
        <v>1.106908</v>
      </c>
      <c r="L3961">
        <v>-61.121400000000001</v>
      </c>
      <c r="M3961">
        <v>0.99993560000000004</v>
      </c>
      <c r="N3961">
        <v>0</v>
      </c>
      <c r="O3961">
        <v>4.8624289999999997E-3</v>
      </c>
      <c r="P3961">
        <v>0.99528320000000003</v>
      </c>
      <c r="Q3961">
        <v>6.5410129999999997E-2</v>
      </c>
      <c r="R3961">
        <v>7.1646940000000006E-2</v>
      </c>
      <c r="S3961">
        <v>3.015625</v>
      </c>
      <c r="T3961">
        <v>-0.21608140000000001</v>
      </c>
      <c r="U3961">
        <v>0.17687990000000001</v>
      </c>
      <c r="V3961">
        <v>-6.7308549999999995E-2</v>
      </c>
      <c r="W3961">
        <v>7.5188969999999994E-2</v>
      </c>
      <c r="X3961">
        <v>0.99489499999999997</v>
      </c>
      <c r="Y3961">
        <v>-5.357435E-2</v>
      </c>
      <c r="Z3961">
        <v>1.5676360000000001E-3</v>
      </c>
      <c r="AA3961">
        <v>0.99856259999999997</v>
      </c>
      <c r="AB3961">
        <v>37</v>
      </c>
      <c r="AC3961">
        <v>15.2332</v>
      </c>
      <c r="AD3961">
        <v>-1.106910900713</v>
      </c>
      <c r="AE3961">
        <v>0.90437000000000001</v>
      </c>
      <c r="AF3961">
        <v>-0.82593932539193604</v>
      </c>
      <c r="AG3961">
        <v>-1.106910900713</v>
      </c>
      <c r="AH3961">
        <v>15.1576645139949</v>
      </c>
      <c r="AI3961">
        <v>94.170530109727196</v>
      </c>
      <c r="AJ3961">
        <v>93.118955729765702</v>
      </c>
      <c r="AK3961">
        <v>15.220454034954599</v>
      </c>
      <c r="AL3961">
        <v>85.687919601469304</v>
      </c>
      <c r="AM3961">
        <v>93.870386473003293</v>
      </c>
      <c r="AN3961">
        <v>0.99999994156887995</v>
      </c>
    </row>
    <row r="3962" spans="1:40" x14ac:dyDescent="0.3">
      <c r="A3962" t="str">
        <f>"20200111153959704"</f>
        <v>20200111153959704</v>
      </c>
      <c r="B3962" t="str">
        <f>"1578728399694997"</f>
        <v>1578728399694997</v>
      </c>
      <c r="C3962" t="s">
        <v>40</v>
      </c>
      <c r="D3962">
        <v>5.1455449999999896</v>
      </c>
      <c r="E3962">
        <v>0.50465379999999904</v>
      </c>
      <c r="F3962" t="s">
        <v>78</v>
      </c>
      <c r="G3962">
        <v>-258.45620000000002</v>
      </c>
      <c r="H3962" s="1">
        <v>-2.8030589999999998E-6</v>
      </c>
      <c r="I3962">
        <v>-60.206209999999999</v>
      </c>
      <c r="J3962">
        <v>-273.74880000000002</v>
      </c>
      <c r="K3962">
        <v>1.106789</v>
      </c>
      <c r="L3962">
        <v>-61.119630000000001</v>
      </c>
      <c r="M3962">
        <v>0.9999306</v>
      </c>
      <c r="N3962">
        <v>0</v>
      </c>
      <c r="O3962">
        <v>5.809491E-3</v>
      </c>
      <c r="P3962">
        <v>0.99523810000000001</v>
      </c>
      <c r="Q3962">
        <v>6.5572229999999995E-2</v>
      </c>
      <c r="R3962">
        <v>7.2124759999999996E-2</v>
      </c>
      <c r="S3962">
        <v>3.015533</v>
      </c>
      <c r="T3962">
        <v>-0.2158168</v>
      </c>
      <c r="U3962">
        <v>0.17843629999999999</v>
      </c>
      <c r="V3962">
        <v>-6.6823279999999999E-2</v>
      </c>
      <c r="W3962">
        <v>7.5361559999999994E-2</v>
      </c>
      <c r="X3962">
        <v>0.99491470000000004</v>
      </c>
      <c r="Y3962">
        <v>-5.3147769999999997E-2</v>
      </c>
      <c r="Z3962">
        <v>1.4828809999999999E-3</v>
      </c>
      <c r="AA3962">
        <v>0.99858559999999996</v>
      </c>
      <c r="AB3962">
        <v>37</v>
      </c>
      <c r="AC3962">
        <v>15.292599999999901</v>
      </c>
      <c r="AD3962">
        <v>-1.1067918030589901</v>
      </c>
      <c r="AE3962">
        <v>0.913420000000009</v>
      </c>
      <c r="AF3962">
        <v>-0.82027632568992503</v>
      </c>
      <c r="AG3962">
        <v>-1.1067918030589901</v>
      </c>
      <c r="AH3962">
        <v>15.2182183579684</v>
      </c>
      <c r="AI3962">
        <v>94.153679964868601</v>
      </c>
      <c r="AJ3962">
        <v>93.085310947453706</v>
      </c>
      <c r="AK3962">
        <v>15.2804453906492</v>
      </c>
      <c r="AL3962">
        <v>85.678002986744602</v>
      </c>
      <c r="AM3962">
        <v>93.842490443765001</v>
      </c>
      <c r="AN3962">
        <v>0.99999998787583999</v>
      </c>
    </row>
    <row r="3963" spans="1:40" x14ac:dyDescent="0.3">
      <c r="A3963" t="str">
        <f>"20200111153959717"</f>
        <v>20200111153959717</v>
      </c>
      <c r="B3963" t="str">
        <f>"1578728399704756"</f>
        <v>1578728399704756</v>
      </c>
      <c r="C3963" t="s">
        <v>40</v>
      </c>
      <c r="D3963">
        <v>5.1305440000000004</v>
      </c>
      <c r="E3963">
        <v>0.50443289999999996</v>
      </c>
      <c r="F3963" t="s">
        <v>42</v>
      </c>
      <c r="G3963">
        <v>-260.1189</v>
      </c>
      <c r="H3963" s="1">
        <v>9.4053579999999999E-7</v>
      </c>
      <c r="I3963">
        <v>-60.3656199999999</v>
      </c>
      <c r="J3963">
        <v>-273.56029999999998</v>
      </c>
      <c r="K3963">
        <v>1.1066659999999999</v>
      </c>
      <c r="L3963">
        <v>-61.117710000000002</v>
      </c>
      <c r="M3963">
        <v>0.99992420000000004</v>
      </c>
      <c r="N3963">
        <v>0</v>
      </c>
      <c r="O3963">
        <v>6.8212709999999899E-3</v>
      </c>
      <c r="P3963">
        <v>0.99516700000000002</v>
      </c>
      <c r="Q3963">
        <v>6.5672770000000005E-2</v>
      </c>
      <c r="R3963">
        <v>7.3006119999999994E-2</v>
      </c>
      <c r="S3963">
        <v>3.018402</v>
      </c>
      <c r="T3963">
        <v>-0.2451016</v>
      </c>
      <c r="U3963">
        <v>0.16696169999999999</v>
      </c>
      <c r="V3963">
        <v>-6.6675670000000006E-2</v>
      </c>
      <c r="W3963">
        <v>7.546949E-2</v>
      </c>
      <c r="X3963">
        <v>0.99491640000000003</v>
      </c>
      <c r="Y3963">
        <v>-4.8281619999999997E-2</v>
      </c>
      <c r="Z3963">
        <v>1.403011E-3</v>
      </c>
      <c r="AA3963">
        <v>0.99883279999999997</v>
      </c>
      <c r="AB3963">
        <v>37</v>
      </c>
      <c r="AC3963">
        <v>13.4413999999999</v>
      </c>
      <c r="AD3963">
        <v>-1.1066650594642</v>
      </c>
      <c r="AE3963">
        <v>0.75209000000000203</v>
      </c>
      <c r="AF3963">
        <v>-0.65594768747316201</v>
      </c>
      <c r="AG3963">
        <v>-1.1066650594642</v>
      </c>
      <c r="AH3963">
        <v>13.3559648434109</v>
      </c>
      <c r="AI3963">
        <v>94.730987920844001</v>
      </c>
      <c r="AJ3963">
        <v>92.811692054857602</v>
      </c>
      <c r="AK3963">
        <v>13.4177781998723</v>
      </c>
      <c r="AL3963">
        <v>85.671801297122897</v>
      </c>
      <c r="AM3963">
        <v>93.834021345086299</v>
      </c>
      <c r="AN3963">
        <v>0.99999996593988305</v>
      </c>
    </row>
    <row r="3964" spans="1:40" x14ac:dyDescent="0.3">
      <c r="A3964" t="str">
        <f>"20200111153959730"</f>
        <v>20200111153959730</v>
      </c>
      <c r="B3964" t="str">
        <f>"1578728399725252"</f>
        <v>1578728399725252</v>
      </c>
      <c r="C3964" t="s">
        <v>40</v>
      </c>
      <c r="D3964">
        <v>5.1091059999999997</v>
      </c>
      <c r="E3964">
        <v>0.50409499999999996</v>
      </c>
      <c r="F3964" t="s">
        <v>78</v>
      </c>
      <c r="G3964">
        <v>-259.88659999999999</v>
      </c>
      <c r="H3964" s="1">
        <v>-3.3862770000000001E-6</v>
      </c>
      <c r="I3964">
        <v>-60.343879999999999</v>
      </c>
      <c r="J3964">
        <v>-273.34559999999999</v>
      </c>
      <c r="K3964">
        <v>1.1065389999999999</v>
      </c>
      <c r="L3964">
        <v>-61.115229999999997</v>
      </c>
      <c r="M3964">
        <v>0.99991660000000004</v>
      </c>
      <c r="N3964">
        <v>0</v>
      </c>
      <c r="O3964">
        <v>7.8954130000000004E-3</v>
      </c>
      <c r="P3964">
        <v>0.9950869</v>
      </c>
      <c r="Q3964">
        <v>6.5845050000000002E-2</v>
      </c>
      <c r="R3964">
        <v>7.3937559999999999E-2</v>
      </c>
      <c r="S3964">
        <v>3.0181879999999999</v>
      </c>
      <c r="T3964">
        <v>-0.24427460000000001</v>
      </c>
      <c r="U3964">
        <v>0.17080689999999901</v>
      </c>
      <c r="V3964">
        <v>-6.6515850000000001E-2</v>
      </c>
      <c r="W3964">
        <v>7.5647339999999993E-2</v>
      </c>
      <c r="X3964">
        <v>0.99491359999999995</v>
      </c>
      <c r="Y3964">
        <v>-4.8484859999999998E-2</v>
      </c>
      <c r="Z3964">
        <v>1.319829E-3</v>
      </c>
      <c r="AA3964">
        <v>0.99882300000000002</v>
      </c>
      <c r="AB3964">
        <v>37</v>
      </c>
      <c r="AC3964">
        <v>13.459</v>
      </c>
      <c r="AD3964">
        <v>-1.1065423862770001</v>
      </c>
      <c r="AE3964">
        <v>0.77134999999999798</v>
      </c>
      <c r="AF3964">
        <v>-0.66060533958133705</v>
      </c>
      <c r="AG3964">
        <v>-1.1065423862770001</v>
      </c>
      <c r="AH3964">
        <v>13.374562349949001</v>
      </c>
      <c r="AI3964">
        <v>94.723853203232906</v>
      </c>
      <c r="AJ3964">
        <v>92.827693488600502</v>
      </c>
      <c r="AK3964">
        <v>13.4365082339119</v>
      </c>
      <c r="AL3964">
        <v>85.661582068321096</v>
      </c>
      <c r="AM3964">
        <v>93.824869330663105</v>
      </c>
      <c r="AN3964">
        <v>0.99999997490762804</v>
      </c>
    </row>
    <row r="3965" spans="1:40" x14ac:dyDescent="0.3">
      <c r="A3965" t="str">
        <f>"20200111153959744"</f>
        <v>20200111153959744</v>
      </c>
      <c r="B3965" t="str">
        <f>"1578728399735012"</f>
        <v>1578728399735012</v>
      </c>
      <c r="C3965" t="s">
        <v>40</v>
      </c>
      <c r="D3965">
        <v>5.1344940000000001</v>
      </c>
      <c r="E3965">
        <v>0.50438709999999998</v>
      </c>
      <c r="F3965" t="s">
        <v>78</v>
      </c>
      <c r="G3965">
        <v>-259.8802</v>
      </c>
      <c r="H3965" s="1">
        <v>-3.3863040000000002E-6</v>
      </c>
      <c r="I3965">
        <v>-60.331270000000004</v>
      </c>
      <c r="J3965">
        <v>-273.11329999999998</v>
      </c>
      <c r="K3965">
        <v>1.1064050000000001</v>
      </c>
      <c r="L3965">
        <v>-61.112340000000003</v>
      </c>
      <c r="M3965">
        <v>0.9999074</v>
      </c>
      <c r="N3965">
        <v>0</v>
      </c>
      <c r="O3965">
        <v>9.0072669999999994E-3</v>
      </c>
      <c r="P3965">
        <v>0.99510739999999998</v>
      </c>
      <c r="Q3965">
        <v>6.4333329999999994E-2</v>
      </c>
      <c r="R3965">
        <v>7.4985129999999997E-2</v>
      </c>
      <c r="S3965">
        <v>3.0181879999999999</v>
      </c>
      <c r="T3965">
        <v>-0.2480241</v>
      </c>
      <c r="U3965">
        <v>0.17572019999999999</v>
      </c>
      <c r="V3965">
        <v>-6.6425170000000006E-2</v>
      </c>
      <c r="W3965">
        <v>7.4140940000000002E-2</v>
      </c>
      <c r="X3965">
        <v>0.9950331</v>
      </c>
      <c r="Y3965">
        <v>-4.8992830000000001E-2</v>
      </c>
      <c r="Z3965">
        <v>1.26965E-3</v>
      </c>
      <c r="AA3965">
        <v>0.99879830000000003</v>
      </c>
      <c r="AB3965">
        <v>37</v>
      </c>
      <c r="AC3965">
        <v>13.233099999999901</v>
      </c>
      <c r="AD3965">
        <v>-1.106408386304</v>
      </c>
      <c r="AE3965">
        <v>0.78107000000000604</v>
      </c>
      <c r="AF3965">
        <v>-0.65725942897370204</v>
      </c>
      <c r="AG3965">
        <v>-1.106408386304</v>
      </c>
      <c r="AH3965">
        <v>13.1480068557644</v>
      </c>
      <c r="AI3965">
        <v>94.804152270051603</v>
      </c>
      <c r="AJ3965">
        <v>92.861792689385993</v>
      </c>
      <c r="AK3965">
        <v>13.2108369815651</v>
      </c>
      <c r="AL3965">
        <v>85.748135745609204</v>
      </c>
      <c r="AM3965">
        <v>93.819213022192798</v>
      </c>
      <c r="AN3965">
        <v>1.00000002614461</v>
      </c>
    </row>
    <row r="3966" spans="1:40" x14ac:dyDescent="0.3">
      <c r="A3966" t="str">
        <f>"20200111153959757"</f>
        <v>20200111153959757</v>
      </c>
      <c r="B3966" t="str">
        <f>"1578728399744772"</f>
        <v>1578728399744772</v>
      </c>
      <c r="C3966" t="s">
        <v>40</v>
      </c>
      <c r="D3966">
        <v>5.1055510000000002</v>
      </c>
      <c r="E3966">
        <v>0.50483559999999905</v>
      </c>
      <c r="F3966" t="s">
        <v>78</v>
      </c>
      <c r="G3966">
        <v>-259.85890000000001</v>
      </c>
      <c r="H3966" s="1">
        <v>-3.3757909999999999E-6</v>
      </c>
      <c r="I3966">
        <v>-60.337600000000002</v>
      </c>
      <c r="J3966">
        <v>-272.89609999999999</v>
      </c>
      <c r="K3966">
        <v>1.106293</v>
      </c>
      <c r="L3966">
        <v>-61.109529999999999</v>
      </c>
      <c r="M3966">
        <v>0.99989790000000001</v>
      </c>
      <c r="N3966">
        <v>0</v>
      </c>
      <c r="O3966">
        <v>1.0009809999999999E-2</v>
      </c>
      <c r="P3966">
        <v>0.99513499999999999</v>
      </c>
      <c r="Q3966">
        <v>6.2969090000000005E-2</v>
      </c>
      <c r="R3966">
        <v>7.5771469999999994E-2</v>
      </c>
      <c r="S3966">
        <v>3.0177309999999999</v>
      </c>
      <c r="T3966">
        <v>-0.2519053</v>
      </c>
      <c r="U3966">
        <v>0.17639160000000001</v>
      </c>
      <c r="V3966">
        <v>-6.6186990000000001E-2</v>
      </c>
      <c r="W3966">
        <v>7.278184E-2</v>
      </c>
      <c r="X3966">
        <v>0.99514930000000001</v>
      </c>
      <c r="Y3966">
        <v>-4.8223509999999997E-2</v>
      </c>
      <c r="Z3966">
        <v>1.174149E-3</v>
      </c>
      <c r="AA3966">
        <v>0.9988359</v>
      </c>
      <c r="AB3966">
        <v>37</v>
      </c>
      <c r="AC3966">
        <v>13.037199999999901</v>
      </c>
      <c r="AD3966">
        <v>-1.106296375791</v>
      </c>
      <c r="AE3966">
        <v>0.771930000000004</v>
      </c>
      <c r="AF3966">
        <v>-0.63681515075623696</v>
      </c>
      <c r="AG3966">
        <v>-1.106296375791</v>
      </c>
      <c r="AH3966">
        <v>12.951341216456299</v>
      </c>
      <c r="AI3966">
        <v>94.876459280168007</v>
      </c>
      <c r="AJ3966">
        <v>92.814956231795605</v>
      </c>
      <c r="AK3966">
        <v>13.014094840302899</v>
      </c>
      <c r="AL3966">
        <v>85.826217396399102</v>
      </c>
      <c r="AM3966">
        <v>93.805115768844203</v>
      </c>
      <c r="AN3966">
        <v>1.00000002158476</v>
      </c>
    </row>
    <row r="3967" spans="1:40" x14ac:dyDescent="0.3">
      <c r="A3967" t="str">
        <f>"20200111153959770"</f>
        <v>20200111153959770</v>
      </c>
      <c r="B3967" t="str">
        <f>"1578728399765268"</f>
        <v>1578728399765268</v>
      </c>
      <c r="C3967" t="s">
        <v>40</v>
      </c>
      <c r="D3967">
        <v>5.1378899999999996</v>
      </c>
      <c r="E3967">
        <v>0.50552059999999999</v>
      </c>
      <c r="F3967" t="s">
        <v>78</v>
      </c>
      <c r="G3967">
        <v>-259.7278</v>
      </c>
      <c r="H3967" s="1">
        <v>-3.318031E-6</v>
      </c>
      <c r="I3967">
        <v>-60.344380000000001</v>
      </c>
      <c r="J3967">
        <v>-272.68459999999999</v>
      </c>
      <c r="K3967">
        <v>1.106198</v>
      </c>
      <c r="L3967">
        <v>-61.106540000000003</v>
      </c>
      <c r="M3967">
        <v>0.99988840000000001</v>
      </c>
      <c r="N3967">
        <v>0</v>
      </c>
      <c r="O3967">
        <v>1.093498E-2</v>
      </c>
      <c r="P3967">
        <v>0.99516059999999995</v>
      </c>
      <c r="Q3967">
        <v>6.1752349999999998E-2</v>
      </c>
      <c r="R3967">
        <v>7.6433290000000001E-2</v>
      </c>
      <c r="S3967">
        <v>3.0173649999999999</v>
      </c>
      <c r="T3967">
        <v>-0.25349389999999999</v>
      </c>
      <c r="U3967">
        <v>0.17532349999999999</v>
      </c>
      <c r="V3967">
        <v>-6.5905229999999995E-2</v>
      </c>
      <c r="W3967">
        <v>7.1569549999999996E-2</v>
      </c>
      <c r="X3967">
        <v>0.99525589999999997</v>
      </c>
      <c r="Y3967">
        <v>-4.6959939999999999E-2</v>
      </c>
      <c r="Z3967">
        <v>1.05123E-3</v>
      </c>
      <c r="AA3967">
        <v>0.99889620000000001</v>
      </c>
      <c r="AB3967">
        <v>37</v>
      </c>
      <c r="AC3967">
        <v>12.9567999999999</v>
      </c>
      <c r="AD3967">
        <v>-1.106201318031</v>
      </c>
      <c r="AE3967">
        <v>0.76215999999999395</v>
      </c>
      <c r="AF3967">
        <v>-0.61595050505379001</v>
      </c>
      <c r="AG3967">
        <v>-1.106201318031</v>
      </c>
      <c r="AH3967">
        <v>12.870866586799799</v>
      </c>
      <c r="AI3967">
        <v>94.906691639626303</v>
      </c>
      <c r="AJ3967">
        <v>92.7398667727564</v>
      </c>
      <c r="AK3967">
        <v>12.932992038808701</v>
      </c>
      <c r="AL3967">
        <v>85.895858051675802</v>
      </c>
      <c r="AM3967">
        <v>93.788559914895302</v>
      </c>
      <c r="AN3967">
        <v>1.00000000315668</v>
      </c>
    </row>
    <row r="3968" spans="1:40" x14ac:dyDescent="0.3">
      <c r="A3968" t="str">
        <f>"20200111153959782"</f>
        <v>20200111153959782</v>
      </c>
      <c r="B3968" t="str">
        <f>"1578728399775028"</f>
        <v>1578728399775028</v>
      </c>
      <c r="C3968" t="s">
        <v>40</v>
      </c>
      <c r="D3968">
        <v>5.1298079999999997</v>
      </c>
      <c r="E3968">
        <v>0.50839690000000004</v>
      </c>
      <c r="F3968" t="s">
        <v>78</v>
      </c>
      <c r="G3968">
        <v>-259.60930000000002</v>
      </c>
      <c r="H3968" s="1">
        <v>-3.2635530000000002E-6</v>
      </c>
      <c r="I3968">
        <v>-60.360770000000002</v>
      </c>
      <c r="J3968">
        <v>-272.47699999999998</v>
      </c>
      <c r="K3968">
        <v>1.106104</v>
      </c>
      <c r="L3968">
        <v>-61.103450000000002</v>
      </c>
      <c r="M3968">
        <v>0.99987859999999995</v>
      </c>
      <c r="N3968">
        <v>0</v>
      </c>
      <c r="O3968">
        <v>1.1804419999999999E-2</v>
      </c>
      <c r="P3968">
        <v>0.99524369999999995</v>
      </c>
      <c r="Q3968">
        <v>6.011068E-2</v>
      </c>
      <c r="R3968">
        <v>7.6660179999999994E-2</v>
      </c>
      <c r="S3968">
        <v>3.0172119999999998</v>
      </c>
      <c r="T3968">
        <v>-0.25526149999999997</v>
      </c>
      <c r="U3968">
        <v>0.17208860000000001</v>
      </c>
      <c r="V3968">
        <v>-6.5242220000000004E-2</v>
      </c>
      <c r="W3968">
        <v>6.9934280000000001E-2</v>
      </c>
      <c r="X3968">
        <v>0.99541579999999996</v>
      </c>
      <c r="Y3968">
        <v>-4.5034949999999997E-2</v>
      </c>
      <c r="Z3968">
        <v>9.0404630000000003E-4</v>
      </c>
      <c r="AA3968">
        <v>0.99898500000000001</v>
      </c>
      <c r="AB3968">
        <v>37</v>
      </c>
      <c r="AC3968">
        <v>12.867699999999999</v>
      </c>
      <c r="AD3968">
        <v>-1.106107263553</v>
      </c>
      <c r="AE3968">
        <v>0.742680000000007</v>
      </c>
      <c r="AF3968">
        <v>-0.58640601943775195</v>
      </c>
      <c r="AG3968">
        <v>-1.106107263553</v>
      </c>
      <c r="AH3968">
        <v>12.7814407015886</v>
      </c>
      <c r="AI3968">
        <v>94.940888597919198</v>
      </c>
      <c r="AJ3968">
        <v>92.626859233188796</v>
      </c>
      <c r="AK3968">
        <v>12.8426076676952</v>
      </c>
      <c r="AL3968">
        <v>85.989787442386401</v>
      </c>
      <c r="AM3968">
        <v>93.7499553830406</v>
      </c>
      <c r="AN3968">
        <v>0.99999998283964298</v>
      </c>
    </row>
    <row r="3969" spans="1:40" x14ac:dyDescent="0.3">
      <c r="A3969" t="str">
        <f>"20200111153959796"</f>
        <v>20200111153959796</v>
      </c>
      <c r="B3969" t="str">
        <f>"1578728399784790"</f>
        <v>1578728399784790</v>
      </c>
      <c r="C3969" t="s">
        <v>40</v>
      </c>
      <c r="D3969">
        <v>5.2385929999999998</v>
      </c>
      <c r="E3969">
        <v>0.50839690000000004</v>
      </c>
      <c r="F3969" t="s">
        <v>41</v>
      </c>
      <c r="G3969">
        <v>-271.55509999999998</v>
      </c>
      <c r="H3969">
        <v>1.0280480000000001</v>
      </c>
      <c r="I3969">
        <v>-61.057659999999998</v>
      </c>
      <c r="J3969">
        <v>-272.26280000000003</v>
      </c>
      <c r="K3969">
        <v>1.106004</v>
      </c>
      <c r="L3969">
        <v>-61.10013</v>
      </c>
      <c r="M3969">
        <v>0.99986799999999998</v>
      </c>
      <c r="N3969">
        <v>0</v>
      </c>
      <c r="O3969">
        <v>1.267246E-2</v>
      </c>
      <c r="P3969">
        <v>0.99534540000000005</v>
      </c>
      <c r="Q3969">
        <v>5.8537680000000002E-2</v>
      </c>
      <c r="R3969">
        <v>7.6557009999999995E-2</v>
      </c>
      <c r="S3969">
        <v>3.0181879999999999</v>
      </c>
      <c r="T3969">
        <v>-0.25554729999999998</v>
      </c>
      <c r="U3969">
        <v>0.15045169999999999</v>
      </c>
      <c r="V3969">
        <v>-6.4250509999999997E-2</v>
      </c>
      <c r="W3969">
        <v>6.8369730000000004E-2</v>
      </c>
      <c r="X3969">
        <v>0.99558899999999995</v>
      </c>
      <c r="Y3969">
        <v>-3.7038170000000002E-2</v>
      </c>
      <c r="Z3969">
        <v>4.9388989999999897E-4</v>
      </c>
      <c r="AA3969">
        <v>0.99931369999999997</v>
      </c>
      <c r="AB3969">
        <v>37</v>
      </c>
      <c r="AC3969">
        <v>0.70770000000004496</v>
      </c>
      <c r="AD3969">
        <v>-7.7956000000000095E-2</v>
      </c>
      <c r="AE3969">
        <v>4.2470000000008598E-2</v>
      </c>
      <c r="AF3969">
        <v>-3.3097662883461797E-2</v>
      </c>
      <c r="AG3969">
        <v>-7.7956000000000095E-2</v>
      </c>
      <c r="AH3969">
        <v>0.69972150445450099</v>
      </c>
      <c r="AI3969">
        <v>96.350067850782906</v>
      </c>
      <c r="AJ3969">
        <v>92.708140272965494</v>
      </c>
      <c r="AK3969">
        <v>0.70482818971747896</v>
      </c>
      <c r="AL3969">
        <v>86.079644748252306</v>
      </c>
      <c r="AM3969">
        <v>93.692472695696793</v>
      </c>
      <c r="AN3969">
        <v>1.00000000246826</v>
      </c>
    </row>
    <row r="3970" spans="1:40" x14ac:dyDescent="0.3">
      <c r="A3970" t="str">
        <f>"20200111153959823"</f>
        <v>20200111153959823</v>
      </c>
      <c r="B3970" t="str">
        <f>"1578728399815044"</f>
        <v>1578728399815044</v>
      </c>
      <c r="C3970" t="s">
        <v>40</v>
      </c>
      <c r="D3970">
        <v>3.4793419999999999</v>
      </c>
      <c r="E3970">
        <v>0.50839690000000004</v>
      </c>
      <c r="F3970" t="s">
        <v>41</v>
      </c>
      <c r="G3970">
        <v>-271.24250000000001</v>
      </c>
      <c r="H3970">
        <v>1.0179590000000001</v>
      </c>
      <c r="I3970">
        <v>-61.04945</v>
      </c>
      <c r="J3970">
        <v>-271.81200000000001</v>
      </c>
      <c r="K3970">
        <v>1.105777</v>
      </c>
      <c r="L3970">
        <v>-61.092649999999999</v>
      </c>
      <c r="M3970">
        <v>0.99984649999999997</v>
      </c>
      <c r="N3970">
        <v>0</v>
      </c>
      <c r="O3970">
        <v>1.4287640000000001E-2</v>
      </c>
      <c r="P3970">
        <v>0.99550349999999999</v>
      </c>
      <c r="Q3970">
        <v>5.660403E-2</v>
      </c>
      <c r="R3970">
        <v>7.5951350000000001E-2</v>
      </c>
      <c r="S3970">
        <v>3.0177610000000001</v>
      </c>
      <c r="T3970">
        <v>-0.26036789999999999</v>
      </c>
      <c r="U3970">
        <v>0.1504211</v>
      </c>
      <c r="V3970">
        <v>-6.199056E-2</v>
      </c>
      <c r="W3970">
        <v>6.6458139999999999E-2</v>
      </c>
      <c r="X3970">
        <v>0.99586169999999996</v>
      </c>
      <c r="Y3970">
        <v>-3.5429389999999998E-2</v>
      </c>
      <c r="Z3970">
        <v>2.9502759999999999E-4</v>
      </c>
      <c r="AA3970">
        <v>0.99937209999999999</v>
      </c>
      <c r="AB3970">
        <v>37</v>
      </c>
      <c r="AC3970">
        <v>0.569500000000005</v>
      </c>
      <c r="AD3970">
        <v>-8.7817999999999896E-2</v>
      </c>
      <c r="AE3970">
        <v>4.3199999999998802E-2</v>
      </c>
      <c r="AF3970">
        <v>-3.4248647353779603E-2</v>
      </c>
      <c r="AG3970">
        <v>-8.7817999999999896E-2</v>
      </c>
      <c r="AH3970">
        <v>0.556892949064141</v>
      </c>
      <c r="AI3970">
        <v>98.944711388552307</v>
      </c>
      <c r="AJ3970">
        <v>93.519230428636405</v>
      </c>
      <c r="AK3970">
        <v>0.56481388765408302</v>
      </c>
      <c r="AL3970">
        <v>86.189420599629599</v>
      </c>
      <c r="AM3970">
        <v>93.561961015670207</v>
      </c>
      <c r="AN3970">
        <v>1.0000000197141301</v>
      </c>
    </row>
    <row r="3971" spans="1:40" x14ac:dyDescent="0.3">
      <c r="A3971" t="str">
        <f>"20200111153959833"</f>
        <v>20200111153959833</v>
      </c>
      <c r="B3971" t="str">
        <f>"1578728399824805"</f>
        <v>1578728399824805</v>
      </c>
      <c r="C3971" t="s">
        <v>40</v>
      </c>
      <c r="D3971">
        <v>3.9003000000000001</v>
      </c>
      <c r="E3971">
        <v>0.57920240000000001</v>
      </c>
      <c r="F3971" t="s">
        <v>41</v>
      </c>
      <c r="G3971">
        <v>-270.90820000000002</v>
      </c>
      <c r="H3971">
        <v>1.025989</v>
      </c>
      <c r="I3971">
        <v>-61.047789999999999</v>
      </c>
      <c r="J3971">
        <v>-271.63319999999999</v>
      </c>
      <c r="K3971">
        <v>1.105693</v>
      </c>
      <c r="L3971">
        <v>-61.089570000000002</v>
      </c>
      <c r="M3971">
        <v>0.999838</v>
      </c>
      <c r="N3971">
        <v>0</v>
      </c>
      <c r="O3971">
        <v>1.487844E-2</v>
      </c>
      <c r="P3971">
        <v>0.99550249999999996</v>
      </c>
      <c r="Q3971">
        <v>5.691744E-2</v>
      </c>
      <c r="R3971">
        <v>7.5733270000000005E-2</v>
      </c>
      <c r="S3971">
        <v>3.017334</v>
      </c>
      <c r="T3971">
        <v>-0.26639960000000001</v>
      </c>
      <c r="U3971">
        <v>0.14950559999999999</v>
      </c>
      <c r="V3971">
        <v>-6.1170080000000002E-2</v>
      </c>
      <c r="W3971">
        <v>6.6780249999999999E-2</v>
      </c>
      <c r="X3971">
        <v>0.99589090000000002</v>
      </c>
      <c r="Y3971">
        <v>-3.4545439999999997E-2</v>
      </c>
      <c r="Z3971">
        <v>2.1094129999999999E-4</v>
      </c>
      <c r="AA3971">
        <v>0.99940309999999999</v>
      </c>
      <c r="AB3971">
        <v>37</v>
      </c>
      <c r="AC3971">
        <v>0.72499999999996501</v>
      </c>
      <c r="AD3971">
        <v>-7.9703999999999997E-2</v>
      </c>
      <c r="AE3971">
        <v>4.1779999999995703E-2</v>
      </c>
      <c r="AF3971">
        <v>-3.0619113350116599E-2</v>
      </c>
      <c r="AG3971">
        <v>-7.9703999999999997E-2</v>
      </c>
      <c r="AH3971">
        <v>0.716905521075617</v>
      </c>
      <c r="AI3971">
        <v>96.338236564569499</v>
      </c>
      <c r="AJ3971">
        <v>92.445622679382396</v>
      </c>
      <c r="AK3971">
        <v>0.72197214895524098</v>
      </c>
      <c r="AL3971">
        <v>86.170924014994895</v>
      </c>
      <c r="AM3971">
        <v>93.5148326383446</v>
      </c>
      <c r="AN3971">
        <v>1.00000003259003</v>
      </c>
    </row>
    <row r="3972" spans="1:40" x14ac:dyDescent="0.3">
      <c r="A3972" t="str">
        <f>"20200111153959845"</f>
        <v>20200111153959845</v>
      </c>
      <c r="B3972" t="str">
        <f>"1578728399834565"</f>
        <v>1578728399834565</v>
      </c>
      <c r="C3972" t="s">
        <v>40</v>
      </c>
      <c r="D3972">
        <v>5.3831290000000003</v>
      </c>
      <c r="E3972">
        <v>0.57920240000000001</v>
      </c>
      <c r="F3972" t="s">
        <v>41</v>
      </c>
      <c r="G3972">
        <v>-270.99099999999999</v>
      </c>
      <c r="H3972">
        <v>0.84910140000000001</v>
      </c>
      <c r="I3972">
        <v>-61.18009</v>
      </c>
      <c r="J3972">
        <v>-271.46120000000002</v>
      </c>
      <c r="K3972">
        <v>1.1055900000000001</v>
      </c>
      <c r="L3972">
        <v>-61.086519999999901</v>
      </c>
      <c r="M3972">
        <v>0.99983089999999997</v>
      </c>
      <c r="N3972">
        <v>0</v>
      </c>
      <c r="O3972">
        <v>1.534976E-2</v>
      </c>
      <c r="P3972">
        <v>0.99551780000000001</v>
      </c>
      <c r="Q3972">
        <v>5.7142690000000003E-2</v>
      </c>
      <c r="R3972">
        <v>7.5359670000000004E-2</v>
      </c>
      <c r="S3972">
        <v>3.1182859999999999</v>
      </c>
      <c r="T3972">
        <v>-1.2458640000000001</v>
      </c>
      <c r="U3972">
        <v>-0.43994139999999998</v>
      </c>
      <c r="V3972">
        <v>-6.0310990000000002E-2</v>
      </c>
      <c r="W3972">
        <v>6.7017179999999996E-2</v>
      </c>
      <c r="X3972">
        <v>0.99592729999999996</v>
      </c>
      <c r="Y3972">
        <v>0.1429406</v>
      </c>
      <c r="Z3972">
        <v>-3.3258210000000003E-2</v>
      </c>
      <c r="AA3972">
        <v>0.9891723</v>
      </c>
      <c r="AB3972">
        <v>37</v>
      </c>
      <c r="AC3972">
        <v>0.47020000000003298</v>
      </c>
      <c r="AD3972">
        <v>-0.25648860000000001</v>
      </c>
      <c r="AE3972">
        <v>-9.3570000000006801E-2</v>
      </c>
      <c r="AF3972">
        <v>7.8350972666071897E-2</v>
      </c>
      <c r="AG3972">
        <v>-0.25648860000000001</v>
      </c>
      <c r="AH3972">
        <v>0.36440675085908297</v>
      </c>
      <c r="AI3972">
        <v>124.532888323607</v>
      </c>
      <c r="AJ3972">
        <v>77.865590647657399</v>
      </c>
      <c r="AK3972">
        <v>0.45245724319470598</v>
      </c>
      <c r="AL3972">
        <v>86.157318138209007</v>
      </c>
      <c r="AM3972">
        <v>93.465464138747393</v>
      </c>
      <c r="AN3972">
        <v>0.99999995240760997</v>
      </c>
    </row>
    <row r="3973" spans="1:40" x14ac:dyDescent="0.3">
      <c r="A3973" t="str">
        <f>"20200111153959857"</f>
        <v>20200111153959857</v>
      </c>
      <c r="B3973" t="str">
        <f>"1578728399845301"</f>
        <v>1578728399845301</v>
      </c>
      <c r="C3973" t="s">
        <v>40</v>
      </c>
      <c r="D3973">
        <v>5.0260740000000004</v>
      </c>
      <c r="E3973">
        <v>0.53957880000000003</v>
      </c>
      <c r="F3973" t="s">
        <v>41</v>
      </c>
      <c r="G3973">
        <v>-270.68270000000001</v>
      </c>
      <c r="H3973">
        <v>0.7946415</v>
      </c>
      <c r="I3973">
        <v>-61.196620000000003</v>
      </c>
      <c r="J3973">
        <v>-271.26420000000002</v>
      </c>
      <c r="K3973">
        <v>1.1054649999999999</v>
      </c>
      <c r="L3973">
        <v>-61.083039999999997</v>
      </c>
      <c r="M3973">
        <v>0.99982309999999996</v>
      </c>
      <c r="N3973">
        <v>0</v>
      </c>
      <c r="O3973">
        <v>1.586226E-2</v>
      </c>
      <c r="P3973">
        <v>0.99552169999999895</v>
      </c>
      <c r="Q3973">
        <v>5.7683249999999998E-2</v>
      </c>
      <c r="R3973">
        <v>7.4896840000000006E-2</v>
      </c>
      <c r="S3973">
        <v>3.1183169999999998</v>
      </c>
      <c r="T3973">
        <v>-1.245544</v>
      </c>
      <c r="U3973">
        <v>-0.44046020000000002</v>
      </c>
      <c r="V3973">
        <v>-5.9318589999999997E-2</v>
      </c>
      <c r="W3973">
        <v>6.7570959999999999E-2</v>
      </c>
      <c r="X3973">
        <v>0.99594950000000004</v>
      </c>
      <c r="Y3973">
        <v>0.14353009999999999</v>
      </c>
      <c r="Z3973">
        <v>-3.3558860000000003E-2</v>
      </c>
      <c r="AA3973">
        <v>0.98907679999999998</v>
      </c>
      <c r="AB3973">
        <v>37</v>
      </c>
      <c r="AC3973">
        <v>0.58150000000000501</v>
      </c>
      <c r="AD3973">
        <v>-0.31082349999999898</v>
      </c>
      <c r="AE3973">
        <v>-0.11357999999999099</v>
      </c>
      <c r="AF3973">
        <v>9.6289917492131699E-2</v>
      </c>
      <c r="AG3973">
        <v>-0.31082349999999898</v>
      </c>
      <c r="AH3973">
        <v>0.45453225260006003</v>
      </c>
      <c r="AI3973">
        <v>123.78192863414201</v>
      </c>
      <c r="AJ3973">
        <v>78.039069173194605</v>
      </c>
      <c r="AK3973">
        <v>0.55900139983418295</v>
      </c>
      <c r="AL3973">
        <v>86.125516852823097</v>
      </c>
      <c r="AM3973">
        <v>93.408500691905004</v>
      </c>
      <c r="AN3973">
        <v>0.99999996815257897</v>
      </c>
    </row>
    <row r="3974" spans="1:40" x14ac:dyDescent="0.3">
      <c r="A3974" t="str">
        <f>"20200111153959867"</f>
        <v>20200111153959867</v>
      </c>
      <c r="B3974" t="str">
        <f>"1578728399864820"</f>
        <v>1578728399864820</v>
      </c>
      <c r="C3974" t="s">
        <v>40</v>
      </c>
      <c r="D3974">
        <v>5.0095669999999997</v>
      </c>
      <c r="E3974">
        <v>0.52880039999999995</v>
      </c>
      <c r="F3974" t="s">
        <v>41</v>
      </c>
      <c r="G3974">
        <v>-270.30130000000003</v>
      </c>
      <c r="H3974">
        <v>0.9243574</v>
      </c>
      <c r="I3974">
        <v>-61.1175</v>
      </c>
      <c r="J3974">
        <v>-271.07709999999997</v>
      </c>
      <c r="K3974">
        <v>1.105332</v>
      </c>
      <c r="L3974">
        <v>-61.079650000000001</v>
      </c>
      <c r="M3974">
        <v>0.99981710000000001</v>
      </c>
      <c r="N3974">
        <v>0</v>
      </c>
      <c r="O3974">
        <v>1.6240770000000002E-2</v>
      </c>
      <c r="P3974">
        <v>0.99556089999999997</v>
      </c>
      <c r="Q3974">
        <v>5.7854549999999998E-2</v>
      </c>
      <c r="R3974">
        <v>7.4238670000000007E-2</v>
      </c>
      <c r="S3974">
        <v>3.0549930000000001</v>
      </c>
      <c r="T3974">
        <v>-0.57461989999999996</v>
      </c>
      <c r="U3974">
        <v>-0.10931399999999999</v>
      </c>
      <c r="V3974">
        <v>-5.8261140000000003E-2</v>
      </c>
      <c r="W3974">
        <v>6.7757929999999994E-2</v>
      </c>
      <c r="X3974">
        <v>0.99599930000000003</v>
      </c>
      <c r="Y3974">
        <v>5.0811219999999997E-2</v>
      </c>
      <c r="Z3974">
        <v>-7.7631219999999999E-3</v>
      </c>
      <c r="AA3974">
        <v>0.99867810000000001</v>
      </c>
      <c r="AB3974">
        <v>37</v>
      </c>
      <c r="AC3974">
        <v>0.77579999999994698</v>
      </c>
      <c r="AD3974">
        <v>-0.18097459999999899</v>
      </c>
      <c r="AE3974">
        <v>-3.7849999999998801E-2</v>
      </c>
      <c r="AF3974">
        <v>4.7847688161906501E-2</v>
      </c>
      <c r="AG3974">
        <v>-0.18097459999999899</v>
      </c>
      <c r="AH3974">
        <v>0.73517197009510105</v>
      </c>
      <c r="AI3974">
        <v>103.801246886618</v>
      </c>
      <c r="AJ3974">
        <v>86.276232418499902</v>
      </c>
      <c r="AK3974">
        <v>0.75862970724926804</v>
      </c>
      <c r="AL3974">
        <v>86.114779976895406</v>
      </c>
      <c r="AM3974">
        <v>93.347711089214599</v>
      </c>
      <c r="AN3974">
        <v>1.00000005155623</v>
      </c>
    </row>
    <row r="3975" spans="1:40" x14ac:dyDescent="0.3">
      <c r="A3975" t="str">
        <f>"20200111153959879"</f>
        <v>20200111153959879</v>
      </c>
      <c r="B3975" t="str">
        <f>"1578728399874579"</f>
        <v>1578728399874579</v>
      </c>
      <c r="C3975" t="s">
        <v>40</v>
      </c>
      <c r="D3975">
        <v>4.9491509999999996</v>
      </c>
      <c r="E3975">
        <v>0.52604830000000002</v>
      </c>
      <c r="F3975" t="s">
        <v>41</v>
      </c>
      <c r="G3975">
        <v>-270.26420000000002</v>
      </c>
      <c r="H3975">
        <v>1.001147</v>
      </c>
      <c r="I3975">
        <v>-61.085230000000003</v>
      </c>
      <c r="J3975">
        <v>-270.89460000000003</v>
      </c>
      <c r="K3975">
        <v>1.105199</v>
      </c>
      <c r="L3975">
        <v>-61.076349999999998</v>
      </c>
      <c r="M3975">
        <v>0.99981169999999997</v>
      </c>
      <c r="N3975">
        <v>0</v>
      </c>
      <c r="O3975">
        <v>1.6561300000000001E-2</v>
      </c>
      <c r="P3975">
        <v>0.99558340000000001</v>
      </c>
      <c r="Q3975">
        <v>5.7850819999999997E-2</v>
      </c>
      <c r="R3975">
        <v>7.3938619999999997E-2</v>
      </c>
      <c r="S3975">
        <v>3.0375670000000001</v>
      </c>
      <c r="T3975">
        <v>-0.38928289999999999</v>
      </c>
      <c r="U3975">
        <v>-2.081299E-2</v>
      </c>
      <c r="V3975">
        <v>-5.7619940000000001E-2</v>
      </c>
      <c r="W3975">
        <v>6.7768889999999998E-2</v>
      </c>
      <c r="X3975">
        <v>0.99603580000000003</v>
      </c>
      <c r="Y3975">
        <v>2.3088250000000001E-2</v>
      </c>
      <c r="Z3975">
        <v>-3.587238E-3</v>
      </c>
      <c r="AA3975">
        <v>0.99972700000000003</v>
      </c>
      <c r="AB3975">
        <v>37</v>
      </c>
      <c r="AC3975">
        <v>0.63040000000000795</v>
      </c>
      <c r="AD3975">
        <v>-0.10405200000000001</v>
      </c>
      <c r="AE3975">
        <v>-8.8800000000048805E-3</v>
      </c>
      <c r="AF3975">
        <v>1.8807278522783001E-2</v>
      </c>
      <c r="AG3975">
        <v>-0.10405200000000001</v>
      </c>
      <c r="AH3975">
        <v>0.61345685145526596</v>
      </c>
      <c r="AI3975">
        <v>99.622215194994396</v>
      </c>
      <c r="AJ3975">
        <v>88.243983640616094</v>
      </c>
      <c r="AK3975">
        <v>0.622502884352227</v>
      </c>
      <c r="AL3975">
        <v>86.114150357708695</v>
      </c>
      <c r="AM3975">
        <v>93.310828812326093</v>
      </c>
      <c r="AN3975">
        <v>0.99999999740953704</v>
      </c>
    </row>
    <row r="3976" spans="1:40" x14ac:dyDescent="0.3">
      <c r="A3976" t="str">
        <f>"20200111153959891"</f>
        <v>20200111153959891</v>
      </c>
      <c r="B3976" t="str">
        <f>"1578728399885316"</f>
        <v>1578728399885316</v>
      </c>
      <c r="C3976" t="s">
        <v>40</v>
      </c>
      <c r="D3976">
        <v>4.9316529999999998</v>
      </c>
      <c r="E3976">
        <v>0.52458479999999996</v>
      </c>
      <c r="F3976" t="s">
        <v>41</v>
      </c>
      <c r="G3976">
        <v>-269.93770000000001</v>
      </c>
      <c r="H3976">
        <v>0.99360079999999995</v>
      </c>
      <c r="I3976">
        <v>-61.076230000000002</v>
      </c>
      <c r="J3976">
        <v>-270.69510000000002</v>
      </c>
      <c r="K3976">
        <v>1.1050489999999999</v>
      </c>
      <c r="L3976">
        <v>-61.072749999999999</v>
      </c>
      <c r="M3976">
        <v>0.99980749999999996</v>
      </c>
      <c r="N3976">
        <v>0</v>
      </c>
      <c r="O3976">
        <v>1.683144E-2</v>
      </c>
      <c r="P3976">
        <v>0.99565530000000002</v>
      </c>
      <c r="Q3976">
        <v>5.7300289999999997E-2</v>
      </c>
      <c r="R3976">
        <v>7.3399569999999997E-2</v>
      </c>
      <c r="S3976">
        <v>3.0338129999999999</v>
      </c>
      <c r="T3976">
        <v>-0.35373490000000002</v>
      </c>
      <c r="U3976">
        <v>9.765625E-4</v>
      </c>
      <c r="V3976">
        <v>-5.6784639999999997E-2</v>
      </c>
      <c r="W3976">
        <v>6.7235089999999997E-2</v>
      </c>
      <c r="X3976">
        <v>0.99612000000000001</v>
      </c>
      <c r="Y3976">
        <v>1.6286099999999901E-2</v>
      </c>
      <c r="Z3976">
        <v>-2.90216E-3</v>
      </c>
      <c r="AA3976">
        <v>0.9998631</v>
      </c>
      <c r="AB3976">
        <v>37</v>
      </c>
      <c r="AC3976">
        <v>0.75740000000001795</v>
      </c>
      <c r="AD3976">
        <v>-0.1114482</v>
      </c>
      <c r="AE3976">
        <v>-3.48000000000325E-3</v>
      </c>
      <c r="AF3976">
        <v>1.5884368599624901E-2</v>
      </c>
      <c r="AG3976">
        <v>-0.1114482</v>
      </c>
      <c r="AH3976">
        <v>0.74118638406692094</v>
      </c>
      <c r="AI3976">
        <v>98.549261272620299</v>
      </c>
      <c r="AJ3976">
        <v>88.7722818373812</v>
      </c>
      <c r="AK3976">
        <v>0.74968678151295098</v>
      </c>
      <c r="AL3976">
        <v>86.144804980381906</v>
      </c>
      <c r="AM3976">
        <v>93.262661914832094</v>
      </c>
      <c r="AN3976">
        <v>1.00000005353361</v>
      </c>
    </row>
    <row r="3977" spans="1:40" x14ac:dyDescent="0.3">
      <c r="A3977" t="str">
        <f>"20200111153959902"</f>
        <v>20200111153959902</v>
      </c>
      <c r="B3977" t="str">
        <f>"1578728399895076"</f>
        <v>1578728399895076</v>
      </c>
      <c r="C3977" t="s">
        <v>40</v>
      </c>
      <c r="D3977">
        <v>5.1054789999999999</v>
      </c>
      <c r="E3977">
        <v>0.52385159999999997</v>
      </c>
      <c r="F3977" t="s">
        <v>41</v>
      </c>
      <c r="G3977">
        <v>-269.92430000000002</v>
      </c>
      <c r="H3977">
        <v>1.0211460000000001</v>
      </c>
      <c r="I3977">
        <v>-61.070039999999999</v>
      </c>
      <c r="J3977">
        <v>-270.51490000000001</v>
      </c>
      <c r="K3977">
        <v>1.1049100000000001</v>
      </c>
      <c r="L3977">
        <v>-61.069580000000002</v>
      </c>
      <c r="M3977">
        <v>0.9998049</v>
      </c>
      <c r="N3977">
        <v>0</v>
      </c>
      <c r="O3977">
        <v>1.6980390000000001E-2</v>
      </c>
      <c r="P3977">
        <v>0.99569629999999998</v>
      </c>
      <c r="Q3977">
        <v>5.6921430000000002E-2</v>
      </c>
      <c r="R3977">
        <v>7.3135519999999996E-2</v>
      </c>
      <c r="S3977">
        <v>3.03125</v>
      </c>
      <c r="T3977">
        <v>-0.32990779999999997</v>
      </c>
      <c r="U3977">
        <v>1.141357E-2</v>
      </c>
      <c r="V3977">
        <v>-5.6348549999999997E-2</v>
      </c>
      <c r="W3977">
        <v>6.6871600000000003E-2</v>
      </c>
      <c r="X3977">
        <v>0.99616910000000003</v>
      </c>
      <c r="Y3977">
        <v>1.3039139999999999E-2</v>
      </c>
      <c r="Z3977">
        <v>-2.5501059999999999E-3</v>
      </c>
      <c r="AA3977">
        <v>0.99991169999999996</v>
      </c>
      <c r="AB3977">
        <v>37</v>
      </c>
      <c r="AC3977">
        <v>0.59059999999999402</v>
      </c>
      <c r="AD3977">
        <v>-8.3764000000000102E-2</v>
      </c>
      <c r="AE3977">
        <v>-4.6000000000390097E-4</v>
      </c>
      <c r="AF3977">
        <v>1.02822319142921E-2</v>
      </c>
      <c r="AG3977">
        <v>-8.3764000000000102E-2</v>
      </c>
      <c r="AH3977">
        <v>0.57886299515375905</v>
      </c>
      <c r="AI3977">
        <v>98.232515645481698</v>
      </c>
      <c r="AJ3977">
        <v>88.982373118959501</v>
      </c>
      <c r="AK3977">
        <v>0.58498247764144196</v>
      </c>
      <c r="AL3977">
        <v>86.165677898461794</v>
      </c>
      <c r="AM3977">
        <v>93.237499862005805</v>
      </c>
      <c r="AN3977">
        <v>0.99999992288423301</v>
      </c>
    </row>
    <row r="3978" spans="1:40" x14ac:dyDescent="0.3">
      <c r="A3978" t="str">
        <f>"20200111153959912"</f>
        <v>20200111153959912</v>
      </c>
      <c r="B3978" t="str">
        <f>"1578728399904836"</f>
        <v>1578728399904836</v>
      </c>
      <c r="C3978" t="s">
        <v>40</v>
      </c>
      <c r="D3978">
        <v>4.985665</v>
      </c>
      <c r="E3978">
        <v>0.52226859999999997</v>
      </c>
      <c r="F3978" t="s">
        <v>41</v>
      </c>
      <c r="G3978">
        <v>-269.59840000000003</v>
      </c>
      <c r="H3978">
        <v>1.0114110000000001</v>
      </c>
      <c r="I3978">
        <v>-61.064639999999997</v>
      </c>
      <c r="J3978">
        <v>-270.32479999999998</v>
      </c>
      <c r="K3978">
        <v>1.1047610000000001</v>
      </c>
      <c r="L3978">
        <v>-61.066220000000001</v>
      </c>
      <c r="M3978">
        <v>0.99980309999999994</v>
      </c>
      <c r="N3978">
        <v>0</v>
      </c>
      <c r="O3978">
        <v>1.7090270000000001E-2</v>
      </c>
      <c r="P3978">
        <v>0.99574459999999998</v>
      </c>
      <c r="Q3978">
        <v>5.6228399999999998E-2</v>
      </c>
      <c r="R3978">
        <v>7.3016890000000001E-2</v>
      </c>
      <c r="S3978">
        <v>3.029388</v>
      </c>
      <c r="T3978">
        <v>-0.30903229999999998</v>
      </c>
      <c r="U3978">
        <v>1.6693119999999999E-2</v>
      </c>
      <c r="V3978">
        <v>-5.6094579999999998E-2</v>
      </c>
      <c r="W3978">
        <v>6.6195039999999997E-2</v>
      </c>
      <c r="X3978">
        <v>0.99622869999999997</v>
      </c>
      <c r="Y3978">
        <v>1.143336E-2</v>
      </c>
      <c r="Z3978">
        <v>-2.3205349999999999E-3</v>
      </c>
      <c r="AA3978">
        <v>0.99993189999999998</v>
      </c>
      <c r="AB3978">
        <v>37</v>
      </c>
      <c r="AC3978">
        <v>0.72639999999995497</v>
      </c>
      <c r="AD3978">
        <v>-9.3350000000000002E-2</v>
      </c>
      <c r="AE3978">
        <v>1.57999999998992E-3</v>
      </c>
      <c r="AF3978">
        <v>1.0659198941141999E-2</v>
      </c>
      <c r="AG3978">
        <v>-9.3350000000000002E-2</v>
      </c>
      <c r="AH3978">
        <v>0.71452069315327005</v>
      </c>
      <c r="AI3978">
        <v>97.4425457607597</v>
      </c>
      <c r="AJ3978">
        <v>89.145326623443594</v>
      </c>
      <c r="AK3978">
        <v>0.72067167418061895</v>
      </c>
      <c r="AL3978">
        <v>86.204528326943702</v>
      </c>
      <c r="AM3978">
        <v>93.222746465695195</v>
      </c>
      <c r="AN3978">
        <v>1.00000000396483</v>
      </c>
    </row>
    <row r="3979" spans="1:40" x14ac:dyDescent="0.3">
      <c r="A3979" t="str">
        <f>"20200111153959924"</f>
        <v>20200111153959924</v>
      </c>
      <c r="B3979" t="str">
        <f>"1578728399914610"</f>
        <v>1578728399914610</v>
      </c>
      <c r="C3979" t="s">
        <v>40</v>
      </c>
      <c r="D3979">
        <v>4.945595</v>
      </c>
      <c r="E3979">
        <v>0.52111289999999999</v>
      </c>
      <c r="F3979" t="s">
        <v>41</v>
      </c>
      <c r="G3979">
        <v>-269.58749999999998</v>
      </c>
      <c r="H3979">
        <v>1.0339160000000001</v>
      </c>
      <c r="I3979">
        <v>-61.059220000000003</v>
      </c>
      <c r="J3979">
        <v>-270.15589999999997</v>
      </c>
      <c r="K3979">
        <v>1.1046240000000001</v>
      </c>
      <c r="L3979">
        <v>-61.063319999999997</v>
      </c>
      <c r="M3979">
        <v>0.99980369999999996</v>
      </c>
      <c r="N3979">
        <v>0</v>
      </c>
      <c r="O3979">
        <v>1.7056910000000002E-2</v>
      </c>
      <c r="P3979">
        <v>0.99578699999999998</v>
      </c>
      <c r="Q3979">
        <v>5.5748829999999999E-2</v>
      </c>
      <c r="R3979">
        <v>7.2804850000000004E-2</v>
      </c>
      <c r="S3979">
        <v>3.0270389999999998</v>
      </c>
      <c r="T3979">
        <v>-0.29080119999999998</v>
      </c>
      <c r="U3979">
        <v>2.920532E-2</v>
      </c>
      <c r="V3979">
        <v>-5.5892499999999998E-2</v>
      </c>
      <c r="W3979">
        <v>6.5731139999999993E-2</v>
      </c>
      <c r="X3979">
        <v>0.99627080000000001</v>
      </c>
      <c r="Y3979">
        <v>7.2985760000000002E-3</v>
      </c>
      <c r="Z3979">
        <v>-1.984576E-3</v>
      </c>
      <c r="AA3979">
        <v>0.99997139999999995</v>
      </c>
      <c r="AB3979">
        <v>37</v>
      </c>
      <c r="AC3979">
        <v>0.56839999999999602</v>
      </c>
      <c r="AD3979">
        <v>-7.0707999999999993E-2</v>
      </c>
      <c r="AE3979">
        <v>4.1000000000011002E-3</v>
      </c>
      <c r="AF3979">
        <v>5.5109595057086999E-3</v>
      </c>
      <c r="AG3979">
        <v>-7.0707999999999993E-2</v>
      </c>
      <c r="AH3979">
        <v>0.559725962910815</v>
      </c>
      <c r="AI3979">
        <v>97.1994700261681</v>
      </c>
      <c r="AJ3979">
        <v>89.435894457001297</v>
      </c>
      <c r="AK3979">
        <v>0.56420133418409402</v>
      </c>
      <c r="AL3979">
        <v>86.231165954665897</v>
      </c>
      <c r="AM3979">
        <v>93.211025491474501</v>
      </c>
      <c r="AN3979">
        <v>1.00000003062729</v>
      </c>
    </row>
    <row r="3980" spans="1:40" x14ac:dyDescent="0.3">
      <c r="A3980" t="str">
        <f>"20200111153959935"</f>
        <v>20200111153959935</v>
      </c>
      <c r="B3980" t="str">
        <f>"1578728399925332"</f>
        <v>1578728399925332</v>
      </c>
      <c r="C3980" t="s">
        <v>40</v>
      </c>
      <c r="D3980">
        <v>4.9406420000000004</v>
      </c>
      <c r="E3980">
        <v>0.52030869999999996</v>
      </c>
      <c r="F3980" t="s">
        <v>41</v>
      </c>
      <c r="G3980">
        <v>-269.26170000000002</v>
      </c>
      <c r="H3980">
        <v>1.023066</v>
      </c>
      <c r="I3980">
        <v>-61.052079999999997</v>
      </c>
      <c r="J3980">
        <v>-269.9708</v>
      </c>
      <c r="K3980">
        <v>1.1044769999999999</v>
      </c>
      <c r="L3980">
        <v>-61.06015</v>
      </c>
      <c r="M3980">
        <v>0.99980469999999999</v>
      </c>
      <c r="N3980">
        <v>0</v>
      </c>
      <c r="O3980">
        <v>1.6998490000000002E-2</v>
      </c>
      <c r="P3980">
        <v>0.99579470000000003</v>
      </c>
      <c r="Q3980">
        <v>5.5492809999999997E-2</v>
      </c>
      <c r="R3980">
        <v>7.2892849999999995E-2</v>
      </c>
      <c r="S3980">
        <v>3.0253299999999999</v>
      </c>
      <c r="T3980">
        <v>-0.27588309999999999</v>
      </c>
      <c r="U3980">
        <v>3.8177490000000001E-2</v>
      </c>
      <c r="V3980">
        <v>-5.601453E-2</v>
      </c>
      <c r="W3980">
        <v>6.5491309999999997E-2</v>
      </c>
      <c r="X3980">
        <v>0.99627969999999999</v>
      </c>
      <c r="Y3980">
        <v>4.2932220000000002E-3</v>
      </c>
      <c r="Z3980">
        <v>-1.74216E-3</v>
      </c>
      <c r="AA3980">
        <v>0.99998929999999997</v>
      </c>
      <c r="AB3980">
        <v>37</v>
      </c>
      <c r="AC3980">
        <v>0.70909999999997797</v>
      </c>
      <c r="AD3980">
        <v>-8.1411000000000094E-2</v>
      </c>
      <c r="AE3980">
        <v>8.0699999999964602E-3</v>
      </c>
      <c r="AF3980">
        <v>3.9335658630113299E-3</v>
      </c>
      <c r="AG3980">
        <v>-8.1411000000000094E-2</v>
      </c>
      <c r="AH3980">
        <v>0.69991033631036104</v>
      </c>
      <c r="AI3980">
        <v>96.634517004716599</v>
      </c>
      <c r="AJ3980">
        <v>89.677995397610502</v>
      </c>
      <c r="AK3980">
        <v>0.70464012285384503</v>
      </c>
      <c r="AL3980">
        <v>86.244936720812206</v>
      </c>
      <c r="AM3980">
        <v>93.217992712912803</v>
      </c>
      <c r="AN3980">
        <v>0.99999998994436301</v>
      </c>
    </row>
    <row r="3981" spans="1:40" x14ac:dyDescent="0.3">
      <c r="A3981" t="str">
        <f>"20200111153959946"</f>
        <v>20200111153959946</v>
      </c>
      <c r="B3981" t="str">
        <f>"1578728399935092"</f>
        <v>1578728399935092</v>
      </c>
      <c r="C3981" t="s">
        <v>40</v>
      </c>
      <c r="D3981">
        <v>4.9755140000000004</v>
      </c>
      <c r="E3981">
        <v>0.51967929999999996</v>
      </c>
      <c r="F3981" t="s">
        <v>41</v>
      </c>
      <c r="G3981">
        <v>-268.93439999999998</v>
      </c>
      <c r="H3981">
        <v>1.0141260000000001</v>
      </c>
      <c r="I3981">
        <v>-61.044759999999997</v>
      </c>
      <c r="J3981">
        <v>-269.77179999999998</v>
      </c>
      <c r="K3981">
        <v>1.1043069999999999</v>
      </c>
      <c r="L3981">
        <v>-61.05688</v>
      </c>
      <c r="M3981">
        <v>0.99980880000000005</v>
      </c>
      <c r="N3981">
        <v>0</v>
      </c>
      <c r="O3981">
        <v>1.6758539999999999E-2</v>
      </c>
      <c r="P3981">
        <v>0.99581889999999995</v>
      </c>
      <c r="Q3981">
        <v>5.5146500000000001E-2</v>
      </c>
      <c r="R3981">
        <v>7.2829199999999997E-2</v>
      </c>
      <c r="S3981">
        <v>3.0240779999999998</v>
      </c>
      <c r="T3981">
        <v>-0.26363950000000003</v>
      </c>
      <c r="U3981">
        <v>4.5227049999999998E-2</v>
      </c>
      <c r="V3981">
        <v>-5.6163009999999999E-2</v>
      </c>
      <c r="W3981">
        <v>6.5164920000000001E-2</v>
      </c>
      <c r="X3981">
        <v>0.99629279999999998</v>
      </c>
      <c r="Y3981">
        <v>1.7355090000000001E-3</v>
      </c>
      <c r="Z3981">
        <v>-1.5336449999999999E-3</v>
      </c>
      <c r="AA3981">
        <v>0.99999729999999998</v>
      </c>
      <c r="AB3981">
        <v>37</v>
      </c>
      <c r="AC3981">
        <v>0.83740000000000203</v>
      </c>
      <c r="AD3981">
        <v>-9.0180999999999803E-2</v>
      </c>
      <c r="AE3981">
        <v>1.21200000000101E-2</v>
      </c>
      <c r="AF3981">
        <v>1.89405431021613E-3</v>
      </c>
      <c r="AG3981">
        <v>-9.0180999999999803E-2</v>
      </c>
      <c r="AH3981">
        <v>0.82788611832785497</v>
      </c>
      <c r="AI3981">
        <v>96.216658358552195</v>
      </c>
      <c r="AJ3981">
        <v>89.868917805958802</v>
      </c>
      <c r="AK3981">
        <v>0.83278546164224798</v>
      </c>
      <c r="AL3981">
        <v>86.263677737118499</v>
      </c>
      <c r="AM3981">
        <v>93.226462444290306</v>
      </c>
      <c r="AN3981">
        <v>1.0000000469113499</v>
      </c>
    </row>
    <row r="3982" spans="1:40" x14ac:dyDescent="0.3">
      <c r="A3982" t="str">
        <f>"20200111153959958"</f>
        <v>20200111153959958</v>
      </c>
      <c r="B3982" t="str">
        <f>"1578728399954612"</f>
        <v>1578728399954612</v>
      </c>
      <c r="C3982" t="s">
        <v>40</v>
      </c>
      <c r="D3982">
        <v>4.9911000000000003</v>
      </c>
      <c r="E3982">
        <v>0.5187233</v>
      </c>
      <c r="F3982" t="s">
        <v>41</v>
      </c>
      <c r="G3982">
        <v>-268.92520000000002</v>
      </c>
      <c r="H3982">
        <v>1.033034</v>
      </c>
      <c r="I3982">
        <v>-61.042940000000002</v>
      </c>
      <c r="J3982">
        <v>-269.58449999999999</v>
      </c>
      <c r="K3982">
        <v>1.104144</v>
      </c>
      <c r="L3982">
        <v>-61.053890000000003</v>
      </c>
      <c r="M3982">
        <v>0.99981339999999996</v>
      </c>
      <c r="N3982">
        <v>0</v>
      </c>
      <c r="O3982">
        <v>1.6483029999999999E-2</v>
      </c>
      <c r="P3982">
        <v>0.9958188</v>
      </c>
      <c r="Q3982">
        <v>5.4780540000000003E-2</v>
      </c>
      <c r="R3982">
        <v>7.3104459999999996E-2</v>
      </c>
      <c r="S3982">
        <v>3.0229490000000001</v>
      </c>
      <c r="T3982">
        <v>-0.25444889999999998</v>
      </c>
      <c r="U3982">
        <v>5.0201419999999997E-2</v>
      </c>
      <c r="V3982">
        <v>-5.6687800000000003E-2</v>
      </c>
      <c r="W3982">
        <v>6.4818509999999996E-2</v>
      </c>
      <c r="X3982">
        <v>0.99628559999999999</v>
      </c>
      <c r="Y3982">
        <v>-1.7826009999999899E-4</v>
      </c>
      <c r="Z3982">
        <v>-1.37736E-3</v>
      </c>
      <c r="AA3982">
        <v>0.99999899999999997</v>
      </c>
      <c r="AB3982">
        <v>37</v>
      </c>
      <c r="AC3982">
        <v>0.65929999999997302</v>
      </c>
      <c r="AD3982">
        <v>-7.1110000000000007E-2</v>
      </c>
      <c r="AE3982">
        <v>1.0950000000001099E-2</v>
      </c>
      <c r="AF3982" s="1">
        <v>-7.9771413202152296E-5</v>
      </c>
      <c r="AG3982">
        <v>-7.1110000000000007E-2</v>
      </c>
      <c r="AH3982">
        <v>0.65181043991869603</v>
      </c>
      <c r="AI3982">
        <v>96.226124940975794</v>
      </c>
      <c r="AJ3982">
        <v>90.007012108121501</v>
      </c>
      <c r="AK3982">
        <v>0.65567788436890495</v>
      </c>
      <c r="AL3982">
        <v>86.283567337121298</v>
      </c>
      <c r="AM3982">
        <v>93.256569568216307</v>
      </c>
      <c r="AN3982">
        <v>0.99999997133740903</v>
      </c>
    </row>
    <row r="3983" spans="1:40" x14ac:dyDescent="0.3">
      <c r="A3983" t="str">
        <f>"20200111153959969"</f>
        <v>20200111153959969</v>
      </c>
      <c r="B3983" t="str">
        <f>"1578728399965349"</f>
        <v>1578728399965349</v>
      </c>
      <c r="C3983" t="s">
        <v>40</v>
      </c>
      <c r="D3983">
        <v>4.9910100000000002</v>
      </c>
      <c r="E3983">
        <v>0.51855150000000005</v>
      </c>
      <c r="F3983" t="s">
        <v>41</v>
      </c>
      <c r="G3983">
        <v>-268.59679999999997</v>
      </c>
      <c r="H3983">
        <v>1.025784</v>
      </c>
      <c r="I3983">
        <v>-61.034930000000003</v>
      </c>
      <c r="J3983">
        <v>-269.39870000000002</v>
      </c>
      <c r="K3983">
        <v>1.1039859999999999</v>
      </c>
      <c r="L3983">
        <v>-61.051090000000002</v>
      </c>
      <c r="M3983">
        <v>0.99981960000000003</v>
      </c>
      <c r="N3983">
        <v>0</v>
      </c>
      <c r="O3983">
        <v>1.610574E-2</v>
      </c>
      <c r="P3983">
        <v>0.99583259999999996</v>
      </c>
      <c r="Q3983">
        <v>5.422271E-2</v>
      </c>
      <c r="R3983">
        <v>7.3333239999999994E-2</v>
      </c>
      <c r="S3983">
        <v>3.0214539999999999</v>
      </c>
      <c r="T3983">
        <v>-0.23955270000000001</v>
      </c>
      <c r="U3983">
        <v>5.9020999999999997E-2</v>
      </c>
      <c r="V3983">
        <v>-5.7267949999999998E-2</v>
      </c>
      <c r="W3983">
        <v>6.4280820000000002E-2</v>
      </c>
      <c r="X3983">
        <v>0.99628729999999999</v>
      </c>
      <c r="Y3983">
        <v>-3.463879E-3</v>
      </c>
      <c r="Z3983">
        <v>-1.137692E-3</v>
      </c>
      <c r="AA3983">
        <v>0.99999329999999997</v>
      </c>
      <c r="AB3983">
        <v>37</v>
      </c>
      <c r="AC3983">
        <v>0.80190000000004502</v>
      </c>
      <c r="AD3983">
        <v>-7.8202000000000105E-2</v>
      </c>
      <c r="AE3983">
        <v>1.6159999999999199E-2</v>
      </c>
      <c r="AF3983">
        <v>-3.2115259100129901E-3</v>
      </c>
      <c r="AG3983">
        <v>-7.8202000000000105E-2</v>
      </c>
      <c r="AH3983">
        <v>0.794503343715801</v>
      </c>
      <c r="AI3983">
        <v>95.621401135041594</v>
      </c>
      <c r="AJ3983">
        <v>90.231598620357403</v>
      </c>
      <c r="AK3983">
        <v>0.79834919044128705</v>
      </c>
      <c r="AL3983">
        <v>86.3144392431131</v>
      </c>
      <c r="AM3983">
        <v>93.289819270931901</v>
      </c>
      <c r="AN3983">
        <v>1.00000001302918</v>
      </c>
    </row>
    <row r="3984" spans="1:40" x14ac:dyDescent="0.3">
      <c r="A3984" t="str">
        <f>"20200111153959980"</f>
        <v>20200111153959980</v>
      </c>
      <c r="B3984" t="str">
        <f>"1578728399975108"</f>
        <v>1578728399975108</v>
      </c>
      <c r="C3984" t="s">
        <v>40</v>
      </c>
      <c r="D3984">
        <v>4.9419259999999996</v>
      </c>
      <c r="E3984">
        <v>0.51808620000000005</v>
      </c>
      <c r="F3984" t="s">
        <v>41</v>
      </c>
      <c r="G3984">
        <v>-268.5865</v>
      </c>
      <c r="H3984">
        <v>1.040225</v>
      </c>
      <c r="I3984">
        <v>-61.035020000000003</v>
      </c>
      <c r="J3984">
        <v>-269.21420000000001</v>
      </c>
      <c r="K3984">
        <v>1.103831</v>
      </c>
      <c r="L3984">
        <v>-61.048400000000001</v>
      </c>
      <c r="M3984">
        <v>0.99982680000000002</v>
      </c>
      <c r="N3984">
        <v>0</v>
      </c>
      <c r="O3984">
        <v>1.5654930000000001E-2</v>
      </c>
      <c r="P3984">
        <v>0.99581379999999997</v>
      </c>
      <c r="Q3984">
        <v>5.4018459999999997E-2</v>
      </c>
      <c r="R3984">
        <v>7.3733640000000003E-2</v>
      </c>
      <c r="S3984">
        <v>3.020966</v>
      </c>
      <c r="T3984">
        <v>-0.23695099999999999</v>
      </c>
      <c r="U3984">
        <v>6.097412E-2</v>
      </c>
      <c r="V3984">
        <v>-5.809429E-2</v>
      </c>
      <c r="W3984">
        <v>6.4096180000000003E-2</v>
      </c>
      <c r="X3984">
        <v>0.99625129999999995</v>
      </c>
      <c r="Y3984">
        <v>-4.5586000000000003E-3</v>
      </c>
      <c r="Z3984">
        <v>-1.047386E-3</v>
      </c>
      <c r="AA3984">
        <v>0.99998900000000002</v>
      </c>
      <c r="AB3984">
        <v>37</v>
      </c>
      <c r="AC3984">
        <v>0.62770000000000403</v>
      </c>
      <c r="AD3984">
        <v>-6.3605999999999996E-2</v>
      </c>
      <c r="AE3984">
        <v>1.3380000000005001E-2</v>
      </c>
      <c r="AF3984">
        <v>-3.5151848584570101E-3</v>
      </c>
      <c r="AG3984">
        <v>-6.3605999999999996E-2</v>
      </c>
      <c r="AH3984">
        <v>0.62145426051497799</v>
      </c>
      <c r="AI3984">
        <v>95.843795284254895</v>
      </c>
      <c r="AJ3984">
        <v>90.324083559271898</v>
      </c>
      <c r="AK3984">
        <v>0.62471071518968502</v>
      </c>
      <c r="AL3984">
        <v>86.325040001158897</v>
      </c>
      <c r="AM3984">
        <v>93.337303056342805</v>
      </c>
      <c r="AN3984">
        <v>0.99999995978644196</v>
      </c>
    </row>
    <row r="3985" spans="1:40" x14ac:dyDescent="0.3">
      <c r="A3985" t="str">
        <f>"20200111153959991"</f>
        <v>20200111153959991</v>
      </c>
      <c r="B3985" t="str">
        <f>"1578728399984868"</f>
        <v>1578728399984868</v>
      </c>
      <c r="C3985" t="s">
        <v>40</v>
      </c>
      <c r="D3985">
        <v>4.9795160000000003</v>
      </c>
      <c r="E3985">
        <v>0.5178528</v>
      </c>
      <c r="F3985" t="s">
        <v>41</v>
      </c>
      <c r="G3985">
        <v>-268.26260000000002</v>
      </c>
      <c r="H3985">
        <v>1.029328</v>
      </c>
      <c r="I3985">
        <v>-61.027830000000002</v>
      </c>
      <c r="J3985">
        <v>-269.02870000000001</v>
      </c>
      <c r="K3985">
        <v>1.103677</v>
      </c>
      <c r="L3985">
        <v>-61.045839999999998</v>
      </c>
      <c r="M3985">
        <v>0.99983480000000002</v>
      </c>
      <c r="N3985">
        <v>0</v>
      </c>
      <c r="O3985">
        <v>1.513485E-2</v>
      </c>
      <c r="P3985">
        <v>0.99581799999999998</v>
      </c>
      <c r="Q3985">
        <v>5.3824469999999999E-2</v>
      </c>
      <c r="R3985">
        <v>7.3824139999999996E-2</v>
      </c>
      <c r="S3985">
        <v>3.0205380000000002</v>
      </c>
      <c r="T3985">
        <v>-0.2363961</v>
      </c>
      <c r="U3985">
        <v>6.5917970000000006E-2</v>
      </c>
      <c r="V3985">
        <v>-5.8679710000000003E-2</v>
      </c>
      <c r="W3985">
        <v>6.3922960000000001E-2</v>
      </c>
      <c r="X3985">
        <v>0.99622820000000001</v>
      </c>
      <c r="Y3985">
        <v>-6.7092970000000004E-3</v>
      </c>
      <c r="Z3985">
        <v>-9.2041360000000001E-4</v>
      </c>
      <c r="AA3985">
        <v>0.99997709999999995</v>
      </c>
      <c r="AB3985">
        <v>37</v>
      </c>
      <c r="AC3985">
        <v>0.76609999999999401</v>
      </c>
      <c r="AD3985">
        <v>-7.4348999999999998E-2</v>
      </c>
      <c r="AE3985">
        <v>1.8010000000003801E-2</v>
      </c>
      <c r="AF3985">
        <v>-6.3527410835197097E-3</v>
      </c>
      <c r="AG3985">
        <v>-7.4348999999999998E-2</v>
      </c>
      <c r="AH3985">
        <v>0.75913887504535804</v>
      </c>
      <c r="AI3985">
        <v>95.593434804924001</v>
      </c>
      <c r="AJ3985">
        <v>90.479460041108993</v>
      </c>
      <c r="AK3985">
        <v>0.76279745852054703</v>
      </c>
      <c r="AL3985">
        <v>86.334985464965698</v>
      </c>
      <c r="AM3985">
        <v>93.370934098151807</v>
      </c>
      <c r="AN3985">
        <v>1.00000003982804</v>
      </c>
    </row>
    <row r="3986" spans="1:40" x14ac:dyDescent="0.3">
      <c r="A3986" t="str">
        <f>"20200111154000002"</f>
        <v>20200111154000002</v>
      </c>
      <c r="B3986" t="str">
        <f>"1578728399994628"</f>
        <v>1578728399994628</v>
      </c>
      <c r="C3986" t="s">
        <v>40</v>
      </c>
      <c r="D3986">
        <v>4.9645809999999999</v>
      </c>
      <c r="E3986">
        <v>0.51756789999999997</v>
      </c>
      <c r="F3986" t="s">
        <v>78</v>
      </c>
      <c r="G3986">
        <v>-254.83879999999999</v>
      </c>
      <c r="H3986" s="1">
        <v>-1.2878430000000001E-6</v>
      </c>
      <c r="I3986">
        <v>-60.724800000000002</v>
      </c>
      <c r="J3986">
        <v>-268.86160000000001</v>
      </c>
      <c r="K3986">
        <v>1.1035459999999999</v>
      </c>
      <c r="L3986">
        <v>-61.043700000000001</v>
      </c>
      <c r="M3986">
        <v>0.99984289999999998</v>
      </c>
      <c r="N3986">
        <v>0</v>
      </c>
      <c r="O3986">
        <v>1.458132E-2</v>
      </c>
      <c r="P3986">
        <v>0.99582950000000003</v>
      </c>
      <c r="Q3986">
        <v>5.3676420000000002E-2</v>
      </c>
      <c r="R3986">
        <v>7.3772450000000003E-2</v>
      </c>
      <c r="S3986">
        <v>3.020203</v>
      </c>
      <c r="T3986">
        <v>-0.2349077</v>
      </c>
      <c r="U3986">
        <v>6.8328860000000005E-2</v>
      </c>
      <c r="V3986">
        <v>-5.9159030000000001E-2</v>
      </c>
      <c r="W3986">
        <v>6.3794489999999995E-2</v>
      </c>
      <c r="X3986">
        <v>0.99620810000000004</v>
      </c>
      <c r="Y3986">
        <v>-8.057102E-3</v>
      </c>
      <c r="Z3986">
        <v>-8.1942029999999995E-4</v>
      </c>
      <c r="AA3986">
        <v>0.99996719999999895</v>
      </c>
      <c r="AB3986">
        <v>37</v>
      </c>
      <c r="AC3986">
        <v>14.0228</v>
      </c>
      <c r="AD3986">
        <v>-1.1035472878429999</v>
      </c>
      <c r="AE3986">
        <v>0.31889999999999902</v>
      </c>
      <c r="AF3986">
        <v>-0.113681093882411</v>
      </c>
      <c r="AG3986">
        <v>-1.1035472878429999</v>
      </c>
      <c r="AH3986">
        <v>13.9396732358947</v>
      </c>
      <c r="AI3986">
        <v>94.526283822628798</v>
      </c>
      <c r="AJ3986">
        <v>90.467249295411506</v>
      </c>
      <c r="AK3986">
        <v>13.9837487796059</v>
      </c>
      <c r="AL3986">
        <v>86.342361356720502</v>
      </c>
      <c r="AM3986">
        <v>93.398473406568201</v>
      </c>
      <c r="AN3986">
        <v>1.00000005314525</v>
      </c>
    </row>
    <row r="3987" spans="1:40" x14ac:dyDescent="0.3">
      <c r="A3987" t="str">
        <f>"20200111154000015"</f>
        <v>20200111154000015</v>
      </c>
      <c r="B3987" t="str">
        <f>"1578728400005365"</f>
        <v>1578728400005365</v>
      </c>
      <c r="C3987" t="s">
        <v>40</v>
      </c>
      <c r="D3987">
        <v>4.9394739999999997</v>
      </c>
      <c r="E3987">
        <v>0.51732029999999996</v>
      </c>
      <c r="F3987" t="s">
        <v>41</v>
      </c>
      <c r="G3987">
        <v>-267.92790000000002</v>
      </c>
      <c r="H3987">
        <v>1.0312709999999901</v>
      </c>
      <c r="I3987">
        <v>-61.021929999999998</v>
      </c>
      <c r="J3987">
        <v>-268.64609999999999</v>
      </c>
      <c r="K3987">
        <v>1.1033729999999999</v>
      </c>
      <c r="L3987">
        <v>-61.041049999999998</v>
      </c>
      <c r="M3987">
        <v>0.99985380000000001</v>
      </c>
      <c r="N3987">
        <v>0</v>
      </c>
      <c r="O3987">
        <v>1.3821679999999999E-2</v>
      </c>
      <c r="P3987">
        <v>0.99585880000000004</v>
      </c>
      <c r="Q3987">
        <v>5.3870040000000001E-2</v>
      </c>
      <c r="R3987">
        <v>7.3234999999999995E-2</v>
      </c>
      <c r="S3987">
        <v>3.0199280000000002</v>
      </c>
      <c r="T3987">
        <v>-0.23370540000000001</v>
      </c>
      <c r="U3987">
        <v>7.0800779999999994E-2</v>
      </c>
      <c r="V3987">
        <v>-5.9351050000000002E-2</v>
      </c>
      <c r="W3987">
        <v>6.401242E-2</v>
      </c>
      <c r="X3987">
        <v>0.99618260000000003</v>
      </c>
      <c r="Y3987">
        <v>-9.6297870000000008E-3</v>
      </c>
      <c r="Z3987">
        <v>-6.9586490000000001E-4</v>
      </c>
      <c r="AA3987">
        <v>0.99995339999999999</v>
      </c>
      <c r="AB3987">
        <v>37</v>
      </c>
      <c r="AC3987">
        <v>0.71819999999996698</v>
      </c>
      <c r="AD3987">
        <v>-7.2102000000000097E-2</v>
      </c>
      <c r="AE3987">
        <v>1.9119999999993802E-2</v>
      </c>
      <c r="AF3987">
        <v>-9.0992958215299295E-3</v>
      </c>
      <c r="AG3987">
        <v>-7.2102000000000097E-2</v>
      </c>
      <c r="AH3987">
        <v>0.71123246135903995</v>
      </c>
      <c r="AI3987">
        <v>95.788178213883995</v>
      </c>
      <c r="AJ3987">
        <v>90.732985111782497</v>
      </c>
      <c r="AK3987">
        <v>0.71493573814664402</v>
      </c>
      <c r="AL3987">
        <v>86.329848953138097</v>
      </c>
      <c r="AM3987">
        <v>93.409565353520804</v>
      </c>
      <c r="AN3987">
        <v>0.99999995479655801</v>
      </c>
    </row>
    <row r="3988" spans="1:40" x14ac:dyDescent="0.3">
      <c r="A3988" t="str">
        <f>"20200111154000026"</f>
        <v>20200111154000026</v>
      </c>
      <c r="B3988" t="str">
        <f>"1578728400015125"</f>
        <v>1578728400015125</v>
      </c>
      <c r="C3988" t="s">
        <v>40</v>
      </c>
      <c r="D3988">
        <v>4.9367510000000001</v>
      </c>
      <c r="E3988">
        <v>0.51715049999999996</v>
      </c>
      <c r="F3988" t="s">
        <v>41</v>
      </c>
      <c r="G3988">
        <v>-267.5994</v>
      </c>
      <c r="H3988">
        <v>1.0230269999999999</v>
      </c>
      <c r="I3988">
        <v>-61.016530000000003</v>
      </c>
      <c r="J3988">
        <v>-268.44439999999997</v>
      </c>
      <c r="K3988">
        <v>1.1032200000000001</v>
      </c>
      <c r="L3988">
        <v>-61.038910000000001</v>
      </c>
      <c r="M3988">
        <v>0.99986509999999995</v>
      </c>
      <c r="N3988">
        <v>0</v>
      </c>
      <c r="O3988">
        <v>1.2983379999999999E-2</v>
      </c>
      <c r="P3988">
        <v>0.99586960000000002</v>
      </c>
      <c r="Q3988">
        <v>5.4064910000000001E-2</v>
      </c>
      <c r="R3988">
        <v>7.2945940000000001E-2</v>
      </c>
      <c r="S3988">
        <v>3.0197750000000001</v>
      </c>
      <c r="T3988">
        <v>-0.23171530000000001</v>
      </c>
      <c r="U3988">
        <v>7.1319579999999994E-2</v>
      </c>
      <c r="V3988">
        <v>-5.9873669999999997E-2</v>
      </c>
      <c r="W3988">
        <v>6.4230369999999995E-2</v>
      </c>
      <c r="X3988">
        <v>0.9961373</v>
      </c>
      <c r="Y3988">
        <v>-1.063542E-2</v>
      </c>
      <c r="Z3988">
        <v>-5.8725379999999998E-4</v>
      </c>
      <c r="AA3988">
        <v>0.99994329999999998</v>
      </c>
      <c r="AB3988">
        <v>37</v>
      </c>
      <c r="AC3988">
        <v>0.84499999999997</v>
      </c>
      <c r="AD3988">
        <v>-8.0192999999999903E-2</v>
      </c>
      <c r="AE3988">
        <v>2.2379999999991101E-2</v>
      </c>
      <c r="AF3988">
        <v>-1.13048554865337E-2</v>
      </c>
      <c r="AG3988">
        <v>-8.0192999999999903E-2</v>
      </c>
      <c r="AH3988">
        <v>0.83768001608391096</v>
      </c>
      <c r="AI3988">
        <v>95.467894812904007</v>
      </c>
      <c r="AJ3988">
        <v>90.773184481944895</v>
      </c>
      <c r="AK3988">
        <v>0.84158572133378795</v>
      </c>
      <c r="AL3988">
        <v>86.3173356003187</v>
      </c>
      <c r="AM3988">
        <v>93.439672804203695</v>
      </c>
      <c r="AN3988">
        <v>0.99999995862044699</v>
      </c>
    </row>
    <row r="3989" spans="1:40" x14ac:dyDescent="0.3">
      <c r="A3989" t="str">
        <f>"20200111154000038"</f>
        <v>20200111154000038</v>
      </c>
      <c r="B3989" t="str">
        <f>"1578728400034644"</f>
        <v>1578728400034644</v>
      </c>
      <c r="C3989" t="s">
        <v>40</v>
      </c>
      <c r="D3989">
        <v>4.9301250000000003</v>
      </c>
      <c r="E3989">
        <v>0.51705459999999903</v>
      </c>
      <c r="F3989" t="s">
        <v>41</v>
      </c>
      <c r="G3989">
        <v>-267.58850000000001</v>
      </c>
      <c r="H3989">
        <v>1.0381670000000001</v>
      </c>
      <c r="I3989">
        <v>-61.018740000000001</v>
      </c>
      <c r="J3989">
        <v>-268.24889999999999</v>
      </c>
      <c r="K3989">
        <v>1.1030789999999999</v>
      </c>
      <c r="L3989">
        <v>-61.036990000000003</v>
      </c>
      <c r="M3989">
        <v>0.99987579999999998</v>
      </c>
      <c r="N3989">
        <v>0</v>
      </c>
      <c r="O3989">
        <v>1.213676E-2</v>
      </c>
      <c r="P3989">
        <v>0.9958842</v>
      </c>
      <c r="Q3989">
        <v>5.432654E-2</v>
      </c>
      <c r="R3989">
        <v>7.2549440000000007E-2</v>
      </c>
      <c r="S3989">
        <v>3.0196529999999999</v>
      </c>
      <c r="T3989">
        <v>-0.22941510000000001</v>
      </c>
      <c r="U3989">
        <v>7.1868899999999999E-2</v>
      </c>
      <c r="V3989">
        <v>-6.0297690000000001E-2</v>
      </c>
      <c r="W3989">
        <v>6.4513020000000004E-2</v>
      </c>
      <c r="X3989">
        <v>0.99609349999999997</v>
      </c>
      <c r="Y3989">
        <v>-1.1659330000000001E-2</v>
      </c>
      <c r="Z3989">
        <v>-4.7841449999999998E-4</v>
      </c>
      <c r="AA3989">
        <v>0.99993189999999998</v>
      </c>
      <c r="AB3989">
        <v>37</v>
      </c>
      <c r="AC3989">
        <v>0.660399999999981</v>
      </c>
      <c r="AD3989">
        <v>-6.4911999999999997E-2</v>
      </c>
      <c r="AE3989">
        <v>1.82500000000018E-2</v>
      </c>
      <c r="AF3989">
        <v>-1.01352888527283E-2</v>
      </c>
      <c r="AG3989">
        <v>-6.4911999999999997E-2</v>
      </c>
      <c r="AH3989">
        <v>0.65425671061934099</v>
      </c>
      <c r="AI3989">
        <v>95.665375592593804</v>
      </c>
      <c r="AJ3989">
        <v>90.887515282166007</v>
      </c>
      <c r="AK3989">
        <v>0.657547059315581</v>
      </c>
      <c r="AL3989">
        <v>86.301107446671693</v>
      </c>
      <c r="AM3989">
        <v>93.464125099893494</v>
      </c>
      <c r="AN3989">
        <v>1.0000000009555501</v>
      </c>
    </row>
    <row r="3990" spans="1:40" x14ac:dyDescent="0.3">
      <c r="A3990" t="str">
        <f>"20200111154000051"</f>
        <v>20200111154000051</v>
      </c>
      <c r="B3990" t="str">
        <f>"1578728400045380"</f>
        <v>1578728400045380</v>
      </c>
      <c r="C3990" t="s">
        <v>40</v>
      </c>
      <c r="D3990">
        <v>4.960852</v>
      </c>
      <c r="E3990">
        <v>0.51704969999999995</v>
      </c>
      <c r="F3990" t="s">
        <v>41</v>
      </c>
      <c r="G3990">
        <v>-267.26170000000002</v>
      </c>
      <c r="H3990">
        <v>1.0292889999999999</v>
      </c>
      <c r="I3990">
        <v>-61.013959999999997</v>
      </c>
      <c r="J3990">
        <v>-268.0403</v>
      </c>
      <c r="K3990">
        <v>1.1029359999999999</v>
      </c>
      <c r="L3990">
        <v>-61.03519</v>
      </c>
      <c r="M3990">
        <v>0.99988699999999997</v>
      </c>
      <c r="N3990">
        <v>0</v>
      </c>
      <c r="O3990">
        <v>1.116147E-2</v>
      </c>
      <c r="P3990">
        <v>0.99590100000000004</v>
      </c>
      <c r="Q3990">
        <v>5.4627050000000003E-2</v>
      </c>
      <c r="R3990">
        <v>7.2092909999999996E-2</v>
      </c>
      <c r="S3990">
        <v>3.0194700000000001</v>
      </c>
      <c r="T3990">
        <v>-0.22554160000000001</v>
      </c>
      <c r="U3990">
        <v>7.13501E-2</v>
      </c>
      <c r="V3990">
        <v>-6.0789429999999998E-2</v>
      </c>
      <c r="W3990">
        <v>6.483564E-2</v>
      </c>
      <c r="X3990">
        <v>0.99604269999999995</v>
      </c>
      <c r="Y3990">
        <v>-1.2459410000000001E-2</v>
      </c>
      <c r="Z3990">
        <v>-3.6781990000000001E-4</v>
      </c>
      <c r="AA3990">
        <v>0.99992230000000004</v>
      </c>
      <c r="AB3990">
        <v>37</v>
      </c>
      <c r="AC3990">
        <v>0.77859999999998297</v>
      </c>
      <c r="AD3990">
        <v>-7.3647000000000198E-2</v>
      </c>
      <c r="AE3990">
        <v>2.1230000000002702E-2</v>
      </c>
      <c r="AF3990">
        <v>-1.24268151042048E-2</v>
      </c>
      <c r="AG3990">
        <v>-7.3647000000000198E-2</v>
      </c>
      <c r="AH3990">
        <v>0.771887457142301</v>
      </c>
      <c r="AI3990">
        <v>95.449480411894697</v>
      </c>
      <c r="AJ3990">
        <v>90.922339840329798</v>
      </c>
      <c r="AK3990">
        <v>0.77549245827167301</v>
      </c>
      <c r="AL3990">
        <v>86.282584038255493</v>
      </c>
      <c r="AM3990">
        <v>93.492483784963397</v>
      </c>
      <c r="AN3990">
        <v>1.00000003761861</v>
      </c>
    </row>
    <row r="3991" spans="1:40" x14ac:dyDescent="0.3">
      <c r="A3991" t="str">
        <f>"20200111154000062"</f>
        <v>20200111154000062</v>
      </c>
      <c r="B3991" t="str">
        <f>"1578728400055140"</f>
        <v>1578728400055140</v>
      </c>
      <c r="C3991" t="s">
        <v>40</v>
      </c>
      <c r="D3991">
        <v>4.9395480000000003</v>
      </c>
      <c r="E3991">
        <v>0.51696169999999997</v>
      </c>
      <c r="F3991" t="s">
        <v>78</v>
      </c>
      <c r="G3991">
        <v>-253.1662</v>
      </c>
      <c r="H3991" s="1">
        <v>-5.6279440000000005E-7</v>
      </c>
      <c r="I3991">
        <v>-60.691079999999999</v>
      </c>
      <c r="J3991">
        <v>-267.83409999999998</v>
      </c>
      <c r="K3991">
        <v>1.1028100000000001</v>
      </c>
      <c r="L3991">
        <v>-61.033659999999998</v>
      </c>
      <c r="M3991">
        <v>0.99989799999999995</v>
      </c>
      <c r="N3991">
        <v>0</v>
      </c>
      <c r="O3991">
        <v>1.0137510000000001E-2</v>
      </c>
      <c r="P3991">
        <v>0.99594839999999996</v>
      </c>
      <c r="Q3991">
        <v>5.4575400000000003E-2</v>
      </c>
      <c r="R3991">
        <v>7.1473990000000001E-2</v>
      </c>
      <c r="S3991">
        <v>3.0195310000000002</v>
      </c>
      <c r="T3991">
        <v>-0.2239013</v>
      </c>
      <c r="U3991">
        <v>6.9854739999999999E-2</v>
      </c>
      <c r="V3991">
        <v>-6.1171419999999997E-2</v>
      </c>
      <c r="W3991">
        <v>6.4803760000000002E-2</v>
      </c>
      <c r="X3991">
        <v>0.9960213</v>
      </c>
      <c r="Y3991">
        <v>-1.298381E-2</v>
      </c>
      <c r="Z3991">
        <v>-2.6992500000000002E-4</v>
      </c>
      <c r="AA3991">
        <v>0.99991569999999996</v>
      </c>
      <c r="AB3991">
        <v>37</v>
      </c>
      <c r="AC3991">
        <v>14.6678999999999</v>
      </c>
      <c r="AD3991">
        <v>-1.10281056279439</v>
      </c>
      <c r="AE3991">
        <v>0.342579999999991</v>
      </c>
      <c r="AF3991">
        <v>-0.192769784607107</v>
      </c>
      <c r="AG3991">
        <v>-1.10281056279439</v>
      </c>
      <c r="AH3991">
        <v>14.5881996261166</v>
      </c>
      <c r="AI3991">
        <v>94.322737134659505</v>
      </c>
      <c r="AJ3991">
        <v>90.757067531861495</v>
      </c>
      <c r="AK3991">
        <v>14.631094274137499</v>
      </c>
      <c r="AL3991">
        <v>86.284414151032394</v>
      </c>
      <c r="AM3991">
        <v>93.514450420079797</v>
      </c>
      <c r="AN3991">
        <v>0.99999994999431996</v>
      </c>
    </row>
    <row r="3992" spans="1:40" x14ac:dyDescent="0.3">
      <c r="A3992" t="str">
        <f>"20200111154000075"</f>
        <v>20200111154000075</v>
      </c>
      <c r="B3992" t="str">
        <f>"1578728400064900"</f>
        <v>1578728400064900</v>
      </c>
      <c r="C3992" t="s">
        <v>40</v>
      </c>
      <c r="D3992">
        <v>4.9415659999999999</v>
      </c>
      <c r="E3992">
        <v>0.51700199999999996</v>
      </c>
      <c r="F3992" t="s">
        <v>41</v>
      </c>
      <c r="G3992">
        <v>-266.92259999999999</v>
      </c>
      <c r="H3992">
        <v>1.0351950000000001</v>
      </c>
      <c r="I3992">
        <v>-61.013170000000002</v>
      </c>
      <c r="J3992">
        <v>-267.62939999999998</v>
      </c>
      <c r="K3992">
        <v>1.1026910000000001</v>
      </c>
      <c r="L3992">
        <v>-61.032319999999999</v>
      </c>
      <c r="M3992">
        <v>0.99990789999999996</v>
      </c>
      <c r="N3992">
        <v>0</v>
      </c>
      <c r="O3992">
        <v>9.0917080000000004E-3</v>
      </c>
      <c r="P3992">
        <v>0.99601050000000002</v>
      </c>
      <c r="Q3992">
        <v>5.4533270000000002E-2</v>
      </c>
      <c r="R3992">
        <v>7.063324E-2</v>
      </c>
      <c r="S3992">
        <v>3.0195620000000001</v>
      </c>
      <c r="T3992">
        <v>-0.22386600000000001</v>
      </c>
      <c r="U3992">
        <v>6.8450929999999993E-2</v>
      </c>
      <c r="V3992">
        <v>-6.1353890000000001E-2</v>
      </c>
      <c r="W3992">
        <v>6.4779499999999907E-2</v>
      </c>
      <c r="X3992">
        <v>0.99601170000000006</v>
      </c>
      <c r="Y3992">
        <v>-1.3560310000000001E-2</v>
      </c>
      <c r="Z3992">
        <v>-1.7112830000000001E-4</v>
      </c>
      <c r="AA3992">
        <v>0.99990800000000002</v>
      </c>
      <c r="AB3992">
        <v>37</v>
      </c>
      <c r="AC3992">
        <v>0.70679999999998699</v>
      </c>
      <c r="AD3992">
        <v>-6.7496E-2</v>
      </c>
      <c r="AE3992">
        <v>1.91500000000033E-2</v>
      </c>
      <c r="AF3992">
        <v>-1.26079710540124E-2</v>
      </c>
      <c r="AG3992">
        <v>-6.7496E-2</v>
      </c>
      <c r="AH3992">
        <v>0.70056093883111603</v>
      </c>
      <c r="AI3992">
        <v>95.502327779781496</v>
      </c>
      <c r="AJ3992">
        <v>91.031038862739607</v>
      </c>
      <c r="AK3992">
        <v>0.70391782188408403</v>
      </c>
      <c r="AL3992">
        <v>86.285807240849493</v>
      </c>
      <c r="AM3992">
        <v>93.5249412720717</v>
      </c>
      <c r="AN3992">
        <v>0.99999999498763603</v>
      </c>
    </row>
    <row r="3993" spans="1:40" x14ac:dyDescent="0.3">
      <c r="A3993" t="str">
        <f>"20200111154000090"</f>
        <v>20200111154000090</v>
      </c>
      <c r="B3993" t="str">
        <f>"1578728400085396"</f>
        <v>1578728400085396</v>
      </c>
      <c r="C3993" t="s">
        <v>40</v>
      </c>
      <c r="D3993">
        <v>4.9381659999999998</v>
      </c>
      <c r="E3993">
        <v>0.51701809999999904</v>
      </c>
      <c r="F3993" t="s">
        <v>41</v>
      </c>
      <c r="G3993">
        <v>-266.59500000000003</v>
      </c>
      <c r="H3993">
        <v>1.0261049999999901</v>
      </c>
      <c r="I3993">
        <v>-61.010150000000003</v>
      </c>
      <c r="J3993">
        <v>-267.3741</v>
      </c>
      <c r="K3993">
        <v>1.1025700000000001</v>
      </c>
      <c r="L3993">
        <v>-61.031129999999997</v>
      </c>
      <c r="M3993">
        <v>0.99991960000000002</v>
      </c>
      <c r="N3993">
        <v>0</v>
      </c>
      <c r="O3993">
        <v>7.7176880000000003E-3</v>
      </c>
      <c r="P3993">
        <v>0.99610290000000001</v>
      </c>
      <c r="Q3993">
        <v>5.4808299999999997E-2</v>
      </c>
      <c r="R3993">
        <v>6.9102199999999905E-2</v>
      </c>
      <c r="S3993">
        <v>3.0196230000000002</v>
      </c>
      <c r="T3993">
        <v>-0.2234459</v>
      </c>
      <c r="U3993">
        <v>6.5551760000000001E-2</v>
      </c>
      <c r="V3993">
        <v>-6.1171299999999998E-2</v>
      </c>
      <c r="W3993">
        <v>6.507164E-2</v>
      </c>
      <c r="X3993">
        <v>0.99600390000000005</v>
      </c>
      <c r="Y3993">
        <v>-1.3969489999999999E-2</v>
      </c>
      <c r="Z3993" s="1">
        <v>-5.4168690000000001E-5</v>
      </c>
      <c r="AA3993">
        <v>0.99990239999999997</v>
      </c>
      <c r="AB3993">
        <v>37</v>
      </c>
      <c r="AC3993">
        <v>0.77909999999997104</v>
      </c>
      <c r="AD3993">
        <v>-7.6465000000000199E-2</v>
      </c>
      <c r="AE3993">
        <v>2.0980000000001501E-2</v>
      </c>
      <c r="AF3993">
        <v>-1.48235357992587E-2</v>
      </c>
      <c r="AG3993">
        <v>-7.6465000000000199E-2</v>
      </c>
      <c r="AH3993">
        <v>0.77180965132062396</v>
      </c>
      <c r="AI3993">
        <v>95.656927936736906</v>
      </c>
      <c r="AJ3993">
        <v>91.100299313103704</v>
      </c>
      <c r="AK3993">
        <v>0.77572983139122298</v>
      </c>
      <c r="AL3993">
        <v>86.269033507756006</v>
      </c>
      <c r="AM3993">
        <v>93.514504785837204</v>
      </c>
      <c r="AN3993">
        <v>1.0000000075455899</v>
      </c>
    </row>
    <row r="3994" spans="1:40" x14ac:dyDescent="0.3">
      <c r="A3994" t="str">
        <f>"20200111154000102"</f>
        <v>20200111154000102</v>
      </c>
      <c r="B3994" t="str">
        <f>"1578728400095156"</f>
        <v>1578728400095156</v>
      </c>
      <c r="C3994" t="s">
        <v>40</v>
      </c>
      <c r="D3994">
        <v>4.9346129999999997</v>
      </c>
      <c r="E3994">
        <v>0.51695599999999997</v>
      </c>
      <c r="F3994" t="s">
        <v>78</v>
      </c>
      <c r="G3994">
        <v>-252.3502</v>
      </c>
      <c r="H3994" s="1">
        <v>-2.207397E-7</v>
      </c>
      <c r="I3994">
        <v>-60.726999999999997</v>
      </c>
      <c r="J3994">
        <v>-267.17630000000003</v>
      </c>
      <c r="K3994">
        <v>1.1024860000000001</v>
      </c>
      <c r="L3994">
        <v>-61.030459999999998</v>
      </c>
      <c r="M3994">
        <v>0.99992740000000002</v>
      </c>
      <c r="N3994">
        <v>0</v>
      </c>
      <c r="O3994">
        <v>6.6267239999999996E-3</v>
      </c>
      <c r="P3994">
        <v>0.99619259999999998</v>
      </c>
      <c r="Q3994">
        <v>5.4902189999999997E-2</v>
      </c>
      <c r="R3994">
        <v>6.7721719999999999E-2</v>
      </c>
      <c r="S3994">
        <v>3.0196529999999999</v>
      </c>
      <c r="T3994">
        <v>-0.22160579999999999</v>
      </c>
      <c r="U3994">
        <v>6.1126710000000001E-2</v>
      </c>
      <c r="V3994">
        <v>-6.0864080000000001E-2</v>
      </c>
      <c r="W3994">
        <v>6.5176319999999996E-2</v>
      </c>
      <c r="X3994">
        <v>0.99601580000000001</v>
      </c>
      <c r="Y3994">
        <v>-1.3593940000000001E-2</v>
      </c>
      <c r="Z3994" s="1">
        <v>1.2462030000000001E-5</v>
      </c>
      <c r="AA3994">
        <v>0.99990760000000001</v>
      </c>
      <c r="AB3994">
        <v>37</v>
      </c>
      <c r="AC3994">
        <v>14.8261</v>
      </c>
      <c r="AD3994">
        <v>-1.1024862207396999</v>
      </c>
      <c r="AE3994">
        <v>0.30346000000000101</v>
      </c>
      <c r="AF3994">
        <v>-0.204071927422907</v>
      </c>
      <c r="AG3994">
        <v>-1.1024862207396999</v>
      </c>
      <c r="AH3994">
        <v>14.7462788311715</v>
      </c>
      <c r="AI3994">
        <v>94.275281414640503</v>
      </c>
      <c r="AJ3994">
        <v>90.792858588451196</v>
      </c>
      <c r="AK3994">
        <v>14.7888424356046</v>
      </c>
      <c r="AL3994">
        <v>86.263022741422105</v>
      </c>
      <c r="AM3994">
        <v>93.496856158063196</v>
      </c>
      <c r="AN3994">
        <v>0.99999993138631205</v>
      </c>
    </row>
    <row r="3995" spans="1:40" x14ac:dyDescent="0.3">
      <c r="A3995" t="str">
        <f>"20200111154000115"</f>
        <v>20200111154000115</v>
      </c>
      <c r="B3995" t="str">
        <f>"1578728400104916"</f>
        <v>1578728400104916</v>
      </c>
      <c r="C3995" t="s">
        <v>40</v>
      </c>
      <c r="D3995">
        <v>4.9144189999999996</v>
      </c>
      <c r="E3995">
        <v>0.51677439999999997</v>
      </c>
      <c r="F3995" t="s">
        <v>41</v>
      </c>
      <c r="G3995">
        <v>-266.25330000000002</v>
      </c>
      <c r="H3995">
        <v>1.035015</v>
      </c>
      <c r="I3995">
        <v>-61.013019999999997</v>
      </c>
      <c r="J3995">
        <v>-266.9633</v>
      </c>
      <c r="K3995">
        <v>1.102409</v>
      </c>
      <c r="L3995">
        <v>-61.029879999999999</v>
      </c>
      <c r="M3995">
        <v>0.99993460000000001</v>
      </c>
      <c r="N3995">
        <v>0</v>
      </c>
      <c r="O3995">
        <v>5.4362919999999997E-3</v>
      </c>
      <c r="P3995">
        <v>0.99629069999999997</v>
      </c>
      <c r="Q3995">
        <v>5.4978399999999997E-2</v>
      </c>
      <c r="R3995">
        <v>6.6198880000000002E-2</v>
      </c>
      <c r="S3995">
        <v>3.019714</v>
      </c>
      <c r="T3995">
        <v>-0.2206407</v>
      </c>
      <c r="U3995">
        <v>5.7647709999999998E-2</v>
      </c>
      <c r="V3995">
        <v>-6.0514650000000003E-2</v>
      </c>
      <c r="W3995">
        <v>6.5262940000000005E-2</v>
      </c>
      <c r="X3995">
        <v>0.99603149999999996</v>
      </c>
      <c r="Y3995">
        <v>-1.3629280000000001E-2</v>
      </c>
      <c r="Z3995">
        <v>1.005546E-4</v>
      </c>
      <c r="AA3995">
        <v>0.99990710000000005</v>
      </c>
      <c r="AB3995">
        <v>37</v>
      </c>
      <c r="AC3995">
        <v>0.70999999999997898</v>
      </c>
      <c r="AD3995">
        <v>-6.7393999999999898E-2</v>
      </c>
      <c r="AE3995">
        <v>1.6860000000008299E-2</v>
      </c>
      <c r="AF3995">
        <v>-1.28837705057913E-2</v>
      </c>
      <c r="AG3995">
        <v>-6.7393999999999898E-2</v>
      </c>
      <c r="AH3995">
        <v>0.70374399380072294</v>
      </c>
      <c r="AI3995">
        <v>95.469334154517597</v>
      </c>
      <c r="AJ3995">
        <v>91.048823473230499</v>
      </c>
      <c r="AK3995">
        <v>0.70708100779828498</v>
      </c>
      <c r="AL3995">
        <v>86.258049492211299</v>
      </c>
      <c r="AM3995">
        <v>93.476774891783904</v>
      </c>
      <c r="AN3995">
        <v>1.0000000115971499</v>
      </c>
    </row>
    <row r="3996" spans="1:40" x14ac:dyDescent="0.3">
      <c r="A3996" t="str">
        <f>"20200111154000136"</f>
        <v>20200111154000136</v>
      </c>
      <c r="B3996" t="str">
        <f>"1578728400125412"</f>
        <v>1578728400125412</v>
      </c>
      <c r="C3996" t="s">
        <v>40</v>
      </c>
      <c r="D3996">
        <v>4.9271529999999997</v>
      </c>
      <c r="E3996">
        <v>0.51669979999999904</v>
      </c>
      <c r="F3996" t="s">
        <v>41</v>
      </c>
      <c r="G3996">
        <v>-265.92439999999999</v>
      </c>
      <c r="H3996">
        <v>1.0268469999999901</v>
      </c>
      <c r="I3996">
        <v>-61.011360000000003</v>
      </c>
      <c r="J3996">
        <v>-266.63650000000001</v>
      </c>
      <c r="K3996">
        <v>1.102317</v>
      </c>
      <c r="L3996">
        <v>-61.0295699999999</v>
      </c>
      <c r="M3996">
        <v>0.99994289999999997</v>
      </c>
      <c r="N3996">
        <v>0</v>
      </c>
      <c r="O3996">
        <v>3.5831159999999999E-3</v>
      </c>
      <c r="P3996">
        <v>0.99642109999999995</v>
      </c>
      <c r="Q3996">
        <v>5.5286879999999997E-2</v>
      </c>
      <c r="R3996">
        <v>6.3939940000000001E-2</v>
      </c>
      <c r="S3996">
        <v>3.0196529999999999</v>
      </c>
      <c r="T3996">
        <v>-0.21954389999999999</v>
      </c>
      <c r="U3996">
        <v>5.4595949999999997E-2</v>
      </c>
      <c r="V3996">
        <v>-6.008641E-2</v>
      </c>
      <c r="W3996">
        <v>6.5582689999999999E-2</v>
      </c>
      <c r="X3996">
        <v>0.99603640000000004</v>
      </c>
      <c r="Y3996">
        <v>-1.446571E-2</v>
      </c>
      <c r="Z3996">
        <v>2.6497210000000002E-4</v>
      </c>
      <c r="AA3996">
        <v>0.99989530000000004</v>
      </c>
      <c r="AB3996">
        <v>37</v>
      </c>
      <c r="AC3996">
        <v>0.71210000000002005</v>
      </c>
      <c r="AD3996">
        <v>-7.5470000000000106E-2</v>
      </c>
      <c r="AE3996">
        <v>1.8209999999996201E-2</v>
      </c>
      <c r="AF3996">
        <v>-1.5484405826177E-2</v>
      </c>
      <c r="AG3996">
        <v>-7.5470000000000106E-2</v>
      </c>
      <c r="AH3996">
        <v>0.70425547669126498</v>
      </c>
      <c r="AI3996">
        <v>96.115167408276605</v>
      </c>
      <c r="AJ3996">
        <v>91.259554536137699</v>
      </c>
      <c r="AK3996">
        <v>0.70845696000069802</v>
      </c>
      <c r="AL3996">
        <v>86.239689744891294</v>
      </c>
      <c r="AM3996">
        <v>93.452213803798998</v>
      </c>
      <c r="AN3996">
        <v>0.99999998800964196</v>
      </c>
    </row>
    <row r="3997" spans="1:40" x14ac:dyDescent="0.3">
      <c r="A3997" t="str">
        <f>"20200111154000147"</f>
        <v>20200111154000147</v>
      </c>
      <c r="B3997" t="str">
        <f>"1578728400135172"</f>
        <v>1578728400135172</v>
      </c>
      <c r="C3997" t="s">
        <v>40</v>
      </c>
      <c r="D3997">
        <v>4.9463569999999999</v>
      </c>
      <c r="E3997">
        <v>0.51657659999999905</v>
      </c>
      <c r="F3997" t="s">
        <v>41</v>
      </c>
      <c r="G3997">
        <v>-265.58909999999997</v>
      </c>
      <c r="H3997">
        <v>1.02654</v>
      </c>
      <c r="I3997">
        <v>-61.012830000000001</v>
      </c>
      <c r="J3997">
        <v>-266.42399999999998</v>
      </c>
      <c r="K3997">
        <v>1.1022719999999999</v>
      </c>
      <c r="L3997">
        <v>-61.029789999999998</v>
      </c>
      <c r="M3997">
        <v>0.99994649999999996</v>
      </c>
      <c r="N3997">
        <v>0</v>
      </c>
      <c r="O3997">
        <v>2.374115E-3</v>
      </c>
      <c r="P3997">
        <v>0.99650950000000005</v>
      </c>
      <c r="Q3997">
        <v>5.5258460000000002E-2</v>
      </c>
      <c r="R3997">
        <v>6.2573840000000006E-2</v>
      </c>
      <c r="S3997">
        <v>3.0197449999999999</v>
      </c>
      <c r="T3997">
        <v>-0.2184352</v>
      </c>
      <c r="U3997">
        <v>4.8431399999999999E-2</v>
      </c>
      <c r="V3997">
        <v>-5.991788E-2</v>
      </c>
      <c r="W3997">
        <v>6.5560320000000005E-2</v>
      </c>
      <c r="X3997">
        <v>0.99604800000000004</v>
      </c>
      <c r="Y3997">
        <v>-1.36328E-2</v>
      </c>
      <c r="Z3997">
        <v>3.2088780000000001E-4</v>
      </c>
      <c r="AA3997">
        <v>0.99990699999999999</v>
      </c>
      <c r="AB3997">
        <v>37</v>
      </c>
      <c r="AC3997">
        <v>0.83490000000006104</v>
      </c>
      <c r="AD3997">
        <v>-7.5731999999999897E-2</v>
      </c>
      <c r="AE3997">
        <v>1.6959999999997401E-2</v>
      </c>
      <c r="AF3997">
        <v>-1.4855523516165399E-2</v>
      </c>
      <c r="AG3997">
        <v>-7.5731999999999897E-2</v>
      </c>
      <c r="AH3997">
        <v>0.82812696404011998</v>
      </c>
      <c r="AI3997">
        <v>95.224314849794496</v>
      </c>
      <c r="AJ3997">
        <v>91.027701734613998</v>
      </c>
      <c r="AK3997">
        <v>0.83171527037396997</v>
      </c>
      <c r="AL3997">
        <v>86.240974122080104</v>
      </c>
      <c r="AM3997">
        <v>93.442514379151007</v>
      </c>
      <c r="AN3997">
        <v>0.99999996310309702</v>
      </c>
    </row>
    <row r="3998" spans="1:40" x14ac:dyDescent="0.3">
      <c r="A3998" t="str">
        <f>"20200111154000158"</f>
        <v>20200111154000158</v>
      </c>
      <c r="B3998" t="str">
        <f>"1578728400144932"</f>
        <v>1578728400144932</v>
      </c>
      <c r="C3998" t="s">
        <v>40</v>
      </c>
      <c r="D3998">
        <v>4.9204169999999996</v>
      </c>
      <c r="E3998">
        <v>0.51647989999999999</v>
      </c>
      <c r="F3998" t="s">
        <v>78</v>
      </c>
      <c r="G3998">
        <v>-251.16499999999999</v>
      </c>
      <c r="H3998" s="1">
        <v>2.712649E-7</v>
      </c>
      <c r="I3998">
        <v>-60.800939999999997</v>
      </c>
      <c r="J3998">
        <v>-266.24250000000001</v>
      </c>
      <c r="K3998">
        <v>1.1022369999999999</v>
      </c>
      <c r="L3998">
        <v>-61.030119999999997</v>
      </c>
      <c r="M3998">
        <v>0.99994839999999996</v>
      </c>
      <c r="N3998">
        <v>0</v>
      </c>
      <c r="O3998">
        <v>1.3432610000000001E-3</v>
      </c>
      <c r="P3998">
        <v>0.99657929999999995</v>
      </c>
      <c r="Q3998">
        <v>5.5390969999999998E-2</v>
      </c>
      <c r="R3998">
        <v>6.1330950000000002E-2</v>
      </c>
      <c r="S3998">
        <v>3.0197750000000001</v>
      </c>
      <c r="T3998">
        <v>-0.21814030000000001</v>
      </c>
      <c r="U3998">
        <v>4.5288090000000003E-2</v>
      </c>
      <c r="V3998">
        <v>-5.9696020000000002E-2</v>
      </c>
      <c r="W3998">
        <v>6.5696889999999994E-2</v>
      </c>
      <c r="X3998">
        <v>0.99605239999999995</v>
      </c>
      <c r="Y3998">
        <v>-1.362031E-2</v>
      </c>
      <c r="Z3998">
        <v>3.9437290000000002E-4</v>
      </c>
      <c r="AA3998">
        <v>0.99990710000000005</v>
      </c>
      <c r="AB3998">
        <v>37</v>
      </c>
      <c r="AC3998">
        <v>15.077500000000001</v>
      </c>
      <c r="AD3998">
        <v>-1.1022367287351</v>
      </c>
      <c r="AE3998">
        <v>0.229179999999992</v>
      </c>
      <c r="AF3998">
        <v>-0.207815376833688</v>
      </c>
      <c r="AG3998">
        <v>-1.1022367287351</v>
      </c>
      <c r="AH3998">
        <v>14.9976607295654</v>
      </c>
      <c r="AI3998">
        <v>94.202931814194102</v>
      </c>
      <c r="AJ3998">
        <v>90.7938692744235</v>
      </c>
      <c r="AK3998">
        <v>15.0395458839743</v>
      </c>
      <c r="AL3998">
        <v>86.233132620731993</v>
      </c>
      <c r="AM3998">
        <v>93.429783033049901</v>
      </c>
      <c r="AN3998">
        <v>1.0000000398526301</v>
      </c>
    </row>
    <row r="3999" spans="1:40" x14ac:dyDescent="0.3">
      <c r="A3999" t="str">
        <f>"20200111154000170"</f>
        <v>20200111154000170</v>
      </c>
      <c r="B3999" t="str">
        <f>"1578728400165428"</f>
        <v>1578728400165428</v>
      </c>
      <c r="C3999" t="s">
        <v>40</v>
      </c>
      <c r="D3999">
        <v>4.9403980000000001</v>
      </c>
      <c r="E3999">
        <v>0.51628909999999995</v>
      </c>
      <c r="F3999" t="s">
        <v>41</v>
      </c>
      <c r="G3999">
        <v>-265.25009999999997</v>
      </c>
      <c r="H3999">
        <v>1.03087</v>
      </c>
      <c r="I3999">
        <v>-61.01643</v>
      </c>
      <c r="J3999">
        <v>-266.04719999999998</v>
      </c>
      <c r="K3999">
        <v>1.1022080000000001</v>
      </c>
      <c r="L3999">
        <v>-61.030700000000003</v>
      </c>
      <c r="M3999">
        <v>0.99994930000000004</v>
      </c>
      <c r="N3999">
        <v>0</v>
      </c>
      <c r="O3999">
        <v>2.3880759999999999E-4</v>
      </c>
      <c r="P3999">
        <v>0.99665210000000004</v>
      </c>
      <c r="Q3999">
        <v>5.5613580000000003E-2</v>
      </c>
      <c r="R3999">
        <v>5.9929250000000003E-2</v>
      </c>
      <c r="S3999">
        <v>3.0197449999999999</v>
      </c>
      <c r="T3999">
        <v>-0.2170591</v>
      </c>
      <c r="U3999">
        <v>4.2297359999999999E-2</v>
      </c>
      <c r="V3999">
        <v>-5.9389740000000003E-2</v>
      </c>
      <c r="W3999">
        <v>6.5922410000000001E-2</v>
      </c>
      <c r="X3999">
        <v>0.99605580000000005</v>
      </c>
      <c r="Y3999">
        <v>-1.373196E-2</v>
      </c>
      <c r="Z3999">
        <v>4.7572309999999998E-4</v>
      </c>
      <c r="AA3999">
        <v>0.99990559999999995</v>
      </c>
      <c r="AB3999">
        <v>37</v>
      </c>
      <c r="AC3999">
        <v>0.79710000000000003</v>
      </c>
      <c r="AD3999">
        <v>-7.1337999999999901E-2</v>
      </c>
      <c r="AE3999">
        <v>1.4269999999996201E-2</v>
      </c>
      <c r="AF3999">
        <v>-1.3967794413491301E-2</v>
      </c>
      <c r="AG3999">
        <v>-7.1337999999999901E-2</v>
      </c>
      <c r="AH3999">
        <v>0.79077157162463196</v>
      </c>
      <c r="AI3999">
        <v>95.154079556730395</v>
      </c>
      <c r="AJ3999">
        <v>91.011938823722303</v>
      </c>
      <c r="AK3999">
        <v>0.79410571589333601</v>
      </c>
      <c r="AL3999">
        <v>86.220183171846301</v>
      </c>
      <c r="AM3999">
        <v>93.412216046949496</v>
      </c>
      <c r="AN3999">
        <v>1.0000000310355499</v>
      </c>
    </row>
    <row r="4000" spans="1:40" x14ac:dyDescent="0.3">
      <c r="A4000" t="str">
        <f>"20200111154000182"</f>
        <v>20200111154000182</v>
      </c>
      <c r="B4000" t="str">
        <f>"1578728400175188"</f>
        <v>1578728400175188</v>
      </c>
      <c r="C4000" t="s">
        <v>40</v>
      </c>
      <c r="D4000">
        <v>4.9535629999999999</v>
      </c>
      <c r="E4000">
        <v>0.51618850000000005</v>
      </c>
      <c r="F4000" t="s">
        <v>78</v>
      </c>
      <c r="G4000">
        <v>-250.6362</v>
      </c>
      <c r="H4000" s="1">
        <v>4.9186200000000001E-7</v>
      </c>
      <c r="I4000">
        <v>-60.829169999999998</v>
      </c>
      <c r="J4000">
        <v>-265.85910000000001</v>
      </c>
      <c r="K4000">
        <v>1.1021799999999999</v>
      </c>
      <c r="L4000">
        <v>-61.031460000000003</v>
      </c>
      <c r="M4000">
        <v>0.99994899999999998</v>
      </c>
      <c r="N4000">
        <v>0</v>
      </c>
      <c r="O4000">
        <v>-8.1852360000000002E-4</v>
      </c>
      <c r="P4000">
        <v>0.99673780000000001</v>
      </c>
      <c r="Q4000">
        <v>5.5270039999999999E-2</v>
      </c>
      <c r="R4000">
        <v>5.8815409999999999E-2</v>
      </c>
      <c r="S4000">
        <v>3.0197449999999999</v>
      </c>
      <c r="T4000">
        <v>-0.21597430000000001</v>
      </c>
      <c r="U4000">
        <v>3.9489749999999997E-2</v>
      </c>
      <c r="V4000">
        <v>-5.932743E-2</v>
      </c>
      <c r="W4000">
        <v>6.5582699999999994E-2</v>
      </c>
      <c r="X4000">
        <v>0.99608189999999996</v>
      </c>
      <c r="Y4000">
        <v>-1.3857070000000001E-2</v>
      </c>
      <c r="Z4000">
        <v>5.5334820000000002E-4</v>
      </c>
      <c r="AA4000">
        <v>0.99990389999999996</v>
      </c>
      <c r="AB4000">
        <v>37</v>
      </c>
      <c r="AC4000">
        <v>15.222899999999999</v>
      </c>
      <c r="AD4000">
        <v>-1.1021795081379999</v>
      </c>
      <c r="AE4000">
        <v>0.202289999999997</v>
      </c>
      <c r="AF4000">
        <v>-0.21363117640705501</v>
      </c>
      <c r="AG4000">
        <v>-1.1021795081379999</v>
      </c>
      <c r="AH4000">
        <v>15.143359487082501</v>
      </c>
      <c r="AI4000">
        <v>94.162407115600999</v>
      </c>
      <c r="AJ4000">
        <v>90.808232340893895</v>
      </c>
      <c r="AK4000">
        <v>15.1849193116955</v>
      </c>
      <c r="AL4000">
        <v>86.239689189484494</v>
      </c>
      <c r="AM4000">
        <v>93.408555389016698</v>
      </c>
      <c r="AN4000">
        <v>0.99999999299865205</v>
      </c>
    </row>
    <row r="4001" spans="1:40" x14ac:dyDescent="0.3">
      <c r="A4001" t="str">
        <f>"20200111154000193"</f>
        <v>20200111154000193</v>
      </c>
      <c r="B4001" t="str">
        <f>"1578728400184948"</f>
        <v>1578728400184948</v>
      </c>
      <c r="C4001" t="s">
        <v>40</v>
      </c>
      <c r="D4001">
        <v>4.955991</v>
      </c>
      <c r="E4001">
        <v>0.51615480000000002</v>
      </c>
      <c r="F4001" t="s">
        <v>41</v>
      </c>
      <c r="G4001">
        <v>-264.91129999999998</v>
      </c>
      <c r="H4001">
        <v>1.034124</v>
      </c>
      <c r="I4001">
        <v>-61.019950000000001</v>
      </c>
      <c r="J4001">
        <v>-265.64510000000001</v>
      </c>
      <c r="K4001">
        <v>1.10215</v>
      </c>
      <c r="L4001">
        <v>-61.032440000000001</v>
      </c>
      <c r="M4001">
        <v>0.99994740000000004</v>
      </c>
      <c r="N4001">
        <v>0</v>
      </c>
      <c r="O4001">
        <v>-2.0158070000000001E-3</v>
      </c>
      <c r="P4001">
        <v>0.9968397</v>
      </c>
      <c r="Q4001">
        <v>5.4832730000000003E-2</v>
      </c>
      <c r="R4001">
        <v>5.7481110000000002E-2</v>
      </c>
      <c r="S4001">
        <v>3.0196529999999999</v>
      </c>
      <c r="T4001">
        <v>-0.21679399999999999</v>
      </c>
      <c r="U4001">
        <v>3.6956790000000003E-2</v>
      </c>
      <c r="V4001">
        <v>-5.9184710000000001E-2</v>
      </c>
      <c r="W4001">
        <v>6.5149209999999999E-2</v>
      </c>
      <c r="X4001">
        <v>0.99611879999999997</v>
      </c>
      <c r="Y4001">
        <v>-1.421181E-2</v>
      </c>
      <c r="Z4001">
        <v>6.5402880000000002E-4</v>
      </c>
      <c r="AA4001">
        <v>0.99989879999999998</v>
      </c>
      <c r="AB4001">
        <v>37</v>
      </c>
      <c r="AC4001">
        <v>0.73380000000002998</v>
      </c>
      <c r="AD4001">
        <v>-6.8025999999999906E-2</v>
      </c>
      <c r="AE4001">
        <v>1.24899999999996E-2</v>
      </c>
      <c r="AF4001">
        <v>-1.3850254236386E-2</v>
      </c>
      <c r="AG4001">
        <v>-6.8025999999999906E-2</v>
      </c>
      <c r="AH4001">
        <v>0.727522822855452</v>
      </c>
      <c r="AI4001">
        <v>95.340867651322199</v>
      </c>
      <c r="AJ4001">
        <v>91.090639687364899</v>
      </c>
      <c r="AK4001">
        <v>0.73082749263692703</v>
      </c>
      <c r="AL4001">
        <v>86.264579432698</v>
      </c>
      <c r="AM4001">
        <v>93.400249253228694</v>
      </c>
      <c r="AN4001">
        <v>0.99999995658742302</v>
      </c>
    </row>
    <row r="4002" spans="1:40" x14ac:dyDescent="0.3">
      <c r="A4002" t="str">
        <f>"20200111154000204"</f>
        <v>20200111154000204</v>
      </c>
      <c r="B4002" t="str">
        <f>"1578728400194707"</f>
        <v>1578728400194707</v>
      </c>
      <c r="C4002" t="s">
        <v>40</v>
      </c>
      <c r="D4002">
        <v>4.9503810000000001</v>
      </c>
      <c r="E4002">
        <v>0.51607599999999998</v>
      </c>
      <c r="F4002" t="s">
        <v>78</v>
      </c>
      <c r="G4002">
        <v>-250.375</v>
      </c>
      <c r="H4002" s="1">
        <v>5.957003E-7</v>
      </c>
      <c r="I4002">
        <v>-60.865920000000003</v>
      </c>
      <c r="J4002">
        <v>-265.47109999999998</v>
      </c>
      <c r="K4002">
        <v>1.102125</v>
      </c>
      <c r="L4002">
        <v>-61.033569999999997</v>
      </c>
      <c r="M4002">
        <v>0.99994490000000003</v>
      </c>
      <c r="N4002">
        <v>0</v>
      </c>
      <c r="O4002">
        <v>-2.9777369999999998E-3</v>
      </c>
      <c r="P4002">
        <v>0.99693370000000003</v>
      </c>
      <c r="Q4002">
        <v>5.3980569999999999E-2</v>
      </c>
      <c r="R4002">
        <v>5.6653889999999998E-2</v>
      </c>
      <c r="S4002">
        <v>3.0195620000000001</v>
      </c>
      <c r="T4002">
        <v>-0.2179442</v>
      </c>
      <c r="U4002">
        <v>3.2928470000000001E-2</v>
      </c>
      <c r="V4002">
        <v>-5.9317660000000001E-2</v>
      </c>
      <c r="W4002">
        <v>6.4300800000000005E-2</v>
      </c>
      <c r="X4002">
        <v>0.99616610000000005</v>
      </c>
      <c r="Y4002">
        <v>-1.3838319999999999E-2</v>
      </c>
      <c r="Z4002">
        <v>7.1339509999999995E-4</v>
      </c>
      <c r="AA4002">
        <v>0.99990400000000002</v>
      </c>
      <c r="AB4002">
        <v>37</v>
      </c>
      <c r="AC4002">
        <v>15.0960999999999</v>
      </c>
      <c r="AD4002">
        <v>-1.1021244042997</v>
      </c>
      <c r="AE4002">
        <v>0.16765000000000099</v>
      </c>
      <c r="AF4002">
        <v>-0.21147670633178201</v>
      </c>
      <c r="AG4002">
        <v>-1.1021244042997</v>
      </c>
      <c r="AH4002">
        <v>15.015510192951099</v>
      </c>
      <c r="AI4002">
        <v>94.197513963922006</v>
      </c>
      <c r="AJ4002">
        <v>90.806893774308193</v>
      </c>
      <c r="AK4002">
        <v>15.057388450674001</v>
      </c>
      <c r="AL4002">
        <v>86.313292193283303</v>
      </c>
      <c r="AM4002">
        <v>93.407708014861896</v>
      </c>
      <c r="AN4002">
        <v>1.0000000382288601</v>
      </c>
    </row>
    <row r="4003" spans="1:40" x14ac:dyDescent="0.3">
      <c r="A4003" t="str">
        <f>"20200111154000216"</f>
        <v>20200111154000216</v>
      </c>
      <c r="B4003" t="str">
        <f>"1578728400205444"</f>
        <v>1578728400205444</v>
      </c>
      <c r="C4003" t="s">
        <v>40</v>
      </c>
      <c r="D4003">
        <v>4.933135</v>
      </c>
      <c r="E4003">
        <v>0.51599019999999995</v>
      </c>
      <c r="F4003" t="s">
        <v>41</v>
      </c>
      <c r="G4003">
        <v>-264.5684</v>
      </c>
      <c r="H4003">
        <v>1.0362549999999999</v>
      </c>
      <c r="I4003">
        <v>-61.0246</v>
      </c>
      <c r="J4003">
        <v>-265.2801</v>
      </c>
      <c r="K4003">
        <v>1.102098</v>
      </c>
      <c r="L4003">
        <v>-61.034910000000004</v>
      </c>
      <c r="M4003">
        <v>0.99994119999999997</v>
      </c>
      <c r="N4003">
        <v>0</v>
      </c>
      <c r="O4003">
        <v>-4.0319520000000001E-3</v>
      </c>
      <c r="P4003">
        <v>0.99701439999999997</v>
      </c>
      <c r="Q4003">
        <v>5.3193480000000001E-2</v>
      </c>
      <c r="R4003">
        <v>5.5974780000000002E-2</v>
      </c>
      <c r="S4003">
        <v>3.0194399999999999</v>
      </c>
      <c r="T4003">
        <v>-0.22020729999999999</v>
      </c>
      <c r="U4003">
        <v>3.0883790000000001E-2</v>
      </c>
      <c r="V4003">
        <v>-5.969116E-2</v>
      </c>
      <c r="W4003">
        <v>6.3518469999999994E-2</v>
      </c>
      <c r="X4003">
        <v>0.99619389999999997</v>
      </c>
      <c r="Y4003">
        <v>-1.42112E-2</v>
      </c>
      <c r="Z4003">
        <v>8.1117759999999896E-4</v>
      </c>
      <c r="AA4003">
        <v>0.99989870000000003</v>
      </c>
      <c r="AB4003">
        <v>37</v>
      </c>
      <c r="AC4003">
        <v>0.71170000000000699</v>
      </c>
      <c r="AD4003">
        <v>-6.5843000000000096E-2</v>
      </c>
      <c r="AE4003">
        <v>1.03099999999969E-2</v>
      </c>
      <c r="AF4003">
        <v>-1.30677776128829E-2</v>
      </c>
      <c r="AG4003">
        <v>-6.5843000000000096E-2</v>
      </c>
      <c r="AH4003">
        <v>0.70561452389964496</v>
      </c>
      <c r="AI4003">
        <v>95.330094563258996</v>
      </c>
      <c r="AJ4003">
        <v>91.060980035872603</v>
      </c>
      <c r="AK4003">
        <v>0.70880034128015401</v>
      </c>
      <c r="AL4003">
        <v>86.358207931484301</v>
      </c>
      <c r="AM4003">
        <v>93.429018505936696</v>
      </c>
      <c r="AN4003">
        <v>0.99999995850524703</v>
      </c>
    </row>
    <row r="4004" spans="1:40" x14ac:dyDescent="0.3">
      <c r="A4004" t="str">
        <f>"20200111154000227"</f>
        <v>20200111154000227</v>
      </c>
      <c r="B4004" t="str">
        <f>"1578728400215204"</f>
        <v>1578728400215204</v>
      </c>
      <c r="C4004" t="s">
        <v>40</v>
      </c>
      <c r="D4004">
        <v>4.8927809999999896</v>
      </c>
      <c r="E4004">
        <v>0.51588369999999995</v>
      </c>
      <c r="F4004" t="s">
        <v>41</v>
      </c>
      <c r="G4004">
        <v>-264.24450000000002</v>
      </c>
      <c r="H4004">
        <v>1.025841</v>
      </c>
      <c r="I4004">
        <v>-61.024909999999998</v>
      </c>
      <c r="J4004">
        <v>-265.0754</v>
      </c>
      <c r="K4004">
        <v>1.1020749999999999</v>
      </c>
      <c r="L4004">
        <v>-61.0366199999999</v>
      </c>
      <c r="M4004">
        <v>0.99993609999999999</v>
      </c>
      <c r="N4004">
        <v>0</v>
      </c>
      <c r="O4004">
        <v>-5.1509829999999996E-3</v>
      </c>
      <c r="P4004">
        <v>0.99709420000000004</v>
      </c>
      <c r="Q4004">
        <v>5.2344059999999998E-2</v>
      </c>
      <c r="R4004">
        <v>5.5350480000000001E-2</v>
      </c>
      <c r="S4004">
        <v>3.019196</v>
      </c>
      <c r="T4004">
        <v>-0.22230429999999901</v>
      </c>
      <c r="U4004">
        <v>2.9266360000000002E-2</v>
      </c>
      <c r="V4004">
        <v>-6.0184590000000003E-2</v>
      </c>
      <c r="W4004">
        <v>6.2674250000000001E-2</v>
      </c>
      <c r="X4004">
        <v>0.99621769999999998</v>
      </c>
      <c r="Y4004">
        <v>-1.478987E-2</v>
      </c>
      <c r="Z4004">
        <v>9.2251020000000004E-4</v>
      </c>
      <c r="AA4004">
        <v>0.99989019999999995</v>
      </c>
      <c r="AB4004">
        <v>38</v>
      </c>
      <c r="AC4004">
        <v>0.83089999999998498</v>
      </c>
      <c r="AD4004">
        <v>-7.6233999999999899E-2</v>
      </c>
      <c r="AE4004">
        <v>1.1709999999993601E-2</v>
      </c>
      <c r="AF4004">
        <v>-1.5856561868156101E-2</v>
      </c>
      <c r="AG4004">
        <v>-7.6233999999999899E-2</v>
      </c>
      <c r="AH4004">
        <v>0.82389463108059602</v>
      </c>
      <c r="AI4004">
        <v>95.285485235804401</v>
      </c>
      <c r="AJ4004">
        <v>91.102570512199307</v>
      </c>
      <c r="AK4004">
        <v>0.82756595896261298</v>
      </c>
      <c r="AL4004">
        <v>86.406674814458498</v>
      </c>
      <c r="AM4004">
        <v>93.457213216635196</v>
      </c>
      <c r="AN4004">
        <v>0.99999997613990999</v>
      </c>
    </row>
    <row r="4005" spans="1:40" x14ac:dyDescent="0.3">
      <c r="A4005" t="str">
        <f>"20200111154000241"</f>
        <v>20200111154000241</v>
      </c>
      <c r="B4005" t="str">
        <f>"1578728400234725"</f>
        <v>1578728400234725</v>
      </c>
      <c r="C4005" t="s">
        <v>40</v>
      </c>
      <c r="D4005">
        <v>4.9604850000000003</v>
      </c>
      <c r="E4005">
        <v>0.51573029999999997</v>
      </c>
      <c r="F4005" t="s">
        <v>78</v>
      </c>
      <c r="G4005">
        <v>-250.28110000000001</v>
      </c>
      <c r="H4005" s="1">
        <v>6.2844450000000005E-7</v>
      </c>
      <c r="I4005">
        <v>-60.899940000000001</v>
      </c>
      <c r="J4005">
        <v>-264.86399999999998</v>
      </c>
      <c r="K4005">
        <v>1.1020559999999999</v>
      </c>
      <c r="L4005">
        <v>-61.038600000000002</v>
      </c>
      <c r="M4005">
        <v>0.99992939999999997</v>
      </c>
      <c r="N4005">
        <v>0</v>
      </c>
      <c r="O4005">
        <v>-6.301236E-3</v>
      </c>
      <c r="P4005">
        <v>0.99718059999999997</v>
      </c>
      <c r="Q4005">
        <v>5.1364180000000002E-2</v>
      </c>
      <c r="R4005">
        <v>5.4703910000000001E-2</v>
      </c>
      <c r="S4005">
        <v>3.0190429999999999</v>
      </c>
      <c r="T4005">
        <v>-0.22489819999999999</v>
      </c>
      <c r="U4005">
        <v>2.7893069999999999E-2</v>
      </c>
      <c r="V4005">
        <v>-6.0687520000000002E-2</v>
      </c>
      <c r="W4005">
        <v>6.1700530000000003E-2</v>
      </c>
      <c r="X4005">
        <v>0.99624800000000002</v>
      </c>
      <c r="Y4005">
        <v>-1.5479410000000001E-2</v>
      </c>
      <c r="Z4005">
        <v>1.04451E-3</v>
      </c>
      <c r="AA4005">
        <v>0.99987969999999904</v>
      </c>
      <c r="AB4005">
        <v>38</v>
      </c>
      <c r="AC4005">
        <v>14.5829</v>
      </c>
      <c r="AD4005">
        <v>-1.1020553715554999</v>
      </c>
      <c r="AE4005">
        <v>0.138660000000001</v>
      </c>
      <c r="AF4005">
        <v>-0.229243094985146</v>
      </c>
      <c r="AG4005">
        <v>-1.1020553715554999</v>
      </c>
      <c r="AH4005">
        <v>14.498939414496601</v>
      </c>
      <c r="AI4005">
        <v>94.346117483843102</v>
      </c>
      <c r="AJ4005">
        <v>90.905829530627997</v>
      </c>
      <c r="AK4005">
        <v>14.542569325391501</v>
      </c>
      <c r="AL4005">
        <v>86.462573154661797</v>
      </c>
      <c r="AM4005">
        <v>93.485926559885399</v>
      </c>
      <c r="AN4005">
        <v>1.0000000039950101</v>
      </c>
    </row>
    <row r="4006" spans="1:40" x14ac:dyDescent="0.3">
      <c r="A4006" t="str">
        <f>"20200111154000253"</f>
        <v>20200111154000253</v>
      </c>
      <c r="B4006" t="str">
        <f>"1578728400245460"</f>
        <v>1578728400245460</v>
      </c>
      <c r="C4006" t="s">
        <v>40</v>
      </c>
      <c r="D4006">
        <v>4.9048669999999897</v>
      </c>
      <c r="E4006">
        <v>0.5155978</v>
      </c>
      <c r="F4006" t="s">
        <v>41</v>
      </c>
      <c r="G4006">
        <v>-263.90440000000001</v>
      </c>
      <c r="H4006">
        <v>1.0297620000000001</v>
      </c>
      <c r="I4006">
        <v>-61.030299999999997</v>
      </c>
      <c r="J4006">
        <v>-264.64589999999998</v>
      </c>
      <c r="K4006">
        <v>1.1020380000000001</v>
      </c>
      <c r="L4006">
        <v>-61.04083</v>
      </c>
      <c r="M4006">
        <v>0.99992130000000001</v>
      </c>
      <c r="N4006">
        <v>0</v>
      </c>
      <c r="O4006">
        <v>-7.4827069999999999E-3</v>
      </c>
      <c r="P4006">
        <v>0.99726590000000004</v>
      </c>
      <c r="Q4006">
        <v>5.0423179999999998E-2</v>
      </c>
      <c r="R4006">
        <v>5.4020890000000002E-2</v>
      </c>
      <c r="S4006">
        <v>3.018707</v>
      </c>
      <c r="T4006">
        <v>-0.2272826</v>
      </c>
      <c r="U4006">
        <v>2.6916499999999999E-2</v>
      </c>
      <c r="V4006">
        <v>-6.118556E-2</v>
      </c>
      <c r="W4006">
        <v>6.0765310000000003E-2</v>
      </c>
      <c r="X4006">
        <v>0.99627500000000002</v>
      </c>
      <c r="Y4006">
        <v>-1.6331350000000001E-2</v>
      </c>
      <c r="Z4006">
        <v>1.1765289999999999E-3</v>
      </c>
      <c r="AA4006">
        <v>0.99986589999999997</v>
      </c>
      <c r="AB4006">
        <v>38</v>
      </c>
      <c r="AC4006">
        <v>0.74149999999997296</v>
      </c>
      <c r="AD4006">
        <v>-7.2275999999999702E-2</v>
      </c>
      <c r="AE4006">
        <v>1.0530000000009899E-2</v>
      </c>
      <c r="AF4006">
        <v>-1.5927121863110301E-2</v>
      </c>
      <c r="AG4006">
        <v>-7.2275999999999702E-2</v>
      </c>
      <c r="AH4006">
        <v>0.734424140005001</v>
      </c>
      <c r="AI4006">
        <v>95.619169973500703</v>
      </c>
      <c r="AJ4006">
        <v>91.2423527398049</v>
      </c>
      <c r="AK4006">
        <v>0.73814382799623002</v>
      </c>
      <c r="AL4006">
        <v>86.516257990810104</v>
      </c>
      <c r="AM4006">
        <v>93.514367849132697</v>
      </c>
      <c r="AN4006">
        <v>0.99999998563845405</v>
      </c>
    </row>
    <row r="4007" spans="1:40" x14ac:dyDescent="0.3">
      <c r="A4007" t="str">
        <f>"20200111154000264"</f>
        <v>20200111154000264</v>
      </c>
      <c r="B4007" t="str">
        <f>"1578728400255220"</f>
        <v>1578728400255220</v>
      </c>
      <c r="C4007" t="s">
        <v>40</v>
      </c>
      <c r="D4007">
        <v>4.9017929999999996</v>
      </c>
      <c r="E4007">
        <v>0.51548709999999998</v>
      </c>
      <c r="F4007" t="s">
        <v>78</v>
      </c>
      <c r="G4007">
        <v>-250.1739</v>
      </c>
      <c r="H4007" s="1">
        <v>6.7054249999999998E-7</v>
      </c>
      <c r="I4007">
        <v>-60.917490000000001</v>
      </c>
      <c r="J4007">
        <v>-264.44830000000002</v>
      </c>
      <c r="K4007">
        <v>1.1020219999999901</v>
      </c>
      <c r="L4007">
        <v>-61.043210000000002</v>
      </c>
      <c r="M4007">
        <v>0.99991280000000005</v>
      </c>
      <c r="N4007">
        <v>0</v>
      </c>
      <c r="O4007">
        <v>-8.5471820000000004E-3</v>
      </c>
      <c r="P4007">
        <v>0.99732810000000005</v>
      </c>
      <c r="Q4007">
        <v>4.9762510000000003E-2</v>
      </c>
      <c r="R4007">
        <v>5.3483160000000002E-2</v>
      </c>
      <c r="S4007">
        <v>3.0184630000000001</v>
      </c>
      <c r="T4007">
        <v>-0.22985459999999999</v>
      </c>
      <c r="U4007">
        <v>2.572632E-2</v>
      </c>
      <c r="V4007">
        <v>-6.1711540000000002E-2</v>
      </c>
      <c r="W4007">
        <v>6.0109900000000001E-2</v>
      </c>
      <c r="X4007">
        <v>0.99628229999999995</v>
      </c>
      <c r="Y4007">
        <v>-1.6995730000000001E-2</v>
      </c>
      <c r="Z4007">
        <v>1.296106E-3</v>
      </c>
      <c r="AA4007">
        <v>0.99985469999999999</v>
      </c>
      <c r="AB4007">
        <v>38</v>
      </c>
      <c r="AC4007">
        <v>14.2744</v>
      </c>
      <c r="AD4007">
        <v>-1.1020213294575001</v>
      </c>
      <c r="AE4007">
        <v>0.125719999999994</v>
      </c>
      <c r="AF4007">
        <v>-0.246259828768052</v>
      </c>
      <c r="AG4007">
        <v>-1.1020213294575001</v>
      </c>
      <c r="AH4007">
        <v>14.1882450389851</v>
      </c>
      <c r="AI4007">
        <v>94.440662200648006</v>
      </c>
      <c r="AJ4007">
        <v>90.994360628568799</v>
      </c>
      <c r="AK4007">
        <v>14.233109013849701</v>
      </c>
      <c r="AL4007">
        <v>86.553878929282703</v>
      </c>
      <c r="AM4007">
        <v>93.544476417332106</v>
      </c>
      <c r="AN4007">
        <v>0.99999996777023503</v>
      </c>
    </row>
    <row r="4008" spans="1:40" x14ac:dyDescent="0.3">
      <c r="A4008" t="str">
        <f>"20200111154000280"</f>
        <v>20200111154000280</v>
      </c>
      <c r="B4008" t="str">
        <f>"1578728400274739"</f>
        <v>1578728400274739</v>
      </c>
      <c r="C4008" t="s">
        <v>40</v>
      </c>
      <c r="D4008">
        <v>4.9428179999999999</v>
      </c>
      <c r="E4008">
        <v>0.51534089999999999</v>
      </c>
      <c r="F4008" t="s">
        <v>41</v>
      </c>
      <c r="G4008">
        <v>-263.56349999999998</v>
      </c>
      <c r="H4008">
        <v>1.034162</v>
      </c>
      <c r="I4008">
        <v>-61.035899999999998</v>
      </c>
      <c r="J4008">
        <v>-264.19229999999999</v>
      </c>
      <c r="K4008">
        <v>1.102009</v>
      </c>
      <c r="L4008">
        <v>-61.046480000000003</v>
      </c>
      <c r="M4008">
        <v>0.99989989999999995</v>
      </c>
      <c r="N4008">
        <v>0</v>
      </c>
      <c r="O4008">
        <v>-9.9235399999999998E-3</v>
      </c>
      <c r="P4008">
        <v>0.99736820000000004</v>
      </c>
      <c r="Q4008">
        <v>4.9095319999999998E-2</v>
      </c>
      <c r="R4008">
        <v>5.3352099999999902E-2</v>
      </c>
      <c r="S4008">
        <v>3.0182190000000002</v>
      </c>
      <c r="T4008">
        <v>-0.23150090000000001</v>
      </c>
      <c r="U4008">
        <v>2.4841309999999998E-2</v>
      </c>
      <c r="V4008">
        <v>-6.2954350000000006E-2</v>
      </c>
      <c r="W4008">
        <v>5.9451619999999997E-2</v>
      </c>
      <c r="X4008">
        <v>0.99624409999999997</v>
      </c>
      <c r="Y4008">
        <v>-1.8071259999999999E-2</v>
      </c>
      <c r="Z4008">
        <v>1.45207E-3</v>
      </c>
      <c r="AA4008">
        <v>0.99983569999999999</v>
      </c>
      <c r="AB4008">
        <v>38</v>
      </c>
      <c r="AC4008">
        <v>0.62880000000001202</v>
      </c>
      <c r="AD4008">
        <v>-6.7846999999999894E-2</v>
      </c>
      <c r="AE4008">
        <v>1.05800000000044E-2</v>
      </c>
      <c r="AF4008">
        <v>-1.6626206943573099E-2</v>
      </c>
      <c r="AG4008">
        <v>-6.7846999999999894E-2</v>
      </c>
      <c r="AH4008">
        <v>0.62143123989187699</v>
      </c>
      <c r="AI4008">
        <v>96.228583578006194</v>
      </c>
      <c r="AJ4008">
        <v>91.532565835220595</v>
      </c>
      <c r="AK4008">
        <v>0.62534505041607802</v>
      </c>
      <c r="AL4008">
        <v>86.591663371731102</v>
      </c>
      <c r="AM4008">
        <v>93.615809476262996</v>
      </c>
      <c r="AN4008">
        <v>1.00000002604467</v>
      </c>
    </row>
    <row r="4009" spans="1:40" x14ac:dyDescent="0.3">
      <c r="A4009" t="str">
        <f>"20200111154000292"</f>
        <v>20200111154000292</v>
      </c>
      <c r="B4009" t="str">
        <f>"1578728400285476"</f>
        <v>1578728400285476</v>
      </c>
      <c r="C4009" t="s">
        <v>40</v>
      </c>
      <c r="D4009">
        <v>4.924906</v>
      </c>
      <c r="E4009">
        <v>0.51522179999999995</v>
      </c>
      <c r="F4009" t="s">
        <v>41</v>
      </c>
      <c r="G4009">
        <v>-263.2303</v>
      </c>
      <c r="H4009">
        <v>1.027747</v>
      </c>
      <c r="I4009">
        <v>-61.038559999999997</v>
      </c>
      <c r="J4009">
        <v>-263.99079999999998</v>
      </c>
      <c r="K4009">
        <v>1.1020000000000001</v>
      </c>
      <c r="L4009">
        <v>-61.049320000000002</v>
      </c>
      <c r="M4009">
        <v>0.99988869999999996</v>
      </c>
      <c r="N4009">
        <v>0</v>
      </c>
      <c r="O4009">
        <v>-1.100491E-2</v>
      </c>
      <c r="P4009">
        <v>0.9973881</v>
      </c>
      <c r="Q4009">
        <v>4.9036379999999997E-2</v>
      </c>
      <c r="R4009">
        <v>5.3033419999999998E-2</v>
      </c>
      <c r="S4009">
        <v>3.018005</v>
      </c>
      <c r="T4009">
        <v>-0.23282459999999999</v>
      </c>
      <c r="U4009">
        <v>2.5512699999999999E-2</v>
      </c>
      <c r="V4009">
        <v>-6.3712729999999995E-2</v>
      </c>
      <c r="W4009">
        <v>5.9398300000000001E-2</v>
      </c>
      <c r="X4009">
        <v>0.99619899999999995</v>
      </c>
      <c r="Y4009">
        <v>-1.9367519999999999E-2</v>
      </c>
      <c r="Z4009">
        <v>1.5936749999999999E-3</v>
      </c>
      <c r="AA4009">
        <v>0.99981120000000001</v>
      </c>
      <c r="AB4009">
        <v>38</v>
      </c>
      <c r="AC4009">
        <v>0.76049999999997897</v>
      </c>
      <c r="AD4009">
        <v>-7.4253000000000097E-2</v>
      </c>
      <c r="AE4009">
        <v>1.07599999999976E-2</v>
      </c>
      <c r="AF4009">
        <v>-1.8948408080175901E-2</v>
      </c>
      <c r="AG4009">
        <v>-7.4253000000000097E-2</v>
      </c>
      <c r="AH4009">
        <v>0.75315711430981602</v>
      </c>
      <c r="AI4009">
        <v>95.628767932373606</v>
      </c>
      <c r="AJ4009">
        <v>91.441179825916706</v>
      </c>
      <c r="AK4009">
        <v>0.75704569810102096</v>
      </c>
      <c r="AL4009">
        <v>86.594723561820103</v>
      </c>
      <c r="AM4009">
        <v>93.659414914699994</v>
      </c>
      <c r="AN4009">
        <v>0.99999995880396997</v>
      </c>
    </row>
    <row r="4010" spans="1:40" x14ac:dyDescent="0.3">
      <c r="A4010" t="str">
        <f>"20200111154000303"</f>
        <v>20200111154000303</v>
      </c>
      <c r="B4010" t="str">
        <f>"1578728400295236"</f>
        <v>1578728400295236</v>
      </c>
      <c r="C4010" t="s">
        <v>40</v>
      </c>
      <c r="D4010">
        <v>4.9357139999999999</v>
      </c>
      <c r="E4010">
        <v>0.51519579999999998</v>
      </c>
      <c r="F4010" t="s">
        <v>79</v>
      </c>
      <c r="G4010">
        <v>-249.72559999999999</v>
      </c>
      <c r="H4010" s="1">
        <v>-3.2804430000000001E-6</v>
      </c>
      <c r="I4010">
        <v>-60.92895</v>
      </c>
      <c r="J4010">
        <v>-263.80560000000003</v>
      </c>
      <c r="K4010">
        <v>1.101998</v>
      </c>
      <c r="L4010">
        <v>-61.052190000000003</v>
      </c>
      <c r="M4010">
        <v>0.99987720000000002</v>
      </c>
      <c r="N4010">
        <v>0</v>
      </c>
      <c r="O4010">
        <v>-1.1996720000000001E-2</v>
      </c>
      <c r="P4010">
        <v>0.99738190000000004</v>
      </c>
      <c r="Q4010">
        <v>4.9519399999999998E-2</v>
      </c>
      <c r="R4010">
        <v>5.2699700000000002E-2</v>
      </c>
      <c r="S4010">
        <v>3.017944</v>
      </c>
      <c r="T4010">
        <v>-0.23313980000000001</v>
      </c>
      <c r="U4010">
        <v>2.5451660000000001E-2</v>
      </c>
      <c r="V4010">
        <v>-6.4363989999999996E-2</v>
      </c>
      <c r="W4010">
        <v>5.9886189999999999E-2</v>
      </c>
      <c r="X4010">
        <v>0.99612800000000001</v>
      </c>
      <c r="Y4010">
        <v>-2.033312E-2</v>
      </c>
      <c r="Z4010">
        <v>1.709604E-3</v>
      </c>
      <c r="AA4010">
        <v>0.99979180000000001</v>
      </c>
      <c r="AB4010">
        <v>38</v>
      </c>
      <c r="AC4010">
        <v>14.08</v>
      </c>
      <c r="AD4010">
        <v>-1.1020012804429999</v>
      </c>
      <c r="AE4010">
        <v>0.123240000000002</v>
      </c>
      <c r="AF4010">
        <v>-0.29037490852498599</v>
      </c>
      <c r="AG4010">
        <v>-1.1020012804429999</v>
      </c>
      <c r="AH4010">
        <v>13.991804448548899</v>
      </c>
      <c r="AI4010">
        <v>94.502381410464196</v>
      </c>
      <c r="AJ4010">
        <v>91.188900894130398</v>
      </c>
      <c r="AK4010">
        <v>14.038137915550999</v>
      </c>
      <c r="AL4010">
        <v>86.566719934687299</v>
      </c>
      <c r="AM4010">
        <v>93.696980348053401</v>
      </c>
      <c r="AN4010">
        <v>1.0000000356727099</v>
      </c>
    </row>
    <row r="4011" spans="1:40" x14ac:dyDescent="0.3">
      <c r="A4011" t="str">
        <f>"20200111154000313"</f>
        <v>20200111154000313</v>
      </c>
      <c r="B4011" t="str">
        <f>"1578728400304997"</f>
        <v>1578728400304997</v>
      </c>
      <c r="C4011" t="s">
        <v>40</v>
      </c>
      <c r="D4011">
        <v>4.9377810000000002</v>
      </c>
      <c r="E4011">
        <v>0.51512809999999998</v>
      </c>
      <c r="F4011" t="s">
        <v>41</v>
      </c>
      <c r="G4011">
        <v>-262.88900000000001</v>
      </c>
      <c r="H4011">
        <v>1.031709</v>
      </c>
      <c r="I4011">
        <v>-61.044780000000003</v>
      </c>
      <c r="J4011">
        <v>-263.61509999999998</v>
      </c>
      <c r="K4011">
        <v>1.1019939999999999</v>
      </c>
      <c r="L4011">
        <v>-61.055210000000002</v>
      </c>
      <c r="M4011">
        <v>0.99986450000000004</v>
      </c>
      <c r="N4011">
        <v>0</v>
      </c>
      <c r="O4011">
        <v>-1.301749E-2</v>
      </c>
      <c r="P4011">
        <v>0.99737290000000001</v>
      </c>
      <c r="Q4011">
        <v>5.0015869999999997E-2</v>
      </c>
      <c r="R4011">
        <v>5.2401419999999997E-2</v>
      </c>
      <c r="S4011">
        <v>3.0180660000000001</v>
      </c>
      <c r="T4011">
        <v>-0.2313876</v>
      </c>
      <c r="U4011">
        <v>2.471924E-2</v>
      </c>
      <c r="V4011">
        <v>-6.5080189999999996E-2</v>
      </c>
      <c r="W4011">
        <v>6.0387870000000003E-2</v>
      </c>
      <c r="X4011">
        <v>0.99605109999999997</v>
      </c>
      <c r="Y4011">
        <v>-2.1107040000000001E-2</v>
      </c>
      <c r="Z4011">
        <v>1.8044960000000001E-3</v>
      </c>
      <c r="AA4011">
        <v>0.99977559999999999</v>
      </c>
      <c r="AB4011">
        <v>38</v>
      </c>
      <c r="AC4011">
        <v>0.72609999999997399</v>
      </c>
      <c r="AD4011">
        <v>-7.0285000000000097E-2</v>
      </c>
      <c r="AE4011">
        <v>1.04299999999923E-2</v>
      </c>
      <c r="AF4011">
        <v>-1.9697075030519502E-2</v>
      </c>
      <c r="AG4011">
        <v>-7.0285000000000097E-2</v>
      </c>
      <c r="AH4011">
        <v>0.719165610699674</v>
      </c>
      <c r="AI4011">
        <v>95.579786066149396</v>
      </c>
      <c r="AJ4011">
        <v>91.568869789533906</v>
      </c>
      <c r="AK4011">
        <v>0.72286038181850298</v>
      </c>
      <c r="AL4011">
        <v>86.537923408602893</v>
      </c>
      <c r="AM4011">
        <v>93.738289687606397</v>
      </c>
      <c r="AN4011">
        <v>0.99999995989238999</v>
      </c>
    </row>
    <row r="4012" spans="1:40" x14ac:dyDescent="0.3">
      <c r="A4012" t="str">
        <f>"20200111154000325"</f>
        <v>20200111154000325</v>
      </c>
      <c r="B4012" t="str">
        <f>"1578728400314756"</f>
        <v>1578728400314756</v>
      </c>
      <c r="C4012" t="s">
        <v>40</v>
      </c>
      <c r="D4012">
        <v>4.985309</v>
      </c>
      <c r="E4012">
        <v>0.51512809999999998</v>
      </c>
      <c r="F4012" t="s">
        <v>79</v>
      </c>
      <c r="G4012">
        <v>-249.12119999999999</v>
      </c>
      <c r="H4012" s="1">
        <v>-3.047523E-6</v>
      </c>
      <c r="I4012">
        <v>-60.937759999999997</v>
      </c>
      <c r="J4012">
        <v>-263.43180000000001</v>
      </c>
      <c r="K4012">
        <v>1.1019920000000001</v>
      </c>
      <c r="L4012">
        <v>-61.058410000000002</v>
      </c>
      <c r="M4012">
        <v>0.99985119999999905</v>
      </c>
      <c r="N4012">
        <v>0</v>
      </c>
      <c r="O4012">
        <v>-1.399866E-2</v>
      </c>
      <c r="P4012">
        <v>0.99737410000000004</v>
      </c>
      <c r="Q4012">
        <v>5.0371289999999999E-2</v>
      </c>
      <c r="R4012">
        <v>5.2036409999999998E-2</v>
      </c>
      <c r="S4012">
        <v>3.0181580000000001</v>
      </c>
      <c r="T4012">
        <v>-0.22947600000000001</v>
      </c>
      <c r="U4012">
        <v>2.444458E-2</v>
      </c>
      <c r="V4012">
        <v>-6.5690960000000007E-2</v>
      </c>
      <c r="W4012">
        <v>6.0747700000000002E-2</v>
      </c>
      <c r="X4012">
        <v>0.99598909999999996</v>
      </c>
      <c r="Y4012">
        <v>-2.199315E-2</v>
      </c>
      <c r="Z4012">
        <v>1.897707E-3</v>
      </c>
      <c r="AA4012">
        <v>0.99975630000000004</v>
      </c>
      <c r="AB4012">
        <v>38</v>
      </c>
      <c r="AC4012">
        <v>14.310600000000001</v>
      </c>
      <c r="AD4012">
        <v>-1.101995047523</v>
      </c>
      <c r="AE4012">
        <v>0.120649999999997</v>
      </c>
      <c r="AF4012">
        <v>-0.319085584913331</v>
      </c>
      <c r="AG4012">
        <v>-1.101995047523</v>
      </c>
      <c r="AH4012">
        <v>14.2231733253165</v>
      </c>
      <c r="AI4012">
        <v>94.429249853325501</v>
      </c>
      <c r="AJ4012">
        <v>91.285169681385995</v>
      </c>
      <c r="AK4012">
        <v>14.269368175825401</v>
      </c>
      <c r="AL4012">
        <v>86.517268664876795</v>
      </c>
      <c r="AM4012">
        <v>93.773506425849803</v>
      </c>
      <c r="AN4012">
        <v>0.99999993629990802</v>
      </c>
    </row>
    <row r="4013" spans="1:40" x14ac:dyDescent="0.3">
      <c r="A4013" t="str">
        <f>"20200111154000337"</f>
        <v>20200111154000337</v>
      </c>
      <c r="B4013" t="str">
        <f>"1578728400325493"</f>
        <v>1578728400325493</v>
      </c>
      <c r="C4013" t="s">
        <v>40</v>
      </c>
      <c r="D4013">
        <v>4.944407</v>
      </c>
      <c r="E4013">
        <v>0.51505049999999997</v>
      </c>
      <c r="F4013" t="s">
        <v>79</v>
      </c>
      <c r="G4013">
        <v>-248.86680000000001</v>
      </c>
      <c r="H4013" s="1">
        <v>-2.9406700000000001E-6</v>
      </c>
      <c r="I4013">
        <v>-60.946280000000002</v>
      </c>
      <c r="J4013">
        <v>-263.23349999999999</v>
      </c>
      <c r="K4013">
        <v>1.1019890000000001</v>
      </c>
      <c r="L4013">
        <v>-61.061979999999998</v>
      </c>
      <c r="M4013">
        <v>0.99983580000000005</v>
      </c>
      <c r="N4013">
        <v>0</v>
      </c>
      <c r="O4013">
        <v>-1.506101E-2</v>
      </c>
      <c r="P4013">
        <v>0.99737070000000005</v>
      </c>
      <c r="Q4013">
        <v>5.0937469999999999E-2</v>
      </c>
      <c r="R4013">
        <v>5.1550319999999997E-2</v>
      </c>
      <c r="S4013">
        <v>3.0182190000000002</v>
      </c>
      <c r="T4013">
        <v>-0.22835939999999999</v>
      </c>
      <c r="U4013">
        <v>2.3223879999999999E-2</v>
      </c>
      <c r="V4013">
        <v>-6.6259960000000007E-2</v>
      </c>
      <c r="W4013">
        <v>6.1318839999999999E-2</v>
      </c>
      <c r="X4013">
        <v>0.99591649999999998</v>
      </c>
      <c r="Y4013">
        <v>-2.264702E-2</v>
      </c>
      <c r="Z4013">
        <v>1.9934250000000001E-3</v>
      </c>
      <c r="AA4013">
        <v>0.99974160000000001</v>
      </c>
      <c r="AB4013">
        <v>38</v>
      </c>
      <c r="AC4013">
        <v>14.3666999999999</v>
      </c>
      <c r="AD4013">
        <v>-1.1019919406699901</v>
      </c>
      <c r="AE4013">
        <v>0.11570000000000299</v>
      </c>
      <c r="AF4013">
        <v>-0.33013263329824999</v>
      </c>
      <c r="AG4013">
        <v>-1.1019919406699901</v>
      </c>
      <c r="AH4013">
        <v>14.279319379037</v>
      </c>
      <c r="AI4013">
        <v>94.411822050591098</v>
      </c>
      <c r="AJ4013">
        <v>91.324421492128593</v>
      </c>
      <c r="AK4013">
        <v>14.3255832593794</v>
      </c>
      <c r="AL4013">
        <v>86.484483956000005</v>
      </c>
      <c r="AM4013">
        <v>93.806372651104596</v>
      </c>
      <c r="AN4013">
        <v>1.00000002870519</v>
      </c>
    </row>
    <row r="4014" spans="1:40" x14ac:dyDescent="0.3">
      <c r="A4014" t="str">
        <f>"20200111154000348"</f>
        <v>20200111154000348</v>
      </c>
      <c r="B4014" t="str">
        <f>"1578728400335253"</f>
        <v>1578728400335253</v>
      </c>
      <c r="C4014" t="s">
        <v>40</v>
      </c>
      <c r="D4014">
        <v>4.9668239999999999</v>
      </c>
      <c r="E4014">
        <v>0.51499209999999995</v>
      </c>
      <c r="F4014" t="s">
        <v>41</v>
      </c>
      <c r="G4014">
        <v>-262.21559999999999</v>
      </c>
      <c r="H4014">
        <v>1.025698</v>
      </c>
      <c r="I4014">
        <v>-61.054519999999997</v>
      </c>
      <c r="J4014">
        <v>-263.03559999999999</v>
      </c>
      <c r="K4014">
        <v>1.101985</v>
      </c>
      <c r="L4014">
        <v>-61.065860000000001</v>
      </c>
      <c r="M4014">
        <v>0.99981920000000002</v>
      </c>
      <c r="N4014">
        <v>0</v>
      </c>
      <c r="O4014">
        <v>-1.6120599999999999E-2</v>
      </c>
      <c r="P4014">
        <v>0.99736400000000003</v>
      </c>
      <c r="Q4014">
        <v>5.137278E-2</v>
      </c>
      <c r="R4014">
        <v>5.1245810000000003E-2</v>
      </c>
      <c r="S4014">
        <v>3.0183110000000002</v>
      </c>
      <c r="T4014">
        <v>-0.2262052</v>
      </c>
      <c r="U4014">
        <v>2.2460939999999999E-2</v>
      </c>
      <c r="V4014">
        <v>-6.7008449999999997E-2</v>
      </c>
      <c r="W4014">
        <v>6.1759069999999999E-2</v>
      </c>
      <c r="X4014">
        <v>0.99583920000000004</v>
      </c>
      <c r="Y4014">
        <v>-2.3450390000000002E-2</v>
      </c>
      <c r="Z4014">
        <v>2.0839729999999998E-3</v>
      </c>
      <c r="AA4014">
        <v>0.99972280000000002</v>
      </c>
      <c r="AB4014">
        <v>38</v>
      </c>
      <c r="AC4014">
        <v>0.81999999999999296</v>
      </c>
      <c r="AD4014">
        <v>-7.6286999999999994E-2</v>
      </c>
      <c r="AE4014">
        <v>1.13400000000041E-2</v>
      </c>
      <c r="AF4014">
        <v>-2.4347400943605602E-2</v>
      </c>
      <c r="AG4014">
        <v>-7.6286999999999994E-2</v>
      </c>
      <c r="AH4014">
        <v>0.81267813086459495</v>
      </c>
      <c r="AI4014">
        <v>95.360312656790995</v>
      </c>
      <c r="AJ4014">
        <v>91.716037527098706</v>
      </c>
      <c r="AK4014">
        <v>0.81661389082434799</v>
      </c>
      <c r="AL4014">
        <v>86.459212685244395</v>
      </c>
      <c r="AM4014">
        <v>93.849539790034299</v>
      </c>
      <c r="AN4014">
        <v>1.0000000136776499</v>
      </c>
    </row>
    <row r="4015" spans="1:40" x14ac:dyDescent="0.3">
      <c r="A4015" t="str">
        <f>"20200111154000359"</f>
        <v>20200111154000359</v>
      </c>
      <c r="B4015" t="str">
        <f>"1578728400345012"</f>
        <v>1578728400345012</v>
      </c>
      <c r="C4015" t="s">
        <v>40</v>
      </c>
      <c r="D4015">
        <v>4.9568890000000003</v>
      </c>
      <c r="E4015">
        <v>0.51489879999999999</v>
      </c>
      <c r="F4015" t="s">
        <v>79</v>
      </c>
      <c r="G4015">
        <v>-248.23429999999999</v>
      </c>
      <c r="H4015" s="1">
        <v>-2.6722910000000002E-6</v>
      </c>
      <c r="I4015">
        <v>-60.957450000000001</v>
      </c>
      <c r="J4015">
        <v>-262.85140000000001</v>
      </c>
      <c r="K4015">
        <v>1.1019829999999999</v>
      </c>
      <c r="L4015">
        <v>-61.069609999999997</v>
      </c>
      <c r="M4015">
        <v>0.99980279999999999</v>
      </c>
      <c r="N4015">
        <v>0</v>
      </c>
      <c r="O4015">
        <v>-1.71065E-2</v>
      </c>
      <c r="P4015">
        <v>0.99737140000000002</v>
      </c>
      <c r="Q4015">
        <v>5.1343560000000003E-2</v>
      </c>
      <c r="R4015">
        <v>5.1131089999999997E-2</v>
      </c>
      <c r="S4015">
        <v>3.0183719999999998</v>
      </c>
      <c r="T4015">
        <v>-0.2247238</v>
      </c>
      <c r="U4015">
        <v>2.209473E-2</v>
      </c>
      <c r="V4015">
        <v>-6.7876560000000002E-2</v>
      </c>
      <c r="W4015">
        <v>6.1735279999999997E-2</v>
      </c>
      <c r="X4015">
        <v>0.9957819</v>
      </c>
      <c r="Y4015">
        <v>-2.4311099999999999E-2</v>
      </c>
      <c r="Z4015">
        <v>2.1756169999999999E-3</v>
      </c>
      <c r="AA4015">
        <v>0.99970210000000004</v>
      </c>
      <c r="AB4015">
        <v>38</v>
      </c>
      <c r="AC4015">
        <v>14.617100000000001</v>
      </c>
      <c r="AD4015">
        <v>-1.101985672291</v>
      </c>
      <c r="AE4015">
        <v>0.112159999999995</v>
      </c>
      <c r="AF4015">
        <v>-0.36015683201888599</v>
      </c>
      <c r="AG4015">
        <v>-1.101985672291</v>
      </c>
      <c r="AH4015">
        <v>14.5304605495643</v>
      </c>
      <c r="AI4015">
        <v>94.335665546512701</v>
      </c>
      <c r="AJ4015">
        <v>91.419861541206501</v>
      </c>
      <c r="AK4015">
        <v>14.576637786129901</v>
      </c>
      <c r="AL4015">
        <v>86.460578423694201</v>
      </c>
      <c r="AM4015">
        <v>93.899482287414301</v>
      </c>
      <c r="AN4015">
        <v>1.00000003228086</v>
      </c>
    </row>
    <row r="4016" spans="1:40" x14ac:dyDescent="0.3">
      <c r="A4016" t="str">
        <f>"20200111154000371"</f>
        <v>20200111154000371</v>
      </c>
      <c r="B4016" t="str">
        <f>"1578728400365507"</f>
        <v>1578728400365507</v>
      </c>
      <c r="C4016" t="s">
        <v>40</v>
      </c>
      <c r="D4016">
        <v>4.9777509999999996</v>
      </c>
      <c r="E4016">
        <v>0.51474390000000003</v>
      </c>
      <c r="F4016" t="s">
        <v>41</v>
      </c>
      <c r="G4016">
        <v>-261.87060000000002</v>
      </c>
      <c r="H4016">
        <v>1.0289699999999999</v>
      </c>
      <c r="I4016">
        <v>-61.062469999999998</v>
      </c>
      <c r="J4016">
        <v>-262.64749999999998</v>
      </c>
      <c r="K4016">
        <v>1.101974</v>
      </c>
      <c r="L4016">
        <v>-61.073909999999998</v>
      </c>
      <c r="M4016">
        <v>0.99978350000000005</v>
      </c>
      <c r="N4016">
        <v>0</v>
      </c>
      <c r="O4016">
        <v>-1.8198249999999999E-2</v>
      </c>
      <c r="P4016">
        <v>0.997394</v>
      </c>
      <c r="Q4016">
        <v>5.143677E-2</v>
      </c>
      <c r="R4016">
        <v>5.0591730000000001E-2</v>
      </c>
      <c r="S4016">
        <v>3.0183110000000002</v>
      </c>
      <c r="T4016">
        <v>-0.22460450000000001</v>
      </c>
      <c r="U4016">
        <v>2.23999E-2</v>
      </c>
      <c r="V4016">
        <v>-6.8424550000000001E-2</v>
      </c>
      <c r="W4016">
        <v>6.1832850000000002E-2</v>
      </c>
      <c r="X4016">
        <v>0.99573829999999997</v>
      </c>
      <c r="Y4016">
        <v>-2.5497769999999999E-2</v>
      </c>
      <c r="Z4016">
        <v>2.2997249999999999E-3</v>
      </c>
      <c r="AA4016">
        <v>0.99967220000000001</v>
      </c>
      <c r="AB4016">
        <v>38</v>
      </c>
      <c r="AC4016">
        <v>0.77689999999995496</v>
      </c>
      <c r="AD4016">
        <v>-7.3003999999999805E-2</v>
      </c>
      <c r="AE4016">
        <v>1.1440000000000301E-2</v>
      </c>
      <c r="AF4016">
        <v>-2.5353223620479402E-2</v>
      </c>
      <c r="AG4016">
        <v>-7.3003999999999805E-2</v>
      </c>
      <c r="AH4016">
        <v>0.76976752149040195</v>
      </c>
      <c r="AI4016">
        <v>95.414752893143998</v>
      </c>
      <c r="AJ4016">
        <v>91.8864238131424</v>
      </c>
      <c r="AK4016">
        <v>0.77363712883071101</v>
      </c>
      <c r="AL4016">
        <v>86.454977228386497</v>
      </c>
      <c r="AM4016">
        <v>93.9310373811944</v>
      </c>
      <c r="AN4016">
        <v>0.99999999123435701</v>
      </c>
    </row>
    <row r="4017" spans="1:40" x14ac:dyDescent="0.3">
      <c r="A4017" t="str">
        <f>"20200111154000382"</f>
        <v>20200111154000382</v>
      </c>
      <c r="B4017" t="str">
        <f>"1578728400375268"</f>
        <v>1578728400375268</v>
      </c>
      <c r="C4017" t="s">
        <v>40</v>
      </c>
      <c r="D4017">
        <v>4.9103940000000001</v>
      </c>
      <c r="E4017">
        <v>0.51469109999999996</v>
      </c>
      <c r="F4017" t="s">
        <v>79</v>
      </c>
      <c r="G4017">
        <v>-247.80500000000001</v>
      </c>
      <c r="H4017" s="1">
        <v>-2.490411E-6</v>
      </c>
      <c r="I4017">
        <v>-60.965949999999999</v>
      </c>
      <c r="J4017">
        <v>-262.46550000000002</v>
      </c>
      <c r="K4017">
        <v>1.101974</v>
      </c>
      <c r="L4017">
        <v>-61.078060000000001</v>
      </c>
      <c r="M4017">
        <v>0.99976529999999997</v>
      </c>
      <c r="N4017">
        <v>0</v>
      </c>
      <c r="O4017">
        <v>-1.9168850000000001E-2</v>
      </c>
      <c r="P4017">
        <v>0.99741979999999997</v>
      </c>
      <c r="Q4017">
        <v>5.1214099999999999E-2</v>
      </c>
      <c r="R4017">
        <v>5.0307850000000001E-2</v>
      </c>
      <c r="S4017">
        <v>3.0182799999999999</v>
      </c>
      <c r="T4017">
        <v>-0.22409219999999999</v>
      </c>
      <c r="U4017">
        <v>2.1942139999999999E-2</v>
      </c>
      <c r="V4017">
        <v>-6.9109669999999998E-2</v>
      </c>
      <c r="W4017">
        <v>6.1614870000000002E-2</v>
      </c>
      <c r="X4017">
        <v>0.99570449999999999</v>
      </c>
      <c r="Y4017">
        <v>-2.631236E-2</v>
      </c>
      <c r="Z4017">
        <v>2.3966740000000001E-3</v>
      </c>
      <c r="AA4017">
        <v>0.99965090000000001</v>
      </c>
      <c r="AB4017">
        <v>38</v>
      </c>
      <c r="AC4017">
        <v>14.660500000000001</v>
      </c>
      <c r="AD4017">
        <v>-1.1019764904109901</v>
      </c>
      <c r="AE4017">
        <v>0.112110000000001</v>
      </c>
      <c r="AF4017">
        <v>-0.390920081220681</v>
      </c>
      <c r="AG4017">
        <v>-1.1019764904109901</v>
      </c>
      <c r="AH4017">
        <v>14.5733226845893</v>
      </c>
      <c r="AI4017">
        <v>94.322699955868998</v>
      </c>
      <c r="AJ4017">
        <v>91.536554252815094</v>
      </c>
      <c r="AK4017">
        <v>14.6201540609012</v>
      </c>
      <c r="AL4017">
        <v>86.467490435228896</v>
      </c>
      <c r="AM4017">
        <v>93.970407081778205</v>
      </c>
      <c r="AN4017">
        <v>0.99999999500643699</v>
      </c>
    </row>
    <row r="4018" spans="1:40" x14ac:dyDescent="0.3">
      <c r="A4018" t="str">
        <f>"20200111154000393"</f>
        <v>20200111154000393</v>
      </c>
      <c r="B4018" t="str">
        <f>"1578728400385028"</f>
        <v>1578728400385028</v>
      </c>
      <c r="C4018" t="s">
        <v>40</v>
      </c>
      <c r="D4018">
        <v>4.915082</v>
      </c>
      <c r="E4018">
        <v>0.51462619999999903</v>
      </c>
      <c r="F4018" t="s">
        <v>79</v>
      </c>
      <c r="G4018">
        <v>-247.66</v>
      </c>
      <c r="H4018" s="1">
        <v>-2.429952E-6</v>
      </c>
      <c r="I4018">
        <v>-60.972610000000003</v>
      </c>
      <c r="J4018">
        <v>-262.2758</v>
      </c>
      <c r="K4018">
        <v>1.101972</v>
      </c>
      <c r="L4018">
        <v>-61.082430000000002</v>
      </c>
      <c r="M4018">
        <v>0.99974540000000001</v>
      </c>
      <c r="N4018">
        <v>0</v>
      </c>
      <c r="O4018">
        <v>-2.017913E-2</v>
      </c>
      <c r="P4018">
        <v>0.99742310000000001</v>
      </c>
      <c r="Q4018">
        <v>5.1224789999999999E-2</v>
      </c>
      <c r="R4018">
        <v>5.0233109999999997E-2</v>
      </c>
      <c r="S4018">
        <v>3.0182190000000002</v>
      </c>
      <c r="T4018">
        <v>-0.22464680000000001</v>
      </c>
      <c r="U4018">
        <v>2.1484380000000001E-2</v>
      </c>
      <c r="V4018">
        <v>-7.004204E-2</v>
      </c>
      <c r="W4018">
        <v>6.163105E-2</v>
      </c>
      <c r="X4018">
        <v>0.99563840000000003</v>
      </c>
      <c r="Y4018">
        <v>-2.71653E-2</v>
      </c>
      <c r="Z4018">
        <v>2.5094230000000002E-3</v>
      </c>
      <c r="AA4018">
        <v>0.99962779999999996</v>
      </c>
      <c r="AB4018">
        <v>38</v>
      </c>
      <c r="AC4018">
        <v>14.6158</v>
      </c>
      <c r="AD4018">
        <v>-1.101974429952</v>
      </c>
      <c r="AE4018">
        <v>0.109820000000006</v>
      </c>
      <c r="AF4018">
        <v>-0.40245911902056197</v>
      </c>
      <c r="AG4018">
        <v>-1.101974429952</v>
      </c>
      <c r="AH4018">
        <v>14.5280264859935</v>
      </c>
      <c r="AI4018">
        <v>94.336014775819294</v>
      </c>
      <c r="AJ4018">
        <v>91.586816559155906</v>
      </c>
      <c r="AK4018">
        <v>14.5753173057906</v>
      </c>
      <c r="AL4018">
        <v>86.466561813997501</v>
      </c>
      <c r="AM4018">
        <v>94.024063975646698</v>
      </c>
      <c r="AN4018">
        <v>1.0000000486230101</v>
      </c>
    </row>
    <row r="4019" spans="1:40" x14ac:dyDescent="0.3">
      <c r="A4019" t="str">
        <f>"20200111154000405"</f>
        <v>20200111154000405</v>
      </c>
      <c r="B4019" t="str">
        <f>"1578728400394788"</f>
        <v>1578728400394788</v>
      </c>
      <c r="C4019" t="s">
        <v>40</v>
      </c>
      <c r="D4019">
        <v>4.8843199999999998</v>
      </c>
      <c r="E4019">
        <v>0.51450569999999995</v>
      </c>
      <c r="F4019" t="s">
        <v>79</v>
      </c>
      <c r="G4019">
        <v>-247.4726</v>
      </c>
      <c r="H4019" s="1">
        <v>-2.3501810000000001E-6</v>
      </c>
      <c r="I4019">
        <v>-60.974899999999998</v>
      </c>
      <c r="J4019">
        <v>-262.07600000000002</v>
      </c>
      <c r="K4019">
        <v>1.1019730000000001</v>
      </c>
      <c r="L4019">
        <v>-61.0873699999999</v>
      </c>
      <c r="M4019">
        <v>0.99972369999999999</v>
      </c>
      <c r="N4019">
        <v>0</v>
      </c>
      <c r="O4019">
        <v>-2.1231050000000001E-2</v>
      </c>
      <c r="P4019">
        <v>0.9974558</v>
      </c>
      <c r="Q4019">
        <v>5.101547E-2</v>
      </c>
      <c r="R4019">
        <v>4.9792429999999999E-2</v>
      </c>
      <c r="S4019">
        <v>3.0181879999999999</v>
      </c>
      <c r="T4019">
        <v>-0.22467909999999999</v>
      </c>
      <c r="U4019">
        <v>2.191162E-2</v>
      </c>
      <c r="V4019">
        <v>-7.0651569999999997E-2</v>
      </c>
      <c r="W4019">
        <v>6.1424970000000002E-2</v>
      </c>
      <c r="X4019">
        <v>0.99560800000000005</v>
      </c>
      <c r="Y4019">
        <v>-2.8352410000000001E-2</v>
      </c>
      <c r="Z4019">
        <v>2.6321209999999999E-3</v>
      </c>
      <c r="AA4019">
        <v>0.99959450000000005</v>
      </c>
      <c r="AB4019">
        <v>38</v>
      </c>
      <c r="AC4019">
        <v>14.603399999999899</v>
      </c>
      <c r="AD4019">
        <v>-1.1019753501809999</v>
      </c>
      <c r="AE4019">
        <v>0.11246999999999401</v>
      </c>
      <c r="AF4019">
        <v>-0.42011385168506399</v>
      </c>
      <c r="AG4019">
        <v>-1.1019753501809999</v>
      </c>
      <c r="AH4019">
        <v>14.515072609808</v>
      </c>
      <c r="AI4019">
        <v>94.339721418903807</v>
      </c>
      <c r="AJ4019">
        <v>91.657865115427796</v>
      </c>
      <c r="AK4019">
        <v>14.562904181130399</v>
      </c>
      <c r="AL4019">
        <v>86.478391500872704</v>
      </c>
      <c r="AM4019">
        <v>94.059089746906295</v>
      </c>
      <c r="AN4019">
        <v>0.99999998047348204</v>
      </c>
    </row>
    <row r="4020" spans="1:40" x14ac:dyDescent="0.3">
      <c r="A4020" t="str">
        <f>"20200111154000417"</f>
        <v>20200111154000417</v>
      </c>
      <c r="B4020" t="str">
        <f>"1578728400405525"</f>
        <v>1578728400405525</v>
      </c>
      <c r="C4020" t="s">
        <v>40</v>
      </c>
      <c r="D4020">
        <v>4.906555</v>
      </c>
      <c r="E4020">
        <v>0.51447860000000001</v>
      </c>
      <c r="F4020" t="s">
        <v>79</v>
      </c>
      <c r="G4020">
        <v>-247.3441</v>
      </c>
      <c r="H4020" s="1">
        <v>-2.2967369999999999E-6</v>
      </c>
      <c r="I4020">
        <v>-60.981250000000003</v>
      </c>
      <c r="J4020">
        <v>-261.87599999999998</v>
      </c>
      <c r="K4020">
        <v>1.101977</v>
      </c>
      <c r="L4020">
        <v>-61.092410000000001</v>
      </c>
      <c r="M4020">
        <v>0.99970079999999995</v>
      </c>
      <c r="N4020">
        <v>0</v>
      </c>
      <c r="O4020">
        <v>-2.2278619999999999E-2</v>
      </c>
      <c r="P4020">
        <v>0.99749639999999995</v>
      </c>
      <c r="Q4020">
        <v>5.0681810000000001E-2</v>
      </c>
      <c r="R4020">
        <v>4.9318910000000001E-2</v>
      </c>
      <c r="S4020">
        <v>3.0181580000000001</v>
      </c>
      <c r="T4020">
        <v>-0.2257632</v>
      </c>
      <c r="U4020">
        <v>2.1728520000000001E-2</v>
      </c>
      <c r="V4020">
        <v>-7.1225549999999999E-2</v>
      </c>
      <c r="W4020">
        <v>6.109419E-2</v>
      </c>
      <c r="X4020">
        <v>0.99558749999999996</v>
      </c>
      <c r="Y4020">
        <v>-2.933229E-2</v>
      </c>
      <c r="Z4020">
        <v>2.7596539999999998E-3</v>
      </c>
      <c r="AA4020">
        <v>0.99956590000000001</v>
      </c>
      <c r="AB4020">
        <v>38</v>
      </c>
      <c r="AC4020">
        <v>14.531899999999901</v>
      </c>
      <c r="AD4020">
        <v>-1.1019792967369999</v>
      </c>
      <c r="AE4020">
        <v>0.111159999999998</v>
      </c>
      <c r="AF4020">
        <v>-0.432413167431487</v>
      </c>
      <c r="AG4020">
        <v>-1.1019792967369999</v>
      </c>
      <c r="AH4020">
        <v>14.442768602848099</v>
      </c>
      <c r="AI4020">
        <v>94.361251710432796</v>
      </c>
      <c r="AJ4020">
        <v>91.714910162969304</v>
      </c>
      <c r="AK4020">
        <v>14.491200931365899</v>
      </c>
      <c r="AL4020">
        <v>86.497379615888093</v>
      </c>
      <c r="AM4020">
        <v>94.092038575911303</v>
      </c>
      <c r="AN4020">
        <v>1.0000000245903999</v>
      </c>
    </row>
    <row r="4021" spans="1:40" x14ac:dyDescent="0.3">
      <c r="A4021" t="str">
        <f>"20200111154000428"</f>
        <v>20200111154000428</v>
      </c>
      <c r="B4021" t="str">
        <f>"1578728400425045"</f>
        <v>1578728400425045</v>
      </c>
      <c r="C4021" t="s">
        <v>40</v>
      </c>
      <c r="D4021">
        <v>4.8769080000000002</v>
      </c>
      <c r="E4021">
        <v>0.51437879999999903</v>
      </c>
      <c r="F4021" t="s">
        <v>41</v>
      </c>
      <c r="G4021">
        <v>-260.8537</v>
      </c>
      <c r="H4021">
        <v>1.0250680000000001</v>
      </c>
      <c r="I4021">
        <v>-61.085590000000003</v>
      </c>
      <c r="J4021">
        <v>-261.68040000000002</v>
      </c>
      <c r="K4021">
        <v>1.101987</v>
      </c>
      <c r="L4021">
        <v>-61.0976</v>
      </c>
      <c r="M4021">
        <v>0.99967799999999996</v>
      </c>
      <c r="N4021">
        <v>0</v>
      </c>
      <c r="O4021">
        <v>-2.328413E-2</v>
      </c>
      <c r="P4021">
        <v>0.9975522</v>
      </c>
      <c r="Q4021">
        <v>4.9973700000000003E-2</v>
      </c>
      <c r="R4021">
        <v>4.891214E-2</v>
      </c>
      <c r="S4021">
        <v>3.0180660000000001</v>
      </c>
      <c r="T4021">
        <v>-0.2269631</v>
      </c>
      <c r="U4021">
        <v>2.0690920000000002E-2</v>
      </c>
      <c r="V4021">
        <v>-7.1827730000000006E-2</v>
      </c>
      <c r="W4021">
        <v>6.038835E-2</v>
      </c>
      <c r="X4021">
        <v>0.99558729999999995</v>
      </c>
      <c r="Y4021">
        <v>-2.9988009999999999E-2</v>
      </c>
      <c r="Z4021">
        <v>2.8744859999999999E-3</v>
      </c>
      <c r="AA4021">
        <v>0.99954609999999999</v>
      </c>
      <c r="AB4021">
        <v>38</v>
      </c>
      <c r="AC4021">
        <v>0.82670000000001598</v>
      </c>
      <c r="AD4021">
        <v>-7.6918999999999904E-2</v>
      </c>
      <c r="AE4021">
        <v>1.2009999999996499E-2</v>
      </c>
      <c r="AF4021">
        <v>-3.09884999213264E-2</v>
      </c>
      <c r="AG4021">
        <v>-7.6918999999999904E-2</v>
      </c>
      <c r="AH4021">
        <v>0.81910661770710402</v>
      </c>
      <c r="AI4021">
        <v>95.360870700510304</v>
      </c>
      <c r="AJ4021">
        <v>92.166584754251204</v>
      </c>
      <c r="AK4021">
        <v>0.82329367230651396</v>
      </c>
      <c r="AL4021">
        <v>86.537896077753999</v>
      </c>
      <c r="AM4021">
        <v>94.126516734848806</v>
      </c>
      <c r="AN4021">
        <v>1.0000000237669799</v>
      </c>
    </row>
    <row r="4022" spans="1:40" x14ac:dyDescent="0.3">
      <c r="A4022" t="str">
        <f>"20200111154000440"</f>
        <v>20200111154000440</v>
      </c>
      <c r="B4022" t="str">
        <f>"1578728400434804"</f>
        <v>1578728400434804</v>
      </c>
      <c r="C4022" t="s">
        <v>40</v>
      </c>
      <c r="D4022">
        <v>4.8517679999999999</v>
      </c>
      <c r="E4022">
        <v>0.51436329999999997</v>
      </c>
      <c r="F4022" t="s">
        <v>79</v>
      </c>
      <c r="G4022">
        <v>-247.17580000000001</v>
      </c>
      <c r="H4022" s="1">
        <v>-2.2296440000000002E-6</v>
      </c>
      <c r="I4022">
        <v>-61.000430000000001</v>
      </c>
      <c r="J4022">
        <v>-261.47669999999999</v>
      </c>
      <c r="K4022">
        <v>1.1020049999999999</v>
      </c>
      <c r="L4022">
        <v>-61.103180000000002</v>
      </c>
      <c r="M4022">
        <v>0.99965329999999997</v>
      </c>
      <c r="N4022">
        <v>0</v>
      </c>
      <c r="O4022">
        <v>-2.4316009999999999E-2</v>
      </c>
      <c r="P4022">
        <v>0.99760990000000005</v>
      </c>
      <c r="Q4022">
        <v>4.9358449999999998E-2</v>
      </c>
      <c r="R4022">
        <v>4.8358529999999997E-2</v>
      </c>
      <c r="S4022">
        <v>3.0178530000000001</v>
      </c>
      <c r="T4022">
        <v>-0.22928129999999999</v>
      </c>
      <c r="U4022">
        <v>2.0202640000000001E-2</v>
      </c>
      <c r="V4022">
        <v>-7.2309880000000007E-2</v>
      </c>
      <c r="W4022">
        <v>5.9772899999999997E-2</v>
      </c>
      <c r="X4022">
        <v>0.99558950000000002</v>
      </c>
      <c r="Y4022">
        <v>-3.0849970000000001E-2</v>
      </c>
      <c r="Z4022">
        <v>3.014938E-3</v>
      </c>
      <c r="AA4022">
        <v>0.99951950000000001</v>
      </c>
      <c r="AB4022">
        <v>38</v>
      </c>
      <c r="AC4022">
        <v>14.300899999999899</v>
      </c>
      <c r="AD4022">
        <v>-1.102007229644</v>
      </c>
      <c r="AE4022">
        <v>0.10274999999999999</v>
      </c>
      <c r="AF4022">
        <v>-0.44781915668320599</v>
      </c>
      <c r="AG4022">
        <v>-1.102007229644</v>
      </c>
      <c r="AH4022">
        <v>14.209798702361701</v>
      </c>
      <c r="AI4022">
        <v>94.432370294502405</v>
      </c>
      <c r="AJ4022">
        <v>91.805068378698607</v>
      </c>
      <c r="AK4022">
        <v>14.259500029556399</v>
      </c>
      <c r="AL4022">
        <v>86.573222449753104</v>
      </c>
      <c r="AM4022">
        <v>94.154110547777805</v>
      </c>
      <c r="AN4022">
        <v>0.99999998541513702</v>
      </c>
    </row>
    <row r="4023" spans="1:40" x14ac:dyDescent="0.3">
      <c r="A4023" t="str">
        <f>"20200111154000453"</f>
        <v>20200111154000453</v>
      </c>
      <c r="B4023" t="str">
        <f>"1578728400445540"</f>
        <v>1578728400445540</v>
      </c>
      <c r="C4023" t="s">
        <v>40</v>
      </c>
      <c r="D4023">
        <v>4.8893769999999996</v>
      </c>
      <c r="E4023">
        <v>0.5143394</v>
      </c>
      <c r="F4023" t="s">
        <v>79</v>
      </c>
      <c r="G4023">
        <v>-247.0874</v>
      </c>
      <c r="H4023" s="1">
        <v>-2.1952140000000001E-6</v>
      </c>
      <c r="I4023">
        <v>-61.013480000000001</v>
      </c>
      <c r="J4023">
        <v>-261.25369999999998</v>
      </c>
      <c r="K4023">
        <v>1.102025</v>
      </c>
      <c r="L4023">
        <v>-61.109470000000002</v>
      </c>
      <c r="M4023">
        <v>0.99962569999999995</v>
      </c>
      <c r="N4023">
        <v>0</v>
      </c>
      <c r="O4023">
        <v>-2.542931E-2</v>
      </c>
      <c r="P4023">
        <v>0.99769289999999999</v>
      </c>
      <c r="Q4023">
        <v>4.8656619999999998E-2</v>
      </c>
      <c r="R4023">
        <v>4.7349960000000003E-2</v>
      </c>
      <c r="S4023">
        <v>3.0177309999999999</v>
      </c>
      <c r="T4023">
        <v>-0.23111329999999999</v>
      </c>
      <c r="U4023">
        <v>1.8798829999999999E-2</v>
      </c>
      <c r="V4023">
        <v>-7.2420219999999993E-2</v>
      </c>
      <c r="W4023">
        <v>5.9068429999999998E-2</v>
      </c>
      <c r="X4023">
        <v>0.99562349999999999</v>
      </c>
      <c r="Y4023">
        <v>-3.149076E-2</v>
      </c>
      <c r="Z4023">
        <v>3.148709E-3</v>
      </c>
      <c r="AA4023">
        <v>0.99949909999999997</v>
      </c>
      <c r="AB4023">
        <v>38</v>
      </c>
      <c r="AC4023">
        <v>14.1662999999999</v>
      </c>
      <c r="AD4023">
        <v>-1.1020271952139999</v>
      </c>
      <c r="AE4023">
        <v>9.5989999999993303E-2</v>
      </c>
      <c r="AF4023">
        <v>-0.45347241211957601</v>
      </c>
      <c r="AG4023">
        <v>-1.1020271952139999</v>
      </c>
      <c r="AH4023">
        <v>14.074110114911001</v>
      </c>
      <c r="AI4023">
        <v>94.474910707852004</v>
      </c>
      <c r="AJ4023">
        <v>91.845450237304306</v>
      </c>
      <c r="AK4023">
        <v>14.124470846519699</v>
      </c>
      <c r="AL4023">
        <v>86.613656971947094</v>
      </c>
      <c r="AM4023">
        <v>94.160285621265203</v>
      </c>
      <c r="AN4023">
        <v>0.99999996071987995</v>
      </c>
    </row>
    <row r="4024" spans="1:40" x14ac:dyDescent="0.3">
      <c r="A4024" t="str">
        <f>"20200111154000464"</f>
        <v>20200111154000464</v>
      </c>
      <c r="B4024" t="str">
        <f>"1578728400455300"</f>
        <v>1578728400455300</v>
      </c>
      <c r="C4024" t="s">
        <v>40</v>
      </c>
      <c r="D4024">
        <v>4.8868559999999999</v>
      </c>
      <c r="E4024">
        <v>0.51431879999999996</v>
      </c>
      <c r="F4024" t="s">
        <v>79</v>
      </c>
      <c r="G4024">
        <v>-246.97929999999999</v>
      </c>
      <c r="H4024" s="1">
        <v>-2.1541120000000002E-6</v>
      </c>
      <c r="I4024">
        <v>-61.033329999999999</v>
      </c>
      <c r="J4024">
        <v>-261.07589999999999</v>
      </c>
      <c r="K4024">
        <v>1.1020490000000001</v>
      </c>
      <c r="L4024">
        <v>-61.114750000000001</v>
      </c>
      <c r="M4024">
        <v>0.99960360000000004</v>
      </c>
      <c r="N4024">
        <v>0</v>
      </c>
      <c r="O4024">
        <v>-2.6281019999999999E-2</v>
      </c>
      <c r="P4024">
        <v>0.99777579999999999</v>
      </c>
      <c r="Q4024">
        <v>4.7849540000000003E-2</v>
      </c>
      <c r="R4024">
        <v>4.6412490000000001E-2</v>
      </c>
      <c r="S4024">
        <v>3.0175779999999999</v>
      </c>
      <c r="T4024">
        <v>-0.2329667</v>
      </c>
      <c r="U4024">
        <v>1.6082760000000001E-2</v>
      </c>
      <c r="V4024">
        <v>-7.2342020000000007E-2</v>
      </c>
      <c r="W4024">
        <v>5.8257780000000002E-2</v>
      </c>
      <c r="X4024">
        <v>0.99567700000000003</v>
      </c>
      <c r="Y4024">
        <v>-3.1438010000000002E-2</v>
      </c>
      <c r="Z4024">
        <v>3.2376589999999999E-3</v>
      </c>
      <c r="AA4024">
        <v>0.99950050000000001</v>
      </c>
      <c r="AB4024">
        <v>38</v>
      </c>
      <c r="AC4024">
        <v>14.096599999999899</v>
      </c>
      <c r="AD4024">
        <v>-1.1020511541119999</v>
      </c>
      <c r="AE4024">
        <v>8.1419999999994205E-2</v>
      </c>
      <c r="AF4024">
        <v>-0.44913879675277502</v>
      </c>
      <c r="AG4024">
        <v>-1.1020511541119999</v>
      </c>
      <c r="AH4024">
        <v>14.004002632662999</v>
      </c>
      <c r="AI4024">
        <v>94.497340220285494</v>
      </c>
      <c r="AJ4024">
        <v>91.836970481221101</v>
      </c>
      <c r="AK4024">
        <v>14.054477298735099</v>
      </c>
      <c r="AL4024">
        <v>86.660184099049701</v>
      </c>
      <c r="AM4024">
        <v>94.155586536744195</v>
      </c>
      <c r="AN4024">
        <v>1.0000000125585999</v>
      </c>
    </row>
    <row r="4025" spans="1:40" x14ac:dyDescent="0.3">
      <c r="A4025" t="str">
        <f>"20200111154000475"</f>
        <v>20200111154000475</v>
      </c>
      <c r="B4025" t="str">
        <f>"1578728400465060"</f>
        <v>1578728400465060</v>
      </c>
      <c r="C4025" t="s">
        <v>40</v>
      </c>
      <c r="D4025">
        <v>4.9764609999999996</v>
      </c>
      <c r="E4025">
        <v>0.51431879999999996</v>
      </c>
      <c r="F4025" t="s">
        <v>79</v>
      </c>
      <c r="G4025">
        <v>-246.93620000000001</v>
      </c>
      <c r="H4025" s="1">
        <v>-2.1400369999999998E-6</v>
      </c>
      <c r="I4025">
        <v>-61.049900000000001</v>
      </c>
      <c r="J4025">
        <v>-260.8836</v>
      </c>
      <c r="K4025">
        <v>1.1020799999999999</v>
      </c>
      <c r="L4025">
        <v>-61.120480000000001</v>
      </c>
      <c r="M4025">
        <v>0.99957940000000001</v>
      </c>
      <c r="N4025">
        <v>0</v>
      </c>
      <c r="O4025">
        <v>-2.7193800000000001E-2</v>
      </c>
      <c r="P4025">
        <v>0.99787550000000003</v>
      </c>
      <c r="Q4025">
        <v>4.691969E-2</v>
      </c>
      <c r="R4025">
        <v>4.5205670000000003E-2</v>
      </c>
      <c r="S4025">
        <v>3.017334</v>
      </c>
      <c r="T4025">
        <v>-0.23517260000000001</v>
      </c>
      <c r="U4025">
        <v>1.382446E-2</v>
      </c>
      <c r="V4025">
        <v>-7.2056800000000004E-2</v>
      </c>
      <c r="W4025">
        <v>5.7322369999999997E-2</v>
      </c>
      <c r="X4025">
        <v>0.99575199999999997</v>
      </c>
      <c r="Y4025">
        <v>-3.1596560000000003E-2</v>
      </c>
      <c r="Z4025">
        <v>3.3456800000000002E-3</v>
      </c>
      <c r="AA4025">
        <v>0.99949509999999997</v>
      </c>
      <c r="AB4025">
        <v>38</v>
      </c>
      <c r="AC4025">
        <v>13.947399999999901</v>
      </c>
      <c r="AD4025">
        <v>-1.102082140037</v>
      </c>
      <c r="AE4025">
        <v>7.0580000000006707E-2</v>
      </c>
      <c r="AF4025">
        <v>-0.447064693100304</v>
      </c>
      <c r="AG4025">
        <v>-1.102082140037</v>
      </c>
      <c r="AH4025">
        <v>13.853825224459699</v>
      </c>
      <c r="AI4025">
        <v>94.545987250920007</v>
      </c>
      <c r="AJ4025">
        <v>91.848300650565605</v>
      </c>
      <c r="AK4025">
        <v>13.904780661092101</v>
      </c>
      <c r="AL4025">
        <v>86.713868959373201</v>
      </c>
      <c r="AM4025">
        <v>94.138948845841298</v>
      </c>
      <c r="AN4025">
        <v>1.0000000410163199</v>
      </c>
    </row>
    <row r="4026" spans="1:40" x14ac:dyDescent="0.3">
      <c r="A4026" t="str">
        <f>"20200111154000487"</f>
        <v>20200111154000487</v>
      </c>
      <c r="B4026" t="str">
        <f>"1578728400474821"</f>
        <v>1578728400474821</v>
      </c>
      <c r="C4026" t="s">
        <v>40</v>
      </c>
      <c r="D4026">
        <v>4.9104039999999998</v>
      </c>
      <c r="E4026">
        <v>0.51430129999999996</v>
      </c>
      <c r="F4026" t="s">
        <v>41</v>
      </c>
      <c r="G4026">
        <v>-259.83949999999999</v>
      </c>
      <c r="H4026">
        <v>1.0196540000000001</v>
      </c>
      <c r="I4026">
        <v>-61.117019999999997</v>
      </c>
      <c r="J4026">
        <v>-260.67329999999998</v>
      </c>
      <c r="K4026">
        <v>1.102128</v>
      </c>
      <c r="L4026">
        <v>-61.127009999999999</v>
      </c>
      <c r="M4026">
        <v>0.99955340000000004</v>
      </c>
      <c r="N4026">
        <v>0</v>
      </c>
      <c r="O4026">
        <v>-2.8128199999999999E-2</v>
      </c>
      <c r="P4026">
        <v>0.99794709999999998</v>
      </c>
      <c r="Q4026">
        <v>4.6337169999999997E-2</v>
      </c>
      <c r="R4026">
        <v>4.4213820000000001E-2</v>
      </c>
      <c r="S4026">
        <v>3.0171199999999998</v>
      </c>
      <c r="T4026">
        <v>-0.23812249999999999</v>
      </c>
      <c r="U4026">
        <v>1.0589599999999999E-2</v>
      </c>
      <c r="V4026">
        <v>-7.2008429999999998E-2</v>
      </c>
      <c r="W4026">
        <v>5.6732049999999999E-2</v>
      </c>
      <c r="X4026">
        <v>0.99578929999999999</v>
      </c>
      <c r="Y4026">
        <v>-3.1452630000000002E-2</v>
      </c>
      <c r="Z4026">
        <v>3.4556999999999899E-3</v>
      </c>
      <c r="AA4026">
        <v>0.99949929999999998</v>
      </c>
      <c r="AB4026">
        <v>38</v>
      </c>
      <c r="AC4026">
        <v>0.83379999999999599</v>
      </c>
      <c r="AD4026">
        <v>-8.2473999999999895E-2</v>
      </c>
      <c r="AE4026">
        <v>9.99000000000194E-3</v>
      </c>
      <c r="AF4026">
        <v>-3.3116572392981401E-2</v>
      </c>
      <c r="AG4026">
        <v>-8.2473999999999895E-2</v>
      </c>
      <c r="AH4026">
        <v>0.825117360646623</v>
      </c>
      <c r="AI4026">
        <v>95.703437117874998</v>
      </c>
      <c r="AJ4026">
        <v>92.298366346304704</v>
      </c>
      <c r="AK4026">
        <v>0.82988994865795895</v>
      </c>
      <c r="AL4026">
        <v>86.747746914799805</v>
      </c>
      <c r="AM4026">
        <v>94.1360257206059</v>
      </c>
      <c r="AN4026">
        <v>1.00000003474137</v>
      </c>
    </row>
    <row r="4027" spans="1:40" x14ac:dyDescent="0.3">
      <c r="A4027" t="str">
        <f>"20200111154000504"</f>
        <v>20200111154000504</v>
      </c>
      <c r="B4027" t="str">
        <f>"1578728400495315"</f>
        <v>1578728400495315</v>
      </c>
      <c r="C4027" t="s">
        <v>40</v>
      </c>
      <c r="D4027">
        <v>4.8414000000000001</v>
      </c>
      <c r="E4027">
        <v>0.51426759999999905</v>
      </c>
      <c r="F4027" t="s">
        <v>79</v>
      </c>
      <c r="G4027">
        <v>-246.8056</v>
      </c>
      <c r="H4027" s="1">
        <v>-2.0946299999999998E-6</v>
      </c>
      <c r="I4027">
        <v>-61.0899199999999</v>
      </c>
      <c r="J4027">
        <v>-260.39699999999999</v>
      </c>
      <c r="K4027">
        <v>1.102196</v>
      </c>
      <c r="L4027">
        <v>-61.135770000000001</v>
      </c>
      <c r="M4027">
        <v>0.99951959999999995</v>
      </c>
      <c r="N4027">
        <v>0</v>
      </c>
      <c r="O4027">
        <v>-2.9299039999999998E-2</v>
      </c>
      <c r="P4027">
        <v>0.99802959999999996</v>
      </c>
      <c r="Q4027">
        <v>4.5588009999999998E-2</v>
      </c>
      <c r="R4027">
        <v>4.3110450000000002E-2</v>
      </c>
      <c r="S4027">
        <v>3.0169679999999999</v>
      </c>
      <c r="T4027">
        <v>-0.23977109999999999</v>
      </c>
      <c r="U4027">
        <v>8.0566409999999998E-3</v>
      </c>
      <c r="V4027">
        <v>-7.2088429999999995E-2</v>
      </c>
      <c r="W4027">
        <v>5.5971269999999997E-2</v>
      </c>
      <c r="X4027">
        <v>0.99582649999999995</v>
      </c>
      <c r="Y4027">
        <v>-3.1777149999999997E-2</v>
      </c>
      <c r="Z4027">
        <v>3.5854820000000001E-3</v>
      </c>
      <c r="AA4027">
        <v>0.9994885</v>
      </c>
      <c r="AB4027">
        <v>38</v>
      </c>
      <c r="AC4027">
        <v>13.591399999999901</v>
      </c>
      <c r="AD4027">
        <v>-1.1021980946299901</v>
      </c>
      <c r="AE4027">
        <v>4.5850000000001501E-2</v>
      </c>
      <c r="AF4027">
        <v>-0.44116436554722199</v>
      </c>
      <c r="AG4027">
        <v>-1.1021980946299901</v>
      </c>
      <c r="AH4027">
        <v>13.4954699128754</v>
      </c>
      <c r="AI4027">
        <v>94.666599568985603</v>
      </c>
      <c r="AJ4027">
        <v>91.872321477705498</v>
      </c>
      <c r="AK4027">
        <v>13.5475892618045</v>
      </c>
      <c r="AL4027">
        <v>86.791405568885196</v>
      </c>
      <c r="AM4027">
        <v>94.1404506556011</v>
      </c>
      <c r="AN4027">
        <v>0.99999997145376296</v>
      </c>
    </row>
    <row r="4028" spans="1:40" x14ac:dyDescent="0.3">
      <c r="A4028" t="str">
        <f>"20200111154000515"</f>
        <v>20200111154000515</v>
      </c>
      <c r="B4028" t="str">
        <f>"1578728400505076"</f>
        <v>1578728400505076</v>
      </c>
      <c r="C4028" t="s">
        <v>40</v>
      </c>
      <c r="D4028">
        <v>4.862743</v>
      </c>
      <c r="E4028">
        <v>0.51425849999999995</v>
      </c>
      <c r="F4028" t="s">
        <v>79</v>
      </c>
      <c r="G4028">
        <v>-246.6284</v>
      </c>
      <c r="H4028" s="1">
        <v>-2.0244189999999999E-6</v>
      </c>
      <c r="I4028">
        <v>-61.111750000000001</v>
      </c>
      <c r="J4028">
        <v>-260.2045</v>
      </c>
      <c r="K4028">
        <v>1.1022510000000001</v>
      </c>
      <c r="L4028">
        <v>-61.142000000000003</v>
      </c>
      <c r="M4028">
        <v>0.99949650000000001</v>
      </c>
      <c r="N4028">
        <v>0</v>
      </c>
      <c r="O4028">
        <v>-3.0080619999999999E-2</v>
      </c>
      <c r="P4028">
        <v>0.99808140000000001</v>
      </c>
      <c r="Q4028">
        <v>4.5239509999999997E-2</v>
      </c>
      <c r="R4028">
        <v>4.2270490000000001E-2</v>
      </c>
      <c r="S4028">
        <v>3.0167540000000002</v>
      </c>
      <c r="T4028">
        <v>-0.24149580000000001</v>
      </c>
      <c r="U4028">
        <v>5.2490230000000002E-3</v>
      </c>
      <c r="V4028">
        <v>-7.2038130000000006E-2</v>
      </c>
      <c r="W4028">
        <v>5.5613250000000003E-2</v>
      </c>
      <c r="X4028">
        <v>0.99585020000000002</v>
      </c>
      <c r="Y4028">
        <v>-3.1623900000000003E-2</v>
      </c>
      <c r="Z4028">
        <v>3.6677670000000002E-3</v>
      </c>
      <c r="AA4028">
        <v>0.99949310000000002</v>
      </c>
      <c r="AB4028">
        <v>38</v>
      </c>
      <c r="AC4028">
        <v>13.576099999999901</v>
      </c>
      <c r="AD4028">
        <v>-1.1022530244190001</v>
      </c>
      <c r="AE4028">
        <v>3.0249999999995201E-2</v>
      </c>
      <c r="AF4028">
        <v>-0.43576212505731898</v>
      </c>
      <c r="AG4028">
        <v>-1.1022530244190001</v>
      </c>
      <c r="AH4028">
        <v>13.4801858830063</v>
      </c>
      <c r="AI4028">
        <v>94.672153953388204</v>
      </c>
      <c r="AJ4028">
        <v>91.851505575019999</v>
      </c>
      <c r="AK4028">
        <v>13.532193532457301</v>
      </c>
      <c r="AL4028">
        <v>86.811950611413806</v>
      </c>
      <c r="AM4028">
        <v>94.137473548898498</v>
      </c>
      <c r="AN4028">
        <v>0.99999997329474899</v>
      </c>
    </row>
    <row r="4029" spans="1:40" x14ac:dyDescent="0.3">
      <c r="A4029" t="str">
        <f>"20200111154000528"</f>
        <v>20200111154000528</v>
      </c>
      <c r="B4029" t="str">
        <f>"1578728400514836"</f>
        <v>1578728400514836</v>
      </c>
      <c r="C4029" t="s">
        <v>40</v>
      </c>
      <c r="D4029">
        <v>4.8471659999999996</v>
      </c>
      <c r="E4029">
        <v>0.51421359999999905</v>
      </c>
      <c r="F4029" t="s">
        <v>41</v>
      </c>
      <c r="G4029">
        <v>-259.15859999999998</v>
      </c>
      <c r="H4029">
        <v>1.0182639999999901</v>
      </c>
      <c r="I4029">
        <v>-61.141120000000001</v>
      </c>
      <c r="J4029">
        <v>-260.00119999999998</v>
      </c>
      <c r="K4029">
        <v>1.10232</v>
      </c>
      <c r="L4029">
        <v>-61.148769999999899</v>
      </c>
      <c r="M4029">
        <v>0.99947379999999997</v>
      </c>
      <c r="N4029">
        <v>0</v>
      </c>
      <c r="O4029">
        <v>-3.0822479999999999E-2</v>
      </c>
      <c r="P4029">
        <v>0.99813890000000005</v>
      </c>
      <c r="Q4029">
        <v>4.4936700000000003E-2</v>
      </c>
      <c r="R4029">
        <v>4.1223990000000002E-2</v>
      </c>
      <c r="S4029">
        <v>3.0166019999999998</v>
      </c>
      <c r="T4029">
        <v>-0.24220539999999999</v>
      </c>
      <c r="U4029">
        <v>3.0822750000000002E-3</v>
      </c>
      <c r="V4029">
        <v>-7.174498E-2</v>
      </c>
      <c r="W4029">
        <v>5.5297590000000001E-2</v>
      </c>
      <c r="X4029">
        <v>0.99588889999999997</v>
      </c>
      <c r="Y4029">
        <v>-3.1644310000000002E-2</v>
      </c>
      <c r="Z4029">
        <v>3.7389599999999999E-3</v>
      </c>
      <c r="AA4029">
        <v>0.99949219999999905</v>
      </c>
      <c r="AB4029">
        <v>38</v>
      </c>
      <c r="AC4029">
        <v>0.84260000000000401</v>
      </c>
      <c r="AD4029">
        <v>-8.4056000000000103E-2</v>
      </c>
      <c r="AE4029">
        <v>7.6499999999981496E-3</v>
      </c>
      <c r="AF4029">
        <v>-3.3287474895418299E-2</v>
      </c>
      <c r="AG4029">
        <v>-8.4056000000000103E-2</v>
      </c>
      <c r="AH4029">
        <v>0.83366813543747798</v>
      </c>
      <c r="AI4029">
        <v>95.752932865296401</v>
      </c>
      <c r="AJ4029">
        <v>92.2865444063154</v>
      </c>
      <c r="AK4029">
        <v>0.83855591773280902</v>
      </c>
      <c r="AL4029">
        <v>86.830064345333398</v>
      </c>
      <c r="AM4029">
        <v>94.120535165815298</v>
      </c>
      <c r="AN4029">
        <v>0.99999993337910698</v>
      </c>
    </row>
    <row r="4030" spans="1:40" x14ac:dyDescent="0.3">
      <c r="A4030" t="str">
        <f>"20200111154000541"</f>
        <v>20200111154000541</v>
      </c>
      <c r="B4030" t="str">
        <f>"1578728400535332"</f>
        <v>1578728400535332</v>
      </c>
      <c r="C4030" t="s">
        <v>40</v>
      </c>
      <c r="D4030">
        <v>4.8126009999999999</v>
      </c>
      <c r="E4030">
        <v>0.51413889999999995</v>
      </c>
      <c r="F4030" t="s">
        <v>79</v>
      </c>
      <c r="G4030">
        <v>-246.29900000000001</v>
      </c>
      <c r="H4030" s="1">
        <v>-1.8921240000000001E-6</v>
      </c>
      <c r="I4030">
        <v>-61.145659999999999</v>
      </c>
      <c r="J4030">
        <v>-259.76350000000002</v>
      </c>
      <c r="K4030">
        <v>1.102406</v>
      </c>
      <c r="L4030">
        <v>-61.156770000000002</v>
      </c>
      <c r="M4030">
        <v>0.99944849999999996</v>
      </c>
      <c r="N4030">
        <v>0</v>
      </c>
      <c r="O4030">
        <v>-3.1636409999999997E-2</v>
      </c>
      <c r="P4030">
        <v>0.99820359999999997</v>
      </c>
      <c r="Q4030">
        <v>4.4381289999999997E-2</v>
      </c>
      <c r="R4030">
        <v>4.0251080000000002E-2</v>
      </c>
      <c r="S4030">
        <v>3.0164789999999999</v>
      </c>
      <c r="T4030">
        <v>-0.2426711</v>
      </c>
      <c r="U4030">
        <v>6.7138669999999997E-4</v>
      </c>
      <c r="V4030">
        <v>-7.1600479999999994E-2</v>
      </c>
      <c r="W4030">
        <v>5.4726259999999999E-2</v>
      </c>
      <c r="X4030">
        <v>0.99593089999999995</v>
      </c>
      <c r="Y4030">
        <v>-3.165602E-2</v>
      </c>
      <c r="Z4030">
        <v>3.8120939999999998E-3</v>
      </c>
      <c r="AA4030">
        <v>0.99949160000000004</v>
      </c>
      <c r="AB4030">
        <v>38</v>
      </c>
      <c r="AC4030">
        <v>13.464499999999999</v>
      </c>
      <c r="AD4030">
        <v>-1.1024078921239999</v>
      </c>
      <c r="AE4030">
        <v>1.1109999999995001E-2</v>
      </c>
      <c r="AF4030">
        <v>-0.43418400366972298</v>
      </c>
      <c r="AG4030">
        <v>-1.1024078921239999</v>
      </c>
      <c r="AH4030">
        <v>13.367796582038</v>
      </c>
      <c r="AI4030">
        <v>94.711894458057699</v>
      </c>
      <c r="AJ4030">
        <v>91.860304234539001</v>
      </c>
      <c r="AK4030">
        <v>13.4202013534972</v>
      </c>
      <c r="AL4030">
        <v>86.862848921706899</v>
      </c>
      <c r="AM4030">
        <v>94.112091759830605</v>
      </c>
      <c r="AN4030">
        <v>0.99999997492231296</v>
      </c>
    </row>
    <row r="4031" spans="1:40" x14ac:dyDescent="0.3">
      <c r="A4031" t="str">
        <f>"20200111154000551"</f>
        <v>20200111154000551</v>
      </c>
      <c r="B4031" t="str">
        <f>"1578728400545095"</f>
        <v>1578728400545095</v>
      </c>
      <c r="C4031" t="s">
        <v>40</v>
      </c>
      <c r="D4031">
        <v>4.7250699999999997</v>
      </c>
      <c r="E4031">
        <v>0.51410159999999905</v>
      </c>
      <c r="F4031" t="s">
        <v>41</v>
      </c>
      <c r="G4031">
        <v>-258.81270000000001</v>
      </c>
      <c r="H4031">
        <v>1.0255270000000001</v>
      </c>
      <c r="I4031">
        <v>-61.157339999999998</v>
      </c>
      <c r="J4031">
        <v>-259.56760000000003</v>
      </c>
      <c r="K4031">
        <v>1.1024849999999999</v>
      </c>
      <c r="L4031">
        <v>-61.163449999999997</v>
      </c>
      <c r="M4031">
        <v>0.9994286</v>
      </c>
      <c r="N4031">
        <v>0</v>
      </c>
      <c r="O4031">
        <v>-3.2257180000000003E-2</v>
      </c>
      <c r="P4031">
        <v>0.99828700000000004</v>
      </c>
      <c r="Q4031">
        <v>4.3582549999999998E-2</v>
      </c>
      <c r="R4031">
        <v>3.9033039999999998E-2</v>
      </c>
      <c r="S4031">
        <v>3.016327</v>
      </c>
      <c r="T4031">
        <v>-0.2438427</v>
      </c>
      <c r="U4031">
        <v>-1.2207030000000001E-3</v>
      </c>
      <c r="V4031">
        <v>-7.1018090000000006E-2</v>
      </c>
      <c r="W4031">
        <v>5.3913019999999999E-2</v>
      </c>
      <c r="X4031">
        <v>0.99601700000000004</v>
      </c>
      <c r="Y4031">
        <v>-3.1645890000000003E-2</v>
      </c>
      <c r="Z4031">
        <v>3.880302E-3</v>
      </c>
      <c r="AA4031">
        <v>0.99949160000000004</v>
      </c>
      <c r="AB4031">
        <v>38</v>
      </c>
      <c r="AC4031">
        <v>0.75490000000002</v>
      </c>
      <c r="AD4031">
        <v>-7.6957999999999804E-2</v>
      </c>
      <c r="AE4031">
        <v>6.1099999999925103E-3</v>
      </c>
      <c r="AF4031">
        <v>-3.0145731343856001E-2</v>
      </c>
      <c r="AG4031">
        <v>-7.6957999999999804E-2</v>
      </c>
      <c r="AH4031">
        <v>0.74655182356198901</v>
      </c>
      <c r="AI4031">
        <v>95.880765344794696</v>
      </c>
      <c r="AJ4031">
        <v>92.312344930113696</v>
      </c>
      <c r="AK4031">
        <v>0.75111312340151903</v>
      </c>
      <c r="AL4031">
        <v>86.909513189345901</v>
      </c>
      <c r="AM4031">
        <v>94.078406433123106</v>
      </c>
      <c r="AN4031">
        <v>1.0000000235608799</v>
      </c>
    </row>
    <row r="4032" spans="1:40" x14ac:dyDescent="0.3">
      <c r="A4032" t="str">
        <f>"20200111154000563"</f>
        <v>20200111154000563</v>
      </c>
      <c r="B4032" t="str">
        <f>"1578728400554853"</f>
        <v>1578728400554853</v>
      </c>
      <c r="C4032" t="s">
        <v>40</v>
      </c>
      <c r="D4032">
        <v>4.8101589999999996</v>
      </c>
      <c r="E4032">
        <v>0.5140709</v>
      </c>
      <c r="F4032" t="s">
        <v>79</v>
      </c>
      <c r="G4032">
        <v>-246.0497</v>
      </c>
      <c r="H4032" s="1">
        <v>-1.7949590000000001E-6</v>
      </c>
      <c r="I4032">
        <v>-61.182270000000003</v>
      </c>
      <c r="J4032">
        <v>-259.3759</v>
      </c>
      <c r="K4032">
        <v>1.1025700000000001</v>
      </c>
      <c r="L4032">
        <v>-61.170099999999998</v>
      </c>
      <c r="M4032">
        <v>0.99941159999999996</v>
      </c>
      <c r="N4032">
        <v>0</v>
      </c>
      <c r="O4032">
        <v>-3.2776399999999997E-2</v>
      </c>
      <c r="P4032">
        <v>0.99834849999999997</v>
      </c>
      <c r="Q4032">
        <v>4.2897129999999999E-2</v>
      </c>
      <c r="R4032">
        <v>3.8207560000000002E-2</v>
      </c>
      <c r="S4032">
        <v>3.0160520000000002</v>
      </c>
      <c r="T4032">
        <v>-0.24598329999999999</v>
      </c>
      <c r="U4032">
        <v>-4.2114259999999999E-3</v>
      </c>
      <c r="V4032">
        <v>-7.0726739999999996E-2</v>
      </c>
      <c r="W4032">
        <v>5.3212120000000002E-2</v>
      </c>
      <c r="X4032">
        <v>0.99607540000000006</v>
      </c>
      <c r="Y4032">
        <v>-3.1170159999999999E-2</v>
      </c>
      <c r="Z4032">
        <v>3.9374900000000001E-3</v>
      </c>
      <c r="AA4032">
        <v>0.99950640000000002</v>
      </c>
      <c r="AB4032">
        <v>38</v>
      </c>
      <c r="AC4032">
        <v>13.3262</v>
      </c>
      <c r="AD4032">
        <v>-1.1025717949589999</v>
      </c>
      <c r="AE4032">
        <v>-1.2169999999997501E-2</v>
      </c>
      <c r="AF4032">
        <v>-0.42175660876691101</v>
      </c>
      <c r="AG4032">
        <v>-1.1025717949589999</v>
      </c>
      <c r="AH4032">
        <v>13.228880757507699</v>
      </c>
      <c r="AI4032">
        <v>94.761943333237497</v>
      </c>
      <c r="AJ4032">
        <v>91.826057078702505</v>
      </c>
      <c r="AK4032">
        <v>13.2814468073488</v>
      </c>
      <c r="AL4032">
        <v>86.949729465938105</v>
      </c>
      <c r="AM4032">
        <v>94.061493640890802</v>
      </c>
      <c r="AN4032">
        <v>1.00000000197554</v>
      </c>
    </row>
    <row r="4033" spans="1:40" x14ac:dyDescent="0.3">
      <c r="A4033" t="str">
        <f>"20200111154000575"</f>
        <v>20200111154000575</v>
      </c>
      <c r="B4033" t="str">
        <f>"1578728400565588"</f>
        <v>1578728400565588</v>
      </c>
      <c r="C4033" t="s">
        <v>40</v>
      </c>
      <c r="D4033">
        <v>4.8600399999999997</v>
      </c>
      <c r="E4033">
        <v>0.51404850000000002</v>
      </c>
      <c r="F4033" t="s">
        <v>41</v>
      </c>
      <c r="G4033">
        <v>-258.46469999999999</v>
      </c>
      <c r="H4033">
        <v>1.027747</v>
      </c>
      <c r="I4033">
        <v>-61.172069999999998</v>
      </c>
      <c r="J4033">
        <v>-259.17200000000003</v>
      </c>
      <c r="K4033">
        <v>1.10266</v>
      </c>
      <c r="L4033">
        <v>-61.177190000000003</v>
      </c>
      <c r="M4033">
        <v>0.99939449999999996</v>
      </c>
      <c r="N4033">
        <v>0</v>
      </c>
      <c r="O4033">
        <v>-3.3296569999999998E-2</v>
      </c>
      <c r="P4033">
        <v>0.99841190000000002</v>
      </c>
      <c r="Q4033">
        <v>4.2150020000000003E-2</v>
      </c>
      <c r="R4033">
        <v>3.7381579999999998E-2</v>
      </c>
      <c r="S4033">
        <v>3.0158390000000002</v>
      </c>
      <c r="T4033">
        <v>-0.2475929</v>
      </c>
      <c r="U4033">
        <v>-6.225586E-3</v>
      </c>
      <c r="V4033">
        <v>-7.0436540000000006E-2</v>
      </c>
      <c r="W4033">
        <v>5.2448340000000003E-2</v>
      </c>
      <c r="X4033">
        <v>0.99613649999999998</v>
      </c>
      <c r="Y4033">
        <v>-3.10187E-2</v>
      </c>
      <c r="Z4033">
        <v>3.9998489999999998E-3</v>
      </c>
      <c r="AA4033">
        <v>0.99951080000000003</v>
      </c>
      <c r="AB4033">
        <v>38</v>
      </c>
      <c r="AC4033">
        <v>0.70730000000003201</v>
      </c>
      <c r="AD4033">
        <v>-7.4912999999999993E-2</v>
      </c>
      <c r="AE4033">
        <v>5.1200000000051196E-3</v>
      </c>
      <c r="AF4033">
        <v>-2.8351006756431402E-2</v>
      </c>
      <c r="AG4033">
        <v>-7.4912999999999993E-2</v>
      </c>
      <c r="AH4033">
        <v>0.69889761448255705</v>
      </c>
      <c r="AI4033">
        <v>96.113035777294499</v>
      </c>
      <c r="AJ4033">
        <v>92.322948130021302</v>
      </c>
      <c r="AK4033">
        <v>0.70347253868399995</v>
      </c>
      <c r="AL4033">
        <v>86.993552121346795</v>
      </c>
      <c r="AM4033">
        <v>94.044637013149796</v>
      </c>
      <c r="AN4033">
        <v>1.0000000305840799</v>
      </c>
    </row>
    <row r="4034" spans="1:40" x14ac:dyDescent="0.3">
      <c r="A4034" t="str">
        <f>"20200111154000588"</f>
        <v>20200111154000588</v>
      </c>
      <c r="B4034" t="str">
        <f>"1578728400575347"</f>
        <v>1578728400575347</v>
      </c>
      <c r="C4034" t="s">
        <v>40</v>
      </c>
      <c r="D4034">
        <v>4.8542920000000001</v>
      </c>
      <c r="E4034">
        <v>0.51399839999999997</v>
      </c>
      <c r="F4034" t="s">
        <v>41</v>
      </c>
      <c r="G4034">
        <v>-258.13569999999999</v>
      </c>
      <c r="H4034">
        <v>1.01691</v>
      </c>
      <c r="I4034">
        <v>-61.180160000000001</v>
      </c>
      <c r="J4034">
        <v>-258.96429999999998</v>
      </c>
      <c r="K4034">
        <v>1.102768</v>
      </c>
      <c r="L4034">
        <v>-61.184449999999998</v>
      </c>
      <c r="M4034">
        <v>0.99938059999999995</v>
      </c>
      <c r="N4034">
        <v>0</v>
      </c>
      <c r="O4034">
        <v>-3.3709129999999997E-2</v>
      </c>
      <c r="P4034">
        <v>0.99844160000000004</v>
      </c>
      <c r="Q4034">
        <v>4.182574E-2</v>
      </c>
      <c r="R4034">
        <v>3.6948769999999999E-2</v>
      </c>
      <c r="S4034">
        <v>3.015625</v>
      </c>
      <c r="T4034">
        <v>-0.24953710000000001</v>
      </c>
      <c r="U4034">
        <v>-8.3312990000000003E-3</v>
      </c>
      <c r="V4034">
        <v>-7.0432099999999997E-2</v>
      </c>
      <c r="W4034">
        <v>5.2105489999999997E-2</v>
      </c>
      <c r="X4034">
        <v>0.99615480000000001</v>
      </c>
      <c r="Y4034">
        <v>-3.0729389999999999E-2</v>
      </c>
      <c r="Z4034">
        <v>4.0535420000000003E-3</v>
      </c>
      <c r="AA4034">
        <v>0.99951950000000001</v>
      </c>
      <c r="AB4034">
        <v>38</v>
      </c>
      <c r="AC4034">
        <v>0.82859999999999401</v>
      </c>
      <c r="AD4034">
        <v>-8.5857999999999907E-2</v>
      </c>
      <c r="AE4034">
        <v>4.2899999999974599E-3</v>
      </c>
      <c r="AF4034">
        <v>-3.1878115692251401E-2</v>
      </c>
      <c r="AG4034">
        <v>-8.5857999999999907E-2</v>
      </c>
      <c r="AH4034">
        <v>0.81918925626284</v>
      </c>
      <c r="AI4034">
        <v>95.978748103134507</v>
      </c>
      <c r="AJ4034">
        <v>92.228496471982893</v>
      </c>
      <c r="AK4034">
        <v>0.82429293822072403</v>
      </c>
      <c r="AL4034">
        <v>87.0132228569597</v>
      </c>
      <c r="AM4034">
        <v>94.044308852311204</v>
      </c>
      <c r="AN4034">
        <v>1.00000002418079</v>
      </c>
    </row>
    <row r="4035" spans="1:40" x14ac:dyDescent="0.3">
      <c r="A4035" t="str">
        <f>"20200111154000599"</f>
        <v>20200111154000599</v>
      </c>
      <c r="B4035" t="str">
        <f>"1578728400594869"</f>
        <v>1578728400594869</v>
      </c>
      <c r="C4035" t="s">
        <v>40</v>
      </c>
      <c r="D4035">
        <v>4.8166900000000004</v>
      </c>
      <c r="E4035">
        <v>0.5138779</v>
      </c>
      <c r="F4035" t="s">
        <v>79</v>
      </c>
      <c r="G4035">
        <v>-245.6721</v>
      </c>
      <c r="H4035" s="1">
        <v>-1.6442949999999999E-6</v>
      </c>
      <c r="I4035">
        <v>-61.224879999999999</v>
      </c>
      <c r="J4035">
        <v>-258.77719999999999</v>
      </c>
      <c r="K4035">
        <v>1.1028690000000001</v>
      </c>
      <c r="L4035">
        <v>-61.191040000000001</v>
      </c>
      <c r="M4035">
        <v>0.99936950000000002</v>
      </c>
      <c r="N4035">
        <v>0</v>
      </c>
      <c r="O4035">
        <v>-3.403784E-2</v>
      </c>
      <c r="P4035">
        <v>0.99846919999999995</v>
      </c>
      <c r="Q4035">
        <v>4.1264830000000002E-2</v>
      </c>
      <c r="R4035">
        <v>3.6831540000000003E-2</v>
      </c>
      <c r="S4035">
        <v>3.0155029999999998</v>
      </c>
      <c r="T4035">
        <v>-0.25017709999999999</v>
      </c>
      <c r="U4035">
        <v>-9.1857910000000004E-3</v>
      </c>
      <c r="V4035">
        <v>-7.065842E-2</v>
      </c>
      <c r="W4035">
        <v>5.1529289999999998E-2</v>
      </c>
      <c r="X4035">
        <v>0.99616870000000002</v>
      </c>
      <c r="Y4035">
        <v>-3.0772379999999998E-2</v>
      </c>
      <c r="Z4035">
        <v>4.093055E-3</v>
      </c>
      <c r="AA4035">
        <v>0.99951800000000002</v>
      </c>
      <c r="AB4035">
        <v>38</v>
      </c>
      <c r="AC4035">
        <v>13.105099999999901</v>
      </c>
      <c r="AD4035">
        <v>-1.102870644295</v>
      </c>
      <c r="AE4035">
        <v>-3.3840000000004901E-2</v>
      </c>
      <c r="AF4035">
        <v>-0.40937242526488099</v>
      </c>
      <c r="AG4035">
        <v>-1.102870644295</v>
      </c>
      <c r="AH4035">
        <v>13.0065429210751</v>
      </c>
      <c r="AI4035">
        <v>94.844330062657306</v>
      </c>
      <c r="AJ4035">
        <v>91.802752026123898</v>
      </c>
      <c r="AK4035">
        <v>13.0596350714093</v>
      </c>
      <c r="AL4035">
        <v>87.046280963753702</v>
      </c>
      <c r="AM4035">
        <v>94.057204705849202</v>
      </c>
      <c r="AN4035">
        <v>0.99999997945224495</v>
      </c>
    </row>
    <row r="4036" spans="1:40" x14ac:dyDescent="0.3">
      <c r="A4036" t="str">
        <f>"20200111154000615"</f>
        <v>20200111154000615</v>
      </c>
      <c r="B4036" t="str">
        <f>"1578728400604628"</f>
        <v>1578728400604628</v>
      </c>
      <c r="C4036" t="s">
        <v>40</v>
      </c>
      <c r="D4036">
        <v>4.7895019999999997</v>
      </c>
      <c r="E4036">
        <v>0.51382629999999996</v>
      </c>
      <c r="F4036" t="s">
        <v>41</v>
      </c>
      <c r="G4036">
        <v>-257.79109999999997</v>
      </c>
      <c r="H4036">
        <v>1.0206649999999999</v>
      </c>
      <c r="I4036">
        <v>-61.193939999999998</v>
      </c>
      <c r="J4036">
        <v>-258.49439999999998</v>
      </c>
      <c r="K4036">
        <v>1.1030260000000001</v>
      </c>
      <c r="L4036">
        <v>-61.2010199999999</v>
      </c>
      <c r="M4036">
        <v>0.99935620000000003</v>
      </c>
      <c r="N4036">
        <v>0</v>
      </c>
      <c r="O4036">
        <v>-3.4425909999999997E-2</v>
      </c>
      <c r="P4036">
        <v>0.99850550000000005</v>
      </c>
      <c r="Q4036">
        <v>4.1105990000000002E-2</v>
      </c>
      <c r="R4036">
        <v>3.6016260000000001E-2</v>
      </c>
      <c r="S4036">
        <v>3.0152589999999999</v>
      </c>
      <c r="T4036">
        <v>-0.25130429999999998</v>
      </c>
      <c r="U4036">
        <v>-8.3312990000000003E-3</v>
      </c>
      <c r="V4036">
        <v>-7.0251519999999998E-2</v>
      </c>
      <c r="W4036">
        <v>5.1343569999999998E-2</v>
      </c>
      <c r="X4036">
        <v>0.99620710000000001</v>
      </c>
      <c r="Y4036">
        <v>-3.1437819999999998E-2</v>
      </c>
      <c r="Z4036">
        <v>4.1717270000000001E-3</v>
      </c>
      <c r="AA4036">
        <v>0.99949699999999997</v>
      </c>
      <c r="AB4036">
        <v>38</v>
      </c>
      <c r="AC4036">
        <v>0.70330000000001203</v>
      </c>
      <c r="AD4036">
        <v>-8.2361000000000101E-2</v>
      </c>
      <c r="AE4036">
        <v>7.0799999999877601E-3</v>
      </c>
      <c r="AF4036">
        <v>-3.0865535864815399E-2</v>
      </c>
      <c r="AG4036">
        <v>-8.2361000000000101E-2</v>
      </c>
      <c r="AH4036">
        <v>0.69313469165722597</v>
      </c>
      <c r="AI4036">
        <v>96.769691565049499</v>
      </c>
      <c r="AJ4036">
        <v>92.549717132964801</v>
      </c>
      <c r="AK4036">
        <v>0.698692862711492</v>
      </c>
      <c r="AL4036">
        <v>87.056936136961895</v>
      </c>
      <c r="AM4036">
        <v>94.033762893877196</v>
      </c>
      <c r="AN4036">
        <v>1.00000001216653</v>
      </c>
    </row>
    <row r="4037" spans="1:40" x14ac:dyDescent="0.3">
      <c r="A4037" t="str">
        <f>"20200111154000627"</f>
        <v>20200111154000627</v>
      </c>
      <c r="B4037" t="str">
        <f>"1578728400615364"</f>
        <v>1578728400615364</v>
      </c>
      <c r="C4037" t="s">
        <v>40</v>
      </c>
      <c r="D4037">
        <v>4.8079989999999997</v>
      </c>
      <c r="E4037">
        <v>0.51375289999999996</v>
      </c>
      <c r="F4037" t="s">
        <v>41</v>
      </c>
      <c r="G4037">
        <v>-257.45209999999997</v>
      </c>
      <c r="H4037">
        <v>1.016103</v>
      </c>
      <c r="I4037">
        <v>-61.204590000000003</v>
      </c>
      <c r="J4037">
        <v>-258.28660000000002</v>
      </c>
      <c r="K4037">
        <v>1.1031420000000001</v>
      </c>
      <c r="L4037">
        <v>-61.208370000000002</v>
      </c>
      <c r="M4037">
        <v>0.99934999999999996</v>
      </c>
      <c r="N4037">
        <v>0</v>
      </c>
      <c r="O4037">
        <v>-3.460274E-2</v>
      </c>
      <c r="P4037">
        <v>0.99851999999999996</v>
      </c>
      <c r="Q4037">
        <v>4.1112900000000001E-2</v>
      </c>
      <c r="R4037">
        <v>3.5602670000000003E-2</v>
      </c>
      <c r="S4037">
        <v>3.0151819999999998</v>
      </c>
      <c r="T4037">
        <v>-0.25150479999999997</v>
      </c>
      <c r="U4037">
        <v>-1.0284420000000001E-2</v>
      </c>
      <c r="V4037">
        <v>-7.0029739999999993E-2</v>
      </c>
      <c r="W4037">
        <v>5.1331189999999999E-2</v>
      </c>
      <c r="X4037">
        <v>0.99622330000000003</v>
      </c>
      <c r="Y4037">
        <v>-3.0967809999999998E-2</v>
      </c>
      <c r="Z4037">
        <v>4.1702859999999996E-3</v>
      </c>
      <c r="AA4037">
        <v>0.9995117</v>
      </c>
      <c r="AB4037">
        <v>38</v>
      </c>
      <c r="AC4037">
        <v>0.83450000000004798</v>
      </c>
      <c r="AD4037">
        <v>-8.7039000000000005E-2</v>
      </c>
      <c r="AE4037">
        <v>3.7799999999919001E-3</v>
      </c>
      <c r="AF4037">
        <v>-3.23037842758849E-2</v>
      </c>
      <c r="AG4037">
        <v>-8.7039000000000005E-2</v>
      </c>
      <c r="AH4037">
        <v>0.82489582914415105</v>
      </c>
      <c r="AI4037">
        <v>96.018705513862599</v>
      </c>
      <c r="AJ4037">
        <v>92.242616762333896</v>
      </c>
      <c r="AK4037">
        <v>0.83010387960721999</v>
      </c>
      <c r="AL4037">
        <v>87.057646240194401</v>
      </c>
      <c r="AM4037">
        <v>94.021005201921</v>
      </c>
      <c r="AN4037">
        <v>0.99999995950708598</v>
      </c>
    </row>
    <row r="4038" spans="1:40" x14ac:dyDescent="0.3">
      <c r="A4038" t="str">
        <f>"20200111154000639"</f>
        <v>20200111154000639</v>
      </c>
      <c r="B4038" t="str">
        <f>"1578728400635261"</f>
        <v>1578728400635261</v>
      </c>
      <c r="C4038" t="s">
        <v>40</v>
      </c>
      <c r="D4038">
        <v>4.8387440000000002</v>
      </c>
      <c r="E4038">
        <v>0.51361999999999997</v>
      </c>
      <c r="F4038" t="s">
        <v>79</v>
      </c>
      <c r="G4038">
        <v>-245.0471</v>
      </c>
      <c r="H4038" s="1">
        <v>-1.3845189999999999E-6</v>
      </c>
      <c r="I4038">
        <v>-61.256279999999997</v>
      </c>
      <c r="J4038">
        <v>-258.0949</v>
      </c>
      <c r="K4038">
        <v>1.1032439999999999</v>
      </c>
      <c r="L4038">
        <v>-61.215089999999996</v>
      </c>
      <c r="M4038">
        <v>0.99934559999999995</v>
      </c>
      <c r="N4038">
        <v>0</v>
      </c>
      <c r="O4038">
        <v>-3.4730780000000003E-2</v>
      </c>
      <c r="P4038">
        <v>0.9985269</v>
      </c>
      <c r="Q4038">
        <v>4.1167009999999997E-2</v>
      </c>
      <c r="R4038">
        <v>3.5350739999999999E-2</v>
      </c>
      <c r="S4038">
        <v>3.0152130000000001</v>
      </c>
      <c r="T4038">
        <v>-0.25123450000000003</v>
      </c>
      <c r="U4038">
        <v>-1.0925290000000001E-2</v>
      </c>
      <c r="V4038">
        <v>-6.9918919999999996E-2</v>
      </c>
      <c r="W4038">
        <v>5.1367860000000001E-2</v>
      </c>
      <c r="X4038">
        <v>0.99622920000000004</v>
      </c>
      <c r="Y4038">
        <v>-3.0883810000000001E-2</v>
      </c>
      <c r="Z4038">
        <v>4.1729260000000004E-3</v>
      </c>
      <c r="AA4038">
        <v>0.99951429999999997</v>
      </c>
      <c r="AB4038">
        <v>38</v>
      </c>
      <c r="AC4038">
        <v>13.047799999999899</v>
      </c>
      <c r="AD4038">
        <v>-1.103245384519</v>
      </c>
      <c r="AE4038">
        <v>-4.1190000000000199E-2</v>
      </c>
      <c r="AF4038">
        <v>-0.40909352478996103</v>
      </c>
      <c r="AG4038">
        <v>-1.103245384519</v>
      </c>
      <c r="AH4038">
        <v>12.9487830305358</v>
      </c>
      <c r="AI4038">
        <v>94.867462630494103</v>
      </c>
      <c r="AJ4038">
        <v>91.809555268985406</v>
      </c>
      <c r="AK4038">
        <v>13.002134050315799</v>
      </c>
      <c r="AL4038">
        <v>87.055542446579196</v>
      </c>
      <c r="AM4038">
        <v>94.014639204464302</v>
      </c>
      <c r="AN4038">
        <v>0.99999996567379201</v>
      </c>
    </row>
    <row r="4039" spans="1:40" x14ac:dyDescent="0.3">
      <c r="A4039" t="str">
        <f>"20200111154000648"</f>
        <v>20200111154000648</v>
      </c>
      <c r="B4039" t="str">
        <f>"1578728400645021"</f>
        <v>1578728400645021</v>
      </c>
      <c r="C4039" t="s">
        <v>40</v>
      </c>
      <c r="D4039">
        <v>4.8096240000000003</v>
      </c>
      <c r="E4039">
        <v>0.51355240000000002</v>
      </c>
      <c r="F4039" t="s">
        <v>41</v>
      </c>
      <c r="G4039">
        <v>-257.10599999999999</v>
      </c>
      <c r="H4039">
        <v>1.0210509999999999</v>
      </c>
      <c r="I4039">
        <v>-61.21875</v>
      </c>
      <c r="J4039">
        <v>-257.90949999999998</v>
      </c>
      <c r="K4039">
        <v>1.103343</v>
      </c>
      <c r="L4039">
        <v>-61.221649999999997</v>
      </c>
      <c r="M4039">
        <v>0.99934330000000005</v>
      </c>
      <c r="N4039">
        <v>0</v>
      </c>
      <c r="O4039">
        <v>-3.4797090000000003E-2</v>
      </c>
      <c r="P4039">
        <v>0.99852870000000005</v>
      </c>
      <c r="Q4039">
        <v>4.1115510000000001E-2</v>
      </c>
      <c r="R4039">
        <v>3.5358149999999998E-2</v>
      </c>
      <c r="S4039">
        <v>3.0151370000000002</v>
      </c>
      <c r="T4039">
        <v>-0.25058439999999998</v>
      </c>
      <c r="U4039">
        <v>-1.062012E-2</v>
      </c>
      <c r="V4039">
        <v>-7.0004670000000005E-2</v>
      </c>
      <c r="W4039">
        <v>5.1300720000000001E-2</v>
      </c>
      <c r="X4039">
        <v>0.99622670000000002</v>
      </c>
      <c r="Y4039">
        <v>-3.1051559999999999E-2</v>
      </c>
      <c r="Z4039">
        <v>4.1747290000000003E-3</v>
      </c>
      <c r="AA4039">
        <v>0.99950899999999998</v>
      </c>
      <c r="AB4039">
        <v>38</v>
      </c>
      <c r="AC4039">
        <v>0.803499999999985</v>
      </c>
      <c r="AD4039">
        <v>-8.2292000000000004E-2</v>
      </c>
      <c r="AE4039">
        <v>2.8999999999967901E-3</v>
      </c>
      <c r="AF4039">
        <v>-3.05388089483381E-2</v>
      </c>
      <c r="AG4039">
        <v>-8.2292000000000004E-2</v>
      </c>
      <c r="AH4039">
        <v>0.79457803171531205</v>
      </c>
      <c r="AI4039">
        <v>95.908535447557</v>
      </c>
      <c r="AJ4039">
        <v>92.201022428276801</v>
      </c>
      <c r="AK4039">
        <v>0.79941155896106597</v>
      </c>
      <c r="AL4039">
        <v>87.059394546684501</v>
      </c>
      <c r="AM4039">
        <v>94.019556765184106</v>
      </c>
      <c r="AN4039">
        <v>1.0000000277436001</v>
      </c>
    </row>
    <row r="4040" spans="1:40" x14ac:dyDescent="0.3">
      <c r="A4040" t="str">
        <f>"20200111154000659"</f>
        <v>20200111154000659</v>
      </c>
      <c r="B4040" t="str">
        <f>"1578728400654781"</f>
        <v>1578728400654781</v>
      </c>
      <c r="C4040" t="s">
        <v>40</v>
      </c>
      <c r="D4040">
        <v>4.8094530000000004</v>
      </c>
      <c r="E4040">
        <v>0.51349730000000005</v>
      </c>
      <c r="F4040" t="s">
        <v>79</v>
      </c>
      <c r="G4040">
        <v>-244.62620000000001</v>
      </c>
      <c r="H4040" s="1">
        <v>-1.2066959999999999E-6</v>
      </c>
      <c r="I4040">
        <v>-61.266629999999999</v>
      </c>
      <c r="J4040">
        <v>-257.7396</v>
      </c>
      <c r="K4040">
        <v>1.103432</v>
      </c>
      <c r="L4040">
        <v>-61.227600000000002</v>
      </c>
      <c r="M4040">
        <v>0.99934270000000003</v>
      </c>
      <c r="N4040">
        <v>0</v>
      </c>
      <c r="O4040">
        <v>-3.481443E-2</v>
      </c>
      <c r="P4040">
        <v>0.99853159999999996</v>
      </c>
      <c r="Q4040">
        <v>4.0869790000000003E-2</v>
      </c>
      <c r="R4040">
        <v>3.555183E-2</v>
      </c>
      <c r="S4040">
        <v>3.0150600000000001</v>
      </c>
      <c r="T4040">
        <v>-0.2504381</v>
      </c>
      <c r="U4040">
        <v>-1.0223390000000001E-2</v>
      </c>
      <c r="V4040">
        <v>-7.022697E-2</v>
      </c>
      <c r="W4040">
        <v>5.1041179999999998E-2</v>
      </c>
      <c r="X4040">
        <v>0.99622429999999995</v>
      </c>
      <c r="Y4040">
        <v>-3.120001E-2</v>
      </c>
      <c r="Z4040">
        <v>4.1799999999999997E-3</v>
      </c>
      <c r="AA4040">
        <v>0.99950439999999996</v>
      </c>
      <c r="AB4040">
        <v>38</v>
      </c>
      <c r="AC4040">
        <v>13.113399999999899</v>
      </c>
      <c r="AD4040">
        <v>-1.103433206696</v>
      </c>
      <c r="AE4040">
        <v>-3.9030000000003798E-2</v>
      </c>
      <c r="AF4040">
        <v>-0.41461687006082698</v>
      </c>
      <c r="AG4040">
        <v>-1.103433206696</v>
      </c>
      <c r="AH4040">
        <v>13.0146596799236</v>
      </c>
      <c r="AI4040">
        <v>94.843722500382498</v>
      </c>
      <c r="AJ4040">
        <v>91.824693504422797</v>
      </c>
      <c r="AK4040">
        <v>13.067931686950599</v>
      </c>
      <c r="AL4040">
        <v>87.074284351053294</v>
      </c>
      <c r="AM4040">
        <v>94.032288521710399</v>
      </c>
      <c r="AN4040">
        <v>0.99999994264082903</v>
      </c>
    </row>
    <row r="4041" spans="1:40" x14ac:dyDescent="0.3">
      <c r="A4041" t="str">
        <f>"20200111154000671"</f>
        <v>20200111154000671</v>
      </c>
      <c r="B4041" t="str">
        <f>"1578728400665517"</f>
        <v>1578728400665517</v>
      </c>
      <c r="C4041" t="s">
        <v>40</v>
      </c>
      <c r="D4041">
        <v>4.8065300000000004</v>
      </c>
      <c r="E4041">
        <v>0.5134457</v>
      </c>
      <c r="F4041" t="s">
        <v>41</v>
      </c>
      <c r="G4041">
        <v>-256.76229999999998</v>
      </c>
      <c r="H4041">
        <v>1.022143</v>
      </c>
      <c r="I4041">
        <v>-61.23075</v>
      </c>
      <c r="J4041">
        <v>-257.52409999999998</v>
      </c>
      <c r="K4041">
        <v>1.1035459999999999</v>
      </c>
      <c r="L4041">
        <v>-61.235109999999999</v>
      </c>
      <c r="M4041">
        <v>0.99934389999999995</v>
      </c>
      <c r="N4041">
        <v>0</v>
      </c>
      <c r="O4041">
        <v>-3.4779619999999997E-2</v>
      </c>
      <c r="P4041">
        <v>0.99851469999999998</v>
      </c>
      <c r="Q4041">
        <v>4.0842700000000003E-2</v>
      </c>
      <c r="R4041">
        <v>3.6064489999999998E-2</v>
      </c>
      <c r="S4041">
        <v>3.0149840000000001</v>
      </c>
      <c r="T4041">
        <v>-0.25079269999999998</v>
      </c>
      <c r="U4041">
        <v>-9.5214840000000002E-3</v>
      </c>
      <c r="V4041">
        <v>-7.0718310000000006E-2</v>
      </c>
      <c r="W4041">
        <v>5.0996420000000001E-2</v>
      </c>
      <c r="X4041">
        <v>0.99619190000000002</v>
      </c>
      <c r="Y4041">
        <v>-3.1396590000000002E-2</v>
      </c>
      <c r="Z4041">
        <v>4.1912820000000002E-3</v>
      </c>
      <c r="AA4041">
        <v>0.9994982</v>
      </c>
      <c r="AB4041">
        <v>38</v>
      </c>
      <c r="AC4041">
        <v>0.76179999999999304</v>
      </c>
      <c r="AD4041">
        <v>-8.1402999999999795E-2</v>
      </c>
      <c r="AE4041">
        <v>4.35999999999836E-3</v>
      </c>
      <c r="AF4041">
        <v>-3.0505522045971002E-2</v>
      </c>
      <c r="AG4041">
        <v>-8.1402999999999795E-2</v>
      </c>
      <c r="AH4041">
        <v>0.75259440511870701</v>
      </c>
      <c r="AI4041">
        <v>96.168267673956294</v>
      </c>
      <c r="AJ4041">
        <v>92.321145850999997</v>
      </c>
      <c r="AK4041">
        <v>0.75759842522293896</v>
      </c>
      <c r="AL4041">
        <v>87.0768524454882</v>
      </c>
      <c r="AM4041">
        <v>94.060537838990001</v>
      </c>
      <c r="AN4041">
        <v>1.00000000792384</v>
      </c>
    </row>
    <row r="4042" spans="1:40" x14ac:dyDescent="0.3">
      <c r="A4042" t="str">
        <f>"20200111154000683"</f>
        <v>20200111154000683</v>
      </c>
      <c r="B4042" t="str">
        <f>"1578728400675277"</f>
        <v>1578728400675277</v>
      </c>
      <c r="C4042" t="s">
        <v>40</v>
      </c>
      <c r="D4042">
        <v>4.7883649999999998</v>
      </c>
      <c r="E4042">
        <v>0.51337370000000004</v>
      </c>
      <c r="F4042" t="s">
        <v>79</v>
      </c>
      <c r="G4042">
        <v>-244.24109999999999</v>
      </c>
      <c r="H4042" s="1">
        <v>-1.042401E-6</v>
      </c>
      <c r="I4042">
        <v>-61.27</v>
      </c>
      <c r="J4042">
        <v>-257.33949999999999</v>
      </c>
      <c r="K4042">
        <v>1.1036429999999999</v>
      </c>
      <c r="L4042">
        <v>-61.241520000000001</v>
      </c>
      <c r="M4042">
        <v>0.99934730000000005</v>
      </c>
      <c r="N4042">
        <v>0</v>
      </c>
      <c r="O4042">
        <v>-3.4681179999999999E-2</v>
      </c>
      <c r="P4042">
        <v>0.99849960000000004</v>
      </c>
      <c r="Q4042">
        <v>4.0785960000000003E-2</v>
      </c>
      <c r="R4042">
        <v>3.6537359999999998E-2</v>
      </c>
      <c r="S4042">
        <v>3.0149689999999998</v>
      </c>
      <c r="T4042">
        <v>-0.25048239999999999</v>
      </c>
      <c r="U4042">
        <v>-7.9345700000000002E-3</v>
      </c>
      <c r="V4042">
        <v>-7.1103810000000003E-2</v>
      </c>
      <c r="W4042">
        <v>5.0924509999999999E-2</v>
      </c>
      <c r="X4042">
        <v>0.9961681</v>
      </c>
      <c r="Y4042">
        <v>-3.1823610000000002E-2</v>
      </c>
      <c r="Z4042">
        <v>4.1956909999999997E-3</v>
      </c>
      <c r="AA4042">
        <v>0.9994847</v>
      </c>
      <c r="AB4042">
        <v>38</v>
      </c>
      <c r="AC4042">
        <v>13.0983999999999</v>
      </c>
      <c r="AD4042">
        <v>-1.1036440424009999</v>
      </c>
      <c r="AE4042">
        <v>-2.8480000000008901E-2</v>
      </c>
      <c r="AF4042">
        <v>-0.422826515505557</v>
      </c>
      <c r="AG4042">
        <v>-1.1036440424009999</v>
      </c>
      <c r="AH4042">
        <v>12.999221106911</v>
      </c>
      <c r="AI4042">
        <v>94.850266009272104</v>
      </c>
      <c r="AJ4042">
        <v>91.863006727876297</v>
      </c>
      <c r="AK4042">
        <v>13.052837309217599</v>
      </c>
      <c r="AL4042">
        <v>87.080977835965996</v>
      </c>
      <c r="AM4042">
        <v>94.082695227890497</v>
      </c>
      <c r="AN4042">
        <v>0.99999997048643197</v>
      </c>
    </row>
    <row r="4043" spans="1:40" x14ac:dyDescent="0.3">
      <c r="A4043" t="str">
        <f>"20200111154000695"</f>
        <v>20200111154000695</v>
      </c>
      <c r="B4043" t="str">
        <f>"1578728400685037"</f>
        <v>1578728400685037</v>
      </c>
      <c r="C4043" t="s">
        <v>40</v>
      </c>
      <c r="D4043">
        <v>4.7364059999999997</v>
      </c>
      <c r="E4043">
        <v>0.51332549999999999</v>
      </c>
      <c r="F4043" t="s">
        <v>41</v>
      </c>
      <c r="G4043">
        <v>-256.41559999999998</v>
      </c>
      <c r="H4043">
        <v>1.0270429999999999</v>
      </c>
      <c r="I4043">
        <v>-61.243650000000002</v>
      </c>
      <c r="J4043">
        <v>-257.12369999999999</v>
      </c>
      <c r="K4043">
        <v>1.1037539999999999</v>
      </c>
      <c r="L4043">
        <v>-61.248930000000001</v>
      </c>
      <c r="M4043">
        <v>0.99935229999999997</v>
      </c>
      <c r="N4043">
        <v>0</v>
      </c>
      <c r="O4043">
        <v>-3.4536070000000002E-2</v>
      </c>
      <c r="P4043">
        <v>0.99846950000000001</v>
      </c>
      <c r="Q4043">
        <v>4.1007439999999999E-2</v>
      </c>
      <c r="R4043">
        <v>3.7110440000000001E-2</v>
      </c>
      <c r="S4043">
        <v>3.0149379999999999</v>
      </c>
      <c r="T4043">
        <v>-0.24993219999999999</v>
      </c>
      <c r="U4043">
        <v>-6.1645509999999999E-3</v>
      </c>
      <c r="V4043">
        <v>-7.154481E-2</v>
      </c>
      <c r="W4043">
        <v>5.1127369999999998E-2</v>
      </c>
      <c r="X4043">
        <v>0.99612619999999996</v>
      </c>
      <c r="Y4043">
        <v>-3.2265219999999997E-2</v>
      </c>
      <c r="Z4043">
        <v>4.192828E-3</v>
      </c>
      <c r="AA4043">
        <v>0.99947050000000004</v>
      </c>
      <c r="AB4043">
        <v>38</v>
      </c>
      <c r="AC4043">
        <v>0.70810000000000095</v>
      </c>
      <c r="AD4043">
        <v>-7.6711000000000196E-2</v>
      </c>
      <c r="AE4043">
        <v>5.2799999999990598E-3</v>
      </c>
      <c r="AF4043">
        <v>-2.9388205739908E-2</v>
      </c>
      <c r="AG4043">
        <v>-7.6711000000000196E-2</v>
      </c>
      <c r="AH4043">
        <v>0.69928867244922299</v>
      </c>
      <c r="AI4043">
        <v>96.254759142707798</v>
      </c>
      <c r="AJ4043">
        <v>92.406488144482694</v>
      </c>
      <c r="AK4043">
        <v>0.70409721741632203</v>
      </c>
      <c r="AL4043">
        <v>87.069339848323494</v>
      </c>
      <c r="AM4043">
        <v>94.108102695755093</v>
      </c>
      <c r="AN4043">
        <v>1.0000000370637401</v>
      </c>
    </row>
    <row r="4044" spans="1:40" x14ac:dyDescent="0.3">
      <c r="A4044" t="str">
        <f>"20200111154000709"</f>
        <v>20200111154000709</v>
      </c>
      <c r="B4044" t="str">
        <f>"1578728400704558"</f>
        <v>1578728400704558</v>
      </c>
      <c r="C4044" t="s">
        <v>40</v>
      </c>
      <c r="D4044">
        <v>4.7712779999999997</v>
      </c>
      <c r="E4044">
        <v>0.51318940000000002</v>
      </c>
      <c r="F4044" t="s">
        <v>41</v>
      </c>
      <c r="G4044">
        <v>-256.07900000000001</v>
      </c>
      <c r="H4044">
        <v>1.0175190000000001</v>
      </c>
      <c r="I4044">
        <v>-61.250399999999999</v>
      </c>
      <c r="J4044">
        <v>-256.8827</v>
      </c>
      <c r="K4044">
        <v>1.1038699999999999</v>
      </c>
      <c r="L4044">
        <v>-61.25714</v>
      </c>
      <c r="M4044">
        <v>0.99936100000000005</v>
      </c>
      <c r="N4044">
        <v>0</v>
      </c>
      <c r="O4044">
        <v>-3.4283010000000003E-2</v>
      </c>
      <c r="P4044">
        <v>0.99844940000000004</v>
      </c>
      <c r="Q4044">
        <v>4.0938250000000002E-2</v>
      </c>
      <c r="R4044">
        <v>3.772383E-2</v>
      </c>
      <c r="S4044">
        <v>3.0149539999999999</v>
      </c>
      <c r="T4044">
        <v>-0.24890329999999999</v>
      </c>
      <c r="U4044">
        <v>-4.1809079999999997E-3</v>
      </c>
      <c r="V4044">
        <v>-7.1919430000000006E-2</v>
      </c>
      <c r="W4044">
        <v>5.1039279999999999E-2</v>
      </c>
      <c r="X4044">
        <v>0.99610370000000004</v>
      </c>
      <c r="Y4044">
        <v>-3.2671079999999998E-2</v>
      </c>
      <c r="Z4044">
        <v>4.1714930000000001E-3</v>
      </c>
      <c r="AA4044">
        <v>0.9994575</v>
      </c>
      <c r="AB4044">
        <v>38</v>
      </c>
      <c r="AC4044">
        <v>0.80369999999999198</v>
      </c>
      <c r="AD4044">
        <v>-8.6350999999999997E-2</v>
      </c>
      <c r="AE4044">
        <v>6.74000000000063E-3</v>
      </c>
      <c r="AF4044">
        <v>-3.3899403104867602E-2</v>
      </c>
      <c r="AG4044">
        <v>-8.6350999999999997E-2</v>
      </c>
      <c r="AH4044">
        <v>0.79383326319500802</v>
      </c>
      <c r="AI4044">
        <v>96.202459873337006</v>
      </c>
      <c r="AJ4044">
        <v>92.445240659581202</v>
      </c>
      <c r="AK4044">
        <v>0.79923520598551001</v>
      </c>
      <c r="AL4044">
        <v>87.074393513802804</v>
      </c>
      <c r="AM4044">
        <v>94.129632106169197</v>
      </c>
      <c r="AN4044">
        <v>0.99999999683406604</v>
      </c>
    </row>
    <row r="4045" spans="1:40" x14ac:dyDescent="0.3">
      <c r="A4045" t="str">
        <f>"20200111154000722"</f>
        <v>20200111154000722</v>
      </c>
      <c r="B4045" t="str">
        <f>"1578728400715294"</f>
        <v>1578728400715294</v>
      </c>
      <c r="C4045" t="s">
        <v>40</v>
      </c>
      <c r="D4045">
        <v>4.8125339999999897</v>
      </c>
      <c r="E4045">
        <v>0.51318940000000002</v>
      </c>
      <c r="F4045" t="s">
        <v>79</v>
      </c>
      <c r="G4045">
        <v>-243.46889999999999</v>
      </c>
      <c r="H4045" s="1">
        <v>-7.0937659999999997E-7</v>
      </c>
      <c r="I4045">
        <v>-61.263319999999901</v>
      </c>
      <c r="J4045">
        <v>-256.66789999999997</v>
      </c>
      <c r="K4045">
        <v>1.1039699999999999</v>
      </c>
      <c r="L4045">
        <v>-61.264339999999997</v>
      </c>
      <c r="M4045">
        <v>0.99937010000000004</v>
      </c>
      <c r="N4045">
        <v>0</v>
      </c>
      <c r="O4045">
        <v>-3.4019269999999997E-2</v>
      </c>
      <c r="P4045">
        <v>0.99842620000000004</v>
      </c>
      <c r="Q4045">
        <v>4.0868729999999999E-2</v>
      </c>
      <c r="R4045">
        <v>3.8403960000000001E-2</v>
      </c>
      <c r="S4045">
        <v>3.0148619999999999</v>
      </c>
      <c r="T4045">
        <v>-0.24810579999999999</v>
      </c>
      <c r="U4045">
        <v>-1.403809E-3</v>
      </c>
      <c r="V4045">
        <v>-7.2348159999999995E-2</v>
      </c>
      <c r="W4045">
        <v>5.0953070000000003E-2</v>
      </c>
      <c r="X4045">
        <v>0.99607710000000005</v>
      </c>
      <c r="Y4045">
        <v>-3.3328000000000003E-2</v>
      </c>
      <c r="Z4045">
        <v>4.1636349999999997E-3</v>
      </c>
      <c r="AA4045">
        <v>0.99943579999999999</v>
      </c>
      <c r="AB4045">
        <v>38</v>
      </c>
      <c r="AC4045">
        <v>13.1989999999999</v>
      </c>
      <c r="AD4045">
        <v>-1.1039707093766</v>
      </c>
      <c r="AE4045">
        <v>1.0200000000111201E-3</v>
      </c>
      <c r="AF4045">
        <v>-0.44693603300224499</v>
      </c>
      <c r="AG4045">
        <v>-1.1039707093766</v>
      </c>
      <c r="AH4045">
        <v>13.099682790788901</v>
      </c>
      <c r="AI4045">
        <v>94.8144088692449</v>
      </c>
      <c r="AJ4045">
        <v>91.954064052282703</v>
      </c>
      <c r="AK4045">
        <v>13.153714014074</v>
      </c>
      <c r="AL4045">
        <v>87.0793395163779</v>
      </c>
      <c r="AM4045">
        <v>94.154274510868902</v>
      </c>
      <c r="AN4045">
        <v>1.0000000303711001</v>
      </c>
    </row>
    <row r="4046" spans="1:40" x14ac:dyDescent="0.3">
      <c r="A4046" t="str">
        <f>"20200111154000738"</f>
        <v>20200111154000738</v>
      </c>
      <c r="B4046" t="str">
        <f>"1578728400734813"</f>
        <v>1578728400734813</v>
      </c>
      <c r="C4046" t="s">
        <v>40</v>
      </c>
      <c r="D4046">
        <v>4.7897869999999996</v>
      </c>
      <c r="E4046">
        <v>0.50173179999999995</v>
      </c>
      <c r="F4046" t="s">
        <v>41</v>
      </c>
      <c r="G4046">
        <v>-255.72720000000001</v>
      </c>
      <c r="H4046">
        <v>1.026508</v>
      </c>
      <c r="I4046">
        <v>-61.264380000000003</v>
      </c>
      <c r="J4046">
        <v>-256.38749999999999</v>
      </c>
      <c r="K4046">
        <v>1.104085</v>
      </c>
      <c r="L4046">
        <v>-61.273620000000001</v>
      </c>
      <c r="M4046">
        <v>0.99938320000000003</v>
      </c>
      <c r="N4046">
        <v>0</v>
      </c>
      <c r="O4046">
        <v>-3.362631E-2</v>
      </c>
      <c r="P4046">
        <v>0.99837799999999999</v>
      </c>
      <c r="Q4046">
        <v>4.0669980000000001E-2</v>
      </c>
      <c r="R4046">
        <v>3.983975E-2</v>
      </c>
      <c r="S4046">
        <v>3.0148470000000001</v>
      </c>
      <c r="T4046">
        <v>-0.24827679999999999</v>
      </c>
      <c r="U4046">
        <v>5.1879879999999995E-4</v>
      </c>
      <c r="V4046">
        <v>-7.3404789999999998E-2</v>
      </c>
      <c r="W4046">
        <v>5.0733540000000001E-2</v>
      </c>
      <c r="X4046">
        <v>0.99601099999999998</v>
      </c>
      <c r="Y4046">
        <v>-3.3572570000000003E-2</v>
      </c>
      <c r="Z4046">
        <v>4.1442850000000002E-3</v>
      </c>
      <c r="AA4046">
        <v>0.99942770000000003</v>
      </c>
      <c r="AB4046">
        <v>38</v>
      </c>
      <c r="AC4046">
        <v>0.66029999999997802</v>
      </c>
      <c r="AD4046">
        <v>-7.7576999999999993E-2</v>
      </c>
      <c r="AE4046">
        <v>9.23999999999125E-3</v>
      </c>
      <c r="AF4046">
        <v>-3.1011388302691002E-2</v>
      </c>
      <c r="AG4046">
        <v>-7.7576999999999993E-2</v>
      </c>
      <c r="AH4046">
        <v>0.65063663950170303</v>
      </c>
      <c r="AI4046">
        <v>96.791778167632202</v>
      </c>
      <c r="AJ4046">
        <v>92.728831849628804</v>
      </c>
      <c r="AK4046">
        <v>0.65597860772705796</v>
      </c>
      <c r="AL4046">
        <v>87.091933957279807</v>
      </c>
      <c r="AM4046">
        <v>94.215008464918995</v>
      </c>
      <c r="AN4046">
        <v>1.00000003369843</v>
      </c>
    </row>
    <row r="4047" spans="1:40" x14ac:dyDescent="0.3">
      <c r="A4047" t="str">
        <f>"20200111154000751"</f>
        <v>20200111154000751</v>
      </c>
      <c r="B4047" t="str">
        <f>"1578728400744574"</f>
        <v>1578728400744574</v>
      </c>
      <c r="C4047" t="s">
        <v>40</v>
      </c>
      <c r="D4047">
        <v>4.8249029999999999</v>
      </c>
      <c r="E4047">
        <v>0.50140870000000004</v>
      </c>
      <c r="F4047" t="s">
        <v>79</v>
      </c>
      <c r="G4047">
        <v>-241.21619999999999</v>
      </c>
      <c r="H4047" s="1">
        <v>3.8354839999999998E-7</v>
      </c>
      <c r="I4047">
        <v>-60.787790000000001</v>
      </c>
      <c r="J4047">
        <v>-256.16250000000002</v>
      </c>
      <c r="K4047">
        <v>1.1041700000000001</v>
      </c>
      <c r="L4047">
        <v>-61.28098</v>
      </c>
      <c r="M4047">
        <v>0.99939520000000004</v>
      </c>
      <c r="N4047">
        <v>0</v>
      </c>
      <c r="O4047">
        <v>-3.327364E-2</v>
      </c>
      <c r="P4047">
        <v>0.99834970000000001</v>
      </c>
      <c r="Q4047">
        <v>4.0313019999999998E-2</v>
      </c>
      <c r="R4047">
        <v>4.0904589999999998E-2</v>
      </c>
      <c r="S4047">
        <v>3.0099490000000002</v>
      </c>
      <c r="T4047">
        <v>-0.2190483</v>
      </c>
      <c r="U4047">
        <v>9.6374509999999997E-2</v>
      </c>
      <c r="V4047">
        <v>-7.4127129999999999E-2</v>
      </c>
      <c r="W4047">
        <v>5.0361599999999999E-2</v>
      </c>
      <c r="X4047">
        <v>0.99597630000000004</v>
      </c>
      <c r="Y4047">
        <v>-6.4983200000000005E-2</v>
      </c>
      <c r="Z4047">
        <v>4.7786189999999996E-3</v>
      </c>
      <c r="AA4047">
        <v>0.99787490000000001</v>
      </c>
      <c r="AB4047">
        <v>38</v>
      </c>
      <c r="AC4047">
        <v>14.946300000000001</v>
      </c>
      <c r="AD4047">
        <v>-1.1041696164515999</v>
      </c>
      <c r="AE4047">
        <v>0.49319000000000501</v>
      </c>
      <c r="AF4047">
        <v>-0.98489075350964395</v>
      </c>
      <c r="AG4047">
        <v>-1.1041696164515999</v>
      </c>
      <c r="AH4047">
        <v>14.840705009914201</v>
      </c>
      <c r="AI4047">
        <v>94.245742868756693</v>
      </c>
      <c r="AJ4047">
        <v>93.796818178073806</v>
      </c>
      <c r="AK4047">
        <v>14.9142792494152</v>
      </c>
      <c r="AL4047">
        <v>87.113271602060195</v>
      </c>
      <c r="AM4047">
        <v>94.256482319675001</v>
      </c>
      <c r="AN4047">
        <v>0.99999995615914195</v>
      </c>
    </row>
    <row r="4048" spans="1:40" x14ac:dyDescent="0.3">
      <c r="A4048" t="str">
        <f>"20200111154000764"</f>
        <v>20200111154000764</v>
      </c>
      <c r="B4048" t="str">
        <f>"1578728400755310"</f>
        <v>1578728400755310</v>
      </c>
      <c r="C4048" t="s">
        <v>40</v>
      </c>
      <c r="D4048">
        <v>4.7661449999999999</v>
      </c>
      <c r="E4048">
        <v>0.50122679999999997</v>
      </c>
      <c r="F4048" t="s">
        <v>80</v>
      </c>
      <c r="G4048">
        <v>-239.09899999999999</v>
      </c>
      <c r="H4048" s="1">
        <v>-2.974289E-6</v>
      </c>
      <c r="I4048">
        <v>-60.698309999999999</v>
      </c>
      <c r="J4048">
        <v>-255.9528</v>
      </c>
      <c r="K4048">
        <v>1.104236</v>
      </c>
      <c r="L4048">
        <v>-61.287689999999998</v>
      </c>
      <c r="M4048">
        <v>0.99940680000000004</v>
      </c>
      <c r="N4048">
        <v>0</v>
      </c>
      <c r="O4048">
        <v>-3.2920829999999998E-2</v>
      </c>
      <c r="P4048">
        <v>0.99831769999999997</v>
      </c>
      <c r="Q4048">
        <v>4.0120580000000003E-2</v>
      </c>
      <c r="R4048">
        <v>4.1860109999999999E-2</v>
      </c>
      <c r="S4048">
        <v>3.0086059999999999</v>
      </c>
      <c r="T4048">
        <v>-0.19468489999999999</v>
      </c>
      <c r="U4048">
        <v>0.1027222</v>
      </c>
      <c r="V4048">
        <v>-7.4737680000000001E-2</v>
      </c>
      <c r="W4048">
        <v>5.0157300000000002E-2</v>
      </c>
      <c r="X4048">
        <v>0.99594099999999997</v>
      </c>
      <c r="Y4048">
        <v>-6.6799369999999997E-2</v>
      </c>
      <c r="Z4048">
        <v>4.2859459999999997E-3</v>
      </c>
      <c r="AA4048">
        <v>0.99775720000000001</v>
      </c>
      <c r="AB4048">
        <v>38</v>
      </c>
      <c r="AC4048">
        <v>16.8537999999999</v>
      </c>
      <c r="AD4048">
        <v>-1.104238974289</v>
      </c>
      <c r="AE4048">
        <v>0.58938000000000501</v>
      </c>
      <c r="AF4048">
        <v>-1.1390463478381601</v>
      </c>
      <c r="AG4048">
        <v>-1.104238974289</v>
      </c>
      <c r="AH4048">
        <v>16.7534302065602</v>
      </c>
      <c r="AI4048">
        <v>93.762319557049906</v>
      </c>
      <c r="AJ4048">
        <v>93.889488137065101</v>
      </c>
      <c r="AK4048">
        <v>16.828374668426701</v>
      </c>
      <c r="AL4048">
        <v>87.124991998275604</v>
      </c>
      <c r="AM4048">
        <v>94.291562042956699</v>
      </c>
      <c r="AN4048">
        <v>0.99999997551803499</v>
      </c>
    </row>
    <row r="4049" spans="1:40" x14ac:dyDescent="0.3">
      <c r="A4049" t="str">
        <f>"20200111154000775"</f>
        <v>20200111154000775</v>
      </c>
      <c r="B4049" t="str">
        <f>"1578728400765069"</f>
        <v>1578728400765069</v>
      </c>
      <c r="C4049" t="s">
        <v>40</v>
      </c>
      <c r="D4049">
        <v>4.7235579999999997</v>
      </c>
      <c r="E4049">
        <v>0.5010365</v>
      </c>
      <c r="F4049" t="s">
        <v>80</v>
      </c>
      <c r="G4049">
        <v>-237.14070000000001</v>
      </c>
      <c r="H4049" s="1">
        <v>-2.1121259999999999E-6</v>
      </c>
      <c r="I4049">
        <v>-60.615349999999999</v>
      </c>
      <c r="J4049">
        <v>-255.73609999999999</v>
      </c>
      <c r="K4049">
        <v>1.104303</v>
      </c>
      <c r="L4049">
        <v>-61.294620000000002</v>
      </c>
      <c r="M4049">
        <v>0.99941899999999995</v>
      </c>
      <c r="N4049">
        <v>0</v>
      </c>
      <c r="O4049">
        <v>-3.2544579999999997E-2</v>
      </c>
      <c r="P4049">
        <v>0.99828030000000001</v>
      </c>
      <c r="Q4049">
        <v>3.9868389999999997E-2</v>
      </c>
      <c r="R4049">
        <v>4.2974949999999998E-2</v>
      </c>
      <c r="S4049">
        <v>3.0076749999999999</v>
      </c>
      <c r="T4049">
        <v>-0.17654500000000001</v>
      </c>
      <c r="U4049">
        <v>0.10748290000000001</v>
      </c>
      <c r="V4049">
        <v>-7.548378E-2</v>
      </c>
      <c r="W4049">
        <v>4.9892980000000003E-2</v>
      </c>
      <c r="X4049">
        <v>0.99589799999999995</v>
      </c>
      <c r="Y4049">
        <v>-6.804702E-2</v>
      </c>
      <c r="Z4049">
        <v>3.9029429999999999E-3</v>
      </c>
      <c r="AA4049">
        <v>0.99767450000000002</v>
      </c>
      <c r="AB4049">
        <v>39</v>
      </c>
      <c r="AC4049">
        <v>18.595399999999898</v>
      </c>
      <c r="AD4049">
        <v>-1.1043051121259999</v>
      </c>
      <c r="AE4049">
        <v>0.67926999999999504</v>
      </c>
      <c r="AF4049">
        <v>-1.2796138621670901</v>
      </c>
      <c r="AG4049">
        <v>-1.1043051121259999</v>
      </c>
      <c r="AH4049">
        <v>18.4982902599452</v>
      </c>
      <c r="AI4049">
        <v>93.408245366517704</v>
      </c>
      <c r="AJ4049">
        <v>93.957115175592804</v>
      </c>
      <c r="AK4049">
        <v>18.575350439711801</v>
      </c>
      <c r="AL4049">
        <v>87.140155384110798</v>
      </c>
      <c r="AM4049">
        <v>94.334428321611696</v>
      </c>
      <c r="AN4049">
        <v>0.99999996845018302</v>
      </c>
    </row>
    <row r="4050" spans="1:40" x14ac:dyDescent="0.3">
      <c r="A4050" t="str">
        <f>"20200111154000788"</f>
        <v>20200111154000788</v>
      </c>
      <c r="B4050" t="str">
        <f>"1578728400774832"</f>
        <v>1578728400774832</v>
      </c>
      <c r="C4050" t="s">
        <v>40</v>
      </c>
      <c r="D4050">
        <v>4.8000749999999996</v>
      </c>
      <c r="E4050">
        <v>0.50113679999999905</v>
      </c>
      <c r="F4050" t="s">
        <v>80</v>
      </c>
      <c r="G4050">
        <v>-236.4924</v>
      </c>
      <c r="H4050" s="1">
        <v>-1.8234180000000001E-6</v>
      </c>
      <c r="I4050">
        <v>-60.575499999999998</v>
      </c>
      <c r="J4050">
        <v>-255.5181</v>
      </c>
      <c r="K4050">
        <v>1.104355</v>
      </c>
      <c r="L4050">
        <v>-61.301419999999901</v>
      </c>
      <c r="M4050">
        <v>0.99943199999999999</v>
      </c>
      <c r="N4050">
        <v>0</v>
      </c>
      <c r="O4050">
        <v>-3.2146319999999999E-2</v>
      </c>
      <c r="P4050">
        <v>0.99824409999999997</v>
      </c>
      <c r="Q4050">
        <v>3.9706720000000001E-2</v>
      </c>
      <c r="R4050">
        <v>4.396133E-2</v>
      </c>
      <c r="S4050">
        <v>3.0072019999999999</v>
      </c>
      <c r="T4050">
        <v>-0.17256930000000001</v>
      </c>
      <c r="U4050">
        <v>0.1123657</v>
      </c>
      <c r="V4050">
        <v>-7.6077069999999997E-2</v>
      </c>
      <c r="W4050">
        <v>4.9721540000000002E-2</v>
      </c>
      <c r="X4050">
        <v>0.99586149999999996</v>
      </c>
      <c r="Y4050">
        <v>-6.9279069999999998E-2</v>
      </c>
      <c r="Z4050">
        <v>3.82818E-3</v>
      </c>
      <c r="AA4050">
        <v>0.99758990000000003</v>
      </c>
      <c r="AB4050">
        <v>39</v>
      </c>
      <c r="AC4050">
        <v>19.025700000000001</v>
      </c>
      <c r="AD4050">
        <v>-1.1043568234179999</v>
      </c>
      <c r="AE4050">
        <v>0.72591999999999401</v>
      </c>
      <c r="AF4050">
        <v>-1.33269859876768</v>
      </c>
      <c r="AG4050">
        <v>-1.1043568234179999</v>
      </c>
      <c r="AH4050">
        <v>18.928845222594099</v>
      </c>
      <c r="AI4050">
        <v>93.330769584705607</v>
      </c>
      <c r="AJ4050">
        <v>94.027303840945393</v>
      </c>
      <c r="AK4050">
        <v>19.007810789502098</v>
      </c>
      <c r="AL4050">
        <v>87.1499905826863</v>
      </c>
      <c r="AM4050">
        <v>94.368524340352906</v>
      </c>
      <c r="AN4050">
        <v>1.000000039651</v>
      </c>
    </row>
    <row r="4051" spans="1:40" x14ac:dyDescent="0.3">
      <c r="A4051" t="str">
        <f>"20200111154000801"</f>
        <v>20200111154000801</v>
      </c>
      <c r="B4051" t="str">
        <f>"1578728400795325"</f>
        <v>1578728400795325</v>
      </c>
      <c r="C4051" t="s">
        <v>40</v>
      </c>
      <c r="D4051">
        <v>4.7795899999999998</v>
      </c>
      <c r="E4051">
        <v>0.50134520000000005</v>
      </c>
      <c r="F4051" t="s">
        <v>80</v>
      </c>
      <c r="G4051">
        <v>-235.0292</v>
      </c>
      <c r="H4051" s="1">
        <v>-1.180823E-6</v>
      </c>
      <c r="I4051">
        <v>-60.519629999999999</v>
      </c>
      <c r="J4051">
        <v>-255.3091</v>
      </c>
      <c r="K4051">
        <v>1.104398</v>
      </c>
      <c r="L4051">
        <v>-61.30789</v>
      </c>
      <c r="M4051">
        <v>0.99944429999999995</v>
      </c>
      <c r="N4051">
        <v>0</v>
      </c>
      <c r="O4051">
        <v>-3.1757439999999998E-2</v>
      </c>
      <c r="P4051">
        <v>0.99821340000000003</v>
      </c>
      <c r="Q4051">
        <v>3.9584649999999999E-2</v>
      </c>
      <c r="R4051">
        <v>4.4756039999999997E-2</v>
      </c>
      <c r="S4051">
        <v>3.0066830000000002</v>
      </c>
      <c r="T4051">
        <v>-0.16206089999999901</v>
      </c>
      <c r="U4051">
        <v>0.1147156</v>
      </c>
      <c r="V4051">
        <v>-7.6488319999999999E-2</v>
      </c>
      <c r="W4051">
        <v>4.9591530000000002E-2</v>
      </c>
      <c r="X4051">
        <v>0.99583639999999995</v>
      </c>
      <c r="Y4051">
        <v>-6.9695469999999995E-2</v>
      </c>
      <c r="Z4051">
        <v>3.5862590000000001E-3</v>
      </c>
      <c r="AA4051">
        <v>0.9975619</v>
      </c>
      <c r="AB4051">
        <v>39</v>
      </c>
      <c r="AC4051">
        <v>20.279900000000001</v>
      </c>
      <c r="AD4051">
        <v>-1.104399180823</v>
      </c>
      <c r="AE4051">
        <v>0.78825999999999397</v>
      </c>
      <c r="AF4051">
        <v>-1.4277054065113799</v>
      </c>
      <c r="AG4051">
        <v>-1.104399180823</v>
      </c>
      <c r="AH4051">
        <v>20.184864443945798</v>
      </c>
      <c r="AI4051">
        <v>93.123982142362095</v>
      </c>
      <c r="AJ4051">
        <v>94.045877363951206</v>
      </c>
      <c r="AK4051">
        <v>20.265408776998601</v>
      </c>
      <c r="AL4051">
        <v>87.157448578785605</v>
      </c>
      <c r="AM4051">
        <v>94.392157397437998</v>
      </c>
      <c r="AN4051">
        <v>0.99999995925455998</v>
      </c>
    </row>
    <row r="4052" spans="1:40" x14ac:dyDescent="0.3">
      <c r="A4052" t="str">
        <f>"20200111154000816"</f>
        <v>20200111154000816</v>
      </c>
      <c r="B4052" t="str">
        <f>"1578728400805086"</f>
        <v>1578728400805086</v>
      </c>
      <c r="C4052" t="s">
        <v>40</v>
      </c>
      <c r="D4052">
        <v>4.7740390000000001</v>
      </c>
      <c r="E4052">
        <v>0.50137169999999998</v>
      </c>
      <c r="F4052" t="s">
        <v>80</v>
      </c>
      <c r="G4052">
        <v>-233.1183</v>
      </c>
      <c r="H4052" s="1">
        <v>-3.4341550000000002E-7</v>
      </c>
      <c r="I4052">
        <v>-60.45335</v>
      </c>
      <c r="J4052">
        <v>-255.04339999999999</v>
      </c>
      <c r="K4052">
        <v>1.1044499999999999</v>
      </c>
      <c r="L4052">
        <v>-61.315980000000003</v>
      </c>
      <c r="M4052">
        <v>0.99946029999999997</v>
      </c>
      <c r="N4052">
        <v>0</v>
      </c>
      <c r="O4052">
        <v>-3.1254690000000002E-2</v>
      </c>
      <c r="P4052">
        <v>0.99815350000000003</v>
      </c>
      <c r="Q4052">
        <v>3.9693489999999998E-2</v>
      </c>
      <c r="R4052">
        <v>4.5978940000000003E-2</v>
      </c>
      <c r="S4052">
        <v>3.0061040000000001</v>
      </c>
      <c r="T4052">
        <v>-0.149608399999999</v>
      </c>
      <c r="U4052">
        <v>0.1157532</v>
      </c>
      <c r="V4052">
        <v>-7.7213489999999996E-2</v>
      </c>
      <c r="W4052">
        <v>4.969059E-2</v>
      </c>
      <c r="X4052">
        <v>0.99577550000000004</v>
      </c>
      <c r="Y4052">
        <v>-6.9567260000000006E-2</v>
      </c>
      <c r="Z4052">
        <v>3.2834840000000001E-3</v>
      </c>
      <c r="AA4052">
        <v>0.99757189999999996</v>
      </c>
      <c r="AB4052">
        <v>39</v>
      </c>
      <c r="AC4052">
        <v>21.925099999999901</v>
      </c>
      <c r="AD4052">
        <v>-1.1044503434155</v>
      </c>
      <c r="AE4052">
        <v>0.86263000000000201</v>
      </c>
      <c r="AF4052">
        <v>-1.5435949161520299</v>
      </c>
      <c r="AG4052">
        <v>-1.1044503434155</v>
      </c>
      <c r="AH4052">
        <v>21.832111085317699</v>
      </c>
      <c r="AI4052">
        <v>92.888830555581904</v>
      </c>
      <c r="AJ4052">
        <v>94.044251322411597</v>
      </c>
      <c r="AK4052">
        <v>21.9144603006301</v>
      </c>
      <c r="AL4052">
        <v>87.151765860600307</v>
      </c>
      <c r="AM4052">
        <v>94.433903354299403</v>
      </c>
      <c r="AN4052">
        <v>0.99999996208638797</v>
      </c>
    </row>
    <row r="4053" spans="1:40" x14ac:dyDescent="0.3">
      <c r="A4053" t="str">
        <f>"20200111154000828"</f>
        <v>20200111154000828</v>
      </c>
      <c r="B4053" t="str">
        <f>"1578728400814846"</f>
        <v>1578728400814846</v>
      </c>
      <c r="C4053" t="s">
        <v>40</v>
      </c>
      <c r="D4053">
        <v>4.848929</v>
      </c>
      <c r="E4053">
        <v>0.50096799999999997</v>
      </c>
      <c r="F4053" t="s">
        <v>80</v>
      </c>
      <c r="G4053">
        <v>-232.25880000000001</v>
      </c>
      <c r="H4053" s="1">
        <v>3.6208799999999999E-8</v>
      </c>
      <c r="I4053">
        <v>-60.41236</v>
      </c>
      <c r="J4053">
        <v>-254.83109999999999</v>
      </c>
      <c r="K4053">
        <v>1.104482</v>
      </c>
      <c r="L4053">
        <v>-61.322360000000003</v>
      </c>
      <c r="M4053">
        <v>0.9994729</v>
      </c>
      <c r="N4053">
        <v>0</v>
      </c>
      <c r="O4053">
        <v>-3.0848090000000002E-2</v>
      </c>
      <c r="P4053">
        <v>0.99810560000000004</v>
      </c>
      <c r="Q4053">
        <v>3.9861029999999999E-2</v>
      </c>
      <c r="R4053">
        <v>4.6866199999999997E-2</v>
      </c>
      <c r="S4053">
        <v>3.0058590000000001</v>
      </c>
      <c r="T4053">
        <v>-0.14570449999999999</v>
      </c>
      <c r="U4053">
        <v>0.11920169999999999</v>
      </c>
      <c r="V4053">
        <v>-7.7698130000000004E-2</v>
      </c>
      <c r="W4053">
        <v>4.9852510000000003E-2</v>
      </c>
      <c r="X4053">
        <v>0.99572969999999905</v>
      </c>
      <c r="Y4053">
        <v>-7.0313249999999994E-2</v>
      </c>
      <c r="Z4053">
        <v>3.1964749999999998E-3</v>
      </c>
      <c r="AA4053">
        <v>0.99751990000000001</v>
      </c>
      <c r="AB4053">
        <v>39</v>
      </c>
      <c r="AC4053">
        <v>22.572299999999899</v>
      </c>
      <c r="AD4053">
        <v>-1.1044819637912</v>
      </c>
      <c r="AE4053">
        <v>0.90999999999999603</v>
      </c>
      <c r="AF4053">
        <v>-1.6020853051321799</v>
      </c>
      <c r="AG4053">
        <v>-1.1044819637912</v>
      </c>
      <c r="AH4053">
        <v>22.479748867622899</v>
      </c>
      <c r="AI4053">
        <v>92.805707206609995</v>
      </c>
      <c r="AJ4053">
        <v>94.0764596667738</v>
      </c>
      <c r="AK4053">
        <v>22.5638132168447</v>
      </c>
      <c r="AL4053">
        <v>87.142476991619205</v>
      </c>
      <c r="AM4053">
        <v>94.461825668215894</v>
      </c>
      <c r="AN4053">
        <v>0.99999995381044204</v>
      </c>
    </row>
    <row r="4054" spans="1:40" x14ac:dyDescent="0.3">
      <c r="A4054" t="str">
        <f>"20200111154000840"</f>
        <v>20200111154000840</v>
      </c>
      <c r="B4054" t="str">
        <f>"1578728400835401"</f>
        <v>1578728400835401</v>
      </c>
      <c r="C4054" t="s">
        <v>40</v>
      </c>
      <c r="D4054">
        <v>4.7699049999999996</v>
      </c>
      <c r="E4054">
        <v>0.50142310000000001</v>
      </c>
      <c r="F4054" t="s">
        <v>80</v>
      </c>
      <c r="G4054">
        <v>-230.8383</v>
      </c>
      <c r="H4054" s="1">
        <v>6.4227120000000001E-7</v>
      </c>
      <c r="I4054">
        <v>-60.321930000000002</v>
      </c>
      <c r="J4054">
        <v>-254.6328</v>
      </c>
      <c r="K4054">
        <v>1.1045119999999999</v>
      </c>
      <c r="L4054">
        <v>-61.328220000000002</v>
      </c>
      <c r="M4054">
        <v>0.99948440000000005</v>
      </c>
      <c r="N4054">
        <v>0</v>
      </c>
      <c r="O4054">
        <v>-3.047016E-2</v>
      </c>
      <c r="P4054">
        <v>0.99805719999999998</v>
      </c>
      <c r="Q4054">
        <v>4.0205560000000001E-2</v>
      </c>
      <c r="R4054">
        <v>4.7596060000000003E-2</v>
      </c>
      <c r="S4054">
        <v>3.005325</v>
      </c>
      <c r="T4054">
        <v>-0.138347</v>
      </c>
      <c r="U4054">
        <v>0.12530519999999901</v>
      </c>
      <c r="V4054">
        <v>-7.8053360000000002E-2</v>
      </c>
      <c r="W4054">
        <v>5.0191590000000001E-2</v>
      </c>
      <c r="X4054">
        <v>0.99568489999999998</v>
      </c>
      <c r="Y4054">
        <v>-7.1975780000000003E-2</v>
      </c>
      <c r="Z4054">
        <v>3.0565129999999999E-3</v>
      </c>
      <c r="AA4054">
        <v>0.99740169999999995</v>
      </c>
      <c r="AB4054">
        <v>39</v>
      </c>
      <c r="AC4054">
        <v>23.794499999999999</v>
      </c>
      <c r="AD4054">
        <v>-1.1045113577287999</v>
      </c>
      <c r="AE4054">
        <v>1.0062899999999899</v>
      </c>
      <c r="AF4054">
        <v>-1.72716720559592</v>
      </c>
      <c r="AG4054">
        <v>-1.1045113577287999</v>
      </c>
      <c r="AH4054">
        <v>23.701807986778601</v>
      </c>
      <c r="AI4054">
        <v>92.661024635298503</v>
      </c>
      <c r="AJ4054">
        <v>94.167816427582096</v>
      </c>
      <c r="AK4054">
        <v>23.790307979039699</v>
      </c>
      <c r="AL4054">
        <v>87.123024836407396</v>
      </c>
      <c r="AM4054">
        <v>94.4823427137338</v>
      </c>
      <c r="AN4054">
        <v>0.99999997140101304</v>
      </c>
    </row>
    <row r="4055" spans="1:40" x14ac:dyDescent="0.3">
      <c r="A4055" t="str">
        <f>"20200111154000851"</f>
        <v>20200111154000851</v>
      </c>
      <c r="B4055" t="str">
        <f>"1578728400845160"</f>
        <v>1578728400845160</v>
      </c>
      <c r="C4055" t="s">
        <v>40</v>
      </c>
      <c r="D4055">
        <v>4.7972460000000003</v>
      </c>
      <c r="E4055">
        <v>0.50149449999999995</v>
      </c>
      <c r="F4055" t="s">
        <v>81</v>
      </c>
      <c r="G4055">
        <v>-229.8237</v>
      </c>
      <c r="H4055" s="1">
        <v>-3.3498399999999999E-6</v>
      </c>
      <c r="I4055">
        <v>-60.304639999999999</v>
      </c>
      <c r="J4055">
        <v>-254.43709999999999</v>
      </c>
      <c r="K4055">
        <v>1.104536</v>
      </c>
      <c r="L4055">
        <v>-61.333950000000002</v>
      </c>
      <c r="M4055">
        <v>0.99949560000000004</v>
      </c>
      <c r="N4055">
        <v>0</v>
      </c>
      <c r="O4055">
        <v>-3.0098710000000001E-2</v>
      </c>
      <c r="P4055">
        <v>0.99801770000000001</v>
      </c>
      <c r="Q4055">
        <v>4.0447810000000001E-2</v>
      </c>
      <c r="R4055">
        <v>4.8218280000000002E-2</v>
      </c>
      <c r="S4055">
        <v>3.0053100000000001</v>
      </c>
      <c r="T4055">
        <v>-0.1337981</v>
      </c>
      <c r="U4055">
        <v>0.1239929</v>
      </c>
      <c r="V4055">
        <v>-7.8306899999999999E-2</v>
      </c>
      <c r="W4055">
        <v>5.0430179999999998E-2</v>
      </c>
      <c r="X4055">
        <v>0.99565300000000001</v>
      </c>
      <c r="Y4055">
        <v>-7.1178699999999998E-2</v>
      </c>
      <c r="Z4055">
        <v>2.9219049999999998E-3</v>
      </c>
      <c r="AA4055">
        <v>0.99745930000000005</v>
      </c>
      <c r="AB4055">
        <v>39</v>
      </c>
      <c r="AC4055">
        <v>24.613399999999899</v>
      </c>
      <c r="AD4055">
        <v>-1.10453934984</v>
      </c>
      <c r="AE4055">
        <v>1.0293099999999999</v>
      </c>
      <c r="AF4055">
        <v>-1.7661626927438201</v>
      </c>
      <c r="AG4055">
        <v>-1.10453934984</v>
      </c>
      <c r="AH4055">
        <v>24.5219683485617</v>
      </c>
      <c r="AI4055">
        <v>92.572367656083898</v>
      </c>
      <c r="AJ4055">
        <v>94.119540145996993</v>
      </c>
      <c r="AK4055">
        <v>24.610287879674399</v>
      </c>
      <c r="AL4055">
        <v>87.109337486205007</v>
      </c>
      <c r="AM4055">
        <v>94.4969865285655</v>
      </c>
      <c r="AN4055">
        <v>1.0000000350257201</v>
      </c>
    </row>
    <row r="4056" spans="1:40" x14ac:dyDescent="0.3">
      <c r="A4056" t="str">
        <f>"20200111154000861"</f>
        <v>20200111154000861</v>
      </c>
      <c r="B4056" t="str">
        <f>"1578728400854920"</f>
        <v>1578728400854920</v>
      </c>
      <c r="C4056" t="s">
        <v>40</v>
      </c>
      <c r="D4056">
        <v>4.7893559999999997</v>
      </c>
      <c r="E4056">
        <v>0.50181209999999998</v>
      </c>
      <c r="F4056" t="s">
        <v>81</v>
      </c>
      <c r="G4056">
        <v>-229.2157</v>
      </c>
      <c r="H4056" s="1">
        <v>-3.0939690000000001E-6</v>
      </c>
      <c r="I4056">
        <v>-60.282330000000002</v>
      </c>
      <c r="J4056">
        <v>-254.25239999999999</v>
      </c>
      <c r="K4056">
        <v>1.104552</v>
      </c>
      <c r="L4056">
        <v>-61.339230000000001</v>
      </c>
      <c r="M4056">
        <v>0.9995058</v>
      </c>
      <c r="N4056">
        <v>0</v>
      </c>
      <c r="O4056">
        <v>-2.9758940000000001E-2</v>
      </c>
      <c r="P4056">
        <v>0.99796859999999998</v>
      </c>
      <c r="Q4056">
        <v>4.0743759999999997E-2</v>
      </c>
      <c r="R4056">
        <v>4.8978939999999999E-2</v>
      </c>
      <c r="S4056">
        <v>3.0052340000000002</v>
      </c>
      <c r="T4056">
        <v>-0.1316108</v>
      </c>
      <c r="U4056">
        <v>0.12530519999999901</v>
      </c>
      <c r="V4056">
        <v>-7.8729220000000003E-2</v>
      </c>
      <c r="W4056">
        <v>5.072306E-2</v>
      </c>
      <c r="X4056">
        <v>0.99560479999999996</v>
      </c>
      <c r="Y4056">
        <v>-7.1278930000000004E-2</v>
      </c>
      <c r="Z4056">
        <v>2.8615590000000001E-3</v>
      </c>
      <c r="AA4056">
        <v>0.99745229999999996</v>
      </c>
      <c r="AB4056">
        <v>39</v>
      </c>
      <c r="AC4056">
        <v>25.0367</v>
      </c>
      <c r="AD4056">
        <v>-1.1045550939690001</v>
      </c>
      <c r="AE4056">
        <v>1.0569</v>
      </c>
      <c r="AF4056">
        <v>-1.7980423277715201</v>
      </c>
      <c r="AG4056">
        <v>-1.1045550939690001</v>
      </c>
      <c r="AH4056">
        <v>24.945689752084199</v>
      </c>
      <c r="AI4056">
        <v>92.528757369526204</v>
      </c>
      <c r="AJ4056">
        <v>94.122651472075503</v>
      </c>
      <c r="AK4056">
        <v>25.034784508265901</v>
      </c>
      <c r="AL4056">
        <v>87.092535146431302</v>
      </c>
      <c r="AM4056">
        <v>94.521357093636695</v>
      </c>
      <c r="AN4056">
        <v>1.0000000183402999</v>
      </c>
    </row>
    <row r="4057" spans="1:40" x14ac:dyDescent="0.3">
      <c r="A4057" t="str">
        <f>"20200111154000873"</f>
        <v>20200111154000873</v>
      </c>
      <c r="B4057" t="str">
        <f>"1578728400864680"</f>
        <v>1578728400864680</v>
      </c>
      <c r="C4057" t="s">
        <v>40</v>
      </c>
      <c r="D4057">
        <v>4.7821350000000002</v>
      </c>
      <c r="E4057">
        <v>0.50203310000000001</v>
      </c>
      <c r="F4057" t="s">
        <v>81</v>
      </c>
      <c r="G4057">
        <v>-229.0615</v>
      </c>
      <c r="H4057" s="1">
        <v>-3.02588E-6</v>
      </c>
      <c r="I4057">
        <v>-60.290970000000002</v>
      </c>
      <c r="J4057">
        <v>-254.05019999999999</v>
      </c>
      <c r="K4057">
        <v>1.104565</v>
      </c>
      <c r="L4057">
        <v>-61.345030000000001</v>
      </c>
      <c r="M4057">
        <v>0.99951659999999998</v>
      </c>
      <c r="N4057">
        <v>0</v>
      </c>
      <c r="O4057">
        <v>-2.9391770000000001E-2</v>
      </c>
      <c r="P4057">
        <v>0.99792130000000001</v>
      </c>
      <c r="Q4057">
        <v>4.0854019999999998E-2</v>
      </c>
      <c r="R4057">
        <v>4.9838880000000002E-2</v>
      </c>
      <c r="S4057">
        <v>3.005341</v>
      </c>
      <c r="T4057">
        <v>-0.131776</v>
      </c>
      <c r="U4057">
        <v>0.12506099999999901</v>
      </c>
      <c r="V4057">
        <v>-7.9222979999999998E-2</v>
      </c>
      <c r="W4057">
        <v>5.0831170000000002E-2</v>
      </c>
      <c r="X4057">
        <v>0.99556009999999995</v>
      </c>
      <c r="Y4057">
        <v>-7.0830690000000002E-2</v>
      </c>
      <c r="Z4057">
        <v>2.8391470000000002E-3</v>
      </c>
      <c r="AA4057">
        <v>0.99748429999999999</v>
      </c>
      <c r="AB4057">
        <v>39</v>
      </c>
      <c r="AC4057">
        <v>24.988699999999898</v>
      </c>
      <c r="AD4057">
        <v>-1.1045680258799999</v>
      </c>
      <c r="AE4057">
        <v>1.05406</v>
      </c>
      <c r="AF4057">
        <v>-1.7846236581067301</v>
      </c>
      <c r="AG4057">
        <v>-1.1045680258799999</v>
      </c>
      <c r="AH4057">
        <v>24.898358739333499</v>
      </c>
      <c r="AI4057">
        <v>92.533660547724395</v>
      </c>
      <c r="AJ4057">
        <v>94.099741551312206</v>
      </c>
      <c r="AK4057">
        <v>24.986660842085598</v>
      </c>
      <c r="AL4057">
        <v>87.0863328471264</v>
      </c>
      <c r="AM4057">
        <v>94.549798081554997</v>
      </c>
      <c r="AN4057">
        <v>1.00000000055782</v>
      </c>
    </row>
    <row r="4058" spans="1:40" x14ac:dyDescent="0.3">
      <c r="A4058" t="str">
        <f>"20200111154000885"</f>
        <v>20200111154000885</v>
      </c>
      <c r="B4058" t="str">
        <f>"1578728400875417"</f>
        <v>1578728400875417</v>
      </c>
      <c r="C4058" t="s">
        <v>40</v>
      </c>
      <c r="D4058">
        <v>4.8185919999999998</v>
      </c>
      <c r="E4058">
        <v>0.50219170000000002</v>
      </c>
      <c r="F4058" t="s">
        <v>81</v>
      </c>
      <c r="G4058">
        <v>-228.9358</v>
      </c>
      <c r="H4058" s="1">
        <v>-2.9713810000000002E-6</v>
      </c>
      <c r="I4058">
        <v>-60.293579999999999</v>
      </c>
      <c r="J4058">
        <v>-253.85740000000001</v>
      </c>
      <c r="K4058">
        <v>1.104571</v>
      </c>
      <c r="L4058">
        <v>-61.350459999999998</v>
      </c>
      <c r="M4058">
        <v>0.99952620000000003</v>
      </c>
      <c r="N4058">
        <v>0</v>
      </c>
      <c r="O4058">
        <v>-2.9063800000000001E-2</v>
      </c>
      <c r="P4058">
        <v>0.99787729999999997</v>
      </c>
      <c r="Q4058">
        <v>4.1017329999999998E-2</v>
      </c>
      <c r="R4058">
        <v>5.0582059999999998E-2</v>
      </c>
      <c r="S4058">
        <v>3.0053709999999998</v>
      </c>
      <c r="T4058">
        <v>-0.13218050000000001</v>
      </c>
      <c r="U4058">
        <v>0.12582399999999999</v>
      </c>
      <c r="V4058">
        <v>-7.9638630000000002E-2</v>
      </c>
      <c r="W4058">
        <v>5.0994030000000003E-2</v>
      </c>
      <c r="X4058">
        <v>0.99551860000000003</v>
      </c>
      <c r="Y4058">
        <v>-7.0755559999999995E-2</v>
      </c>
      <c r="Z4058">
        <v>2.8317479999999998E-3</v>
      </c>
      <c r="AA4058">
        <v>0.99748970000000003</v>
      </c>
      <c r="AB4058">
        <v>39</v>
      </c>
      <c r="AC4058">
        <v>24.921600000000002</v>
      </c>
      <c r="AD4058">
        <v>-1.1045739713810001</v>
      </c>
      <c r="AE4058">
        <v>1.05687999999999</v>
      </c>
      <c r="AF4058">
        <v>-1.77730194117906</v>
      </c>
      <c r="AG4058">
        <v>-1.1045739713810001</v>
      </c>
      <c r="AH4058">
        <v>24.831659853633901</v>
      </c>
      <c r="AI4058">
        <v>92.540489319660793</v>
      </c>
      <c r="AJ4058">
        <v>94.093908491053298</v>
      </c>
      <c r="AK4058">
        <v>24.919675297542401</v>
      </c>
      <c r="AL4058">
        <v>87.076989516306895</v>
      </c>
      <c r="AM4058">
        <v>94.573757817418695</v>
      </c>
      <c r="AN4058">
        <v>0.999999992714939</v>
      </c>
    </row>
    <row r="4059" spans="1:40" x14ac:dyDescent="0.3">
      <c r="A4059" t="str">
        <f>"20200111154000897"</f>
        <v>20200111154000897</v>
      </c>
      <c r="B4059" t="str">
        <f>"1578728400894937"</f>
        <v>1578728400894937</v>
      </c>
      <c r="C4059" t="s">
        <v>40</v>
      </c>
      <c r="D4059">
        <v>4.749409</v>
      </c>
      <c r="E4059">
        <v>0.50251699999999999</v>
      </c>
      <c r="F4059" t="s">
        <v>81</v>
      </c>
      <c r="G4059">
        <v>-228.72839999999999</v>
      </c>
      <c r="H4059" s="1">
        <v>-2.883208E-6</v>
      </c>
      <c r="I4059">
        <v>-60.289990000000003</v>
      </c>
      <c r="J4059">
        <v>-253.6293</v>
      </c>
      <c r="K4059">
        <v>1.1045739999999999</v>
      </c>
      <c r="L4059">
        <v>-61.356839999999998</v>
      </c>
      <c r="M4059">
        <v>0.99953709999999996</v>
      </c>
      <c r="N4059">
        <v>0</v>
      </c>
      <c r="O4059">
        <v>-2.8687000000000001E-2</v>
      </c>
      <c r="P4059">
        <v>0.99781850000000005</v>
      </c>
      <c r="Q4059">
        <v>4.1707479999999998E-2</v>
      </c>
      <c r="R4059">
        <v>5.1173469999999999E-2</v>
      </c>
      <c r="S4059">
        <v>3.0053860000000001</v>
      </c>
      <c r="T4059">
        <v>-0.13210549999999999</v>
      </c>
      <c r="U4059">
        <v>0.1268311</v>
      </c>
      <c r="V4059">
        <v>-7.9853209999999994E-2</v>
      </c>
      <c r="W4059">
        <v>5.1684540000000001E-2</v>
      </c>
      <c r="X4059">
        <v>0.99546579999999996</v>
      </c>
      <c r="Y4059">
        <v>-7.0713490000000004E-2</v>
      </c>
      <c r="Z4059">
        <v>2.812639E-3</v>
      </c>
      <c r="AA4059">
        <v>0.99749270000000001</v>
      </c>
      <c r="AB4059">
        <v>39</v>
      </c>
      <c r="AC4059">
        <v>24.9009</v>
      </c>
      <c r="AD4059">
        <v>-1.1045768832079901</v>
      </c>
      <c r="AE4059">
        <v>1.0668500000000001</v>
      </c>
      <c r="AF4059">
        <v>-1.7772888797331801</v>
      </c>
      <c r="AG4059">
        <v>-1.1045768832079901</v>
      </c>
      <c r="AH4059">
        <v>24.811312423441901</v>
      </c>
      <c r="AI4059">
        <v>92.542566179836001</v>
      </c>
      <c r="AJ4059">
        <v>94.097224413659902</v>
      </c>
      <c r="AK4059">
        <v>24.899398989264402</v>
      </c>
      <c r="AL4059">
        <v>87.0373739648075</v>
      </c>
      <c r="AM4059">
        <v>94.586271156701798</v>
      </c>
      <c r="AN4059">
        <v>0.99999999289597796</v>
      </c>
    </row>
    <row r="4060" spans="1:40" x14ac:dyDescent="0.3">
      <c r="A4060" t="str">
        <f>"20200111154000912"</f>
        <v>20200111154000912</v>
      </c>
      <c r="B4060" t="str">
        <f>"1578728400904696"</f>
        <v>1578728400904696</v>
      </c>
      <c r="C4060" t="s">
        <v>40</v>
      </c>
      <c r="D4060">
        <v>4.7605870000000001</v>
      </c>
      <c r="E4060">
        <v>0.50268250000000003</v>
      </c>
      <c r="F4060" t="s">
        <v>81</v>
      </c>
      <c r="G4060">
        <v>-228.5624</v>
      </c>
      <c r="H4060" s="1">
        <v>-2.8084070000000001E-6</v>
      </c>
      <c r="I4060">
        <v>-60.306199999999997</v>
      </c>
      <c r="J4060">
        <v>-253.38059999999999</v>
      </c>
      <c r="K4060">
        <v>1.1045689999999999</v>
      </c>
      <c r="L4060">
        <v>-61.363680000000002</v>
      </c>
      <c r="M4060">
        <v>0.99954799999999999</v>
      </c>
      <c r="N4060">
        <v>0</v>
      </c>
      <c r="O4060">
        <v>-2.8301949999999999E-2</v>
      </c>
      <c r="P4060">
        <v>0.99775040000000004</v>
      </c>
      <c r="Q4060">
        <v>4.2215460000000003E-2</v>
      </c>
      <c r="R4060">
        <v>5.2077810000000002E-2</v>
      </c>
      <c r="S4060">
        <v>3.00563</v>
      </c>
      <c r="T4060">
        <v>-0.1324437</v>
      </c>
      <c r="U4060">
        <v>0.12597659999999999</v>
      </c>
      <c r="V4060">
        <v>-8.0371780000000004E-2</v>
      </c>
      <c r="W4060">
        <v>5.2194539999999998E-2</v>
      </c>
      <c r="X4060">
        <v>0.99539739999999999</v>
      </c>
      <c r="Y4060">
        <v>-7.0043279999999999E-2</v>
      </c>
      <c r="Z4060">
        <v>2.7879160000000001E-3</v>
      </c>
      <c r="AA4060">
        <v>0.99754010000000004</v>
      </c>
      <c r="AB4060">
        <v>39</v>
      </c>
      <c r="AC4060">
        <v>24.818199999999901</v>
      </c>
      <c r="AD4060">
        <v>-1.104571808407</v>
      </c>
      <c r="AE4060">
        <v>1.05748</v>
      </c>
      <c r="AF4060">
        <v>-1.75602382866561</v>
      </c>
      <c r="AG4060">
        <v>-1.104571808407</v>
      </c>
      <c r="AH4060">
        <v>24.7294309655699</v>
      </c>
      <c r="AI4060">
        <v>92.551074624062494</v>
      </c>
      <c r="AJ4060">
        <v>94.061725316569806</v>
      </c>
      <c r="AK4060">
        <v>24.816294132034599</v>
      </c>
      <c r="AL4060">
        <v>87.008113459063296</v>
      </c>
      <c r="AM4060">
        <v>94.616242115251296</v>
      </c>
      <c r="AN4060">
        <v>0.99999993847646795</v>
      </c>
    </row>
    <row r="4061" spans="1:40" x14ac:dyDescent="0.3">
      <c r="A4061" t="str">
        <f>"20200111154000929"</f>
        <v>20200111154000929</v>
      </c>
      <c r="B4061" t="str">
        <f>"1578728400925192"</f>
        <v>1578728400925192</v>
      </c>
      <c r="C4061" t="s">
        <v>40</v>
      </c>
      <c r="D4061">
        <v>4.7683249999999999</v>
      </c>
      <c r="E4061">
        <v>0.50293729999999903</v>
      </c>
      <c r="F4061" t="s">
        <v>81</v>
      </c>
      <c r="G4061">
        <v>-228.21870000000001</v>
      </c>
      <c r="H4061" s="1">
        <v>-2.6630390000000002E-6</v>
      </c>
      <c r="I4061">
        <v>-60.296810000000001</v>
      </c>
      <c r="J4061">
        <v>-253.10659999999999</v>
      </c>
      <c r="K4061">
        <v>1.10456</v>
      </c>
      <c r="L4061">
        <v>-61.371119999999998</v>
      </c>
      <c r="M4061">
        <v>0.99955899999999998</v>
      </c>
      <c r="N4061">
        <v>0</v>
      </c>
      <c r="O4061">
        <v>-2.79096E-2</v>
      </c>
      <c r="P4061">
        <v>0.99764039999999998</v>
      </c>
      <c r="Q4061">
        <v>4.3403659999999997E-2</v>
      </c>
      <c r="R4061">
        <v>5.3195800000000001E-2</v>
      </c>
      <c r="S4061">
        <v>3.0056759999999998</v>
      </c>
      <c r="T4061">
        <v>-0.13194500000000001</v>
      </c>
      <c r="U4061">
        <v>0.12744140000000001</v>
      </c>
      <c r="V4061">
        <v>-8.1094749999999993E-2</v>
      </c>
      <c r="W4061">
        <v>5.3385439999999999E-2</v>
      </c>
      <c r="X4061">
        <v>0.99527569999999999</v>
      </c>
      <c r="Y4061">
        <v>-7.0137379999999999E-2</v>
      </c>
      <c r="Z4061">
        <v>2.7622129999999999E-3</v>
      </c>
      <c r="AA4061">
        <v>0.99753349999999996</v>
      </c>
      <c r="AB4061">
        <v>39</v>
      </c>
      <c r="AC4061">
        <v>24.887899999999899</v>
      </c>
      <c r="AD4061">
        <v>-1.104562663039</v>
      </c>
      <c r="AE4061">
        <v>1.0743099999999901</v>
      </c>
      <c r="AF4061">
        <v>-1.7650682991807101</v>
      </c>
      <c r="AG4061">
        <v>-1.104562663039</v>
      </c>
      <c r="AH4061">
        <v>24.7994617325297</v>
      </c>
      <c r="AI4061">
        <v>92.543829627882701</v>
      </c>
      <c r="AJ4061">
        <v>94.071084942851797</v>
      </c>
      <c r="AK4061">
        <v>24.886719892355401</v>
      </c>
      <c r="AL4061">
        <v>86.939784946823906</v>
      </c>
      <c r="AM4061">
        <v>94.658151827752704</v>
      </c>
      <c r="AN4061">
        <v>1.0000000413460199</v>
      </c>
    </row>
    <row r="4062" spans="1:40" x14ac:dyDescent="0.3">
      <c r="A4062" t="str">
        <f>"20200111154000941"</f>
        <v>20200111154000941</v>
      </c>
      <c r="B4062" t="str">
        <f>"1578728400934953"</f>
        <v>1578728400934953</v>
      </c>
      <c r="C4062" t="s">
        <v>40</v>
      </c>
      <c r="D4062">
        <v>4.7753050000000004</v>
      </c>
      <c r="E4062">
        <v>0.50300940000000005</v>
      </c>
      <c r="F4062" t="s">
        <v>81</v>
      </c>
      <c r="G4062">
        <v>-227.65520000000001</v>
      </c>
      <c r="H4062" s="1">
        <v>-2.4246539999999998E-6</v>
      </c>
      <c r="I4062">
        <v>-60.281730000000003</v>
      </c>
      <c r="J4062">
        <v>-252.88310000000001</v>
      </c>
      <c r="K4062">
        <v>1.1045499999999999</v>
      </c>
      <c r="L4062">
        <v>-61.377139999999997</v>
      </c>
      <c r="M4062">
        <v>0.99956739999999999</v>
      </c>
      <c r="N4062">
        <v>0</v>
      </c>
      <c r="O4062">
        <v>-2.7610340000000001E-2</v>
      </c>
      <c r="P4062">
        <v>0.99757609999999997</v>
      </c>
      <c r="Q4062">
        <v>4.3884600000000003E-2</v>
      </c>
      <c r="R4062">
        <v>5.4001500000000001E-2</v>
      </c>
      <c r="S4062">
        <v>3.0059049999999998</v>
      </c>
      <c r="T4062">
        <v>-0.13045309999999999</v>
      </c>
      <c r="U4062">
        <v>0.1286621</v>
      </c>
      <c r="V4062">
        <v>-8.1598050000000005E-2</v>
      </c>
      <c r="W4062">
        <v>5.387016E-2</v>
      </c>
      <c r="X4062">
        <v>0.99520839999999999</v>
      </c>
      <c r="Y4062">
        <v>-7.0242209999999999E-2</v>
      </c>
      <c r="Z4062">
        <v>2.7200789999999998E-3</v>
      </c>
      <c r="AA4062">
        <v>0.99752620000000003</v>
      </c>
      <c r="AB4062">
        <v>39</v>
      </c>
      <c r="AC4062">
        <v>25.227900000000002</v>
      </c>
      <c r="AD4062">
        <v>-1.1045524246539999</v>
      </c>
      <c r="AE4062">
        <v>1.09541</v>
      </c>
      <c r="AF4062">
        <v>-1.7881576500854901</v>
      </c>
      <c r="AG4062">
        <v>-1.1045524246539999</v>
      </c>
      <c r="AH4062">
        <v>25.139933706992899</v>
      </c>
      <c r="AI4062">
        <v>92.509407535687899</v>
      </c>
      <c r="AJ4062">
        <v>94.068492439180005</v>
      </c>
      <c r="AK4062">
        <v>25.2276398149404</v>
      </c>
      <c r="AL4062">
        <v>86.911972380188899</v>
      </c>
      <c r="AM4062">
        <v>94.687248944363105</v>
      </c>
      <c r="AN4062">
        <v>0.99999999766639402</v>
      </c>
    </row>
    <row r="4063" spans="1:40" x14ac:dyDescent="0.3">
      <c r="A4063" t="str">
        <f>"20200111154000952"</f>
        <v>20200111154000952</v>
      </c>
      <c r="B4063" t="str">
        <f>"1578728400944712"</f>
        <v>1578728400944712</v>
      </c>
      <c r="C4063" t="s">
        <v>40</v>
      </c>
      <c r="D4063">
        <v>4.750292</v>
      </c>
      <c r="E4063">
        <v>0.50305089999999997</v>
      </c>
      <c r="F4063" t="s">
        <v>81</v>
      </c>
      <c r="G4063">
        <v>-227.2784</v>
      </c>
      <c r="H4063" s="1">
        <v>-2.2665109999999999E-6</v>
      </c>
      <c r="I4063">
        <v>-60.26585</v>
      </c>
      <c r="J4063">
        <v>-252.67320000000001</v>
      </c>
      <c r="K4063">
        <v>1.104533</v>
      </c>
      <c r="L4063">
        <v>-61.382750000000001</v>
      </c>
      <c r="M4063">
        <v>0.99957470000000004</v>
      </c>
      <c r="N4063">
        <v>0</v>
      </c>
      <c r="O4063">
        <v>-2.7345080000000001E-2</v>
      </c>
      <c r="P4063">
        <v>0.99750249999999996</v>
      </c>
      <c r="Q4063">
        <v>4.4559040000000001E-2</v>
      </c>
      <c r="R4063">
        <v>5.4804909999999998E-2</v>
      </c>
      <c r="S4063">
        <v>3.0059360000000002</v>
      </c>
      <c r="T4063">
        <v>-0.12967210000000001</v>
      </c>
      <c r="U4063">
        <v>0.13046259999999901</v>
      </c>
      <c r="V4063">
        <v>-8.2133620000000004E-2</v>
      </c>
      <c r="W4063">
        <v>5.4548190000000003E-2</v>
      </c>
      <c r="X4063">
        <v>0.9951274</v>
      </c>
      <c r="Y4063">
        <v>-7.0574490000000004E-2</v>
      </c>
      <c r="Z4063">
        <v>2.6994760000000001E-3</v>
      </c>
      <c r="AA4063">
        <v>0.99750289999999997</v>
      </c>
      <c r="AB4063">
        <v>39</v>
      </c>
      <c r="AC4063">
        <v>25.3948</v>
      </c>
      <c r="AD4063">
        <v>-1.104535266511</v>
      </c>
      <c r="AE4063">
        <v>1.1169</v>
      </c>
      <c r="AF4063">
        <v>-1.8075279478897099</v>
      </c>
      <c r="AG4063">
        <v>-1.104535266511</v>
      </c>
      <c r="AH4063">
        <v>25.306976749930499</v>
      </c>
      <c r="AI4063">
        <v>92.492773803770604</v>
      </c>
      <c r="AJ4063">
        <v>94.085361683217599</v>
      </c>
      <c r="AK4063">
        <v>25.3954765196263</v>
      </c>
      <c r="AL4063">
        <v>86.873066889551694</v>
      </c>
      <c r="AM4063">
        <v>94.718257632269996</v>
      </c>
      <c r="AN4063">
        <v>0.99999998939866996</v>
      </c>
    </row>
    <row r="4064" spans="1:40" x14ac:dyDescent="0.3">
      <c r="A4064" t="str">
        <f>"20200111154000964"</f>
        <v>20200111154000964</v>
      </c>
      <c r="B4064" t="str">
        <f>"1578728400955448"</f>
        <v>1578728400955448</v>
      </c>
      <c r="C4064" t="s">
        <v>40</v>
      </c>
      <c r="D4064">
        <v>4.7542439999999999</v>
      </c>
      <c r="E4064">
        <v>0.50313099999999999</v>
      </c>
      <c r="F4064" t="s">
        <v>81</v>
      </c>
      <c r="G4064">
        <v>-226.72900000000001</v>
      </c>
      <c r="H4064" s="1">
        <v>-2.0366110000000002E-6</v>
      </c>
      <c r="I4064">
        <v>-60.239609999999999</v>
      </c>
      <c r="J4064">
        <v>-252.4701</v>
      </c>
      <c r="K4064">
        <v>1.104514</v>
      </c>
      <c r="L4064">
        <v>-61.388120000000001</v>
      </c>
      <c r="M4064">
        <v>0.99958080000000005</v>
      </c>
      <c r="N4064">
        <v>0</v>
      </c>
      <c r="O4064">
        <v>-2.7115839999999999E-2</v>
      </c>
      <c r="P4064">
        <v>0.99746809999999997</v>
      </c>
      <c r="Q4064">
        <v>4.4655420000000001E-2</v>
      </c>
      <c r="R4064">
        <v>5.5346159999999998E-2</v>
      </c>
      <c r="S4064">
        <v>3.0059360000000002</v>
      </c>
      <c r="T4064">
        <v>-0.127973</v>
      </c>
      <c r="U4064">
        <v>0.13244629999999999</v>
      </c>
      <c r="V4064">
        <v>-8.2443009999999997E-2</v>
      </c>
      <c r="W4064">
        <v>5.4649129999999997E-2</v>
      </c>
      <c r="X4064">
        <v>0.99509630000000004</v>
      </c>
      <c r="Y4064">
        <v>-7.1004910000000004E-2</v>
      </c>
      <c r="Z4064">
        <v>2.6635029999999998E-3</v>
      </c>
      <c r="AA4064">
        <v>0.99747240000000004</v>
      </c>
      <c r="AB4064">
        <v>39</v>
      </c>
      <c r="AC4064">
        <v>25.7410999999999</v>
      </c>
      <c r="AD4064">
        <v>-1.1045160366110001</v>
      </c>
      <c r="AE4064">
        <v>1.1485099999999899</v>
      </c>
      <c r="AF4064">
        <v>-1.8427291245856801</v>
      </c>
      <c r="AG4064">
        <v>-1.1045160366110001</v>
      </c>
      <c r="AH4064">
        <v>25.653351652401302</v>
      </c>
      <c r="AI4064">
        <v>92.459043510946202</v>
      </c>
      <c r="AJ4064">
        <v>94.108608137758694</v>
      </c>
      <c r="AK4064">
        <v>25.7431555428523</v>
      </c>
      <c r="AL4064">
        <v>86.867274884149893</v>
      </c>
      <c r="AM4064">
        <v>94.736097533269202</v>
      </c>
      <c r="AN4064">
        <v>1.00000001179065</v>
      </c>
    </row>
    <row r="4065" spans="1:40" x14ac:dyDescent="0.3">
      <c r="A4065" t="str">
        <f>"20200111154000975"</f>
        <v>20200111154000975</v>
      </c>
      <c r="B4065" t="str">
        <f>"1578728400965208"</f>
        <v>1578728400965208</v>
      </c>
      <c r="C4065" t="s">
        <v>40</v>
      </c>
      <c r="D4065">
        <v>4.7738060000000004</v>
      </c>
      <c r="E4065">
        <v>0.503162</v>
      </c>
      <c r="F4065" t="s">
        <v>81</v>
      </c>
      <c r="G4065">
        <v>-226.55179999999999</v>
      </c>
      <c r="H4065" s="1">
        <v>-1.9610240000000002E-6</v>
      </c>
      <c r="I4065">
        <v>-60.237720000000003</v>
      </c>
      <c r="J4065">
        <v>-252.2741</v>
      </c>
      <c r="K4065">
        <v>1.1044940000000001</v>
      </c>
      <c r="L4065">
        <v>-61.39331</v>
      </c>
      <c r="M4065">
        <v>0.99958650000000004</v>
      </c>
      <c r="N4065">
        <v>0</v>
      </c>
      <c r="O4065">
        <v>-2.6903059999999999E-2</v>
      </c>
      <c r="P4065">
        <v>0.99741340000000001</v>
      </c>
      <c r="Q4065">
        <v>4.4854400000000003E-2</v>
      </c>
      <c r="R4065">
        <v>5.6165970000000003E-2</v>
      </c>
      <c r="S4065">
        <v>3.005951</v>
      </c>
      <c r="T4065">
        <v>-0.12809980000000001</v>
      </c>
      <c r="U4065">
        <v>0.13342290000000001</v>
      </c>
      <c r="V4065">
        <v>-8.3046110000000006E-2</v>
      </c>
      <c r="W4065">
        <v>5.4852419999999999E-2</v>
      </c>
      <c r="X4065">
        <v>0.99503490000000006</v>
      </c>
      <c r="Y4065">
        <v>-7.1115689999999995E-2</v>
      </c>
      <c r="Z4065">
        <v>2.6594079999999998E-3</v>
      </c>
      <c r="AA4065">
        <v>0.99746449999999998</v>
      </c>
      <c r="AB4065">
        <v>39</v>
      </c>
      <c r="AC4065">
        <v>25.722300000000001</v>
      </c>
      <c r="AD4065">
        <v>-1.1044959610239999</v>
      </c>
      <c r="AE4065">
        <v>1.1555899999999999</v>
      </c>
      <c r="AF4065">
        <v>-1.84382317480386</v>
      </c>
      <c r="AG4065">
        <v>-1.1044959610239999</v>
      </c>
      <c r="AH4065">
        <v>25.6347287218831</v>
      </c>
      <c r="AI4065">
        <v>92.460766398432796</v>
      </c>
      <c r="AJ4065">
        <v>94.114015413029705</v>
      </c>
      <c r="AK4065">
        <v>25.724675155818801</v>
      </c>
      <c r="AL4065">
        <v>86.855609528250298</v>
      </c>
      <c r="AM4065">
        <v>94.770877463252305</v>
      </c>
      <c r="AN4065">
        <v>0.99999994829199701</v>
      </c>
    </row>
    <row r="4066" spans="1:40" x14ac:dyDescent="0.3">
      <c r="A4066" t="str">
        <f>"20200111154000987"</f>
        <v>20200111154000987</v>
      </c>
      <c r="B4066" t="str">
        <f>"1578728400974968"</f>
        <v>1578728400974968</v>
      </c>
      <c r="C4066" t="s">
        <v>40</v>
      </c>
      <c r="D4066">
        <v>4.7151439999999996</v>
      </c>
      <c r="E4066">
        <v>0.50323009999999901</v>
      </c>
      <c r="F4066" t="s">
        <v>81</v>
      </c>
      <c r="G4066">
        <v>-226.4179</v>
      </c>
      <c r="H4066" s="1">
        <v>-1.905837E-6</v>
      </c>
      <c r="I4066">
        <v>-60.227519999999998</v>
      </c>
      <c r="J4066">
        <v>-252.077</v>
      </c>
      <c r="K4066">
        <v>1.1044670000000001</v>
      </c>
      <c r="L4066">
        <v>-61.398470000000003</v>
      </c>
      <c r="M4066">
        <v>0.99959149999999997</v>
      </c>
      <c r="N4066">
        <v>0</v>
      </c>
      <c r="O4066">
        <v>-2.6716879999999998E-2</v>
      </c>
      <c r="P4066">
        <v>0.99738199999999999</v>
      </c>
      <c r="Q4066">
        <v>4.4809370000000001E-2</v>
      </c>
      <c r="R4066">
        <v>5.6754930000000002E-2</v>
      </c>
      <c r="S4066">
        <v>3.0059049999999998</v>
      </c>
      <c r="T4066">
        <v>-0.12840309999999999</v>
      </c>
      <c r="U4066">
        <v>0.1355286</v>
      </c>
      <c r="V4066">
        <v>-8.3445309999999995E-2</v>
      </c>
      <c r="W4066">
        <v>5.4812899999999998E-2</v>
      </c>
      <c r="X4066">
        <v>0.99500379999999999</v>
      </c>
      <c r="Y4066">
        <v>-7.1627209999999997E-2</v>
      </c>
      <c r="Z4066">
        <v>2.6686700000000002E-3</v>
      </c>
      <c r="AA4066">
        <v>0.99742790000000003</v>
      </c>
      <c r="AB4066">
        <v>39</v>
      </c>
      <c r="AC4066">
        <v>25.659099999999899</v>
      </c>
      <c r="AD4066">
        <v>-1.1044689058370001</v>
      </c>
      <c r="AE4066">
        <v>1.1709499999999899</v>
      </c>
      <c r="AF4066">
        <v>-1.85267292852873</v>
      </c>
      <c r="AG4066">
        <v>-1.1044689058370001</v>
      </c>
      <c r="AH4066">
        <v>25.571374351524</v>
      </c>
      <c r="AI4066">
        <v>92.466702435612405</v>
      </c>
      <c r="AJ4066">
        <v>94.143898867654201</v>
      </c>
      <c r="AK4066">
        <v>25.662179072905001</v>
      </c>
      <c r="AL4066">
        <v>86.857877645430705</v>
      </c>
      <c r="AM4066">
        <v>94.793853434345607</v>
      </c>
      <c r="AN4066">
        <v>1.00000006789092</v>
      </c>
    </row>
    <row r="4067" spans="1:40" x14ac:dyDescent="0.3">
      <c r="A4067" t="str">
        <f>"20200111154000999"</f>
        <v>20200111154000999</v>
      </c>
      <c r="B4067" t="str">
        <f>"1578728400995464"</f>
        <v>1578728400995464</v>
      </c>
      <c r="C4067" t="s">
        <v>40</v>
      </c>
      <c r="D4067">
        <v>4.7674880000000002</v>
      </c>
      <c r="E4067">
        <v>0.5033474</v>
      </c>
      <c r="F4067" t="s">
        <v>81</v>
      </c>
      <c r="G4067">
        <v>-226.33269999999999</v>
      </c>
      <c r="H4067" s="1">
        <v>-1.8692020000000001E-6</v>
      </c>
      <c r="I4067">
        <v>-60.227780000000003</v>
      </c>
      <c r="J4067">
        <v>-251.87799999999999</v>
      </c>
      <c r="K4067">
        <v>1.1044389999999999</v>
      </c>
      <c r="L4067">
        <v>-61.403660000000002</v>
      </c>
      <c r="M4067">
        <v>0.99959620000000005</v>
      </c>
      <c r="N4067">
        <v>0</v>
      </c>
      <c r="O4067">
        <v>-2.6540370000000001E-2</v>
      </c>
      <c r="P4067">
        <v>0.99736320000000001</v>
      </c>
      <c r="Q4067">
        <v>4.4588900000000001E-2</v>
      </c>
      <c r="R4067">
        <v>5.7260230000000002E-2</v>
      </c>
      <c r="S4067">
        <v>3.0058750000000001</v>
      </c>
      <c r="T4067">
        <v>-0.12895609999999999</v>
      </c>
      <c r="U4067">
        <v>0.13668820000000001</v>
      </c>
      <c r="V4067">
        <v>-8.3771300000000007E-2</v>
      </c>
      <c r="W4067">
        <v>5.4598170000000001E-2</v>
      </c>
      <c r="X4067">
        <v>0.99498810000000004</v>
      </c>
      <c r="Y4067">
        <v>-7.1834759999999998E-2</v>
      </c>
      <c r="Z4067">
        <v>2.677039E-3</v>
      </c>
      <c r="AA4067">
        <v>0.99741299999999999</v>
      </c>
      <c r="AB4067">
        <v>39</v>
      </c>
      <c r="AC4067">
        <v>25.545300000000001</v>
      </c>
      <c r="AD4067">
        <v>-1.104440869202</v>
      </c>
      <c r="AE4067">
        <v>1.17587999999999</v>
      </c>
      <c r="AF4067">
        <v>-1.8500315684708299</v>
      </c>
      <c r="AG4067">
        <v>-1.104440869202</v>
      </c>
      <c r="AH4067">
        <v>25.4576051230015</v>
      </c>
      <c r="AI4067">
        <v>92.477610225192905</v>
      </c>
      <c r="AJ4067">
        <v>94.156439412744305</v>
      </c>
      <c r="AK4067">
        <v>25.548621587799499</v>
      </c>
      <c r="AL4067">
        <v>86.870198864867106</v>
      </c>
      <c r="AM4067">
        <v>94.812569040165997</v>
      </c>
      <c r="AN4067">
        <v>0.99999995500632299</v>
      </c>
    </row>
    <row r="4068" spans="1:40" x14ac:dyDescent="0.3">
      <c r="A4068" t="str">
        <f>"20200111154001011"</f>
        <v>20200111154001011</v>
      </c>
      <c r="B4068" t="str">
        <f>"1578728401005225"</f>
        <v>1578728401005225</v>
      </c>
      <c r="C4068" t="s">
        <v>40</v>
      </c>
      <c r="D4068">
        <v>4.7790369999999998</v>
      </c>
      <c r="E4068">
        <v>0.50346259999999998</v>
      </c>
      <c r="F4068" t="s">
        <v>81</v>
      </c>
      <c r="G4068">
        <v>-226.43940000000001</v>
      </c>
      <c r="H4068" s="1">
        <v>-1.9117989999999998E-6</v>
      </c>
      <c r="I4068">
        <v>-60.242240000000002</v>
      </c>
      <c r="J4068">
        <v>-251.6696</v>
      </c>
      <c r="K4068">
        <v>1.1044069999999999</v>
      </c>
      <c r="L4068">
        <v>-61.409030000000001</v>
      </c>
      <c r="M4068">
        <v>0.99960059999999995</v>
      </c>
      <c r="N4068">
        <v>0</v>
      </c>
      <c r="O4068">
        <v>-2.6375929999999999E-2</v>
      </c>
      <c r="P4068">
        <v>0.997363</v>
      </c>
      <c r="Q4068">
        <v>4.405067E-2</v>
      </c>
      <c r="R4068">
        <v>5.7676970000000001E-2</v>
      </c>
      <c r="S4068">
        <v>3.0059049999999998</v>
      </c>
      <c r="T4068">
        <v>-0.13050429999999999</v>
      </c>
      <c r="U4068">
        <v>0.13723750000000001</v>
      </c>
      <c r="V4068">
        <v>-8.4019499999999997E-2</v>
      </c>
      <c r="W4068">
        <v>5.406681E-2</v>
      </c>
      <c r="X4068">
        <v>0.9949962</v>
      </c>
      <c r="Y4068">
        <v>-7.1850090000000005E-2</v>
      </c>
      <c r="Z4068">
        <v>2.7023099999999999E-3</v>
      </c>
      <c r="AA4068">
        <v>0.99741179999999996</v>
      </c>
      <c r="AB4068">
        <v>39</v>
      </c>
      <c r="AC4068">
        <v>25.2302</v>
      </c>
      <c r="AD4068">
        <v>-1.1044089117989999</v>
      </c>
      <c r="AE4068">
        <v>1.16678999999999</v>
      </c>
      <c r="AF4068">
        <v>-1.8283923647553499</v>
      </c>
      <c r="AG4068">
        <v>-1.1044089117989999</v>
      </c>
      <c r="AH4068">
        <v>25.142571721567201</v>
      </c>
      <c r="AI4068">
        <v>92.508533433746095</v>
      </c>
      <c r="AJ4068">
        <v>94.1592834385457</v>
      </c>
      <c r="AK4068">
        <v>25.233145869235301</v>
      </c>
      <c r="AL4068">
        <v>86.900688626128897</v>
      </c>
      <c r="AM4068">
        <v>94.826721481975</v>
      </c>
      <c r="AN4068">
        <v>0.99999996716913198</v>
      </c>
    </row>
    <row r="4069" spans="1:40" x14ac:dyDescent="0.3">
      <c r="A4069" t="str">
        <f>"20200111154001021"</f>
        <v>20200111154001021</v>
      </c>
      <c r="B4069" t="str">
        <f>"1578728401014984"</f>
        <v>1578728401014984</v>
      </c>
      <c r="C4069" t="s">
        <v>40</v>
      </c>
      <c r="D4069">
        <v>4.7335560000000001</v>
      </c>
      <c r="E4069">
        <v>0.50349270000000002</v>
      </c>
      <c r="F4069" t="s">
        <v>81</v>
      </c>
      <c r="G4069">
        <v>-226.595</v>
      </c>
      <c r="H4069" s="1">
        <v>-1.9742629999999999E-6</v>
      </c>
      <c r="I4069">
        <v>-60.261659999999999</v>
      </c>
      <c r="J4069">
        <v>-251.47059999999999</v>
      </c>
      <c r="K4069">
        <v>1.104376</v>
      </c>
      <c r="L4069">
        <v>-61.414180000000002</v>
      </c>
      <c r="M4069">
        <v>0.99960420000000005</v>
      </c>
      <c r="N4069">
        <v>0</v>
      </c>
      <c r="O4069">
        <v>-2.623926E-2</v>
      </c>
      <c r="P4069">
        <v>0.99736570000000002</v>
      </c>
      <c r="Q4069">
        <v>4.3623919999999997E-2</v>
      </c>
      <c r="R4069">
        <v>5.7956109999999998E-2</v>
      </c>
      <c r="S4069">
        <v>3.0058440000000002</v>
      </c>
      <c r="T4069">
        <v>-0.1323925</v>
      </c>
      <c r="U4069">
        <v>0.13754269999999999</v>
      </c>
      <c r="V4069">
        <v>-8.4158510000000006E-2</v>
      </c>
      <c r="W4069">
        <v>5.364638E-2</v>
      </c>
      <c r="X4069">
        <v>0.99500719999999998</v>
      </c>
      <c r="Y4069">
        <v>-7.1813169999999996E-2</v>
      </c>
      <c r="Z4069">
        <v>2.7345949999999998E-3</v>
      </c>
      <c r="AA4069">
        <v>0.99741440000000003</v>
      </c>
      <c r="AB4069">
        <v>39</v>
      </c>
      <c r="AC4069">
        <v>24.875599999999899</v>
      </c>
      <c r="AD4069">
        <v>-1.104377974263</v>
      </c>
      <c r="AE4069">
        <v>1.15252</v>
      </c>
      <c r="AF4069">
        <v>-1.80133123912504</v>
      </c>
      <c r="AG4069">
        <v>-1.104377974263</v>
      </c>
      <c r="AH4069">
        <v>24.788038639783998</v>
      </c>
      <c r="AI4069">
        <v>92.544303433721794</v>
      </c>
      <c r="AJ4069">
        <v>94.156342354713502</v>
      </c>
      <c r="AK4069">
        <v>24.877928059838698</v>
      </c>
      <c r="AL4069">
        <v>86.924812476366796</v>
      </c>
      <c r="AM4069">
        <v>94.834616261026099</v>
      </c>
      <c r="AN4069">
        <v>0.99999995847218104</v>
      </c>
    </row>
    <row r="4070" spans="1:40" x14ac:dyDescent="0.3">
      <c r="A4070" t="str">
        <f>"20200111154001033"</f>
        <v>20200111154001033</v>
      </c>
      <c r="B4070" t="str">
        <f>"1578728401024744"</f>
        <v>1578728401024744</v>
      </c>
      <c r="C4070" t="s">
        <v>40</v>
      </c>
      <c r="D4070">
        <v>4.7499900000000004</v>
      </c>
      <c r="E4070">
        <v>0.50349750000000004</v>
      </c>
      <c r="F4070" t="s">
        <v>81</v>
      </c>
      <c r="G4070">
        <v>-226.74090000000001</v>
      </c>
      <c r="H4070" s="1">
        <v>-2.0331999999999999E-6</v>
      </c>
      <c r="I4070">
        <v>-60.278039999999997</v>
      </c>
      <c r="J4070">
        <v>-251.267</v>
      </c>
      <c r="K4070">
        <v>1.1043459999999901</v>
      </c>
      <c r="L4070">
        <v>-61.419400000000003</v>
      </c>
      <c r="M4070">
        <v>0.99960749999999998</v>
      </c>
      <c r="N4070">
        <v>0</v>
      </c>
      <c r="O4070">
        <v>-2.610989E-2</v>
      </c>
      <c r="P4070">
        <v>0.99735850000000004</v>
      </c>
      <c r="Q4070">
        <v>4.3086060000000002E-2</v>
      </c>
      <c r="R4070">
        <v>5.8476960000000001E-2</v>
      </c>
      <c r="S4070">
        <v>3.0057680000000002</v>
      </c>
      <c r="T4070">
        <v>-0.1342313</v>
      </c>
      <c r="U4070">
        <v>0.13809199999999999</v>
      </c>
      <c r="V4070">
        <v>-8.4546189999999993E-2</v>
      </c>
      <c r="W4070">
        <v>5.311594E-2</v>
      </c>
      <c r="X4070">
        <v>0.99500279999999997</v>
      </c>
      <c r="Y4070">
        <v>-7.1864570000000003E-2</v>
      </c>
      <c r="Z4070">
        <v>2.7679710000000001E-3</v>
      </c>
      <c r="AA4070">
        <v>0.99741049999999998</v>
      </c>
      <c r="AB4070">
        <v>39</v>
      </c>
      <c r="AC4070">
        <v>24.5260999999999</v>
      </c>
      <c r="AD4070">
        <v>-1.10434803319999</v>
      </c>
      <c r="AE4070">
        <v>1.1413599999999899</v>
      </c>
      <c r="AF4070">
        <v>-1.77778102633583</v>
      </c>
      <c r="AG4070">
        <v>-1.10434803319999</v>
      </c>
      <c r="AH4070">
        <v>24.438494049363602</v>
      </c>
      <c r="AI4070">
        <v>92.580561851998397</v>
      </c>
      <c r="AJ4070">
        <v>94.160659122014593</v>
      </c>
      <c r="AK4070">
        <v>24.527944906918201</v>
      </c>
      <c r="AL4070">
        <v>86.955247870714004</v>
      </c>
      <c r="AM4070">
        <v>94.856802226862101</v>
      </c>
      <c r="AN4070">
        <v>0.99999996666671898</v>
      </c>
    </row>
    <row r="4071" spans="1:40" x14ac:dyDescent="0.3">
      <c r="A4071" t="str">
        <f>"20200111154001045"</f>
        <v>20200111154001045</v>
      </c>
      <c r="B4071" t="str">
        <f>"1578728401035480"</f>
        <v>1578728401035480</v>
      </c>
      <c r="C4071" t="s">
        <v>40</v>
      </c>
      <c r="D4071">
        <v>4.7351140000000003</v>
      </c>
      <c r="E4071">
        <v>0.50355669999999997</v>
      </c>
      <c r="F4071" t="s">
        <v>81</v>
      </c>
      <c r="G4071">
        <v>-226.99299999999999</v>
      </c>
      <c r="H4071" s="1">
        <v>-2.1383200000000001E-6</v>
      </c>
      <c r="I4071">
        <v>-60.291849999999997</v>
      </c>
      <c r="J4071">
        <v>-251.07650000000001</v>
      </c>
      <c r="K4071">
        <v>1.1043190000000001</v>
      </c>
      <c r="L4071">
        <v>-61.424289999999999</v>
      </c>
      <c r="M4071">
        <v>0.99961</v>
      </c>
      <c r="N4071">
        <v>0</v>
      </c>
      <c r="O4071">
        <v>-2.6016149999999998E-2</v>
      </c>
      <c r="P4071">
        <v>0.99734489999999998</v>
      </c>
      <c r="Q4071">
        <v>4.2876690000000002E-2</v>
      </c>
      <c r="R4071">
        <v>5.8864300000000001E-2</v>
      </c>
      <c r="S4071">
        <v>3.0056919999999998</v>
      </c>
      <c r="T4071">
        <v>-0.13674439999999999</v>
      </c>
      <c r="U4071">
        <v>0.13961789999999999</v>
      </c>
      <c r="V4071">
        <v>-8.4836030000000007E-2</v>
      </c>
      <c r="W4071">
        <v>5.291262E-2</v>
      </c>
      <c r="X4071">
        <v>0.99498900000000001</v>
      </c>
      <c r="Y4071">
        <v>-7.227343E-2</v>
      </c>
      <c r="Z4071">
        <v>2.824811E-3</v>
      </c>
      <c r="AA4071">
        <v>0.99738090000000001</v>
      </c>
      <c r="AB4071">
        <v>39</v>
      </c>
      <c r="AC4071">
        <v>24.083500000000001</v>
      </c>
      <c r="AD4071">
        <v>-1.10432113832</v>
      </c>
      <c r="AE4071">
        <v>1.1324399999999999</v>
      </c>
      <c r="AF4071">
        <v>-1.75496706662186</v>
      </c>
      <c r="AG4071">
        <v>-1.10432113832</v>
      </c>
      <c r="AH4071">
        <v>23.995543063071601</v>
      </c>
      <c r="AI4071">
        <v>92.627993538817094</v>
      </c>
      <c r="AJ4071">
        <v>94.183005683498195</v>
      </c>
      <c r="AK4071">
        <v>24.084964635082802</v>
      </c>
      <c r="AL4071">
        <v>86.966913766496901</v>
      </c>
      <c r="AM4071">
        <v>94.873439458249507</v>
      </c>
      <c r="AN4071">
        <v>1.00000000373121</v>
      </c>
    </row>
    <row r="4072" spans="1:40" x14ac:dyDescent="0.3">
      <c r="A4072" t="str">
        <f>"20200111154001055"</f>
        <v>20200111154001055</v>
      </c>
      <c r="B4072" t="str">
        <f>"1578728401045241"</f>
        <v>1578728401045241</v>
      </c>
      <c r="C4072" t="s">
        <v>40</v>
      </c>
      <c r="D4072">
        <v>4.7196759999999998</v>
      </c>
      <c r="E4072">
        <v>0.50356480000000003</v>
      </c>
      <c r="F4072" t="s">
        <v>81</v>
      </c>
      <c r="G4072">
        <v>-227.06280000000001</v>
      </c>
      <c r="H4072" s="1">
        <v>-2.165589E-6</v>
      </c>
      <c r="I4072">
        <v>-60.303919999999998</v>
      </c>
      <c r="J4072">
        <v>-250.87690000000001</v>
      </c>
      <c r="K4072">
        <v>1.10429</v>
      </c>
      <c r="L4072">
        <v>-61.429409999999997</v>
      </c>
      <c r="M4072">
        <v>0.99961239999999996</v>
      </c>
      <c r="N4072">
        <v>0</v>
      </c>
      <c r="O4072">
        <v>-2.5923990000000001E-2</v>
      </c>
      <c r="P4072">
        <v>0.99731610000000004</v>
      </c>
      <c r="Q4072">
        <v>4.295798E-2</v>
      </c>
      <c r="R4072">
        <v>5.9290660000000002E-2</v>
      </c>
      <c r="S4072">
        <v>3.005646</v>
      </c>
      <c r="T4072">
        <v>-0.13822079999999901</v>
      </c>
      <c r="U4072">
        <v>0.1402283</v>
      </c>
      <c r="V4072">
        <v>-8.5165840000000007E-2</v>
      </c>
      <c r="W4072">
        <v>5.3000699999999998E-2</v>
      </c>
      <c r="X4072">
        <v>0.99495610000000001</v>
      </c>
      <c r="Y4072">
        <v>-7.2382070000000007E-2</v>
      </c>
      <c r="Z4072">
        <v>2.8535700000000002E-3</v>
      </c>
      <c r="AA4072">
        <v>0.99737290000000001</v>
      </c>
      <c r="AB4072">
        <v>39</v>
      </c>
      <c r="AC4072">
        <v>23.8141</v>
      </c>
      <c r="AD4072">
        <v>-1.1042921655889999</v>
      </c>
      <c r="AE4072">
        <v>1.1254899999999901</v>
      </c>
      <c r="AF4072">
        <v>-1.7387694401574301</v>
      </c>
      <c r="AG4072">
        <v>-1.1042921655889999</v>
      </c>
      <c r="AH4072">
        <v>23.726012554092801</v>
      </c>
      <c r="AI4072">
        <v>92.657707048008902</v>
      </c>
      <c r="AJ4072">
        <v>94.191448977139103</v>
      </c>
      <c r="AK4072">
        <v>23.8152567080427</v>
      </c>
      <c r="AL4072">
        <v>86.961859953432395</v>
      </c>
      <c r="AM4072">
        <v>94.892454733896599</v>
      </c>
      <c r="AN4072">
        <v>0.99999996771530197</v>
      </c>
    </row>
    <row r="4073" spans="1:40" x14ac:dyDescent="0.3">
      <c r="A4073" t="str">
        <f>"20200111154001073"</f>
        <v>20200111154001073</v>
      </c>
      <c r="B4073" t="str">
        <f>"1578728401064763"</f>
        <v>1578728401064763</v>
      </c>
      <c r="C4073" t="s">
        <v>40</v>
      </c>
      <c r="D4073">
        <v>4.7583080000000004</v>
      </c>
      <c r="E4073">
        <v>0.50369719999999996</v>
      </c>
      <c r="F4073" t="s">
        <v>81</v>
      </c>
      <c r="G4073">
        <v>-226.94069999999999</v>
      </c>
      <c r="H4073" s="1">
        <v>-2.1131539999999999E-6</v>
      </c>
      <c r="I4073">
        <v>-60.3041699999999</v>
      </c>
      <c r="J4073">
        <v>-250.57390000000001</v>
      </c>
      <c r="K4073">
        <v>1.104247</v>
      </c>
      <c r="L4073">
        <v>-61.437190000000001</v>
      </c>
      <c r="M4073">
        <v>0.99961500000000003</v>
      </c>
      <c r="N4073">
        <v>0</v>
      </c>
      <c r="O4073">
        <v>-2.5820820000000001E-2</v>
      </c>
      <c r="P4073">
        <v>0.99724179999999996</v>
      </c>
      <c r="Q4073">
        <v>4.371278E-2</v>
      </c>
      <c r="R4073">
        <v>5.998212E-2</v>
      </c>
      <c r="S4073">
        <v>3.005646</v>
      </c>
      <c r="T4073">
        <v>-0.13866510000000001</v>
      </c>
      <c r="U4073">
        <v>0.14129639999999999</v>
      </c>
      <c r="V4073">
        <v>-8.5746820000000001E-2</v>
      </c>
      <c r="W4073">
        <v>5.3766370000000001E-2</v>
      </c>
      <c r="X4073">
        <v>0.99486509999999995</v>
      </c>
      <c r="Y4073">
        <v>-7.2631959999999995E-2</v>
      </c>
      <c r="Z4073">
        <v>2.8637139999999998E-3</v>
      </c>
      <c r="AA4073">
        <v>0.99735469999999904</v>
      </c>
      <c r="AB4073">
        <v>39</v>
      </c>
      <c r="AC4073">
        <v>23.633199999999999</v>
      </c>
      <c r="AD4073">
        <v>-1.104249113154</v>
      </c>
      <c r="AE4073">
        <v>1.1330199999999999</v>
      </c>
      <c r="AF4073">
        <v>-1.7391141833049699</v>
      </c>
      <c r="AG4073">
        <v>-1.104249113154</v>
      </c>
      <c r="AH4073">
        <v>23.544778000576802</v>
      </c>
      <c r="AI4073">
        <v>92.677917409569105</v>
      </c>
      <c r="AJ4073">
        <v>94.224430476194996</v>
      </c>
      <c r="AK4073">
        <v>23.634729855509701</v>
      </c>
      <c r="AL4073">
        <v>86.917927603545294</v>
      </c>
      <c r="AM4073">
        <v>94.926114516824697</v>
      </c>
      <c r="AN4073">
        <v>0.99999995344054804</v>
      </c>
    </row>
    <row r="4074" spans="1:40" x14ac:dyDescent="0.3">
      <c r="A4074" t="str">
        <f>"20200111154001086"</f>
        <v>20200111154001086</v>
      </c>
      <c r="B4074" t="str">
        <f>"1578728401075497"</f>
        <v>1578728401075497</v>
      </c>
      <c r="C4074" t="s">
        <v>40</v>
      </c>
      <c r="D4074">
        <v>4.7441990000000001</v>
      </c>
      <c r="E4074">
        <v>0.50369540000000002</v>
      </c>
      <c r="F4074" t="s">
        <v>81</v>
      </c>
      <c r="G4074">
        <v>-226.5008</v>
      </c>
      <c r="H4074" s="1">
        <v>-1.9258249999999999E-6</v>
      </c>
      <c r="I4074">
        <v>-60.298000000000002</v>
      </c>
      <c r="J4074">
        <v>-250.36189999999999</v>
      </c>
      <c r="K4074">
        <v>1.1042209999999999</v>
      </c>
      <c r="L4074">
        <v>-61.442599999999999</v>
      </c>
      <c r="M4074">
        <v>0.99961639999999996</v>
      </c>
      <c r="N4074">
        <v>0</v>
      </c>
      <c r="O4074">
        <v>-2.5770870000000001E-2</v>
      </c>
      <c r="P4074">
        <v>0.9972029</v>
      </c>
      <c r="Q4074">
        <v>4.4088799999999997E-2</v>
      </c>
      <c r="R4074">
        <v>6.0355989999999998E-2</v>
      </c>
      <c r="S4074">
        <v>3.005814</v>
      </c>
      <c r="T4074">
        <v>-0.13787869999999999</v>
      </c>
      <c r="U4074">
        <v>0.14224239999999999</v>
      </c>
      <c r="V4074">
        <v>-8.6066180000000006E-2</v>
      </c>
      <c r="W4074">
        <v>5.4149660000000002E-2</v>
      </c>
      <c r="X4074">
        <v>0.99481679999999995</v>
      </c>
      <c r="Y4074">
        <v>-7.2893689999999997E-2</v>
      </c>
      <c r="Z4074">
        <v>2.8510200000000001E-3</v>
      </c>
      <c r="AA4074">
        <v>0.99733559999999999</v>
      </c>
      <c r="AB4074">
        <v>39</v>
      </c>
      <c r="AC4074">
        <v>23.8611</v>
      </c>
      <c r="AD4074">
        <v>-1.10422292582499</v>
      </c>
      <c r="AE4074">
        <v>1.1445999999999901</v>
      </c>
      <c r="AF4074">
        <v>-1.75542203132801</v>
      </c>
      <c r="AG4074">
        <v>-1.10422292582499</v>
      </c>
      <c r="AH4074">
        <v>23.772881037831201</v>
      </c>
      <c r="AI4074">
        <v>92.652201023779895</v>
      </c>
      <c r="AJ4074">
        <v>94.223134193133603</v>
      </c>
      <c r="AK4074">
        <v>23.8631659177248</v>
      </c>
      <c r="AL4074">
        <v>86.8959348684551</v>
      </c>
      <c r="AM4074">
        <v>94.944609682814303</v>
      </c>
      <c r="AN4074">
        <v>1.00000001929007</v>
      </c>
    </row>
    <row r="4075" spans="1:40" x14ac:dyDescent="0.3">
      <c r="A4075" t="str">
        <f>"20200111154001099"</f>
        <v>20200111154001099</v>
      </c>
      <c r="B4075" t="str">
        <f>"1578728401095017"</f>
        <v>1578728401095017</v>
      </c>
      <c r="C4075" t="s">
        <v>40</v>
      </c>
      <c r="D4075">
        <v>4.7812400000000004</v>
      </c>
      <c r="E4075">
        <v>0.50372980000000001</v>
      </c>
      <c r="F4075" t="s">
        <v>81</v>
      </c>
      <c r="G4075">
        <v>-226.19110000000001</v>
      </c>
      <c r="H4075" s="1">
        <v>-1.7948379999999999E-6</v>
      </c>
      <c r="I4075">
        <v>-60.289439999999999</v>
      </c>
      <c r="J4075">
        <v>-250.1215</v>
      </c>
      <c r="K4075">
        <v>1.104193</v>
      </c>
      <c r="L4075">
        <v>-61.448729999999998</v>
      </c>
      <c r="M4075">
        <v>0.99961750000000005</v>
      </c>
      <c r="N4075">
        <v>0</v>
      </c>
      <c r="O4075">
        <v>-2.5723340000000001E-2</v>
      </c>
      <c r="P4075">
        <v>0.99717840000000002</v>
      </c>
      <c r="Q4075">
        <v>4.4265850000000002E-2</v>
      </c>
      <c r="R4075">
        <v>6.0627809999999997E-2</v>
      </c>
      <c r="S4075">
        <v>3.005798</v>
      </c>
      <c r="T4075">
        <v>-0.1373172</v>
      </c>
      <c r="U4075">
        <v>0.1434021</v>
      </c>
      <c r="V4075">
        <v>-8.6285899999999999E-2</v>
      </c>
      <c r="W4075">
        <v>5.4334880000000002E-2</v>
      </c>
      <c r="X4075">
        <v>0.99478759999999999</v>
      </c>
      <c r="Y4075">
        <v>-7.3230970000000006E-2</v>
      </c>
      <c r="Z4075">
        <v>2.844938E-3</v>
      </c>
      <c r="AA4075">
        <v>0.9973109</v>
      </c>
      <c r="AB4075">
        <v>39</v>
      </c>
      <c r="AC4075">
        <v>23.930399999999899</v>
      </c>
      <c r="AD4075">
        <v>-1.104194794838</v>
      </c>
      <c r="AE4075">
        <v>1.1592899999999999</v>
      </c>
      <c r="AF4075">
        <v>-1.77074669171149</v>
      </c>
      <c r="AG4075">
        <v>-1.104194794838</v>
      </c>
      <c r="AH4075">
        <v>23.842015618601</v>
      </c>
      <c r="AI4075">
        <v>92.644370740696104</v>
      </c>
      <c r="AJ4075">
        <v>94.247559565532598</v>
      </c>
      <c r="AK4075">
        <v>23.933167336329898</v>
      </c>
      <c r="AL4075">
        <v>86.885306689422507</v>
      </c>
      <c r="AM4075">
        <v>94.957314833889995</v>
      </c>
      <c r="AN4075">
        <v>0.99999995241859096</v>
      </c>
    </row>
    <row r="4076" spans="1:40" x14ac:dyDescent="0.3">
      <c r="A4076" t="str">
        <f>"20200111154001112"</f>
        <v>20200111154001112</v>
      </c>
      <c r="B4076" t="str">
        <f>"1578728401104777"</f>
        <v>1578728401104777</v>
      </c>
      <c r="C4076" t="s">
        <v>40</v>
      </c>
      <c r="D4076">
        <v>4.7837290000000001</v>
      </c>
      <c r="E4076">
        <v>0.50369140000000001</v>
      </c>
      <c r="F4076" t="s">
        <v>81</v>
      </c>
      <c r="G4076">
        <v>-226.06360000000001</v>
      </c>
      <c r="H4076" s="1">
        <v>-1.7385190000000001E-6</v>
      </c>
      <c r="I4076">
        <v>-60.296840000000003</v>
      </c>
      <c r="J4076">
        <v>-249.89500000000001</v>
      </c>
      <c r="K4076">
        <v>1.1041650000000001</v>
      </c>
      <c r="L4076">
        <v>-61.454529999999998</v>
      </c>
      <c r="M4076">
        <v>0.99961840000000002</v>
      </c>
      <c r="N4076">
        <v>0</v>
      </c>
      <c r="O4076">
        <v>-2.569126E-2</v>
      </c>
      <c r="P4076">
        <v>0.99713609999999997</v>
      </c>
      <c r="Q4076">
        <v>4.47725E-2</v>
      </c>
      <c r="R4076">
        <v>6.0955469999999998E-2</v>
      </c>
      <c r="S4076">
        <v>3.00589</v>
      </c>
      <c r="T4076">
        <v>-0.13796259999999999</v>
      </c>
      <c r="U4076">
        <v>0.14392089999999999</v>
      </c>
      <c r="V4076">
        <v>-8.6577080000000001E-2</v>
      </c>
      <c r="W4076">
        <v>5.4848620000000001E-2</v>
      </c>
      <c r="X4076">
        <v>0.99473420000000001</v>
      </c>
      <c r="Y4076">
        <v>-7.3368160000000002E-2</v>
      </c>
      <c r="Z4076">
        <v>2.8598709999999999E-3</v>
      </c>
      <c r="AA4076">
        <v>0.99730079999999999</v>
      </c>
      <c r="AB4076">
        <v>39</v>
      </c>
      <c r="AC4076">
        <v>23.831399999999999</v>
      </c>
      <c r="AD4076">
        <v>-1.1041667385189999</v>
      </c>
      <c r="AE4076">
        <v>1.1576900000000001</v>
      </c>
      <c r="AF4076">
        <v>-1.76581632417217</v>
      </c>
      <c r="AG4076">
        <v>-1.1041667385189999</v>
      </c>
      <c r="AH4076">
        <v>23.742940156742399</v>
      </c>
      <c r="AI4076">
        <v>92.655302097486398</v>
      </c>
      <c r="AJ4076">
        <v>94.253386481794095</v>
      </c>
      <c r="AK4076">
        <v>23.834103691219699</v>
      </c>
      <c r="AL4076">
        <v>86.855827885717403</v>
      </c>
      <c r="AM4076">
        <v>94.974225658414298</v>
      </c>
      <c r="AN4076">
        <v>1.0000000452734299</v>
      </c>
    </row>
    <row r="4077" spans="1:40" x14ac:dyDescent="0.3">
      <c r="A4077" t="str">
        <f>"20200111154001127"</f>
        <v>20200111154001127</v>
      </c>
      <c r="B4077" t="str">
        <f>"1578728401115512"</f>
        <v>1578728401115512</v>
      </c>
      <c r="C4077" t="s">
        <v>40</v>
      </c>
      <c r="D4077">
        <v>4.784942</v>
      </c>
      <c r="E4077">
        <v>0.50352710000000001</v>
      </c>
      <c r="F4077" t="s">
        <v>81</v>
      </c>
      <c r="G4077">
        <v>-225.71289999999999</v>
      </c>
      <c r="H4077" s="1">
        <v>-1.5903649999999999E-6</v>
      </c>
      <c r="I4077">
        <v>-60.286389999999997</v>
      </c>
      <c r="J4077">
        <v>-249.64429999999999</v>
      </c>
      <c r="K4077">
        <v>1.104142</v>
      </c>
      <c r="L4077">
        <v>-61.460970000000003</v>
      </c>
      <c r="M4077">
        <v>0.99961880000000003</v>
      </c>
      <c r="N4077">
        <v>0</v>
      </c>
      <c r="O4077">
        <v>-2.5668690000000001E-2</v>
      </c>
      <c r="P4077">
        <v>0.99710949999999998</v>
      </c>
      <c r="Q4077">
        <v>4.4985810000000001E-2</v>
      </c>
      <c r="R4077">
        <v>6.1229659999999998E-2</v>
      </c>
      <c r="S4077">
        <v>3.00589</v>
      </c>
      <c r="T4077">
        <v>-0.1372506</v>
      </c>
      <c r="U4077">
        <v>0.14520259999999999</v>
      </c>
      <c r="V4077">
        <v>-8.6824559999999995E-2</v>
      </c>
      <c r="W4077">
        <v>5.5069060000000003E-2</v>
      </c>
      <c r="X4077">
        <v>0.99470040000000004</v>
      </c>
      <c r="Y4077">
        <v>-7.377061E-2</v>
      </c>
      <c r="Z4077">
        <v>2.8532470000000002E-3</v>
      </c>
      <c r="AA4077">
        <v>0.99727120000000002</v>
      </c>
      <c r="AB4077">
        <v>39</v>
      </c>
      <c r="AC4077">
        <v>23.9314</v>
      </c>
      <c r="AD4077">
        <v>-1.1041435903650001</v>
      </c>
      <c r="AE4077">
        <v>1.17457999999999</v>
      </c>
      <c r="AF4077">
        <v>-1.78472236996184</v>
      </c>
      <c r="AG4077">
        <v>-1.1041435903650001</v>
      </c>
      <c r="AH4077">
        <v>23.8427303162381</v>
      </c>
      <c r="AI4077">
        <v>92.644054814152398</v>
      </c>
      <c r="AJ4077">
        <v>94.280831583224796</v>
      </c>
      <c r="AK4077">
        <v>23.934914997527098</v>
      </c>
      <c r="AL4077">
        <v>86.843178329856499</v>
      </c>
      <c r="AM4077">
        <v>94.988541456381299</v>
      </c>
      <c r="AN4077">
        <v>0.99999999567431797</v>
      </c>
    </row>
    <row r="4078" spans="1:40" x14ac:dyDescent="0.3">
      <c r="A4078" t="str">
        <f>"20200111154001140"</f>
        <v>20200111154001140</v>
      </c>
      <c r="B4078" t="str">
        <f>"1578728401135032"</f>
        <v>1578728401135032</v>
      </c>
      <c r="C4078" t="s">
        <v>40</v>
      </c>
      <c r="D4078">
        <v>4.7630889999999999</v>
      </c>
      <c r="E4078">
        <v>0.48761979999999999</v>
      </c>
      <c r="F4078" t="s">
        <v>81</v>
      </c>
      <c r="G4078">
        <v>-225.45769999999999</v>
      </c>
      <c r="H4078" s="1">
        <v>-1.4834169999999999E-6</v>
      </c>
      <c r="I4078">
        <v>-60.274900000000002</v>
      </c>
      <c r="J4078">
        <v>-249.40860000000001</v>
      </c>
      <c r="K4078">
        <v>1.104112</v>
      </c>
      <c r="L4078">
        <v>-61.466949999999997</v>
      </c>
      <c r="M4078">
        <v>0.99961929999999999</v>
      </c>
      <c r="N4078">
        <v>0</v>
      </c>
      <c r="O4078">
        <v>-2.5655859999999999E-2</v>
      </c>
      <c r="P4078">
        <v>0.99704970000000004</v>
      </c>
      <c r="Q4078">
        <v>4.508007E-2</v>
      </c>
      <c r="R4078">
        <v>6.2127679999999998E-2</v>
      </c>
      <c r="S4078">
        <v>3.0058289999999999</v>
      </c>
      <c r="T4078">
        <v>-0.13721900000000001</v>
      </c>
      <c r="U4078">
        <v>0.1473999</v>
      </c>
      <c r="V4078">
        <v>-8.7704850000000001E-2</v>
      </c>
      <c r="W4078">
        <v>5.5169040000000003E-2</v>
      </c>
      <c r="X4078">
        <v>0.99461759999999999</v>
      </c>
      <c r="Y4078">
        <v>-7.4485369999999995E-2</v>
      </c>
      <c r="Z4078">
        <v>2.8683110000000001E-3</v>
      </c>
      <c r="AA4078">
        <v>0.99721800000000005</v>
      </c>
      <c r="AB4078">
        <v>39</v>
      </c>
      <c r="AC4078">
        <v>23.950900000000001</v>
      </c>
      <c r="AD4078">
        <v>-1.1041134834170001</v>
      </c>
      <c r="AE4078">
        <v>1.1920499999999901</v>
      </c>
      <c r="AF4078">
        <v>-1.8023494258316901</v>
      </c>
      <c r="AG4078">
        <v>-1.1041134834170001</v>
      </c>
      <c r="AH4078">
        <v>23.861846708186</v>
      </c>
      <c r="AI4078">
        <v>92.641733772170994</v>
      </c>
      <c r="AJ4078">
        <v>94.319502183337704</v>
      </c>
      <c r="AK4078">
        <v>23.955276211348998</v>
      </c>
      <c r="AL4078">
        <v>86.837441085206393</v>
      </c>
      <c r="AM4078">
        <v>95.039277115428703</v>
      </c>
      <c r="AN4078">
        <v>0.99999996695890103</v>
      </c>
    </row>
    <row r="4079" spans="1:40" x14ac:dyDescent="0.3">
      <c r="A4079" t="str">
        <f>"20200111154001151"</f>
        <v>20200111154001151</v>
      </c>
      <c r="B4079" t="str">
        <f>"1578728401144792"</f>
        <v>1578728401144792</v>
      </c>
      <c r="C4079" t="s">
        <v>40</v>
      </c>
      <c r="D4079">
        <v>4.7644169999999999</v>
      </c>
      <c r="E4079">
        <v>0.4865197</v>
      </c>
      <c r="F4079" t="s">
        <v>81</v>
      </c>
      <c r="G4079">
        <v>-226.86920000000001</v>
      </c>
      <c r="H4079" s="1">
        <v>-2.2850999999999999E-6</v>
      </c>
      <c r="I4079">
        <v>-59.387770000000003</v>
      </c>
      <c r="J4079">
        <v>-249.20509999999999</v>
      </c>
      <c r="K4079">
        <v>1.1040939999999999</v>
      </c>
      <c r="L4079">
        <v>-61.472200000000001</v>
      </c>
      <c r="M4079">
        <v>0.99961920000000004</v>
      </c>
      <c r="N4079">
        <v>0</v>
      </c>
      <c r="O4079">
        <v>-2.5652149999999999E-2</v>
      </c>
      <c r="P4079">
        <v>0.99701490000000004</v>
      </c>
      <c r="Q4079">
        <v>4.4867860000000002E-2</v>
      </c>
      <c r="R4079">
        <v>6.2834890000000004E-2</v>
      </c>
      <c r="S4079">
        <v>2.998291</v>
      </c>
      <c r="T4079">
        <v>-0.14687410000000001</v>
      </c>
      <c r="U4079">
        <v>0.27658080000000002</v>
      </c>
      <c r="V4079">
        <v>-8.8404440000000001E-2</v>
      </c>
      <c r="W4079">
        <v>5.4961450000000002E-2</v>
      </c>
      <c r="X4079">
        <v>0.99456719999999998</v>
      </c>
      <c r="Y4079">
        <v>-0.117201</v>
      </c>
      <c r="Z4079">
        <v>4.116331E-3</v>
      </c>
      <c r="AA4079">
        <v>0.99309970000000003</v>
      </c>
      <c r="AB4079">
        <v>39</v>
      </c>
      <c r="AC4079">
        <v>22.335899999999899</v>
      </c>
      <c r="AD4079">
        <v>-1.1040962851</v>
      </c>
      <c r="AE4079">
        <v>2.0844299999999998</v>
      </c>
      <c r="AF4079">
        <v>-2.6503174340807099</v>
      </c>
      <c r="AG4079">
        <v>-1.1040962851</v>
      </c>
      <c r="AH4079">
        <v>22.221248115741201</v>
      </c>
      <c r="AI4079">
        <v>92.824502256381706</v>
      </c>
      <c r="AJ4079">
        <v>96.801510153747401</v>
      </c>
      <c r="AK4079">
        <v>22.405960790144601</v>
      </c>
      <c r="AL4079">
        <v>86.849353327848206</v>
      </c>
      <c r="AM4079">
        <v>95.079520219047893</v>
      </c>
      <c r="AN4079">
        <v>1.0000000106568201</v>
      </c>
    </row>
    <row r="4080" spans="1:40" x14ac:dyDescent="0.3">
      <c r="A4080" t="str">
        <f>"20200111154001164"</f>
        <v>20200111154001164</v>
      </c>
      <c r="B4080" t="str">
        <f>"1578728401155528"</f>
        <v>1578728401155528</v>
      </c>
      <c r="C4080" t="s">
        <v>40</v>
      </c>
      <c r="D4080">
        <v>4.7505660000000001</v>
      </c>
      <c r="E4080">
        <v>0.48573290000000002</v>
      </c>
      <c r="F4080" t="s">
        <v>81</v>
      </c>
      <c r="G4080">
        <v>-226.34780000000001</v>
      </c>
      <c r="H4080" s="1">
        <v>-2.0855709999999998E-6</v>
      </c>
      <c r="I4080">
        <v>-59.278570000000002</v>
      </c>
      <c r="J4080">
        <v>-248.99719999999999</v>
      </c>
      <c r="K4080">
        <v>1.1040749999999999</v>
      </c>
      <c r="L4080">
        <v>-61.477510000000002</v>
      </c>
      <c r="M4080">
        <v>0.99961909999999998</v>
      </c>
      <c r="N4080">
        <v>0</v>
      </c>
      <c r="O4080">
        <v>-2.5657369999999999E-2</v>
      </c>
      <c r="P4080">
        <v>0.99696980000000002</v>
      </c>
      <c r="Q4080">
        <v>4.484581E-2</v>
      </c>
      <c r="R4080">
        <v>6.3565399999999994E-2</v>
      </c>
      <c r="S4080">
        <v>2.99736</v>
      </c>
      <c r="T4080">
        <v>-0.14478429999999901</v>
      </c>
      <c r="U4080">
        <v>0.28765869999999999</v>
      </c>
      <c r="V4080">
        <v>-8.9136740000000006E-2</v>
      </c>
      <c r="W4080">
        <v>5.4943850000000002E-2</v>
      </c>
      <c r="X4080">
        <v>0.99450280000000002</v>
      </c>
      <c r="Y4080">
        <v>-0.1208723</v>
      </c>
      <c r="Z4080">
        <v>4.1470630000000003E-3</v>
      </c>
      <c r="AA4080">
        <v>0.99265939999999997</v>
      </c>
      <c r="AB4080">
        <v>39</v>
      </c>
      <c r="AC4080">
        <v>22.649399999999901</v>
      </c>
      <c r="AD4080">
        <v>-1.10407708557099</v>
      </c>
      <c r="AE4080">
        <v>2.1989399999999999</v>
      </c>
      <c r="AF4080">
        <v>-2.7728427528288</v>
      </c>
      <c r="AG4080">
        <v>-1.10407708557099</v>
      </c>
      <c r="AH4080">
        <v>22.5324789972342</v>
      </c>
      <c r="AI4080">
        <v>92.784243742000299</v>
      </c>
      <c r="AJ4080">
        <v>97.015536288981195</v>
      </c>
      <c r="AK4080">
        <v>22.729281838711898</v>
      </c>
      <c r="AL4080">
        <v>86.850363232748293</v>
      </c>
      <c r="AM4080">
        <v>95.121703557805603</v>
      </c>
      <c r="AN4080">
        <v>1.0000000021392399</v>
      </c>
    </row>
    <row r="4081" spans="1:40" x14ac:dyDescent="0.3">
      <c r="A4081" t="str">
        <f>"20200111154001175"</f>
        <v>20200111154001175</v>
      </c>
      <c r="B4081" t="str">
        <f>"1578728401165288"</f>
        <v>1578728401165288</v>
      </c>
      <c r="C4081" t="s">
        <v>40</v>
      </c>
      <c r="D4081">
        <v>4.8273970000000004</v>
      </c>
      <c r="E4081">
        <v>0.4852051</v>
      </c>
      <c r="F4081" t="s">
        <v>81</v>
      </c>
      <c r="G4081">
        <v>-226.40620000000001</v>
      </c>
      <c r="H4081" s="1">
        <v>-2.1180790000000002E-6</v>
      </c>
      <c r="I4081">
        <v>-59.24485</v>
      </c>
      <c r="J4081">
        <v>-248.7971</v>
      </c>
      <c r="K4081">
        <v>1.1040559999999999</v>
      </c>
      <c r="L4081">
        <v>-61.482599999999998</v>
      </c>
      <c r="M4081">
        <v>0.99961880000000003</v>
      </c>
      <c r="N4081">
        <v>0</v>
      </c>
      <c r="O4081">
        <v>-2.566556E-2</v>
      </c>
      <c r="P4081">
        <v>0.99694439999999995</v>
      </c>
      <c r="Q4081">
        <v>4.453443E-2</v>
      </c>
      <c r="R4081">
        <v>6.4173900000000006E-2</v>
      </c>
      <c r="S4081">
        <v>2.9968110000000001</v>
      </c>
      <c r="T4081">
        <v>-0.14646149999999999</v>
      </c>
      <c r="U4081">
        <v>0.29617310000000002</v>
      </c>
      <c r="V4081">
        <v>-8.9749969999999998E-2</v>
      </c>
      <c r="W4081">
        <v>5.463722E-2</v>
      </c>
      <c r="X4081">
        <v>0.99446449999999997</v>
      </c>
      <c r="Y4081">
        <v>-0.12368369999999999</v>
      </c>
      <c r="Z4081">
        <v>4.2641399999999996E-3</v>
      </c>
      <c r="AA4081">
        <v>0.99231259999999999</v>
      </c>
      <c r="AB4081">
        <v>39</v>
      </c>
      <c r="AC4081">
        <v>22.390899999999899</v>
      </c>
      <c r="AD4081">
        <v>-1.1040581180789999</v>
      </c>
      <c r="AE4081">
        <v>2.2377499999999899</v>
      </c>
      <c r="AF4081">
        <v>-2.8049652101263201</v>
      </c>
      <c r="AG4081">
        <v>-1.1040581180789999</v>
      </c>
      <c r="AH4081">
        <v>22.272471443358999</v>
      </c>
      <c r="AI4081">
        <v>92.815654151809298</v>
      </c>
      <c r="AJ4081">
        <v>97.177964073576604</v>
      </c>
      <c r="AK4081">
        <v>22.4755368868768</v>
      </c>
      <c r="AL4081">
        <v>86.867958142904399</v>
      </c>
      <c r="AM4081">
        <v>95.156947312193495</v>
      </c>
      <c r="AN4081">
        <v>0.99999996234228805</v>
      </c>
    </row>
    <row r="4082" spans="1:40" x14ac:dyDescent="0.3">
      <c r="A4082" t="str">
        <f>"20200111154001187"</f>
        <v>20200111154001187</v>
      </c>
      <c r="B4082" t="str">
        <f>"1578728401175052"</f>
        <v>1578728401175052</v>
      </c>
      <c r="C4082" t="s">
        <v>40</v>
      </c>
      <c r="D4082">
        <v>4.8382370000000003</v>
      </c>
      <c r="E4082">
        <v>0.48475950000000001</v>
      </c>
      <c r="F4082" t="s">
        <v>81</v>
      </c>
      <c r="G4082">
        <v>-226.41650000000001</v>
      </c>
      <c r="H4082" s="1">
        <v>-2.126904E-6</v>
      </c>
      <c r="I4082">
        <v>-59.224800000000002</v>
      </c>
      <c r="J4082">
        <v>-248.57239999999999</v>
      </c>
      <c r="K4082">
        <v>1.104033</v>
      </c>
      <c r="L4082">
        <v>-61.488399999999999</v>
      </c>
      <c r="M4082">
        <v>0.99961840000000002</v>
      </c>
      <c r="N4082">
        <v>0</v>
      </c>
      <c r="O4082">
        <v>-2.5686779999999999E-2</v>
      </c>
      <c r="P4082">
        <v>0.99689530000000004</v>
      </c>
      <c r="Q4082">
        <v>4.4478650000000002E-2</v>
      </c>
      <c r="R4082">
        <v>6.4976039999999999E-2</v>
      </c>
      <c r="S4082">
        <v>2.9963380000000002</v>
      </c>
      <c r="T4082">
        <v>-0.1478119</v>
      </c>
      <c r="U4082">
        <v>0.30227659999999901</v>
      </c>
      <c r="V4082">
        <v>-9.0569609999999995E-2</v>
      </c>
      <c r="W4082">
        <v>5.4586280000000001E-2</v>
      </c>
      <c r="X4082">
        <v>0.99439310000000003</v>
      </c>
      <c r="Y4082">
        <v>-0.1257154</v>
      </c>
      <c r="Z4082">
        <v>4.3546590000000003E-3</v>
      </c>
      <c r="AA4082">
        <v>0.99205679999999996</v>
      </c>
      <c r="AB4082">
        <v>39</v>
      </c>
      <c r="AC4082">
        <v>22.1558999999999</v>
      </c>
      <c r="AD4082">
        <v>-1.1040351269040001</v>
      </c>
      <c r="AE4082">
        <v>2.2635999999999901</v>
      </c>
      <c r="AF4082">
        <v>-2.82505382575492</v>
      </c>
      <c r="AG4082">
        <v>-1.1040351269040001</v>
      </c>
      <c r="AH4082">
        <v>22.0362889374037</v>
      </c>
      <c r="AI4082">
        <v>92.844920207546593</v>
      </c>
      <c r="AJ4082">
        <v>97.305474511836806</v>
      </c>
      <c r="AK4082">
        <v>22.244052077186598</v>
      </c>
      <c r="AL4082">
        <v>86.870881510558604</v>
      </c>
      <c r="AM4082">
        <v>95.204157231487301</v>
      </c>
      <c r="AN4082">
        <v>1.0000000767736901</v>
      </c>
    </row>
    <row r="4083" spans="1:40" x14ac:dyDescent="0.3">
      <c r="A4083" t="str">
        <f>"20200111154001201"</f>
        <v>20200111154001201</v>
      </c>
      <c r="B4083" t="str">
        <f>"1578728401195544"</f>
        <v>1578728401195544</v>
      </c>
      <c r="C4083" t="s">
        <v>40</v>
      </c>
      <c r="D4083">
        <v>4.7585839999999999</v>
      </c>
      <c r="E4083">
        <v>0.48457749999999999</v>
      </c>
      <c r="F4083" t="s">
        <v>81</v>
      </c>
      <c r="G4083">
        <v>-226.39830000000001</v>
      </c>
      <c r="H4083" s="1">
        <v>-2.1231909999999998E-6</v>
      </c>
      <c r="I4083">
        <v>-59.206400000000002</v>
      </c>
      <c r="J4083">
        <v>-248.34700000000001</v>
      </c>
      <c r="K4083">
        <v>1.104012</v>
      </c>
      <c r="L4083">
        <v>-61.494169999999997</v>
      </c>
      <c r="M4083">
        <v>0.9996176</v>
      </c>
      <c r="N4083">
        <v>0</v>
      </c>
      <c r="O4083">
        <v>-2.5713119999999999E-2</v>
      </c>
      <c r="P4083">
        <v>0.99685590000000002</v>
      </c>
      <c r="Q4083">
        <v>4.4339209999999997E-2</v>
      </c>
      <c r="R4083">
        <v>6.5668089999999998E-2</v>
      </c>
      <c r="S4083">
        <v>2.995911</v>
      </c>
      <c r="T4083">
        <v>-0.14916479999999999</v>
      </c>
      <c r="U4083">
        <v>0.30831910000000001</v>
      </c>
      <c r="V4083">
        <v>-9.1284329999999997E-2</v>
      </c>
      <c r="W4083">
        <v>5.4452010000000002E-2</v>
      </c>
      <c r="X4083">
        <v>0.99433510000000003</v>
      </c>
      <c r="Y4083">
        <v>-0.12772990000000001</v>
      </c>
      <c r="Z4083">
        <v>4.4459479999999999E-3</v>
      </c>
      <c r="AA4083">
        <v>0.99179899999999999</v>
      </c>
      <c r="AB4083">
        <v>39</v>
      </c>
      <c r="AC4083">
        <v>21.948699999999999</v>
      </c>
      <c r="AD4083">
        <v>-1.1040141231909999</v>
      </c>
      <c r="AE4083">
        <v>2.2877699999999899</v>
      </c>
      <c r="AF4083">
        <v>-2.84429335895017</v>
      </c>
      <c r="AG4083">
        <v>-1.1040141231909999</v>
      </c>
      <c r="AH4083">
        <v>21.8279807951686</v>
      </c>
      <c r="AI4083">
        <v>92.871202865753403</v>
      </c>
      <c r="AJ4083">
        <v>97.424091915293502</v>
      </c>
      <c r="AK4083">
        <v>22.040181430519599</v>
      </c>
      <c r="AL4083">
        <v>86.878586054092096</v>
      </c>
      <c r="AM4083">
        <v>95.245301334664902</v>
      </c>
      <c r="AN4083">
        <v>1.00000007069429</v>
      </c>
    </row>
    <row r="4084" spans="1:40" x14ac:dyDescent="0.3">
      <c r="A4084" t="str">
        <f>"20200111154001213"</f>
        <v>20200111154001213</v>
      </c>
      <c r="B4084" t="str">
        <f>"1578728401205304"</f>
        <v>1578728401205304</v>
      </c>
      <c r="C4084" t="s">
        <v>40</v>
      </c>
      <c r="D4084">
        <v>4.7572549999999998</v>
      </c>
      <c r="E4084">
        <v>0.48455979999999998</v>
      </c>
      <c r="F4084" t="s">
        <v>81</v>
      </c>
      <c r="G4084">
        <v>-226.29159999999999</v>
      </c>
      <c r="H4084" s="1">
        <v>-2.0793390000000002E-6</v>
      </c>
      <c r="I4084">
        <v>-59.197609999999997</v>
      </c>
      <c r="J4084">
        <v>-248.1174</v>
      </c>
      <c r="K4084">
        <v>1.1039969999999999</v>
      </c>
      <c r="L4084">
        <v>-61.50009</v>
      </c>
      <c r="M4084">
        <v>0.99961670000000002</v>
      </c>
      <c r="N4084">
        <v>0</v>
      </c>
      <c r="O4084">
        <v>-2.5745669999999998E-2</v>
      </c>
      <c r="P4084">
        <v>0.99682289999999996</v>
      </c>
      <c r="Q4084">
        <v>4.3959230000000002E-2</v>
      </c>
      <c r="R4084">
        <v>6.6422480000000006E-2</v>
      </c>
      <c r="S4084">
        <v>2.9955750000000001</v>
      </c>
      <c r="T4084">
        <v>-0.14994749999999901</v>
      </c>
      <c r="U4084">
        <v>0.31192019999999998</v>
      </c>
      <c r="V4084">
        <v>-9.2067570000000001E-2</v>
      </c>
      <c r="W4084">
        <v>5.4077279999999998E-2</v>
      </c>
      <c r="X4084">
        <v>0.99428329999999998</v>
      </c>
      <c r="Y4084">
        <v>-0.12894949999999999</v>
      </c>
      <c r="Z4084">
        <v>4.5015209999999996E-3</v>
      </c>
      <c r="AA4084">
        <v>0.99164090000000005</v>
      </c>
      <c r="AB4084">
        <v>39</v>
      </c>
      <c r="AC4084">
        <v>21.825800000000001</v>
      </c>
      <c r="AD4084">
        <v>-1.103999079339</v>
      </c>
      <c r="AE4084">
        <v>2.3024800000000001</v>
      </c>
      <c r="AF4084">
        <v>-2.8564377117710502</v>
      </c>
      <c r="AG4084">
        <v>-1.103999079339</v>
      </c>
      <c r="AH4084">
        <v>21.7043616959192</v>
      </c>
      <c r="AI4084">
        <v>92.887006118895201</v>
      </c>
      <c r="AJ4084">
        <v>97.497416253185406</v>
      </c>
      <c r="AK4084">
        <v>21.919337740809901</v>
      </c>
      <c r="AL4084">
        <v>86.900088071366199</v>
      </c>
      <c r="AM4084">
        <v>95.290326971974693</v>
      </c>
      <c r="AN4084">
        <v>1.00000003515839</v>
      </c>
    </row>
    <row r="4085" spans="1:40" x14ac:dyDescent="0.3">
      <c r="A4085" t="str">
        <f>"20200111154001230"</f>
        <v>20200111154001230</v>
      </c>
      <c r="B4085" t="str">
        <f>"1578728401224825"</f>
        <v>1578728401224825</v>
      </c>
      <c r="C4085" t="s">
        <v>40</v>
      </c>
      <c r="D4085">
        <v>4.8323080000000003</v>
      </c>
      <c r="E4085">
        <v>0.48451349999999999</v>
      </c>
      <c r="F4085" t="s">
        <v>81</v>
      </c>
      <c r="G4085">
        <v>-226.33410000000001</v>
      </c>
      <c r="H4085" s="1">
        <v>-2.0940089999999998E-6</v>
      </c>
      <c r="I4085">
        <v>-59.21369</v>
      </c>
      <c r="J4085">
        <v>-247.8426</v>
      </c>
      <c r="K4085">
        <v>1.1039730000000001</v>
      </c>
      <c r="L4085">
        <v>-61.507199999999997</v>
      </c>
      <c r="M4085">
        <v>0.99961560000000005</v>
      </c>
      <c r="N4085">
        <v>0</v>
      </c>
      <c r="O4085">
        <v>-2.5795180000000001E-2</v>
      </c>
      <c r="P4085">
        <v>0.99675670000000005</v>
      </c>
      <c r="Q4085">
        <v>4.3624929999999999E-2</v>
      </c>
      <c r="R4085">
        <v>6.7624899999999905E-2</v>
      </c>
      <c r="S4085">
        <v>2.9953159999999999</v>
      </c>
      <c r="T4085">
        <v>-0.15180550000000001</v>
      </c>
      <c r="U4085">
        <v>0.31439210000000001</v>
      </c>
      <c r="V4085">
        <v>-9.3314159999999993E-2</v>
      </c>
      <c r="W4085">
        <v>5.374922E-2</v>
      </c>
      <c r="X4085">
        <v>0.99418490000000004</v>
      </c>
      <c r="Y4085">
        <v>-0.12981099999999901</v>
      </c>
      <c r="Z4085">
        <v>4.5816900000000002E-3</v>
      </c>
      <c r="AA4085">
        <v>0.99152819999999997</v>
      </c>
      <c r="AB4085">
        <v>39</v>
      </c>
      <c r="AC4085">
        <v>21.508500000000002</v>
      </c>
      <c r="AD4085">
        <v>-1.1039750940089901</v>
      </c>
      <c r="AE4085">
        <v>2.2935099999999902</v>
      </c>
      <c r="AF4085">
        <v>-2.8401926641159201</v>
      </c>
      <c r="AG4085">
        <v>-1.1039750940089901</v>
      </c>
      <c r="AH4085">
        <v>21.386468506917598</v>
      </c>
      <c r="AI4085">
        <v>92.929326746981801</v>
      </c>
      <c r="AJ4085">
        <v>97.564800637863996</v>
      </c>
      <c r="AK4085">
        <v>21.602464918959399</v>
      </c>
      <c r="AL4085">
        <v>86.918911987787098</v>
      </c>
      <c r="AM4085">
        <v>95.362070620815103</v>
      </c>
      <c r="AN4085">
        <v>1.0000000632475601</v>
      </c>
    </row>
    <row r="4086" spans="1:40" x14ac:dyDescent="0.3">
      <c r="A4086" t="str">
        <f>"20200111154001242"</f>
        <v>20200111154001242</v>
      </c>
      <c r="B4086" t="str">
        <f>"1578728401235560"</f>
        <v>1578728401235560</v>
      </c>
      <c r="C4086" t="s">
        <v>40</v>
      </c>
      <c r="D4086">
        <v>4.7728719999999996</v>
      </c>
      <c r="E4086">
        <v>0.4843462</v>
      </c>
      <c r="F4086" t="s">
        <v>81</v>
      </c>
      <c r="G4086">
        <v>-226.27860000000001</v>
      </c>
      <c r="H4086" s="1">
        <v>-2.069888E-6</v>
      </c>
      <c r="I4086">
        <v>-59.215130000000002</v>
      </c>
      <c r="J4086">
        <v>-247.62569999999999</v>
      </c>
      <c r="K4086">
        <v>1.1039589999999999</v>
      </c>
      <c r="L4086">
        <v>-61.512790000000003</v>
      </c>
      <c r="M4086">
        <v>0.99961429999999996</v>
      </c>
      <c r="N4086">
        <v>0</v>
      </c>
      <c r="O4086">
        <v>-2.5839379999999999E-2</v>
      </c>
      <c r="P4086">
        <v>0.99672749999999999</v>
      </c>
      <c r="Q4086">
        <v>4.3542400000000002E-2</v>
      </c>
      <c r="R4086">
        <v>6.8105089999999993E-2</v>
      </c>
      <c r="S4086">
        <v>2.9948730000000001</v>
      </c>
      <c r="T4086">
        <v>-0.15332290000000001</v>
      </c>
      <c r="U4086">
        <v>0.31832890000000003</v>
      </c>
      <c r="V4086">
        <v>-9.3835070000000007E-2</v>
      </c>
      <c r="W4086">
        <v>5.3671610000000002E-2</v>
      </c>
      <c r="X4086">
        <v>0.99414000000000002</v>
      </c>
      <c r="Y4086">
        <v>-0.13115309999999999</v>
      </c>
      <c r="Z4086">
        <v>4.6642890000000003E-3</v>
      </c>
      <c r="AA4086">
        <v>0.99135110000000004</v>
      </c>
      <c r="AB4086">
        <v>39</v>
      </c>
      <c r="AC4086">
        <v>21.347099999999902</v>
      </c>
      <c r="AD4086">
        <v>-1.10396106988799</v>
      </c>
      <c r="AE4086">
        <v>2.29766</v>
      </c>
      <c r="AF4086">
        <v>-2.8410061154179602</v>
      </c>
      <c r="AG4086">
        <v>-1.10396106988799</v>
      </c>
      <c r="AH4086">
        <v>21.2244853011108</v>
      </c>
      <c r="AI4086">
        <v>92.951200300599297</v>
      </c>
      <c r="AJ4086">
        <v>97.6240155628563</v>
      </c>
      <c r="AK4086">
        <v>21.442220549391301</v>
      </c>
      <c r="AL4086">
        <v>86.9233649486535</v>
      </c>
      <c r="AM4086">
        <v>95.392069607183601</v>
      </c>
      <c r="AN4086">
        <v>1.00000000084094</v>
      </c>
    </row>
    <row r="4087" spans="1:40" x14ac:dyDescent="0.3">
      <c r="A4087" t="str">
        <f>"20200111154001253"</f>
        <v>20200111154001253</v>
      </c>
      <c r="B4087" t="str">
        <f>"1578728401245320"</f>
        <v>1578728401245320</v>
      </c>
      <c r="C4087" t="s">
        <v>40</v>
      </c>
      <c r="D4087">
        <v>4.8278230000000004</v>
      </c>
      <c r="E4087">
        <v>0.48450979999999999</v>
      </c>
      <c r="F4087" t="s">
        <v>81</v>
      </c>
      <c r="G4087">
        <v>-226.26499999999999</v>
      </c>
      <c r="H4087" s="1">
        <v>-2.0623970000000001E-6</v>
      </c>
      <c r="I4087">
        <v>-59.222580000000001</v>
      </c>
      <c r="J4087">
        <v>-247.42679999999999</v>
      </c>
      <c r="K4087">
        <v>1.103945</v>
      </c>
      <c r="L4087">
        <v>-61.517969999999998</v>
      </c>
      <c r="M4087">
        <v>0.99961319999999998</v>
      </c>
      <c r="N4087">
        <v>0</v>
      </c>
      <c r="O4087">
        <v>-2.5883070000000001E-2</v>
      </c>
      <c r="P4087">
        <v>0.99669560000000001</v>
      </c>
      <c r="Q4087">
        <v>4.3530689999999997E-2</v>
      </c>
      <c r="R4087">
        <v>6.8580260000000004E-2</v>
      </c>
      <c r="S4087">
        <v>2.994675</v>
      </c>
      <c r="T4087">
        <v>-0.15476999999999999</v>
      </c>
      <c r="U4087">
        <v>0.32107540000000001</v>
      </c>
      <c r="V4087">
        <v>-9.4351329999999997E-2</v>
      </c>
      <c r="W4087">
        <v>5.3664000000000003E-2</v>
      </c>
      <c r="X4087">
        <v>0.99409159999999996</v>
      </c>
      <c r="Y4087">
        <v>-0.1320971</v>
      </c>
      <c r="Z4087">
        <v>4.7348980000000004E-3</v>
      </c>
      <c r="AA4087">
        <v>0.99122549999999998</v>
      </c>
      <c r="AB4087">
        <v>39</v>
      </c>
      <c r="AC4087">
        <v>21.161799999999999</v>
      </c>
      <c r="AD4087">
        <v>-1.103947062397</v>
      </c>
      <c r="AE4087">
        <v>2.29538999999999</v>
      </c>
      <c r="AF4087">
        <v>-2.8347568361898601</v>
      </c>
      <c r="AG4087">
        <v>-1.103947062397</v>
      </c>
      <c r="AH4087">
        <v>21.0387059670079</v>
      </c>
      <c r="AI4087">
        <v>92.976829158076299</v>
      </c>
      <c r="AJ4087">
        <v>97.673821263936503</v>
      </c>
      <c r="AK4087">
        <v>21.257509125085999</v>
      </c>
      <c r="AL4087">
        <v>86.923801761822503</v>
      </c>
      <c r="AM4087">
        <v>95.421821698513995</v>
      </c>
      <c r="AN4087">
        <v>1.0000000537796601</v>
      </c>
    </row>
    <row r="4088" spans="1:40" x14ac:dyDescent="0.3">
      <c r="A4088" t="str">
        <f>"20200111154001263"</f>
        <v>20200111154001263</v>
      </c>
      <c r="B4088" t="str">
        <f>"1578728401255080"</f>
        <v>1578728401255080</v>
      </c>
      <c r="C4088" t="s">
        <v>40</v>
      </c>
      <c r="D4088">
        <v>4.7883599999999999</v>
      </c>
      <c r="E4088">
        <v>0.48460969999999998</v>
      </c>
      <c r="F4088" t="s">
        <v>81</v>
      </c>
      <c r="G4088">
        <v>-226.10499999999999</v>
      </c>
      <c r="H4088" s="1">
        <v>-1.9917069999999999E-6</v>
      </c>
      <c r="I4088">
        <v>-59.231900000000003</v>
      </c>
      <c r="J4088">
        <v>-247.2296</v>
      </c>
      <c r="K4088">
        <v>1.1039319999999999</v>
      </c>
      <c r="L4088">
        <v>-61.523099999999999</v>
      </c>
      <c r="M4088">
        <v>0.9996119</v>
      </c>
      <c r="N4088">
        <v>0</v>
      </c>
      <c r="O4088">
        <v>-2.5932110000000001E-2</v>
      </c>
      <c r="P4088">
        <v>0.99666880000000002</v>
      </c>
      <c r="Q4088">
        <v>4.3466329999999997E-2</v>
      </c>
      <c r="R4088">
        <v>6.9008130000000001E-2</v>
      </c>
      <c r="S4088">
        <v>2.9946139999999999</v>
      </c>
      <c r="T4088">
        <v>-0.15504760000000001</v>
      </c>
      <c r="U4088">
        <v>0.32107540000000001</v>
      </c>
      <c r="V4088">
        <v>-9.4824690000000003E-2</v>
      </c>
      <c r="W4088">
        <v>5.3603999999999999E-2</v>
      </c>
      <c r="X4088">
        <v>0.99404970000000004</v>
      </c>
      <c r="Y4088">
        <v>-0.13214699999999999</v>
      </c>
      <c r="Z4088">
        <v>4.7472920000000002E-3</v>
      </c>
      <c r="AA4088">
        <v>0.99121870000000001</v>
      </c>
      <c r="AB4088">
        <v>39</v>
      </c>
      <c r="AC4088">
        <v>21.124600000000001</v>
      </c>
      <c r="AD4088">
        <v>-1.1039339917069999</v>
      </c>
      <c r="AE4088">
        <v>2.2911999999999901</v>
      </c>
      <c r="AF4088">
        <v>-2.8306228971564198</v>
      </c>
      <c r="AG4088">
        <v>-1.1039339917069999</v>
      </c>
      <c r="AH4088">
        <v>21.0013901657411</v>
      </c>
      <c r="AI4088">
        <v>92.982056909015796</v>
      </c>
      <c r="AJ4088">
        <v>97.676216748143304</v>
      </c>
      <c r="AK4088">
        <v>21.220025568731899</v>
      </c>
      <c r="AL4088">
        <v>86.927244170139502</v>
      </c>
      <c r="AM4088">
        <v>95.449087927364204</v>
      </c>
      <c r="AN4088">
        <v>0.99999995835984201</v>
      </c>
    </row>
    <row r="4089" spans="1:40" x14ac:dyDescent="0.3">
      <c r="A4089" t="str">
        <f>"20200111154001275"</f>
        <v>20200111154001275</v>
      </c>
      <c r="B4089" t="str">
        <f>"1578728401264840"</f>
        <v>1578728401264840</v>
      </c>
      <c r="C4089" t="s">
        <v>40</v>
      </c>
      <c r="D4089">
        <v>4.8253839999999997</v>
      </c>
      <c r="E4089">
        <v>0.48479800000000001</v>
      </c>
      <c r="F4089" t="s">
        <v>81</v>
      </c>
      <c r="G4089">
        <v>-226.12260000000001</v>
      </c>
      <c r="H4089" s="1">
        <v>-1.993675E-6</v>
      </c>
      <c r="I4089">
        <v>-59.257240000000003</v>
      </c>
      <c r="J4089">
        <v>-247.02430000000001</v>
      </c>
      <c r="K4089">
        <v>1.1039159999999999</v>
      </c>
      <c r="L4089">
        <v>-61.528469999999999</v>
      </c>
      <c r="M4089">
        <v>0.99961049999999996</v>
      </c>
      <c r="N4089">
        <v>0</v>
      </c>
      <c r="O4089">
        <v>-2.5984730000000001E-2</v>
      </c>
      <c r="P4089">
        <v>0.99665970000000004</v>
      </c>
      <c r="Q4089">
        <v>4.3286999999999999E-2</v>
      </c>
      <c r="R4089">
        <v>6.9250489999999998E-2</v>
      </c>
      <c r="S4089">
        <v>2.994583</v>
      </c>
      <c r="T4089">
        <v>-0.15662190000000001</v>
      </c>
      <c r="U4089">
        <v>0.32147219999999999</v>
      </c>
      <c r="V4089">
        <v>-9.5118049999999996E-2</v>
      </c>
      <c r="W4089">
        <v>5.3429259999999999E-2</v>
      </c>
      <c r="X4089">
        <v>0.99403109999999995</v>
      </c>
      <c r="Y4089">
        <v>-0.13232550000000001</v>
      </c>
      <c r="Z4089">
        <v>4.8028389999999997E-3</v>
      </c>
      <c r="AA4089">
        <v>0.99119469999999998</v>
      </c>
      <c r="AB4089">
        <v>39</v>
      </c>
      <c r="AC4089">
        <v>20.901700000000002</v>
      </c>
      <c r="AD4089">
        <v>-1.1039179936750001</v>
      </c>
      <c r="AE4089">
        <v>2.2712299999999899</v>
      </c>
      <c r="AF4089">
        <v>-2.8058808141323199</v>
      </c>
      <c r="AG4089">
        <v>-1.1039179936750001</v>
      </c>
      <c r="AH4089">
        <v>20.7783385628492</v>
      </c>
      <c r="AI4089">
        <v>93.013864342996101</v>
      </c>
      <c r="AJ4089">
        <v>97.690628088948998</v>
      </c>
      <c r="AK4089">
        <v>20.995974745466299</v>
      </c>
      <c r="AL4089">
        <v>86.937270464876306</v>
      </c>
      <c r="AM4089">
        <v>95.4659455398278</v>
      </c>
      <c r="AN4089">
        <v>0.99999997851357902</v>
      </c>
    </row>
    <row r="4090" spans="1:40" x14ac:dyDescent="0.3">
      <c r="A4090" t="str">
        <f>"20200111154001287"</f>
        <v>20200111154001287</v>
      </c>
      <c r="B4090" t="str">
        <f>"1578728401275577"</f>
        <v>1578728401275577</v>
      </c>
      <c r="C4090" t="s">
        <v>40</v>
      </c>
      <c r="D4090">
        <v>4.8339720000000002</v>
      </c>
      <c r="E4090">
        <v>0.48494700000000002</v>
      </c>
      <c r="F4090" t="s">
        <v>81</v>
      </c>
      <c r="G4090">
        <v>-226.0179</v>
      </c>
      <c r="H4090" s="1">
        <v>-1.943827E-6</v>
      </c>
      <c r="I4090">
        <v>-59.279429999999998</v>
      </c>
      <c r="J4090">
        <v>-246.81059999999999</v>
      </c>
      <c r="K4090">
        <v>1.1039030000000001</v>
      </c>
      <c r="L4090">
        <v>-61.534059999999997</v>
      </c>
      <c r="M4090">
        <v>0.99960910000000003</v>
      </c>
      <c r="N4090">
        <v>0</v>
      </c>
      <c r="O4090">
        <v>-2.604484E-2</v>
      </c>
      <c r="P4090">
        <v>0.99663760000000001</v>
      </c>
      <c r="Q4090">
        <v>4.3079409999999999E-2</v>
      </c>
      <c r="R4090">
        <v>6.9697090000000003E-2</v>
      </c>
      <c r="S4090">
        <v>2.9946290000000002</v>
      </c>
      <c r="T4090">
        <v>-0.15737190000000001</v>
      </c>
      <c r="U4090">
        <v>0.32061770000000001</v>
      </c>
      <c r="V4090">
        <v>-9.5621970000000001E-2</v>
      </c>
      <c r="W4090">
        <v>5.3225450000000001E-2</v>
      </c>
      <c r="X4090">
        <v>0.99399369999999998</v>
      </c>
      <c r="Y4090">
        <v>-0.132102</v>
      </c>
      <c r="Z4090">
        <v>4.8231050000000003E-3</v>
      </c>
      <c r="AA4090">
        <v>0.99122440000000001</v>
      </c>
      <c r="AB4090">
        <v>39</v>
      </c>
      <c r="AC4090">
        <v>20.7927</v>
      </c>
      <c r="AD4090">
        <v>-1.1039049438269899</v>
      </c>
      <c r="AE4090">
        <v>2.2546299999999899</v>
      </c>
      <c r="AF4090">
        <v>-2.7876694578758801</v>
      </c>
      <c r="AG4090">
        <v>-1.1039049438269899</v>
      </c>
      <c r="AH4090">
        <v>20.669338729195299</v>
      </c>
      <c r="AI4090">
        <v>93.029760404075503</v>
      </c>
      <c r="AJ4090">
        <v>97.681120922432299</v>
      </c>
      <c r="AK4090">
        <v>20.885671419267101</v>
      </c>
      <c r="AL4090">
        <v>86.948964600872699</v>
      </c>
      <c r="AM4090">
        <v>95.494931951033095</v>
      </c>
      <c r="AN4090">
        <v>0.99999999265703599</v>
      </c>
    </row>
    <row r="4091" spans="1:40" x14ac:dyDescent="0.3">
      <c r="A4091" t="str">
        <f>"20200111154001299"</f>
        <v>20200111154001299</v>
      </c>
      <c r="B4091" t="str">
        <f>"1578728401295096"</f>
        <v>1578728401295096</v>
      </c>
      <c r="C4091" t="s">
        <v>40</v>
      </c>
      <c r="D4091">
        <v>4.8087140000000002</v>
      </c>
      <c r="E4091">
        <v>0.48530620000000002</v>
      </c>
      <c r="F4091" t="s">
        <v>81</v>
      </c>
      <c r="G4091">
        <v>-225.9144</v>
      </c>
      <c r="H4091" s="1">
        <v>-1.895743E-6</v>
      </c>
      <c r="I4091">
        <v>-59.296100000000003</v>
      </c>
      <c r="J4091">
        <v>-246.6199</v>
      </c>
      <c r="K4091">
        <v>1.103893</v>
      </c>
      <c r="L4091">
        <v>-61.539029999999997</v>
      </c>
      <c r="M4091">
        <v>0.99960760000000004</v>
      </c>
      <c r="N4091">
        <v>0</v>
      </c>
      <c r="O4091">
        <v>-2.609991E-2</v>
      </c>
      <c r="P4091">
        <v>0.996614</v>
      </c>
      <c r="Q4091">
        <v>4.2919690000000003E-2</v>
      </c>
      <c r="R4091">
        <v>7.0135450000000002E-2</v>
      </c>
      <c r="S4091">
        <v>2.9945219999999999</v>
      </c>
      <c r="T4091">
        <v>-0.15819469999999999</v>
      </c>
      <c r="U4091">
        <v>0.32070920000000003</v>
      </c>
      <c r="V4091">
        <v>-9.6113790000000004E-2</v>
      </c>
      <c r="W4091">
        <v>5.3068789999999998E-2</v>
      </c>
      <c r="X4091">
        <v>0.99395469999999997</v>
      </c>
      <c r="Y4091">
        <v>-0.13218779999999999</v>
      </c>
      <c r="Z4091">
        <v>4.8536079999999997E-3</v>
      </c>
      <c r="AA4091">
        <v>0.9912128</v>
      </c>
      <c r="AB4091">
        <v>39</v>
      </c>
      <c r="AC4091">
        <v>20.705500000000001</v>
      </c>
      <c r="AD4091">
        <v>-1.1038948957429999</v>
      </c>
      <c r="AE4091">
        <v>2.2429299999999999</v>
      </c>
      <c r="AF4091">
        <v>-2.7748098606432001</v>
      </c>
      <c r="AG4091">
        <v>-1.1038948957429999</v>
      </c>
      <c r="AH4091">
        <v>20.5820786077241</v>
      </c>
      <c r="AI4091">
        <v>93.042575016016897</v>
      </c>
      <c r="AJ4091">
        <v>97.678138495737997</v>
      </c>
      <c r="AK4091">
        <v>20.797598744040201</v>
      </c>
      <c r="AL4091">
        <v>86.957953440297004</v>
      </c>
      <c r="AM4091">
        <v>95.523235526016904</v>
      </c>
      <c r="AN4091">
        <v>1.00000005137615</v>
      </c>
    </row>
    <row r="4092" spans="1:40" x14ac:dyDescent="0.3">
      <c r="A4092" t="str">
        <f>"20200111154001310"</f>
        <v>20200111154001310</v>
      </c>
      <c r="B4092" t="str">
        <f>"1578728401304858"</f>
        <v>1578728401304858</v>
      </c>
      <c r="C4092" t="s">
        <v>40</v>
      </c>
      <c r="D4092">
        <v>4.8220010000000002</v>
      </c>
      <c r="E4092">
        <v>0.48546080000000003</v>
      </c>
      <c r="F4092" t="s">
        <v>81</v>
      </c>
      <c r="G4092">
        <v>-225.72630000000001</v>
      </c>
      <c r="H4092" s="1">
        <v>-1.811389E-6</v>
      </c>
      <c r="I4092">
        <v>-59.312649999999998</v>
      </c>
      <c r="J4092">
        <v>-246.40950000000001</v>
      </c>
      <c r="K4092">
        <v>1.1038859999999999</v>
      </c>
      <c r="L4092">
        <v>-61.544589999999999</v>
      </c>
      <c r="M4092">
        <v>0.99960579999999999</v>
      </c>
      <c r="N4092">
        <v>0</v>
      </c>
      <c r="O4092">
        <v>-2.6163329999999999E-2</v>
      </c>
      <c r="P4092">
        <v>0.99660329999999997</v>
      </c>
      <c r="Q4092">
        <v>4.2664100000000003E-2</v>
      </c>
      <c r="R4092">
        <v>7.0441359999999995E-2</v>
      </c>
      <c r="S4092">
        <v>2.9945369999999998</v>
      </c>
      <c r="T4092">
        <v>-0.15821360000000001</v>
      </c>
      <c r="U4092">
        <v>0.31909179999999998</v>
      </c>
      <c r="V4092">
        <v>-9.6481449999999996E-2</v>
      </c>
      <c r="W4092">
        <v>5.28169E-2</v>
      </c>
      <c r="X4092">
        <v>0.99393240000000005</v>
      </c>
      <c r="Y4092">
        <v>-0.13172130000000001</v>
      </c>
      <c r="Z4092">
        <v>4.8453589999999996E-3</v>
      </c>
      <c r="AA4092">
        <v>0.99127500000000002</v>
      </c>
      <c r="AB4092">
        <v>39</v>
      </c>
      <c r="AC4092">
        <v>20.683199999999999</v>
      </c>
      <c r="AD4092">
        <v>-1.1038878113890001</v>
      </c>
      <c r="AE4092">
        <v>2.2319399999999998</v>
      </c>
      <c r="AF4092">
        <v>-2.76456116547357</v>
      </c>
      <c r="AG4092">
        <v>-1.1038878113890001</v>
      </c>
      <c r="AH4092">
        <v>20.559830695452</v>
      </c>
      <c r="AI4092">
        <v>93.045983456186704</v>
      </c>
      <c r="AJ4092">
        <v>97.658295970765593</v>
      </c>
      <c r="AK4092">
        <v>20.774214906066302</v>
      </c>
      <c r="AL4092">
        <v>86.972405651777905</v>
      </c>
      <c r="AM4092">
        <v>95.544355548976696</v>
      </c>
      <c r="AN4092">
        <v>0.99999995544473497</v>
      </c>
    </row>
    <row r="4093" spans="1:40" x14ac:dyDescent="0.3">
      <c r="A4093" t="str">
        <f>"20200111154001322"</f>
        <v>20200111154001322</v>
      </c>
      <c r="B4093" t="str">
        <f>"1578728401315592"</f>
        <v>1578728401315592</v>
      </c>
      <c r="C4093" t="s">
        <v>40</v>
      </c>
      <c r="D4093">
        <v>4.8228999999999997</v>
      </c>
      <c r="E4093">
        <v>0.48546040000000001</v>
      </c>
      <c r="F4093" t="s">
        <v>81</v>
      </c>
      <c r="G4093">
        <v>-225.62139999999999</v>
      </c>
      <c r="H4093" s="1">
        <v>-1.7620699999999901E-6</v>
      </c>
      <c r="I4093">
        <v>-59.332169999999998</v>
      </c>
      <c r="J4093">
        <v>-246.20580000000001</v>
      </c>
      <c r="K4093">
        <v>1.1038779999999999</v>
      </c>
      <c r="L4093">
        <v>-61.549959999999999</v>
      </c>
      <c r="M4093">
        <v>0.99960420000000005</v>
      </c>
      <c r="N4093">
        <v>0</v>
      </c>
      <c r="O4093">
        <v>-2.6226849999999999E-2</v>
      </c>
      <c r="P4093">
        <v>0.99658579999999997</v>
      </c>
      <c r="Q4093">
        <v>4.2444200000000001E-2</v>
      </c>
      <c r="R4093">
        <v>7.0817649999999996E-2</v>
      </c>
      <c r="S4093">
        <v>2.9944920000000002</v>
      </c>
      <c r="T4093">
        <v>-0.159013299999999</v>
      </c>
      <c r="U4093">
        <v>0.31869509999999901</v>
      </c>
      <c r="V4093">
        <v>-9.6918580000000004E-2</v>
      </c>
      <c r="W4093">
        <v>5.2599769999999997E-2</v>
      </c>
      <c r="X4093">
        <v>0.99390140000000005</v>
      </c>
      <c r="Y4093">
        <v>-0.13165379999999999</v>
      </c>
      <c r="Z4093">
        <v>4.8715010000000003E-3</v>
      </c>
      <c r="AA4093">
        <v>0.99128380000000005</v>
      </c>
      <c r="AB4093">
        <v>39</v>
      </c>
      <c r="AC4093">
        <v>20.584399999999999</v>
      </c>
      <c r="AD4093">
        <v>-1.10387976207</v>
      </c>
      <c r="AE4093">
        <v>2.2177899999999999</v>
      </c>
      <c r="AF4093">
        <v>-2.7491036715799702</v>
      </c>
      <c r="AG4093">
        <v>-1.10387976207</v>
      </c>
      <c r="AH4093">
        <v>20.460982308407601</v>
      </c>
      <c r="AI4093">
        <v>93.060691315417898</v>
      </c>
      <c r="AJ4093">
        <v>97.652338479583506</v>
      </c>
      <c r="AK4093">
        <v>20.674329942012001</v>
      </c>
      <c r="AL4093">
        <v>86.984863645881504</v>
      </c>
      <c r="AM4093">
        <v>95.569490485204895</v>
      </c>
      <c r="AN4093">
        <v>0.99999996993761398</v>
      </c>
    </row>
    <row r="4094" spans="1:40" x14ac:dyDescent="0.3">
      <c r="A4094" t="str">
        <f>"20200111154001332"</f>
        <v>20200111154001332</v>
      </c>
      <c r="B4094" t="str">
        <f>"1578728401325352"</f>
        <v>1578728401325352</v>
      </c>
      <c r="C4094" t="s">
        <v>40</v>
      </c>
      <c r="D4094">
        <v>4.803185</v>
      </c>
      <c r="E4094">
        <v>0.48556250000000001</v>
      </c>
      <c r="F4094" t="s">
        <v>81</v>
      </c>
      <c r="G4094">
        <v>-225.53120000000001</v>
      </c>
      <c r="H4094" s="1">
        <v>-1.721332E-6</v>
      </c>
      <c r="I4094">
        <v>-59.341520000000003</v>
      </c>
      <c r="J4094">
        <v>-246.0085</v>
      </c>
      <c r="K4094">
        <v>1.1038709999999901</v>
      </c>
      <c r="L4094">
        <v>-61.555149999999998</v>
      </c>
      <c r="M4094">
        <v>0.99960249999999995</v>
      </c>
      <c r="N4094">
        <v>0</v>
      </c>
      <c r="O4094">
        <v>-2.6289280000000002E-2</v>
      </c>
      <c r="P4094">
        <v>0.99655890000000003</v>
      </c>
      <c r="Q4094">
        <v>4.2281569999999997E-2</v>
      </c>
      <c r="R4094">
        <v>7.1294730000000001E-2</v>
      </c>
      <c r="S4094">
        <v>2.99437</v>
      </c>
      <c r="T4094">
        <v>-0.15987860000000001</v>
      </c>
      <c r="U4094">
        <v>0.31985469999999999</v>
      </c>
      <c r="V4094">
        <v>-9.7456810000000005E-2</v>
      </c>
      <c r="W4094">
        <v>5.2439769999999997E-2</v>
      </c>
      <c r="X4094">
        <v>0.99385730000000005</v>
      </c>
      <c r="Y4094">
        <v>-0.13209650000000001</v>
      </c>
      <c r="Z4094">
        <v>4.9131740000000002E-3</v>
      </c>
      <c r="AA4094">
        <v>0.99122469999999996</v>
      </c>
      <c r="AB4094">
        <v>40</v>
      </c>
      <c r="AC4094">
        <v>20.4772999999999</v>
      </c>
      <c r="AD4094">
        <v>-1.1038727213320001</v>
      </c>
      <c r="AE4094">
        <v>2.2136300000000002</v>
      </c>
      <c r="AF4094">
        <v>-2.7433462084276399</v>
      </c>
      <c r="AG4094">
        <v>-1.1038727213320001</v>
      </c>
      <c r="AH4094">
        <v>20.3535602540125</v>
      </c>
      <c r="AI4094">
        <v>93.076621485322306</v>
      </c>
      <c r="AJ4094">
        <v>97.6763260674972</v>
      </c>
      <c r="AK4094">
        <v>20.567253059607001</v>
      </c>
      <c r="AL4094">
        <v>86.994043869277306</v>
      </c>
      <c r="AM4094">
        <v>95.600471066299207</v>
      </c>
      <c r="AN4094">
        <v>1.00000004602815</v>
      </c>
    </row>
    <row r="4095" spans="1:40" x14ac:dyDescent="0.3">
      <c r="A4095" t="str">
        <f>"20200111154001343"</f>
        <v>20200111154001343</v>
      </c>
      <c r="B4095" t="str">
        <f>"1578728401334644"</f>
        <v>1578728401334644</v>
      </c>
      <c r="C4095" t="s">
        <v>40</v>
      </c>
      <c r="D4095">
        <v>4.8390890000000004</v>
      </c>
      <c r="E4095">
        <v>0.48568820000000001</v>
      </c>
      <c r="F4095" t="s">
        <v>81</v>
      </c>
      <c r="G4095">
        <v>-225.33629999999999</v>
      </c>
      <c r="H4095" s="1">
        <v>-1.63747E-6</v>
      </c>
      <c r="I4095">
        <v>-59.342619999999997</v>
      </c>
      <c r="J4095">
        <v>-245.82390000000001</v>
      </c>
      <c r="K4095">
        <v>1.1038650000000001</v>
      </c>
      <c r="L4095">
        <v>-61.560029999999998</v>
      </c>
      <c r="M4095">
        <v>0.99960090000000001</v>
      </c>
      <c r="N4095">
        <v>0</v>
      </c>
      <c r="O4095">
        <v>-2.6348960000000001E-2</v>
      </c>
      <c r="P4095">
        <v>0.99651900000000004</v>
      </c>
      <c r="Q4095">
        <v>4.2524979999999997E-2</v>
      </c>
      <c r="R4095">
        <v>7.1705430000000001E-2</v>
      </c>
      <c r="S4095">
        <v>2.994202</v>
      </c>
      <c r="T4095">
        <v>-0.1598869</v>
      </c>
      <c r="U4095">
        <v>0.3204651</v>
      </c>
      <c r="V4095">
        <v>-9.7925189999999995E-2</v>
      </c>
      <c r="W4095">
        <v>5.268548E-2</v>
      </c>
      <c r="X4095">
        <v>0.99379819999999996</v>
      </c>
      <c r="Y4095">
        <v>-0.1323608</v>
      </c>
      <c r="Z4095">
        <v>4.9238579999999997E-3</v>
      </c>
      <c r="AA4095">
        <v>0.9911894</v>
      </c>
      <c r="AB4095">
        <v>40</v>
      </c>
      <c r="AC4095">
        <v>20.4876</v>
      </c>
      <c r="AD4095">
        <v>-1.1038666374699999</v>
      </c>
      <c r="AE4095">
        <v>2.2174100000000001</v>
      </c>
      <c r="AF4095">
        <v>-2.7486081182734901</v>
      </c>
      <c r="AG4095">
        <v>-1.1038666374699999</v>
      </c>
      <c r="AH4095">
        <v>20.363624935529302</v>
      </c>
      <c r="AI4095">
        <v>93.075008902405898</v>
      </c>
      <c r="AJ4095">
        <v>97.687117946087895</v>
      </c>
      <c r="AK4095">
        <v>20.577915070678799</v>
      </c>
      <c r="AL4095">
        <v>86.979946043665095</v>
      </c>
      <c r="AM4095">
        <v>95.627547230626206</v>
      </c>
      <c r="AN4095">
        <v>0.99999998248130295</v>
      </c>
    </row>
    <row r="4096" spans="1:40" x14ac:dyDescent="0.3">
      <c r="A4096" t="str">
        <f>"20200111154001355"</f>
        <v>20200111154001355</v>
      </c>
      <c r="B4096" t="str">
        <f>"1578728401345380"</f>
        <v>1578728401345380</v>
      </c>
      <c r="C4096" t="s">
        <v>40</v>
      </c>
      <c r="D4096">
        <v>4.7997629999999996</v>
      </c>
      <c r="E4096">
        <v>0.48584110000000003</v>
      </c>
      <c r="F4096" t="s">
        <v>81</v>
      </c>
      <c r="G4096">
        <v>-225.07560000000001</v>
      </c>
      <c r="H4096" s="1">
        <v>-1.526688E-6</v>
      </c>
      <c r="I4096">
        <v>-59.337879999999998</v>
      </c>
      <c r="J4096">
        <v>-245.62880000000001</v>
      </c>
      <c r="K4096">
        <v>1.1038570000000001</v>
      </c>
      <c r="L4096">
        <v>-61.565249999999999</v>
      </c>
      <c r="M4096">
        <v>0.99959929999999997</v>
      </c>
      <c r="N4096">
        <v>0</v>
      </c>
      <c r="O4096">
        <v>-2.6412560000000002E-2</v>
      </c>
      <c r="P4096">
        <v>0.99646230000000002</v>
      </c>
      <c r="Q4096">
        <v>4.2635649999999997E-2</v>
      </c>
      <c r="R4096">
        <v>7.2423909999999994E-2</v>
      </c>
      <c r="S4096">
        <v>2.994202</v>
      </c>
      <c r="T4096">
        <v>-0.15929969999999999</v>
      </c>
      <c r="U4096">
        <v>0.32067869999999998</v>
      </c>
      <c r="V4096">
        <v>-9.8704109999999998E-2</v>
      </c>
      <c r="W4096">
        <v>5.2798339999999999E-2</v>
      </c>
      <c r="X4096">
        <v>0.99371520000000002</v>
      </c>
      <c r="Y4096">
        <v>-0.13249520000000001</v>
      </c>
      <c r="Z4096">
        <v>4.9127179999999999E-3</v>
      </c>
      <c r="AA4096">
        <v>0.99117149999999998</v>
      </c>
      <c r="AB4096">
        <v>40</v>
      </c>
      <c r="AC4096">
        <v>20.5532</v>
      </c>
      <c r="AD4096">
        <v>-1.1038585266880001</v>
      </c>
      <c r="AE4096">
        <v>2.2273699999999899</v>
      </c>
      <c r="AF4096">
        <v>-2.7616102560507101</v>
      </c>
      <c r="AG4096">
        <v>-1.1038585266880001</v>
      </c>
      <c r="AH4096">
        <v>20.428952279579999</v>
      </c>
      <c r="AI4096">
        <v>93.065088866547597</v>
      </c>
      <c r="AJ4096">
        <v>97.698643618199895</v>
      </c>
      <c r="AK4096">
        <v>20.644299118512698</v>
      </c>
      <c r="AL4096">
        <v>86.973470780384005</v>
      </c>
      <c r="AM4096">
        <v>95.672489989996905</v>
      </c>
      <c r="AN4096">
        <v>1.0000000323743401</v>
      </c>
    </row>
    <row r="4097" spans="1:40" x14ac:dyDescent="0.3">
      <c r="A4097" t="str">
        <f>"20200111154001366"</f>
        <v>20200111154001366</v>
      </c>
      <c r="B4097" t="str">
        <f>"1578728401355140"</f>
        <v>1578728401355140</v>
      </c>
      <c r="C4097" t="s">
        <v>40</v>
      </c>
      <c r="D4097">
        <v>4.7852240000000004</v>
      </c>
      <c r="E4097">
        <v>0.48585250000000002</v>
      </c>
      <c r="F4097" t="s">
        <v>81</v>
      </c>
      <c r="G4097">
        <v>-224.7544</v>
      </c>
      <c r="H4097" s="1">
        <v>-1.3921909999999999E-6</v>
      </c>
      <c r="I4097">
        <v>-59.322890000000001</v>
      </c>
      <c r="J4097">
        <v>-245.4196</v>
      </c>
      <c r="K4097">
        <v>1.103853</v>
      </c>
      <c r="L4097">
        <v>-61.570799999999998</v>
      </c>
      <c r="M4097">
        <v>0.99959739999999997</v>
      </c>
      <c r="N4097">
        <v>0</v>
      </c>
      <c r="O4097">
        <v>-2.6481049999999999E-2</v>
      </c>
      <c r="P4097">
        <v>0.99644739999999998</v>
      </c>
      <c r="Q4097">
        <v>4.2534420000000003E-2</v>
      </c>
      <c r="R4097">
        <v>7.2689729999999994E-2</v>
      </c>
      <c r="S4097">
        <v>2.994049</v>
      </c>
      <c r="T4097">
        <v>-0.1583282</v>
      </c>
      <c r="U4097">
        <v>0.32162479999999999</v>
      </c>
      <c r="V4097">
        <v>-9.9036780000000005E-2</v>
      </c>
      <c r="W4097">
        <v>5.2699280000000001E-2</v>
      </c>
      <c r="X4097">
        <v>0.99368730000000005</v>
      </c>
      <c r="Y4097">
        <v>-0.1328801</v>
      </c>
      <c r="Z4097">
        <v>4.8967159999999997E-3</v>
      </c>
      <c r="AA4097">
        <v>0.99112</v>
      </c>
      <c r="AB4097">
        <v>40</v>
      </c>
      <c r="AC4097">
        <v>20.665199999999999</v>
      </c>
      <c r="AD4097">
        <v>-1.103854392191</v>
      </c>
      <c r="AE4097">
        <v>2.2479099999999899</v>
      </c>
      <c r="AF4097">
        <v>-2.7865284393013101</v>
      </c>
      <c r="AG4097">
        <v>-1.103854392191</v>
      </c>
      <c r="AH4097">
        <v>20.540499754167701</v>
      </c>
      <c r="AI4097">
        <v>93.048269831658402</v>
      </c>
      <c r="AJ4097">
        <v>97.725594503524505</v>
      </c>
      <c r="AK4097">
        <v>20.758019303709101</v>
      </c>
      <c r="AL4097">
        <v>86.979154236430503</v>
      </c>
      <c r="AM4097">
        <v>95.6916418578123</v>
      </c>
      <c r="AN4097">
        <v>0.999999974043288</v>
      </c>
    </row>
    <row r="4098" spans="1:40" x14ac:dyDescent="0.3">
      <c r="A4098" t="str">
        <f>"20200111154001378"</f>
        <v>20200111154001378</v>
      </c>
      <c r="B4098" t="str">
        <f>"1578728401374660"</f>
        <v>1578728401374660</v>
      </c>
      <c r="C4098" t="s">
        <v>40</v>
      </c>
      <c r="D4098">
        <v>4.7997040000000002</v>
      </c>
      <c r="E4098">
        <v>0.48587959999999902</v>
      </c>
      <c r="F4098" t="s">
        <v>81</v>
      </c>
      <c r="G4098">
        <v>-224.65649999999999</v>
      </c>
      <c r="H4098" s="1">
        <v>-1.347269E-6</v>
      </c>
      <c r="I4098">
        <v>-59.336109999999998</v>
      </c>
      <c r="J4098">
        <v>-245.20869999999999</v>
      </c>
      <c r="K4098">
        <v>1.1038490000000001</v>
      </c>
      <c r="L4098">
        <v>-61.576450000000001</v>
      </c>
      <c r="M4098">
        <v>0.99959560000000003</v>
      </c>
      <c r="N4098">
        <v>0</v>
      </c>
      <c r="O4098">
        <v>-2.655037E-2</v>
      </c>
      <c r="P4098">
        <v>0.99640169999999995</v>
      </c>
      <c r="Q4098">
        <v>4.2578440000000002E-2</v>
      </c>
      <c r="R4098">
        <v>7.3286950000000003E-2</v>
      </c>
      <c r="S4098">
        <v>2.993973</v>
      </c>
      <c r="T4098">
        <v>-0.15917220000000001</v>
      </c>
      <c r="U4098">
        <v>0.322235099999999</v>
      </c>
      <c r="V4098">
        <v>-9.9701289999999998E-2</v>
      </c>
      <c r="W4098">
        <v>5.2745479999999997E-2</v>
      </c>
      <c r="X4098">
        <v>0.99361840000000001</v>
      </c>
      <c r="Y4098">
        <v>-0.1331484</v>
      </c>
      <c r="Z4098">
        <v>4.9336349999999996E-3</v>
      </c>
      <c r="AA4098">
        <v>0.99108390000000002</v>
      </c>
      <c r="AB4098">
        <v>40</v>
      </c>
      <c r="AC4098">
        <v>20.552199999999999</v>
      </c>
      <c r="AD4098">
        <v>-1.103850347269</v>
      </c>
      <c r="AE4098">
        <v>2.2403400000000002</v>
      </c>
      <c r="AF4098">
        <v>-2.7773292238435698</v>
      </c>
      <c r="AG4098">
        <v>-1.103850347269</v>
      </c>
      <c r="AH4098">
        <v>20.427234297125398</v>
      </c>
      <c r="AI4098">
        <v>93.065005456470701</v>
      </c>
      <c r="AJ4098">
        <v>97.742577225615307</v>
      </c>
      <c r="AK4098">
        <v>20.644707414648298</v>
      </c>
      <c r="AL4098">
        <v>86.976503499260701</v>
      </c>
      <c r="AM4098">
        <v>95.729972645188298</v>
      </c>
      <c r="AN4098">
        <v>0.99999997885332703</v>
      </c>
    </row>
    <row r="4099" spans="1:40" x14ac:dyDescent="0.3">
      <c r="A4099" t="str">
        <f>"20200111154001390"</f>
        <v>20200111154001390</v>
      </c>
      <c r="B4099" t="str">
        <f>"1578728401385396"</f>
        <v>1578728401385396</v>
      </c>
      <c r="C4099" t="s">
        <v>40</v>
      </c>
      <c r="D4099">
        <v>4.8007460000000002</v>
      </c>
      <c r="E4099">
        <v>0.48587439999999998</v>
      </c>
      <c r="F4099" t="s">
        <v>81</v>
      </c>
      <c r="G4099">
        <v>-224.4924</v>
      </c>
      <c r="H4099" s="1">
        <v>-1.2768739999999999E-6</v>
      </c>
      <c r="I4099">
        <v>-59.336129999999997</v>
      </c>
      <c r="J4099">
        <v>-244.99760000000001</v>
      </c>
      <c r="K4099">
        <v>1.103845</v>
      </c>
      <c r="L4099">
        <v>-61.582090000000001</v>
      </c>
      <c r="M4099">
        <v>0.99959370000000003</v>
      </c>
      <c r="N4099">
        <v>0</v>
      </c>
      <c r="O4099">
        <v>-2.661993E-2</v>
      </c>
      <c r="P4099">
        <v>0.99637869999999995</v>
      </c>
      <c r="Q4099">
        <v>4.2615590000000002E-2</v>
      </c>
      <c r="R4099">
        <v>7.3577399999999904E-2</v>
      </c>
      <c r="S4099">
        <v>2.9938349999999998</v>
      </c>
      <c r="T4099">
        <v>-0.159524</v>
      </c>
      <c r="U4099">
        <v>0.32376100000000002</v>
      </c>
      <c r="V4099">
        <v>-0.1000597</v>
      </c>
      <c r="W4099">
        <v>5.2784999999999999E-2</v>
      </c>
      <c r="X4099">
        <v>0.99358029999999997</v>
      </c>
      <c r="Y4099">
        <v>-0.13371959999999999</v>
      </c>
      <c r="Z4099">
        <v>4.9634759999999997E-3</v>
      </c>
      <c r="AA4099">
        <v>0.99100679999999997</v>
      </c>
      <c r="AB4099">
        <v>40</v>
      </c>
      <c r="AC4099">
        <v>20.505199999999999</v>
      </c>
      <c r="AD4099">
        <v>-1.1038462768740001</v>
      </c>
      <c r="AE4099">
        <v>2.24595999999999</v>
      </c>
      <c r="AF4099">
        <v>-2.7830697798888799</v>
      </c>
      <c r="AG4099">
        <v>-1.1038462768740001</v>
      </c>
      <c r="AH4099">
        <v>20.379783133336499</v>
      </c>
      <c r="AI4099">
        <v>93.071871499378204</v>
      </c>
      <c r="AJ4099">
        <v>97.776229347866206</v>
      </c>
      <c r="AK4099">
        <v>20.598531854589201</v>
      </c>
      <c r="AL4099">
        <v>86.974236093995799</v>
      </c>
      <c r="AM4099">
        <v>95.750652197953102</v>
      </c>
      <c r="AN4099">
        <v>1.0000000061685801</v>
      </c>
    </row>
    <row r="4100" spans="1:40" x14ac:dyDescent="0.3">
      <c r="A4100" t="str">
        <f>"20200111154001402"</f>
        <v>20200111154001402</v>
      </c>
      <c r="B4100" t="str">
        <f>"1578728401395155"</f>
        <v>1578728401395155</v>
      </c>
      <c r="C4100" t="s">
        <v>40</v>
      </c>
      <c r="D4100">
        <v>4.7938519999999896</v>
      </c>
      <c r="E4100">
        <v>0.4859115</v>
      </c>
      <c r="F4100" t="s">
        <v>81</v>
      </c>
      <c r="G4100">
        <v>-224.2955</v>
      </c>
      <c r="H4100" s="1">
        <v>-1.192147E-6</v>
      </c>
      <c r="I4100">
        <v>-59.337359999999997</v>
      </c>
      <c r="J4100">
        <v>-244.77690000000001</v>
      </c>
      <c r="K4100">
        <v>1.1038429999999999</v>
      </c>
      <c r="L4100">
        <v>-61.588009999999997</v>
      </c>
      <c r="M4100">
        <v>0.99959169999999997</v>
      </c>
      <c r="N4100">
        <v>0</v>
      </c>
      <c r="O4100">
        <v>-2.669258E-2</v>
      </c>
      <c r="P4100">
        <v>0.99633179999999999</v>
      </c>
      <c r="Q4100">
        <v>4.2779629999999999E-2</v>
      </c>
      <c r="R4100">
        <v>7.4115929999999997E-2</v>
      </c>
      <c r="S4100">
        <v>2.9937740000000002</v>
      </c>
      <c r="T4100">
        <v>-0.15962989999999999</v>
      </c>
      <c r="U4100">
        <v>0.3246155</v>
      </c>
      <c r="V4100">
        <v>-0.1006681</v>
      </c>
      <c r="W4100">
        <v>5.2950700000000003E-2</v>
      </c>
      <c r="X4100">
        <v>0.99351</v>
      </c>
      <c r="Y4100">
        <v>-0.13407249999999901</v>
      </c>
      <c r="Z4100">
        <v>4.9800280000000001E-3</v>
      </c>
      <c r="AA4100">
        <v>0.99095900000000003</v>
      </c>
      <c r="AB4100">
        <v>40</v>
      </c>
      <c r="AC4100">
        <v>20.481400000000001</v>
      </c>
      <c r="AD4100">
        <v>-1.1038441921469999</v>
      </c>
      <c r="AE4100">
        <v>2.2506499999999998</v>
      </c>
      <c r="AF4100">
        <v>-2.78857457088306</v>
      </c>
      <c r="AG4100">
        <v>-1.1038441921469999</v>
      </c>
      <c r="AH4100">
        <v>20.355601939597801</v>
      </c>
      <c r="AI4100">
        <v>93.075329583822494</v>
      </c>
      <c r="AJ4100">
        <v>97.800563496869401</v>
      </c>
      <c r="AK4100">
        <v>20.5753529850953</v>
      </c>
      <c r="AL4100">
        <v>86.964728812903004</v>
      </c>
      <c r="AM4100">
        <v>95.7857884061806</v>
      </c>
      <c r="AN4100">
        <v>0.99999998154404901</v>
      </c>
    </row>
    <row r="4101" spans="1:40" x14ac:dyDescent="0.3">
      <c r="A4101" t="str">
        <f>"20200111154001413"</f>
        <v>20200111154001413</v>
      </c>
      <c r="B4101" t="str">
        <f>"1578728401404916"</f>
        <v>1578728401404916</v>
      </c>
      <c r="C4101" t="s">
        <v>40</v>
      </c>
      <c r="D4101">
        <v>4.8168410000000002</v>
      </c>
      <c r="E4101">
        <v>0.48592669999999999</v>
      </c>
      <c r="F4101" t="s">
        <v>81</v>
      </c>
      <c r="G4101">
        <v>-224.0513</v>
      </c>
      <c r="H4101" s="1">
        <v>-1.088623E-6</v>
      </c>
      <c r="I4101">
        <v>-59.331769999999999</v>
      </c>
      <c r="J4101">
        <v>-244.57040000000001</v>
      </c>
      <c r="K4101">
        <v>1.103839</v>
      </c>
      <c r="L4101">
        <v>-61.5935699999999</v>
      </c>
      <c r="M4101">
        <v>0.99958990000000003</v>
      </c>
      <c r="N4101">
        <v>0</v>
      </c>
      <c r="O4101">
        <v>-2.6760450000000002E-2</v>
      </c>
      <c r="P4101">
        <v>0.99630629999999998</v>
      </c>
      <c r="Q4101">
        <v>4.265443E-2</v>
      </c>
      <c r="R4101">
        <v>7.4528739999999996E-2</v>
      </c>
      <c r="S4101">
        <v>2.993668</v>
      </c>
      <c r="T4101">
        <v>-0.15944239999999901</v>
      </c>
      <c r="U4101">
        <v>0.3258972</v>
      </c>
      <c r="V4101">
        <v>-0.10114720000000001</v>
      </c>
      <c r="W4101">
        <v>5.2827850000000003E-2</v>
      </c>
      <c r="X4101">
        <v>0.99346789999999996</v>
      </c>
      <c r="Y4101">
        <v>-0.1345626</v>
      </c>
      <c r="Z4101">
        <v>4.9908590000000003E-3</v>
      </c>
      <c r="AA4101">
        <v>0.99089249999999995</v>
      </c>
      <c r="AB4101">
        <v>40</v>
      </c>
      <c r="AC4101">
        <v>20.519100000000002</v>
      </c>
      <c r="AD4101">
        <v>-1.103840088623</v>
      </c>
      <c r="AE4101">
        <v>2.2617999999999898</v>
      </c>
      <c r="AF4101">
        <v>-2.8021068924077399</v>
      </c>
      <c r="AG4101">
        <v>-1.103840088623</v>
      </c>
      <c r="AH4101">
        <v>20.392912667460699</v>
      </c>
      <c r="AI4101">
        <v>93.069531994547702</v>
      </c>
      <c r="AJ4101">
        <v>97.8237859827981</v>
      </c>
      <c r="AK4101">
        <v>20.614100830266899</v>
      </c>
      <c r="AL4101">
        <v>86.971777530202203</v>
      </c>
      <c r="AM4101">
        <v>95.8133806725494</v>
      </c>
      <c r="AN4101">
        <v>1.00000000306693</v>
      </c>
    </row>
    <row r="4102" spans="1:40" x14ac:dyDescent="0.3">
      <c r="A4102" t="str">
        <f>"20200111154001426"</f>
        <v>20200111154001426</v>
      </c>
      <c r="B4102" t="str">
        <f>"1578728401415652"</f>
        <v>1578728401415652</v>
      </c>
      <c r="C4102" t="s">
        <v>40</v>
      </c>
      <c r="D4102">
        <v>4.8071780000000004</v>
      </c>
      <c r="E4102">
        <v>0.48593789999999998</v>
      </c>
      <c r="F4102" t="s">
        <v>81</v>
      </c>
      <c r="G4102">
        <v>-223.8914</v>
      </c>
      <c r="H4102" s="1">
        <v>-1.0193799999999901E-6</v>
      </c>
      <c r="I4102">
        <v>-59.334670000000003</v>
      </c>
      <c r="J4102">
        <v>-244.36429999999999</v>
      </c>
      <c r="K4102">
        <v>1.103836</v>
      </c>
      <c r="L4102">
        <v>-61.599150000000002</v>
      </c>
      <c r="M4102">
        <v>0.99958809999999998</v>
      </c>
      <c r="N4102">
        <v>0</v>
      </c>
      <c r="O4102">
        <v>-2.682797E-2</v>
      </c>
      <c r="P4102">
        <v>0.99628649999999996</v>
      </c>
      <c r="Q4102">
        <v>4.2575830000000002E-2</v>
      </c>
      <c r="R4102">
        <v>7.4837559999999997E-2</v>
      </c>
      <c r="S4102">
        <v>2.993484</v>
      </c>
      <c r="T4102">
        <v>-0.1597915</v>
      </c>
      <c r="U4102">
        <v>0.3269958</v>
      </c>
      <c r="V4102">
        <v>-0.1015224</v>
      </c>
      <c r="W4102">
        <v>5.2751190000000003E-2</v>
      </c>
      <c r="X4102">
        <v>0.99343369999999998</v>
      </c>
      <c r="Y4102">
        <v>-0.13499369999999999</v>
      </c>
      <c r="Z4102">
        <v>5.0170320000000003E-3</v>
      </c>
      <c r="AA4102">
        <v>0.99083379999999999</v>
      </c>
      <c r="AB4102">
        <v>40</v>
      </c>
      <c r="AC4102">
        <v>20.4728999999999</v>
      </c>
      <c r="AD4102">
        <v>-1.10383701938</v>
      </c>
      <c r="AE4102">
        <v>2.2644799999999998</v>
      </c>
      <c r="AF4102">
        <v>-2.8048843674074999</v>
      </c>
      <c r="AG4102">
        <v>-1.10383701938</v>
      </c>
      <c r="AH4102">
        <v>20.3463429945831</v>
      </c>
      <c r="AI4102">
        <v>93.076348610612996</v>
      </c>
      <c r="AJ4102">
        <v>97.849146615398695</v>
      </c>
      <c r="AK4102">
        <v>20.568410384205698</v>
      </c>
      <c r="AL4102">
        <v>86.9761759513557</v>
      </c>
      <c r="AM4102">
        <v>95.834996062316094</v>
      </c>
      <c r="AN4102">
        <v>1.0000000010219301</v>
      </c>
    </row>
    <row r="4103" spans="1:40" x14ac:dyDescent="0.3">
      <c r="A4103" t="str">
        <f>"20200111154001442"</f>
        <v>20200111154001442</v>
      </c>
      <c r="B4103" t="str">
        <f>"1578728401434702"</f>
        <v>1578728401434702</v>
      </c>
      <c r="C4103" t="s">
        <v>40</v>
      </c>
      <c r="D4103">
        <v>4.8204630000000002</v>
      </c>
      <c r="E4103">
        <v>0.4859752</v>
      </c>
      <c r="F4103" t="s">
        <v>81</v>
      </c>
      <c r="G4103">
        <v>-223.7353</v>
      </c>
      <c r="H4103" s="1">
        <v>-9.5132339999999997E-7</v>
      </c>
      <c r="I4103">
        <v>-59.339550000000003</v>
      </c>
      <c r="J4103">
        <v>-244.0821</v>
      </c>
      <c r="K4103">
        <v>1.103831</v>
      </c>
      <c r="L4103">
        <v>-61.606780000000001</v>
      </c>
      <c r="M4103">
        <v>0.99958559999999996</v>
      </c>
      <c r="N4103">
        <v>0</v>
      </c>
      <c r="O4103">
        <v>-2.6920400000000001E-2</v>
      </c>
      <c r="P4103">
        <v>0.99620810000000004</v>
      </c>
      <c r="Q4103">
        <v>4.2323E-2</v>
      </c>
      <c r="R4103">
        <v>7.601666E-2</v>
      </c>
      <c r="S4103">
        <v>2.9933930000000002</v>
      </c>
      <c r="T4103">
        <v>-0.16017290000000001</v>
      </c>
      <c r="U4103">
        <v>0.32788089999999998</v>
      </c>
      <c r="V4103">
        <v>-0.1027908</v>
      </c>
      <c r="W4103">
        <v>5.2500720000000001E-2</v>
      </c>
      <c r="X4103">
        <v>0.99331650000000005</v>
      </c>
      <c r="Y4103">
        <v>-0.1353763</v>
      </c>
      <c r="Z4103">
        <v>5.0441940000000001E-3</v>
      </c>
      <c r="AA4103">
        <v>0.99078140000000003</v>
      </c>
      <c r="AB4103">
        <v>40</v>
      </c>
      <c r="AC4103">
        <v>20.346800000000002</v>
      </c>
      <c r="AD4103">
        <v>-1.1038319513233901</v>
      </c>
      <c r="AE4103">
        <v>2.2672300000000001</v>
      </c>
      <c r="AF4103">
        <v>-2.8060233962666601</v>
      </c>
      <c r="AG4103">
        <v>-1.1038319513233901</v>
      </c>
      <c r="AH4103">
        <v>20.219607565665299</v>
      </c>
      <c r="AI4103">
        <v>93.095193509153702</v>
      </c>
      <c r="AJ4103">
        <v>97.900892400523105</v>
      </c>
      <c r="AK4103">
        <v>20.443207732316999</v>
      </c>
      <c r="AL4103">
        <v>86.9905466505368</v>
      </c>
      <c r="AM4103">
        <v>95.908076979395801</v>
      </c>
      <c r="AN4103">
        <v>0.99999997166870302</v>
      </c>
    </row>
    <row r="4104" spans="1:40" x14ac:dyDescent="0.3">
      <c r="A4104" t="str">
        <f>"20200111154001453"</f>
        <v>20200111154001453</v>
      </c>
      <c r="B4104" t="str">
        <f>"1578728401445439"</f>
        <v>1578728401445439</v>
      </c>
      <c r="C4104" t="s">
        <v>40</v>
      </c>
      <c r="D4104">
        <v>4.81602</v>
      </c>
      <c r="E4104">
        <v>0.48607</v>
      </c>
      <c r="F4104" t="s">
        <v>81</v>
      </c>
      <c r="G4104">
        <v>-223.56569999999999</v>
      </c>
      <c r="H4104" s="1">
        <v>-8.7871459999999997E-7</v>
      </c>
      <c r="I4104">
        <v>-59.338920000000002</v>
      </c>
      <c r="J4104">
        <v>-243.881</v>
      </c>
      <c r="K4104">
        <v>1.103826</v>
      </c>
      <c r="L4104">
        <v>-61.61224</v>
      </c>
      <c r="M4104">
        <v>0.99958380000000002</v>
      </c>
      <c r="N4104">
        <v>0</v>
      </c>
      <c r="O4104">
        <v>-2.6986E-2</v>
      </c>
      <c r="P4104">
        <v>0.99616709999999997</v>
      </c>
      <c r="Q4104">
        <v>4.1886239999999998E-2</v>
      </c>
      <c r="R4104">
        <v>7.6791440000000002E-2</v>
      </c>
      <c r="S4104">
        <v>2.9929809999999999</v>
      </c>
      <c r="T4104">
        <v>-0.1610299</v>
      </c>
      <c r="U4104">
        <v>0.330841099999999</v>
      </c>
      <c r="V4104">
        <v>-0.1036291</v>
      </c>
      <c r="W4104">
        <v>5.2065970000000003E-2</v>
      </c>
      <c r="X4104">
        <v>0.99325229999999998</v>
      </c>
      <c r="Y4104">
        <v>-0.13642009999999999</v>
      </c>
      <c r="Z4104">
        <v>5.1030609999999999E-3</v>
      </c>
      <c r="AA4104">
        <v>0.99063800000000002</v>
      </c>
      <c r="AB4104">
        <v>40</v>
      </c>
      <c r="AC4104">
        <v>20.315299999999901</v>
      </c>
      <c r="AD4104">
        <v>-1.1038268787145999</v>
      </c>
      <c r="AE4104">
        <v>2.27332</v>
      </c>
      <c r="AF4104">
        <v>-2.8125484870212198</v>
      </c>
      <c r="AG4104">
        <v>-1.1038268787145999</v>
      </c>
      <c r="AH4104">
        <v>20.187687288090299</v>
      </c>
      <c r="AI4104">
        <v>93.099834773670494</v>
      </c>
      <c r="AJ4104">
        <v>97.931394365287005</v>
      </c>
      <c r="AK4104">
        <v>20.412534894317801</v>
      </c>
      <c r="AL4104">
        <v>87.015490172281403</v>
      </c>
      <c r="AM4104">
        <v>95.956296941613601</v>
      </c>
      <c r="AN4104">
        <v>0.99999999352707003</v>
      </c>
    </row>
    <row r="4105" spans="1:40" x14ac:dyDescent="0.3">
      <c r="A4105" t="str">
        <f>"20200111154001463"</f>
        <v>20200111154001463</v>
      </c>
      <c r="B4105" t="str">
        <f>"1578728401455199"</f>
        <v>1578728401455199</v>
      </c>
      <c r="C4105" t="s">
        <v>40</v>
      </c>
      <c r="D4105">
        <v>4.7974809999999897</v>
      </c>
      <c r="E4105">
        <v>0.4861027</v>
      </c>
      <c r="F4105" t="s">
        <v>81</v>
      </c>
      <c r="G4105">
        <v>-223.53229999999999</v>
      </c>
      <c r="H4105" s="1">
        <v>-8.6132120000000005E-7</v>
      </c>
      <c r="I4105">
        <v>-59.352800000000002</v>
      </c>
      <c r="J4105">
        <v>-243.6858</v>
      </c>
      <c r="K4105">
        <v>1.1038159999999999</v>
      </c>
      <c r="L4105">
        <v>-61.617550000000001</v>
      </c>
      <c r="M4105">
        <v>0.99958210000000003</v>
      </c>
      <c r="N4105">
        <v>0</v>
      </c>
      <c r="O4105">
        <v>-2.7049810000000001E-2</v>
      </c>
      <c r="P4105">
        <v>0.99614139999999995</v>
      </c>
      <c r="Q4105">
        <v>4.1563469999999998E-2</v>
      </c>
      <c r="R4105">
        <v>7.7299469999999995E-2</v>
      </c>
      <c r="S4105">
        <v>2.9927670000000002</v>
      </c>
      <c r="T4105">
        <v>-0.16234470000000001</v>
      </c>
      <c r="U4105">
        <v>0.33230589999999999</v>
      </c>
      <c r="V4105">
        <v>-0.10419970000000001</v>
      </c>
      <c r="W4105">
        <v>5.1744539999999999E-2</v>
      </c>
      <c r="X4105">
        <v>0.99320940000000002</v>
      </c>
      <c r="Y4105">
        <v>-0.13696529999999901</v>
      </c>
      <c r="Z4105">
        <v>5.1630770000000003E-3</v>
      </c>
      <c r="AA4105">
        <v>0.99056239999999995</v>
      </c>
      <c r="AB4105">
        <v>40</v>
      </c>
      <c r="AC4105">
        <v>20.153500000000001</v>
      </c>
      <c r="AD4105">
        <v>-1.1038168613211901</v>
      </c>
      <c r="AE4105">
        <v>2.2647499999999998</v>
      </c>
      <c r="AF4105">
        <v>-2.8008008090246999</v>
      </c>
      <c r="AG4105">
        <v>-1.1038168613211901</v>
      </c>
      <c r="AH4105">
        <v>20.025536995415699</v>
      </c>
      <c r="AI4105">
        <v>93.124625627623502</v>
      </c>
      <c r="AJ4105">
        <v>97.961824987240902</v>
      </c>
      <c r="AK4105">
        <v>20.250556258778001</v>
      </c>
      <c r="AL4105">
        <v>87.033931613839698</v>
      </c>
      <c r="AM4105">
        <v>95.989112443348901</v>
      </c>
      <c r="AN4105">
        <v>0.99999999357413005</v>
      </c>
    </row>
    <row r="4106" spans="1:40" x14ac:dyDescent="0.3">
      <c r="A4106" t="str">
        <f>"20200111154001477"</f>
        <v>20200111154001477</v>
      </c>
      <c r="B4106" t="str">
        <f>"1578728401464959"</f>
        <v>1578728401464959</v>
      </c>
      <c r="C4106" t="s">
        <v>40</v>
      </c>
      <c r="D4106">
        <v>4.76694</v>
      </c>
      <c r="E4106">
        <v>0.48609380000000002</v>
      </c>
      <c r="F4106" t="s">
        <v>81</v>
      </c>
      <c r="G4106">
        <v>-223.49369999999999</v>
      </c>
      <c r="H4106" s="1">
        <v>-8.4145479999999995E-7</v>
      </c>
      <c r="I4106">
        <v>-59.367730000000002</v>
      </c>
      <c r="J4106">
        <v>-243.4546</v>
      </c>
      <c r="K4106">
        <v>1.1038129999999999</v>
      </c>
      <c r="L4106">
        <v>-61.623840000000001</v>
      </c>
      <c r="M4106">
        <v>0.99957989999999997</v>
      </c>
      <c r="N4106">
        <v>0</v>
      </c>
      <c r="O4106">
        <v>-2.7124949999999998E-2</v>
      </c>
      <c r="P4106">
        <v>0.99610050000000006</v>
      </c>
      <c r="Q4106">
        <v>4.1356810000000001E-2</v>
      </c>
      <c r="R4106">
        <v>7.7932039999999994E-2</v>
      </c>
      <c r="S4106">
        <v>2.992569</v>
      </c>
      <c r="T4106">
        <v>-0.16359119999999999</v>
      </c>
      <c r="U4106">
        <v>0.33343509999999998</v>
      </c>
      <c r="V4106">
        <v>-0.1049055</v>
      </c>
      <c r="W4106">
        <v>5.1540250000000003E-2</v>
      </c>
      <c r="X4106">
        <v>0.99314579999999997</v>
      </c>
      <c r="Y4106">
        <v>-0.1374117</v>
      </c>
      <c r="Z4106">
        <v>5.2191470000000004E-3</v>
      </c>
      <c r="AA4106">
        <v>0.9905003</v>
      </c>
      <c r="AB4106">
        <v>40</v>
      </c>
      <c r="AC4106">
        <v>19.960899999999999</v>
      </c>
      <c r="AD4106">
        <v>-1.1038138414548</v>
      </c>
      <c r="AE4106">
        <v>2.2561100000000001</v>
      </c>
      <c r="AF4106">
        <v>-2.78832738826212</v>
      </c>
      <c r="AG4106">
        <v>-1.1038138414548</v>
      </c>
      <c r="AH4106">
        <v>19.832472709203799</v>
      </c>
      <c r="AI4106">
        <v>93.154656133061295</v>
      </c>
      <c r="AJ4106">
        <v>98.002989164266495</v>
      </c>
      <c r="AK4106">
        <v>20.057919841848801</v>
      </c>
      <c r="AL4106">
        <v>87.045652436206495</v>
      </c>
      <c r="AM4106">
        <v>96.029765321796702</v>
      </c>
      <c r="AN4106">
        <v>1.00000007067897</v>
      </c>
    </row>
    <row r="4107" spans="1:40" x14ac:dyDescent="0.3">
      <c r="A4107" t="str">
        <f>"20200111154001489"</f>
        <v>20200111154001489</v>
      </c>
      <c r="B4107" t="str">
        <f>"1578728401485455"</f>
        <v>1578728401485455</v>
      </c>
      <c r="C4107" t="s">
        <v>40</v>
      </c>
      <c r="D4107">
        <v>4.8035779999999999</v>
      </c>
      <c r="E4107">
        <v>0.48626809999999998</v>
      </c>
      <c r="F4107" t="s">
        <v>81</v>
      </c>
      <c r="G4107">
        <v>-223.44900000000001</v>
      </c>
      <c r="H4107" s="1">
        <v>-8.1906030000000001E-7</v>
      </c>
      <c r="I4107">
        <v>-59.382190000000001</v>
      </c>
      <c r="J4107">
        <v>-243.22890000000001</v>
      </c>
      <c r="K4107">
        <v>1.103812</v>
      </c>
      <c r="L4107">
        <v>-61.630070000000003</v>
      </c>
      <c r="M4107">
        <v>0.99957779999999996</v>
      </c>
      <c r="N4107">
        <v>0</v>
      </c>
      <c r="O4107">
        <v>-2.719866E-2</v>
      </c>
      <c r="P4107">
        <v>0.99606719999999904</v>
      </c>
      <c r="Q4107">
        <v>4.1146490000000001E-2</v>
      </c>
      <c r="R4107">
        <v>7.8466380000000002E-2</v>
      </c>
      <c r="S4107">
        <v>2.9923709999999999</v>
      </c>
      <c r="T4107">
        <v>-0.16510429999999901</v>
      </c>
      <c r="U4107">
        <v>0.3352966</v>
      </c>
      <c r="V4107">
        <v>-0.1055122</v>
      </c>
      <c r="W4107">
        <v>5.1334520000000002E-2</v>
      </c>
      <c r="X4107">
        <v>0.99309210000000003</v>
      </c>
      <c r="Y4107">
        <v>-0.13809489999999999</v>
      </c>
      <c r="Z4107">
        <v>5.2903430000000003E-3</v>
      </c>
      <c r="AA4107">
        <v>0.99040479999999997</v>
      </c>
      <c r="AB4107">
        <v>40</v>
      </c>
      <c r="AC4107">
        <v>19.779900000000001</v>
      </c>
      <c r="AD4107">
        <v>-1.1038128190603</v>
      </c>
      <c r="AE4107">
        <v>2.2478799999999901</v>
      </c>
      <c r="AF4107">
        <v>-2.7765268439872299</v>
      </c>
      <c r="AG4107">
        <v>-1.1038128190603</v>
      </c>
      <c r="AH4107">
        <v>19.651022712092502</v>
      </c>
      <c r="AI4107">
        <v>93.183416100522294</v>
      </c>
      <c r="AJ4107">
        <v>98.042185004120995</v>
      </c>
      <c r="AK4107">
        <v>19.876875953883602</v>
      </c>
      <c r="AL4107">
        <v>87.057455277832204</v>
      </c>
      <c r="AM4107">
        <v>96.064703621871402</v>
      </c>
      <c r="AN4107">
        <v>0.99999998818743996</v>
      </c>
    </row>
    <row r="4108" spans="1:40" x14ac:dyDescent="0.3">
      <c r="A4108" t="str">
        <f>"20200111154001502"</f>
        <v>20200111154001502</v>
      </c>
      <c r="B4108" t="str">
        <f>"1578728401495215"</f>
        <v>1578728401495215</v>
      </c>
      <c r="C4108" t="s">
        <v>40</v>
      </c>
      <c r="D4108">
        <v>4.8003739999999997</v>
      </c>
      <c r="E4108">
        <v>0.48636020000000002</v>
      </c>
      <c r="F4108" t="s">
        <v>81</v>
      </c>
      <c r="G4108">
        <v>-223.285</v>
      </c>
      <c r="H4108" s="1">
        <v>-7.4609299999999996E-7</v>
      </c>
      <c r="I4108">
        <v>-59.394039999999997</v>
      </c>
      <c r="J4108">
        <v>-243.02029999999999</v>
      </c>
      <c r="K4108">
        <v>1.103812</v>
      </c>
      <c r="L4108">
        <v>-61.635770000000001</v>
      </c>
      <c r="M4108">
        <v>0.99957609999999997</v>
      </c>
      <c r="N4108">
        <v>0</v>
      </c>
      <c r="O4108">
        <v>-2.7266889999999998E-2</v>
      </c>
      <c r="P4108">
        <v>0.99599369999999998</v>
      </c>
      <c r="Q4108">
        <v>4.1212930000000002E-2</v>
      </c>
      <c r="R4108">
        <v>7.9361890000000004E-2</v>
      </c>
      <c r="S4108">
        <v>2.9922490000000002</v>
      </c>
      <c r="T4108">
        <v>-0.1656089</v>
      </c>
      <c r="U4108">
        <v>0.33547969999999999</v>
      </c>
      <c r="V4108">
        <v>-0.1064726</v>
      </c>
      <c r="W4108">
        <v>5.1405470000000002E-2</v>
      </c>
      <c r="X4108">
        <v>0.99298589999999998</v>
      </c>
      <c r="Y4108">
        <v>-0.13822490000000001</v>
      </c>
      <c r="Z4108">
        <v>5.3140349999999999E-3</v>
      </c>
      <c r="AA4108">
        <v>0.99038660000000001</v>
      </c>
      <c r="AB4108">
        <v>40</v>
      </c>
      <c r="AC4108">
        <v>19.735299999999899</v>
      </c>
      <c r="AD4108">
        <v>-1.1038127460930001</v>
      </c>
      <c r="AE4108">
        <v>2.2417299999999898</v>
      </c>
      <c r="AF4108">
        <v>-2.7704882721900899</v>
      </c>
      <c r="AG4108">
        <v>-1.1038127460930001</v>
      </c>
      <c r="AH4108">
        <v>19.606280920929201</v>
      </c>
      <c r="AI4108">
        <v>93.190659126418197</v>
      </c>
      <c r="AJ4108">
        <v>98.042996040479593</v>
      </c>
      <c r="AK4108">
        <v>19.831799197127101</v>
      </c>
      <c r="AL4108">
        <v>87.053384706136896</v>
      </c>
      <c r="AM4108">
        <v>96.120138687754604</v>
      </c>
      <c r="AN4108">
        <v>0.99999996724774398</v>
      </c>
    </row>
    <row r="4109" spans="1:40" x14ac:dyDescent="0.3">
      <c r="A4109" t="str">
        <f>"20200111154001516"</f>
        <v>20200111154001516</v>
      </c>
      <c r="B4109" t="str">
        <f>"1578728401504975"</f>
        <v>1578728401504975</v>
      </c>
      <c r="C4109" t="s">
        <v>40</v>
      </c>
      <c r="D4109">
        <v>4.8723460000000003</v>
      </c>
      <c r="E4109">
        <v>0.48625629999999997</v>
      </c>
      <c r="F4109" t="s">
        <v>81</v>
      </c>
      <c r="G4109">
        <v>-223.04509999999999</v>
      </c>
      <c r="H4109" s="1">
        <v>-6.4554599999999905E-7</v>
      </c>
      <c r="I4109">
        <v>-59.38344</v>
      </c>
      <c r="J4109">
        <v>-242.7627</v>
      </c>
      <c r="K4109">
        <v>1.103812</v>
      </c>
      <c r="L4109">
        <v>-61.642850000000003</v>
      </c>
      <c r="M4109">
        <v>0.99957359999999995</v>
      </c>
      <c r="N4109">
        <v>0</v>
      </c>
      <c r="O4109">
        <v>-2.735098E-2</v>
      </c>
      <c r="P4109">
        <v>0.99592760000000002</v>
      </c>
      <c r="Q4109">
        <v>4.107359E-2</v>
      </c>
      <c r="R4109">
        <v>8.0257529999999994E-2</v>
      </c>
      <c r="S4109">
        <v>2.992035</v>
      </c>
      <c r="T4109">
        <v>-0.1653374</v>
      </c>
      <c r="U4109">
        <v>0.3373718</v>
      </c>
      <c r="V4109">
        <v>-0.1074497</v>
      </c>
      <c r="W4109">
        <v>5.127309E-2</v>
      </c>
      <c r="X4109">
        <v>0.99288759999999998</v>
      </c>
      <c r="Y4109">
        <v>-0.13893420000000001</v>
      </c>
      <c r="Z4109">
        <v>5.3296790000000004E-3</v>
      </c>
      <c r="AA4109">
        <v>0.99028729999999998</v>
      </c>
      <c r="AB4109">
        <v>40</v>
      </c>
      <c r="AC4109">
        <v>19.717600000000001</v>
      </c>
      <c r="AD4109">
        <v>-1.103812645546</v>
      </c>
      <c r="AE4109">
        <v>2.2594099999999999</v>
      </c>
      <c r="AF4109">
        <v>-2.7892605990249502</v>
      </c>
      <c r="AG4109">
        <v>-1.103812645546</v>
      </c>
      <c r="AH4109">
        <v>19.587832038796101</v>
      </c>
      <c r="AI4109">
        <v>93.193174088697106</v>
      </c>
      <c r="AJ4109">
        <v>98.104298365733499</v>
      </c>
      <c r="AK4109">
        <v>19.816193908665401</v>
      </c>
      <c r="AL4109">
        <v>87.060979860097504</v>
      </c>
      <c r="AM4109">
        <v>96.176477892204502</v>
      </c>
      <c r="AN4109">
        <v>1.00000007701099</v>
      </c>
    </row>
    <row r="4110" spans="1:40" x14ac:dyDescent="0.3">
      <c r="A4110" t="str">
        <f>"20200111154001531"</f>
        <v>20200111154001531</v>
      </c>
      <c r="B4110" t="str">
        <f>"1578728401525470"</f>
        <v>1578728401525470</v>
      </c>
      <c r="C4110" t="s">
        <v>40</v>
      </c>
      <c r="D4110">
        <v>4.8333599999999999</v>
      </c>
      <c r="E4110">
        <v>0.46123730000000002</v>
      </c>
      <c r="F4110" t="s">
        <v>81</v>
      </c>
      <c r="G4110">
        <v>-222.852</v>
      </c>
      <c r="H4110" s="1">
        <v>-5.6474369999999904E-7</v>
      </c>
      <c r="I4110">
        <v>-59.374130000000001</v>
      </c>
      <c r="J4110">
        <v>-242.4802</v>
      </c>
      <c r="K4110">
        <v>1.103817</v>
      </c>
      <c r="L4110">
        <v>-61.650669999999998</v>
      </c>
      <c r="M4110">
        <v>0.99957090000000004</v>
      </c>
      <c r="N4110">
        <v>0</v>
      </c>
      <c r="O4110">
        <v>-2.744332E-2</v>
      </c>
      <c r="P4110">
        <v>0.99574799999999997</v>
      </c>
      <c r="Q4110">
        <v>4.1151670000000001E-2</v>
      </c>
      <c r="R4110">
        <v>8.2417089999999998E-2</v>
      </c>
      <c r="S4110">
        <v>2.991638</v>
      </c>
      <c r="T4110">
        <v>-0.16585079999999999</v>
      </c>
      <c r="U4110">
        <v>0.3408813</v>
      </c>
      <c r="V4110">
        <v>-0.109694899999999</v>
      </c>
      <c r="W4110">
        <v>5.1361669999999998E-2</v>
      </c>
      <c r="X4110">
        <v>0.9926374</v>
      </c>
      <c r="Y4110">
        <v>-0.14018349999999999</v>
      </c>
      <c r="Z4110">
        <v>5.3861539999999998E-3</v>
      </c>
      <c r="AA4110">
        <v>0.99011090000000002</v>
      </c>
      <c r="AB4110">
        <v>40</v>
      </c>
      <c r="AC4110">
        <v>19.6282</v>
      </c>
      <c r="AD4110">
        <v>-1.1038175647436901</v>
      </c>
      <c r="AE4110">
        <v>2.27653999999999</v>
      </c>
      <c r="AF4110">
        <v>-2.8056186411700099</v>
      </c>
      <c r="AG4110">
        <v>-1.1038175647436901</v>
      </c>
      <c r="AH4110">
        <v>19.4974846142917</v>
      </c>
      <c r="AI4110">
        <v>93.207281075806407</v>
      </c>
      <c r="AJ4110">
        <v>98.188450284113003</v>
      </c>
      <c r="AK4110">
        <v>19.729212236185699</v>
      </c>
      <c r="AL4110">
        <v>87.055897677563195</v>
      </c>
      <c r="AM4110">
        <v>96.306085186533494</v>
      </c>
      <c r="AN4110">
        <v>1.00000000005497</v>
      </c>
    </row>
    <row r="4111" spans="1:40" x14ac:dyDescent="0.3">
      <c r="A4111" t="str">
        <f>"20200111154001544"</f>
        <v>20200111154001544</v>
      </c>
      <c r="B4111" t="str">
        <f>"1578728401534764"</f>
        <v>1578728401534764</v>
      </c>
      <c r="C4111" t="s">
        <v>40</v>
      </c>
      <c r="D4111">
        <v>4.7788000000000004</v>
      </c>
      <c r="E4111">
        <v>0.45417410000000003</v>
      </c>
      <c r="F4111" t="s">
        <v>81</v>
      </c>
      <c r="G4111">
        <v>-223.54830000000001</v>
      </c>
      <c r="H4111" s="1">
        <v>-1.128726E-6</v>
      </c>
      <c r="I4111">
        <v>-58.174329999999998</v>
      </c>
      <c r="J4111">
        <v>-242.26990000000001</v>
      </c>
      <c r="K4111">
        <v>1.103818</v>
      </c>
      <c r="L4111">
        <v>-61.656489999999998</v>
      </c>
      <c r="M4111">
        <v>0.99956889999999998</v>
      </c>
      <c r="N4111">
        <v>0</v>
      </c>
      <c r="O4111">
        <v>-2.7512160000000001E-2</v>
      </c>
      <c r="P4111">
        <v>0.99566500000000002</v>
      </c>
      <c r="Q4111">
        <v>4.1071299999999998E-2</v>
      </c>
      <c r="R4111">
        <v>8.3454299999999995E-2</v>
      </c>
      <c r="S4111">
        <v>2.9747620000000001</v>
      </c>
      <c r="T4111">
        <v>-0.17344219999999999</v>
      </c>
      <c r="U4111">
        <v>0.54623409999999994</v>
      </c>
      <c r="V4111">
        <v>-0.1107976</v>
      </c>
      <c r="W4111">
        <v>5.1289759999999997E-2</v>
      </c>
      <c r="X4111">
        <v>0.99251869999999998</v>
      </c>
      <c r="Y4111">
        <v>-0.20721000000000001</v>
      </c>
      <c r="Z4111">
        <v>7.5760119999999896E-3</v>
      </c>
      <c r="AA4111">
        <v>0.97826709999999995</v>
      </c>
      <c r="AB4111">
        <v>40</v>
      </c>
      <c r="AC4111">
        <v>18.721599999999899</v>
      </c>
      <c r="AD4111">
        <v>-1.103819128726</v>
      </c>
      <c r="AE4111">
        <v>3.4821599999999999</v>
      </c>
      <c r="AF4111">
        <v>-3.9825590698798901</v>
      </c>
      <c r="AG4111">
        <v>-1.103819128726</v>
      </c>
      <c r="AH4111">
        <v>18.5563563664833</v>
      </c>
      <c r="AI4111">
        <v>93.328589550868301</v>
      </c>
      <c r="AJ4111">
        <v>102.11305000816699</v>
      </c>
      <c r="AK4111">
        <v>19.010985114242501</v>
      </c>
      <c r="AL4111">
        <v>87.060023427424099</v>
      </c>
      <c r="AM4111">
        <v>96.369713737049395</v>
      </c>
      <c r="AN4111">
        <v>1.0000000587481499</v>
      </c>
    </row>
    <row r="4112" spans="1:40" x14ac:dyDescent="0.3">
      <c r="A4112" t="str">
        <f>"20200111154001565"</f>
        <v>20200111154001565</v>
      </c>
      <c r="B4112" t="str">
        <f>"1578728401555259"</f>
        <v>1578728401555259</v>
      </c>
      <c r="C4112" t="s">
        <v>40</v>
      </c>
      <c r="D4112">
        <v>4.7756160000000003</v>
      </c>
      <c r="E4112">
        <v>0.4475671</v>
      </c>
      <c r="F4112" t="s">
        <v>81</v>
      </c>
      <c r="G4112">
        <v>-222.20480000000001</v>
      </c>
      <c r="H4112" s="1">
        <v>-7.4648980000000003E-7</v>
      </c>
      <c r="I4112">
        <v>-57.561109999999999</v>
      </c>
      <c r="J4112">
        <v>-241.89279999999999</v>
      </c>
      <c r="K4112">
        <v>1.1038239999999999</v>
      </c>
      <c r="L4112">
        <v>-61.666960000000003</v>
      </c>
      <c r="M4112">
        <v>0.99956540000000005</v>
      </c>
      <c r="N4112">
        <v>0</v>
      </c>
      <c r="O4112">
        <v>-2.7635659999999999E-2</v>
      </c>
      <c r="P4112">
        <v>0.99548159999999997</v>
      </c>
      <c r="Q4112">
        <v>4.1169949999999997E-2</v>
      </c>
      <c r="R4112">
        <v>8.556851E-2</v>
      </c>
      <c r="S4112">
        <v>2.9689939999999999</v>
      </c>
      <c r="T4112">
        <v>-0.16333029999999901</v>
      </c>
      <c r="U4112">
        <v>0.60598750000000001</v>
      </c>
      <c r="V4112">
        <v>-0.11302860000000001</v>
      </c>
      <c r="W4112">
        <v>5.1408339999999997E-2</v>
      </c>
      <c r="X4112">
        <v>0.9922609</v>
      </c>
      <c r="Y4112">
        <v>-0.22661519999999999</v>
      </c>
      <c r="Z4112">
        <v>7.6698199999999999E-3</v>
      </c>
      <c r="AA4112">
        <v>0.97395419999999999</v>
      </c>
      <c r="AB4112">
        <v>40</v>
      </c>
      <c r="AC4112">
        <v>19.687999999999899</v>
      </c>
      <c r="AD4112">
        <v>-1.1038247464897999</v>
      </c>
      <c r="AE4112">
        <v>4.1058499999999896</v>
      </c>
      <c r="AF4112">
        <v>-4.6344405274595797</v>
      </c>
      <c r="AG4112">
        <v>-1.1038247464897999</v>
      </c>
      <c r="AH4112">
        <v>19.5082397486952</v>
      </c>
      <c r="AI4112">
        <v>93.150974418620905</v>
      </c>
      <c r="AJ4112">
        <v>103.363647995614</v>
      </c>
      <c r="AK4112">
        <v>20.081530971668801</v>
      </c>
      <c r="AL4112">
        <v>87.053220110015005</v>
      </c>
      <c r="AM4112">
        <v>96.498560721655707</v>
      </c>
      <c r="AN4112">
        <v>0.99999998775416199</v>
      </c>
    </row>
    <row r="4113" spans="1:40" x14ac:dyDescent="0.3">
      <c r="A4113" t="str">
        <f>"20200111154001576"</f>
        <v>20200111154001576</v>
      </c>
      <c r="B4113" t="str">
        <f>"1578728401565020"</f>
        <v>1578728401565020</v>
      </c>
      <c r="C4113" t="s">
        <v>40</v>
      </c>
      <c r="D4113">
        <v>4.7691179999999997</v>
      </c>
      <c r="E4113">
        <v>0.44613760000000002</v>
      </c>
      <c r="F4113" t="s">
        <v>81</v>
      </c>
      <c r="G4113">
        <v>-222.35</v>
      </c>
      <c r="H4113" s="1">
        <v>-8.8254840000000004E-7</v>
      </c>
      <c r="I4113">
        <v>-57.281370000000003</v>
      </c>
      <c r="J4113">
        <v>-241.6789</v>
      </c>
      <c r="K4113">
        <v>1.103826</v>
      </c>
      <c r="L4113">
        <v>-61.672910000000002</v>
      </c>
      <c r="M4113">
        <v>0.99956330000000004</v>
      </c>
      <c r="N4113">
        <v>0</v>
      </c>
      <c r="O4113">
        <v>-2.7705489999999999E-2</v>
      </c>
      <c r="P4113">
        <v>0.99541080000000004</v>
      </c>
      <c r="Q4113">
        <v>4.1195580000000002E-2</v>
      </c>
      <c r="R4113">
        <v>8.6373899999999906E-2</v>
      </c>
      <c r="S4113">
        <v>2.9633790000000002</v>
      </c>
      <c r="T4113">
        <v>-0.16737839999999901</v>
      </c>
      <c r="U4113">
        <v>0.6650085</v>
      </c>
      <c r="V4113">
        <v>-0.1139008</v>
      </c>
      <c r="W4113">
        <v>5.1449290000000002E-2</v>
      </c>
      <c r="X4113">
        <v>0.99215909999999996</v>
      </c>
      <c r="Y4113">
        <v>-0.24549850000000001</v>
      </c>
      <c r="Z4113">
        <v>8.3883289999999999E-3</v>
      </c>
      <c r="AA4113">
        <v>0.96936060000000002</v>
      </c>
      <c r="AB4113">
        <v>40</v>
      </c>
      <c r="AC4113">
        <v>19.328900000000001</v>
      </c>
      <c r="AD4113">
        <v>-1.1038268825483999</v>
      </c>
      <c r="AE4113">
        <v>4.3915399999999902</v>
      </c>
      <c r="AF4113">
        <v>-4.9101715772022798</v>
      </c>
      <c r="AG4113">
        <v>-1.1038268825483999</v>
      </c>
      <c r="AH4113">
        <v>19.1404450155405</v>
      </c>
      <c r="AI4113">
        <v>93.197279703651006</v>
      </c>
      <c r="AJ4113">
        <v>104.388037601863</v>
      </c>
      <c r="AK4113">
        <v>19.7910296371142</v>
      </c>
      <c r="AL4113">
        <v>87.050870924597007</v>
      </c>
      <c r="AM4113">
        <v>96.548939868178493</v>
      </c>
      <c r="AN4113">
        <v>1.00000005069747</v>
      </c>
    </row>
    <row r="4114" spans="1:40" x14ac:dyDescent="0.3">
      <c r="A4114" t="str">
        <f>"20200111154001588"</f>
        <v>20200111154001588</v>
      </c>
      <c r="B4114" t="str">
        <f>"1578728401585515"</f>
        <v>1578728401585515</v>
      </c>
      <c r="C4114" t="s">
        <v>40</v>
      </c>
      <c r="D4114">
        <v>4.738588</v>
      </c>
      <c r="E4114">
        <v>0.44500010000000001</v>
      </c>
      <c r="F4114" t="s">
        <v>81</v>
      </c>
      <c r="G4114">
        <v>-222.19460000000001</v>
      </c>
      <c r="H4114" s="1">
        <v>-8.5242080000000005E-7</v>
      </c>
      <c r="I4114">
        <v>-57.207949999999997</v>
      </c>
      <c r="J4114">
        <v>-241.4639</v>
      </c>
      <c r="K4114">
        <v>1.1038269999999999</v>
      </c>
      <c r="L4114">
        <v>-61.678959999999996</v>
      </c>
      <c r="M4114">
        <v>0.99956100000000003</v>
      </c>
      <c r="N4114">
        <v>0</v>
      </c>
      <c r="O4114">
        <v>-2.7775569999999999E-2</v>
      </c>
      <c r="P4114">
        <v>0.99532120000000002</v>
      </c>
      <c r="Q4114">
        <v>4.128971E-2</v>
      </c>
      <c r="R4114">
        <v>8.7353139999999996E-2</v>
      </c>
      <c r="S4114">
        <v>2.9619140000000002</v>
      </c>
      <c r="T4114">
        <v>-0.16779849999999999</v>
      </c>
      <c r="U4114">
        <v>0.6787415</v>
      </c>
      <c r="V4114">
        <v>-0.11494699999999999</v>
      </c>
      <c r="W4114">
        <v>5.1562629999999998E-2</v>
      </c>
      <c r="X4114">
        <v>0.99203249999999998</v>
      </c>
      <c r="Y4114">
        <v>-0.24993190000000001</v>
      </c>
      <c r="Z4114">
        <v>8.5369780000000006E-3</v>
      </c>
      <c r="AA4114">
        <v>0.96822580000000003</v>
      </c>
      <c r="AB4114">
        <v>40</v>
      </c>
      <c r="AC4114">
        <v>19.269299999999902</v>
      </c>
      <c r="AD4114">
        <v>-1.1038278524208001</v>
      </c>
      <c r="AE4114">
        <v>4.4710099999999997</v>
      </c>
      <c r="AF4114">
        <v>-4.9889941070989803</v>
      </c>
      <c r="AG4114">
        <v>-1.1038278524208001</v>
      </c>
      <c r="AH4114">
        <v>19.0782665317107</v>
      </c>
      <c r="AI4114">
        <v>93.203823712523004</v>
      </c>
      <c r="AJ4114">
        <v>104.654765545209</v>
      </c>
      <c r="AK4114">
        <v>19.750664595993701</v>
      </c>
      <c r="AL4114">
        <v>87.044368238444505</v>
      </c>
      <c r="AM4114">
        <v>96.609399301912603</v>
      </c>
      <c r="AN4114">
        <v>0.99999999933888295</v>
      </c>
    </row>
    <row r="4115" spans="1:40" x14ac:dyDescent="0.3">
      <c r="A4115" t="str">
        <f>"20200111154001602"</f>
        <v>20200111154001602</v>
      </c>
      <c r="B4115" t="str">
        <f>"1578728401595276"</f>
        <v>1578728401595276</v>
      </c>
      <c r="C4115" t="s">
        <v>40</v>
      </c>
      <c r="D4115">
        <v>4.8402440000000002</v>
      </c>
      <c r="E4115">
        <v>0.44385750000000002</v>
      </c>
      <c r="F4115" t="s">
        <v>81</v>
      </c>
      <c r="G4115">
        <v>-221.81979999999999</v>
      </c>
      <c r="H4115" s="1">
        <v>-7.5983549999999898E-7</v>
      </c>
      <c r="I4115">
        <v>-57.095050000000001</v>
      </c>
      <c r="J4115">
        <v>-241.25219999999999</v>
      </c>
      <c r="K4115">
        <v>1.103826</v>
      </c>
      <c r="L4115">
        <v>-61.68488</v>
      </c>
      <c r="M4115">
        <v>0.99955879999999997</v>
      </c>
      <c r="N4115">
        <v>0</v>
      </c>
      <c r="O4115">
        <v>-2.7844830000000001E-2</v>
      </c>
      <c r="P4115">
        <v>0.99524469999999998</v>
      </c>
      <c r="Q4115">
        <v>4.1026550000000002E-2</v>
      </c>
      <c r="R4115">
        <v>8.8342589999999999E-2</v>
      </c>
      <c r="S4115">
        <v>2.9603730000000001</v>
      </c>
      <c r="T4115">
        <v>-0.1663473</v>
      </c>
      <c r="U4115">
        <v>0.69079590000000002</v>
      </c>
      <c r="V4115">
        <v>-0.1160028</v>
      </c>
      <c r="W4115">
        <v>5.1320709999999999E-2</v>
      </c>
      <c r="X4115">
        <v>0.99192210000000003</v>
      </c>
      <c r="Y4115">
        <v>-0.25385029999999997</v>
      </c>
      <c r="Z4115">
        <v>8.5761320000000002E-3</v>
      </c>
      <c r="AA4115">
        <v>0.96720550000000005</v>
      </c>
      <c r="AB4115">
        <v>40</v>
      </c>
      <c r="AC4115">
        <v>19.432400000000001</v>
      </c>
      <c r="AD4115">
        <v>-1.1038267598355</v>
      </c>
      <c r="AE4115">
        <v>4.5898300000000001</v>
      </c>
      <c r="AF4115">
        <v>-5.1135432595295098</v>
      </c>
      <c r="AG4115">
        <v>-1.1038267598355</v>
      </c>
      <c r="AH4115">
        <v>19.238259880456901</v>
      </c>
      <c r="AI4115">
        <v>93.173872393657902</v>
      </c>
      <c r="AJ4115">
        <v>104.88508586850401</v>
      </c>
      <c r="AK4115">
        <v>19.936835290757799</v>
      </c>
      <c r="AL4115">
        <v>87.058247490017493</v>
      </c>
      <c r="AM4115">
        <v>96.670298469869493</v>
      </c>
      <c r="AN4115">
        <v>0.99999995867557601</v>
      </c>
    </row>
    <row r="4116" spans="1:40" x14ac:dyDescent="0.3">
      <c r="A4116" t="str">
        <f>"20200111154001612"</f>
        <v>20200111154001612</v>
      </c>
      <c r="B4116" t="str">
        <f>"1578728401605036"</f>
        <v>1578728401605036</v>
      </c>
      <c r="C4116" t="s">
        <v>40</v>
      </c>
      <c r="D4116">
        <v>4.7851220000000003</v>
      </c>
      <c r="E4116">
        <v>0.44326910000000003</v>
      </c>
      <c r="F4116" t="s">
        <v>81</v>
      </c>
      <c r="G4116">
        <v>-221.92189999999999</v>
      </c>
      <c r="H4116" s="1">
        <v>-7.9491279999999996E-7</v>
      </c>
      <c r="I4116">
        <v>-57.094009999999997</v>
      </c>
      <c r="J4116">
        <v>-241.02209999999999</v>
      </c>
      <c r="K4116">
        <v>1.1038269999999999</v>
      </c>
      <c r="L4116">
        <v>-61.69135</v>
      </c>
      <c r="M4116">
        <v>0.99955649999999996</v>
      </c>
      <c r="N4116">
        <v>0</v>
      </c>
      <c r="O4116">
        <v>-2.791983E-2</v>
      </c>
      <c r="P4116">
        <v>0.99518969999999995</v>
      </c>
      <c r="Q4116">
        <v>4.1054590000000002E-2</v>
      </c>
      <c r="R4116">
        <v>8.8950810000000005E-2</v>
      </c>
      <c r="S4116">
        <v>2.9589080000000001</v>
      </c>
      <c r="T4116">
        <v>-0.168964</v>
      </c>
      <c r="U4116">
        <v>0.70272829999999997</v>
      </c>
      <c r="V4116">
        <v>-0.1166836</v>
      </c>
      <c r="W4116">
        <v>5.1373099999999998E-2</v>
      </c>
      <c r="X4116">
        <v>0.99183960000000004</v>
      </c>
      <c r="Y4116">
        <v>-0.25770300000000002</v>
      </c>
      <c r="Z4116">
        <v>8.8237190000000007E-3</v>
      </c>
      <c r="AA4116">
        <v>0.96618389999999998</v>
      </c>
      <c r="AB4116">
        <v>40</v>
      </c>
      <c r="AC4116">
        <v>19.100200000000001</v>
      </c>
      <c r="AD4116">
        <v>-1.1038277949127999</v>
      </c>
      <c r="AE4116">
        <v>4.59734</v>
      </c>
      <c r="AF4116">
        <v>-5.11270997002448</v>
      </c>
      <c r="AG4116">
        <v>-1.1038277949127999</v>
      </c>
      <c r="AH4116">
        <v>18.904708184083699</v>
      </c>
      <c r="AI4116">
        <v>93.226014109312402</v>
      </c>
      <c r="AJ4116">
        <v>105.133410566701</v>
      </c>
      <c r="AK4116">
        <v>19.614949160366699</v>
      </c>
      <c r="AL4116">
        <v>87.055241994671505</v>
      </c>
      <c r="AM4116">
        <v>96.709642410265403</v>
      </c>
      <c r="AN4116">
        <v>1.00000002502036</v>
      </c>
    </row>
    <row r="4117" spans="1:40" x14ac:dyDescent="0.3">
      <c r="A4117" t="str">
        <f>"20200111154001625"</f>
        <v>20200111154001625</v>
      </c>
      <c r="B4117" t="str">
        <f>"1578728401614795"</f>
        <v>1578728401614795</v>
      </c>
      <c r="C4117" t="s">
        <v>40</v>
      </c>
      <c r="D4117">
        <v>4.7630489999999996</v>
      </c>
      <c r="E4117">
        <v>0.44276379999999999</v>
      </c>
      <c r="F4117" t="s">
        <v>81</v>
      </c>
      <c r="G4117">
        <v>-221.92570000000001</v>
      </c>
      <c r="H4117" s="1">
        <v>-7.9009260000000001E-7</v>
      </c>
      <c r="I4117">
        <v>-57.113700000000001</v>
      </c>
      <c r="J4117">
        <v>-240.81389999999999</v>
      </c>
      <c r="K4117">
        <v>1.1038319999999999</v>
      </c>
      <c r="L4117">
        <v>-61.697200000000002</v>
      </c>
      <c r="M4117">
        <v>0.99955450000000001</v>
      </c>
      <c r="N4117">
        <v>0</v>
      </c>
      <c r="O4117">
        <v>-2.798542E-2</v>
      </c>
      <c r="P4117">
        <v>0.99512849999999997</v>
      </c>
      <c r="Q4117">
        <v>4.0735550000000002E-2</v>
      </c>
      <c r="R4117">
        <v>8.9777869999999996E-2</v>
      </c>
      <c r="S4117">
        <v>2.9581599999999999</v>
      </c>
      <c r="T4117">
        <v>-0.17099020000000001</v>
      </c>
      <c r="U4117">
        <v>0.70910640000000003</v>
      </c>
      <c r="V4117">
        <v>-0.1175739</v>
      </c>
      <c r="W4117">
        <v>5.1081649999999999E-2</v>
      </c>
      <c r="X4117">
        <v>0.99174949999999995</v>
      </c>
      <c r="Y4117">
        <v>-0.2597778</v>
      </c>
      <c r="Z4117">
        <v>8.9921879999999999E-3</v>
      </c>
      <c r="AA4117">
        <v>0.96562650000000005</v>
      </c>
      <c r="AB4117">
        <v>40</v>
      </c>
      <c r="AC4117">
        <v>18.888199999999902</v>
      </c>
      <c r="AD4117">
        <v>-1.1038327900925999</v>
      </c>
      <c r="AE4117">
        <v>4.5834999999999999</v>
      </c>
      <c r="AF4117">
        <v>-5.0938976725065102</v>
      </c>
      <c r="AG4117">
        <v>-1.1038327900925999</v>
      </c>
      <c r="AH4117">
        <v>18.692234311903999</v>
      </c>
      <c r="AI4117">
        <v>93.2609184198745</v>
      </c>
      <c r="AJ4117">
        <v>105.243750515538</v>
      </c>
      <c r="AK4117">
        <v>19.405305045207999</v>
      </c>
      <c r="AL4117">
        <v>87.071962770637001</v>
      </c>
      <c r="AM4117">
        <v>96.760973650430103</v>
      </c>
      <c r="AN4117">
        <v>1.0000000138390901</v>
      </c>
    </row>
    <row r="4118" spans="1:40" x14ac:dyDescent="0.3">
      <c r="A4118" t="str">
        <f>"20200111154001637"</f>
        <v>20200111154001637</v>
      </c>
      <c r="B4118" t="str">
        <f>"1578728401634824"</f>
        <v>1578728401634824</v>
      </c>
      <c r="C4118" t="s">
        <v>40</v>
      </c>
      <c r="D4118">
        <v>4.7990519999999997</v>
      </c>
      <c r="E4118">
        <v>0.44191150000000001</v>
      </c>
      <c r="F4118" t="s">
        <v>81</v>
      </c>
      <c r="G4118">
        <v>-222.07490000000001</v>
      </c>
      <c r="H4118" s="1">
        <v>-8.2570240000000001E-7</v>
      </c>
      <c r="I4118">
        <v>-57.162689999999998</v>
      </c>
      <c r="J4118">
        <v>-240.59649999999999</v>
      </c>
      <c r="K4118">
        <v>1.103836</v>
      </c>
      <c r="L4118">
        <v>-61.703339999999997</v>
      </c>
      <c r="M4118">
        <v>0.99955229999999995</v>
      </c>
      <c r="N4118">
        <v>0</v>
      </c>
      <c r="O4118">
        <v>-2.8052319999999999E-2</v>
      </c>
      <c r="P4118">
        <v>0.99507100000000004</v>
      </c>
      <c r="Q4118">
        <v>4.0515269999999999E-2</v>
      </c>
      <c r="R4118">
        <v>9.0512259999999997E-2</v>
      </c>
      <c r="S4118">
        <v>2.9572600000000002</v>
      </c>
      <c r="T4118">
        <v>-0.1741994</v>
      </c>
      <c r="U4118">
        <v>0.71560669999999904</v>
      </c>
      <c r="V4118">
        <v>-0.1183728</v>
      </c>
      <c r="W4118">
        <v>5.089308E-2</v>
      </c>
      <c r="X4118">
        <v>0.9916642</v>
      </c>
      <c r="Y4118">
        <v>-0.2618936</v>
      </c>
      <c r="Z4118">
        <v>9.2263459999999999E-3</v>
      </c>
      <c r="AA4118">
        <v>0.96505269999999999</v>
      </c>
      <c r="AB4118">
        <v>40</v>
      </c>
      <c r="AC4118">
        <v>18.5215999999999</v>
      </c>
      <c r="AD4118">
        <v>-1.1038368257023901</v>
      </c>
      <c r="AE4118">
        <v>4.5406499999999896</v>
      </c>
      <c r="AF4118">
        <v>-5.04157320371809</v>
      </c>
      <c r="AG4118">
        <v>-1.1038368257023901</v>
      </c>
      <c r="AH4118">
        <v>18.325528364853898</v>
      </c>
      <c r="AI4118">
        <v>93.323843352133593</v>
      </c>
      <c r="AJ4118">
        <v>105.382218321265</v>
      </c>
      <c r="AK4118">
        <v>19.038406077119198</v>
      </c>
      <c r="AL4118">
        <v>87.082781228615502</v>
      </c>
      <c r="AM4118">
        <v>96.807064039944706</v>
      </c>
      <c r="AN4118">
        <v>1.0000000554666799</v>
      </c>
    </row>
    <row r="4119" spans="1:40" x14ac:dyDescent="0.3">
      <c r="A4119" t="str">
        <f>"20200111154001649"</f>
        <v>20200111154001649</v>
      </c>
      <c r="B4119" t="str">
        <f>"1578728401645559"</f>
        <v>1578728401645559</v>
      </c>
      <c r="C4119" t="s">
        <v>40</v>
      </c>
      <c r="D4119">
        <v>4.7782830000000001</v>
      </c>
      <c r="E4119">
        <v>0.44178810000000002</v>
      </c>
      <c r="F4119" t="s">
        <v>81</v>
      </c>
      <c r="G4119">
        <v>-222.25409999999999</v>
      </c>
      <c r="H4119" s="1">
        <v>-8.7255129999999997E-7</v>
      </c>
      <c r="I4119">
        <v>-57.208309999999997</v>
      </c>
      <c r="J4119">
        <v>-240.3724</v>
      </c>
      <c r="K4119">
        <v>1.103845</v>
      </c>
      <c r="L4119">
        <v>-61.70966</v>
      </c>
      <c r="M4119">
        <v>0.99955000000000005</v>
      </c>
      <c r="N4119">
        <v>0</v>
      </c>
      <c r="O4119">
        <v>-2.811628E-2</v>
      </c>
      <c r="P4119">
        <v>0.99504729999999997</v>
      </c>
      <c r="Q4119">
        <v>4.0490749999999999E-2</v>
      </c>
      <c r="R4119">
        <v>9.0782169999999995E-2</v>
      </c>
      <c r="S4119">
        <v>2.956207</v>
      </c>
      <c r="T4119">
        <v>-0.17790349999999999</v>
      </c>
      <c r="U4119">
        <v>0.72445680000000001</v>
      </c>
      <c r="V4119">
        <v>-0.11870609999999999</v>
      </c>
      <c r="W4119">
        <v>5.090832E-2</v>
      </c>
      <c r="X4119">
        <v>0.99162349999999999</v>
      </c>
      <c r="Y4119">
        <v>-0.2647349</v>
      </c>
      <c r="Z4119">
        <v>9.5101560000000005E-3</v>
      </c>
      <c r="AA4119">
        <v>0.96427430000000003</v>
      </c>
      <c r="AB4119">
        <v>40</v>
      </c>
      <c r="AC4119">
        <v>18.118300000000001</v>
      </c>
      <c r="AD4119">
        <v>-1.1038458725513001</v>
      </c>
      <c r="AE4119">
        <v>4.5013500000000004</v>
      </c>
      <c r="AF4119">
        <v>-4.99156678710834</v>
      </c>
      <c r="AG4119">
        <v>-1.1038458725513001</v>
      </c>
      <c r="AH4119">
        <v>17.921913300192099</v>
      </c>
      <c r="AI4119">
        <v>93.395585592652594</v>
      </c>
      <c r="AJ4119">
        <v>105.563451307435</v>
      </c>
      <c r="AK4119">
        <v>18.636769866050098</v>
      </c>
      <c r="AL4119">
        <v>87.081906688632699</v>
      </c>
      <c r="AM4119">
        <v>96.826327484147996</v>
      </c>
      <c r="AN4119">
        <v>0.99999998048734096</v>
      </c>
    </row>
    <row r="4120" spans="1:40" x14ac:dyDescent="0.3">
      <c r="A4120" t="str">
        <f>"20200111154001665"</f>
        <v>20200111154001665</v>
      </c>
      <c r="B4120" t="str">
        <f>"1578728401655319"</f>
        <v>1578728401655319</v>
      </c>
      <c r="C4120" t="s">
        <v>40</v>
      </c>
      <c r="D4120">
        <v>4.7777450000000004</v>
      </c>
      <c r="E4120">
        <v>0.44153330000000002</v>
      </c>
      <c r="F4120" t="s">
        <v>81</v>
      </c>
      <c r="G4120">
        <v>-222.202</v>
      </c>
      <c r="H4120" s="1">
        <v>-8.4320879999999998E-7</v>
      </c>
      <c r="I4120">
        <v>-57.245769999999901</v>
      </c>
      <c r="J4120">
        <v>-240.1046</v>
      </c>
      <c r="K4120">
        <v>1.1038589999999999</v>
      </c>
      <c r="L4120">
        <v>-61.717289999999998</v>
      </c>
      <c r="M4120">
        <v>0.99954739999999997</v>
      </c>
      <c r="N4120">
        <v>0</v>
      </c>
      <c r="O4120">
        <v>-2.8186099999999999E-2</v>
      </c>
      <c r="P4120">
        <v>0.99497020000000003</v>
      </c>
      <c r="Q4120">
        <v>3.9766360000000001E-2</v>
      </c>
      <c r="R4120">
        <v>9.1941010000000004E-2</v>
      </c>
      <c r="S4120">
        <v>2.9560089999999999</v>
      </c>
      <c r="T4120">
        <v>-0.1795766</v>
      </c>
      <c r="U4120">
        <v>0.72619630000000002</v>
      </c>
      <c r="V4120">
        <v>-0.1199329</v>
      </c>
      <c r="W4120">
        <v>5.0235399999999999E-2</v>
      </c>
      <c r="X4120">
        <v>0.99151020000000001</v>
      </c>
      <c r="Y4120">
        <v>-0.26534170000000001</v>
      </c>
      <c r="Z4120">
        <v>9.6217339999999998E-3</v>
      </c>
      <c r="AA4120">
        <v>0.96410640000000003</v>
      </c>
      <c r="AB4120">
        <v>40</v>
      </c>
      <c r="AC4120">
        <v>17.9026</v>
      </c>
      <c r="AD4120">
        <v>-1.10385984320879</v>
      </c>
      <c r="AE4120">
        <v>4.4715200000000097</v>
      </c>
      <c r="AF4120">
        <v>-4.9566377507365704</v>
      </c>
      <c r="AG4120">
        <v>-1.10385984320879</v>
      </c>
      <c r="AH4120">
        <v>17.706081624514201</v>
      </c>
      <c r="AI4120">
        <v>93.435658511477996</v>
      </c>
      <c r="AJ4120">
        <v>105.63905036616799</v>
      </c>
      <c r="AK4120">
        <v>18.419883030015001</v>
      </c>
      <c r="AL4120">
        <v>87.120511580691399</v>
      </c>
      <c r="AM4120">
        <v>96.896980476512297</v>
      </c>
      <c r="AN4120">
        <v>0.99999998630980402</v>
      </c>
    </row>
    <row r="4121" spans="1:40" x14ac:dyDescent="0.3">
      <c r="A4121" t="str">
        <f>"20200111154001676"</f>
        <v>20200111154001676</v>
      </c>
      <c r="B4121" t="str">
        <f>"1578728401665079"</f>
        <v>1578728401665079</v>
      </c>
      <c r="C4121" t="s">
        <v>40</v>
      </c>
      <c r="D4121">
        <v>4.8076369999999997</v>
      </c>
      <c r="E4121">
        <v>0.4413494</v>
      </c>
      <c r="F4121" t="s">
        <v>81</v>
      </c>
      <c r="G4121">
        <v>-222.2911</v>
      </c>
      <c r="H4121" s="1">
        <v>-8.546114E-7</v>
      </c>
      <c r="I4121">
        <v>-57.306840000000001</v>
      </c>
      <c r="J4121">
        <v>-239.89080000000001</v>
      </c>
      <c r="K4121">
        <v>1.1038699999999999</v>
      </c>
      <c r="L4121">
        <v>-61.72336</v>
      </c>
      <c r="M4121">
        <v>0.99954560000000003</v>
      </c>
      <c r="N4121">
        <v>0</v>
      </c>
      <c r="O4121">
        <v>-2.8237180000000001E-2</v>
      </c>
      <c r="P4121">
        <v>0.9949228</v>
      </c>
      <c r="Q4121">
        <v>3.9543250000000002E-2</v>
      </c>
      <c r="R4121">
        <v>9.2549080000000006E-2</v>
      </c>
      <c r="S4121">
        <v>2.9548800000000002</v>
      </c>
      <c r="T4121">
        <v>-0.18310650000000001</v>
      </c>
      <c r="U4121">
        <v>0.73159790000000002</v>
      </c>
      <c r="V4121">
        <v>-0.12059060000000001</v>
      </c>
      <c r="W4121">
        <v>5.0057289999999997E-2</v>
      </c>
      <c r="X4121">
        <v>0.99143950000000003</v>
      </c>
      <c r="Y4121">
        <v>-0.2671135</v>
      </c>
      <c r="Z4121">
        <v>9.8692080000000008E-3</v>
      </c>
      <c r="AA4121">
        <v>0.96361450000000004</v>
      </c>
      <c r="AB4121">
        <v>40</v>
      </c>
      <c r="AC4121">
        <v>17.599699999999999</v>
      </c>
      <c r="AD4121">
        <v>-1.1038708546114</v>
      </c>
      <c r="AE4121">
        <v>4.4165199999999896</v>
      </c>
      <c r="AF4121">
        <v>-4.8936415269403204</v>
      </c>
      <c r="AG4121">
        <v>-1.1038708546114</v>
      </c>
      <c r="AH4121">
        <v>17.403556024777501</v>
      </c>
      <c r="AI4121">
        <v>93.494138324101598</v>
      </c>
      <c r="AJ4121">
        <v>105.70525557384499</v>
      </c>
      <c r="AK4121">
        <v>18.112151185472801</v>
      </c>
      <c r="AL4121">
        <v>87.130729580663001</v>
      </c>
      <c r="AM4121">
        <v>96.934925231017701</v>
      </c>
      <c r="AN4121">
        <v>1.0000000536253699</v>
      </c>
    </row>
    <row r="4122" spans="1:40" x14ac:dyDescent="0.3">
      <c r="A4122" t="str">
        <f>"20200111154001689"</f>
        <v>20200111154001689</v>
      </c>
      <c r="B4122" t="str">
        <f>"1578728401685576"</f>
        <v>1578728401685576</v>
      </c>
      <c r="C4122" t="s">
        <v>40</v>
      </c>
      <c r="D4122">
        <v>4.7797409999999996</v>
      </c>
      <c r="E4122">
        <v>0.44097940000000002</v>
      </c>
      <c r="F4122" t="s">
        <v>81</v>
      </c>
      <c r="G4122">
        <v>-222.2527</v>
      </c>
      <c r="H4122" s="1">
        <v>-8.3223269999999998E-7</v>
      </c>
      <c r="I4122">
        <v>-57.336950000000002</v>
      </c>
      <c r="J4122">
        <v>-239.67269999999999</v>
      </c>
      <c r="K4122">
        <v>1.103885</v>
      </c>
      <c r="L4122">
        <v>-61.729550000000003</v>
      </c>
      <c r="M4122">
        <v>0.99954370000000003</v>
      </c>
      <c r="N4122">
        <v>0</v>
      </c>
      <c r="O4122">
        <v>-2.8278959999999999E-2</v>
      </c>
      <c r="P4122">
        <v>0.99489590000000006</v>
      </c>
      <c r="Q4122">
        <v>3.9168929999999998E-2</v>
      </c>
      <c r="R4122">
        <v>9.2995410000000001E-2</v>
      </c>
      <c r="S4122">
        <v>2.9543300000000001</v>
      </c>
      <c r="T4122">
        <v>-0.184895</v>
      </c>
      <c r="U4122">
        <v>0.73471070000000005</v>
      </c>
      <c r="V4122">
        <v>-0.12107850000000001</v>
      </c>
      <c r="W4122">
        <v>4.9736299999999997E-2</v>
      </c>
      <c r="X4122">
        <v>0.9913961</v>
      </c>
      <c r="Y4122">
        <v>-0.26813940000000003</v>
      </c>
      <c r="Z4122">
        <v>1.0000159999999999E-2</v>
      </c>
      <c r="AA4122">
        <v>0.96332819999999997</v>
      </c>
      <c r="AB4122">
        <v>40</v>
      </c>
      <c r="AC4122">
        <v>17.419999999999899</v>
      </c>
      <c r="AD4122">
        <v>-1.1038858322327001</v>
      </c>
      <c r="AE4122">
        <v>4.3925999999999998</v>
      </c>
      <c r="AF4122">
        <v>-4.8651218006807904</v>
      </c>
      <c r="AG4122">
        <v>-1.1038858322327001</v>
      </c>
      <c r="AH4122">
        <v>17.223778036682901</v>
      </c>
      <c r="AI4122">
        <v>93.529389467026803</v>
      </c>
      <c r="AJ4122">
        <v>105.773151402717</v>
      </c>
      <c r="AK4122">
        <v>17.931717818518798</v>
      </c>
      <c r="AL4122">
        <v>87.149143636107794</v>
      </c>
      <c r="AM4122">
        <v>96.963010325936494</v>
      </c>
      <c r="AN4122">
        <v>0.99999996489757403</v>
      </c>
    </row>
    <row r="4123" spans="1:40" x14ac:dyDescent="0.3">
      <c r="A4123" t="str">
        <f>"20200111154001701"</f>
        <v>20200111154001701</v>
      </c>
      <c r="B4123" t="str">
        <f>"1578728401695335"</f>
        <v>1578728401695335</v>
      </c>
      <c r="C4123" t="s">
        <v>40</v>
      </c>
      <c r="D4123">
        <v>4.8035649999999999</v>
      </c>
      <c r="E4123">
        <v>0.44084780000000001</v>
      </c>
      <c r="F4123" t="s">
        <v>81</v>
      </c>
      <c r="G4123">
        <v>-222.3031</v>
      </c>
      <c r="H4123" s="1">
        <v>-8.3478800000000002E-7</v>
      </c>
      <c r="I4123">
        <v>-57.384070000000001</v>
      </c>
      <c r="J4123">
        <v>-239.45509999999999</v>
      </c>
      <c r="K4123">
        <v>1.1039060000000001</v>
      </c>
      <c r="L4123">
        <v>-61.735750000000003</v>
      </c>
      <c r="M4123">
        <v>0.99954209999999999</v>
      </c>
      <c r="N4123">
        <v>0</v>
      </c>
      <c r="O4123">
        <v>-2.8314209999999999E-2</v>
      </c>
      <c r="P4123">
        <v>0.99484729999999999</v>
      </c>
      <c r="Q4123">
        <v>3.877539E-2</v>
      </c>
      <c r="R4123">
        <v>9.367731E-2</v>
      </c>
      <c r="S4123">
        <v>2.9537049999999998</v>
      </c>
      <c r="T4123">
        <v>-0.18771669999999999</v>
      </c>
      <c r="U4123">
        <v>0.73895259999999996</v>
      </c>
      <c r="V4123">
        <v>-0.12179479999999999</v>
      </c>
      <c r="W4123">
        <v>4.9402929999999998E-2</v>
      </c>
      <c r="X4123">
        <v>0.99132509999999996</v>
      </c>
      <c r="Y4123">
        <v>-0.26950390000000002</v>
      </c>
      <c r="Z4123">
        <v>1.0197700000000001E-2</v>
      </c>
      <c r="AA4123">
        <v>0.9629453</v>
      </c>
      <c r="AB4123">
        <v>40</v>
      </c>
      <c r="AC4123">
        <v>17.151999999999902</v>
      </c>
      <c r="AD4123">
        <v>-1.1039068347879999</v>
      </c>
      <c r="AE4123">
        <v>4.35168</v>
      </c>
      <c r="AF4123">
        <v>-4.8168621574038797</v>
      </c>
      <c r="AG4123">
        <v>-1.1039068347879999</v>
      </c>
      <c r="AH4123">
        <v>16.955913281654698</v>
      </c>
      <c r="AI4123">
        <v>93.5835544516124</v>
      </c>
      <c r="AJ4123">
        <v>105.85887017125501</v>
      </c>
      <c r="AK4123">
        <v>17.6613636664419</v>
      </c>
      <c r="AL4123">
        <v>87.168268048977197</v>
      </c>
      <c r="AM4123">
        <v>97.004292167931595</v>
      </c>
      <c r="AN4123">
        <v>1.00000003834481</v>
      </c>
    </row>
    <row r="4124" spans="1:40" x14ac:dyDescent="0.3">
      <c r="A4124" t="str">
        <f>"20200111154001711"</f>
        <v>20200111154001711</v>
      </c>
      <c r="B4124" t="str">
        <f>"1578728401705096"</f>
        <v>1578728401705096</v>
      </c>
      <c r="C4124" t="s">
        <v>40</v>
      </c>
      <c r="D4124">
        <v>4.7862210000000003</v>
      </c>
      <c r="E4124">
        <v>0.44068770000000002</v>
      </c>
      <c r="F4124" t="s">
        <v>81</v>
      </c>
      <c r="G4124">
        <v>-222.24449999999999</v>
      </c>
      <c r="H4124" s="1">
        <v>-8.0658529999999997E-7</v>
      </c>
      <c r="I4124">
        <v>-57.410760000000003</v>
      </c>
      <c r="J4124">
        <v>-239.25049999999999</v>
      </c>
      <c r="K4124">
        <v>1.103925</v>
      </c>
      <c r="L4124">
        <v>-61.741549999999997</v>
      </c>
      <c r="M4124">
        <v>0.99954050000000005</v>
      </c>
      <c r="N4124">
        <v>0</v>
      </c>
      <c r="O4124">
        <v>-2.8342079999999999E-2</v>
      </c>
      <c r="P4124">
        <v>0.99482040000000005</v>
      </c>
      <c r="Q4124">
        <v>3.8483120000000003E-2</v>
      </c>
      <c r="R4124">
        <v>9.4081799999999993E-2</v>
      </c>
      <c r="S4124">
        <v>2.953049</v>
      </c>
      <c r="T4124">
        <v>-0.1894121</v>
      </c>
      <c r="U4124">
        <v>0.74209590000000003</v>
      </c>
      <c r="V4124">
        <v>-0.1222278</v>
      </c>
      <c r="W4124">
        <v>4.9173370000000001E-2</v>
      </c>
      <c r="X4124">
        <v>0.99128320000000003</v>
      </c>
      <c r="Y4124">
        <v>-0.27053290000000002</v>
      </c>
      <c r="Z4124">
        <v>1.032477E-2</v>
      </c>
      <c r="AA4124">
        <v>0.96265540000000005</v>
      </c>
      <c r="AB4124">
        <v>40</v>
      </c>
      <c r="AC4124">
        <v>17.006</v>
      </c>
      <c r="AD4124">
        <v>-1.1039258065852999</v>
      </c>
      <c r="AE4124">
        <v>4.3307900000000004</v>
      </c>
      <c r="AF4124">
        <v>-4.7921000970636696</v>
      </c>
      <c r="AG4124">
        <v>-1.1039258065852999</v>
      </c>
      <c r="AH4124">
        <v>16.809897133267501</v>
      </c>
      <c r="AI4124">
        <v>93.613718355284405</v>
      </c>
      <c r="AJ4124">
        <v>105.91158507622001</v>
      </c>
      <c r="AK4124">
        <v>17.514437391984899</v>
      </c>
      <c r="AL4124">
        <v>87.1814368184762</v>
      </c>
      <c r="AM4124">
        <v>97.029239019796194</v>
      </c>
      <c r="AN4124">
        <v>1.00000001900611</v>
      </c>
    </row>
    <row r="4125" spans="1:40" x14ac:dyDescent="0.3">
      <c r="A4125" t="str">
        <f>"20200111154001724"</f>
        <v>20200111154001724</v>
      </c>
      <c r="B4125" t="str">
        <f>"1578728401714855"</f>
        <v>1578728401714855</v>
      </c>
      <c r="C4125" t="s">
        <v>40</v>
      </c>
      <c r="D4125">
        <v>4.7887050000000002</v>
      </c>
      <c r="E4125">
        <v>0.44063570000000002</v>
      </c>
      <c r="F4125" t="s">
        <v>81</v>
      </c>
      <c r="G4125">
        <v>-222.2132</v>
      </c>
      <c r="H4125" s="1">
        <v>-7.8530569999999995E-7</v>
      </c>
      <c r="I4125">
        <v>-57.445</v>
      </c>
      <c r="J4125">
        <v>-239.03380000000001</v>
      </c>
      <c r="K4125">
        <v>1.1039490000000001</v>
      </c>
      <c r="L4125">
        <v>-61.74774</v>
      </c>
      <c r="M4125">
        <v>0.99953899999999996</v>
      </c>
      <c r="N4125">
        <v>0</v>
      </c>
      <c r="O4125">
        <v>-2.8359309999999999E-2</v>
      </c>
      <c r="P4125">
        <v>0.99478140000000004</v>
      </c>
      <c r="Q4125">
        <v>3.8109129999999998E-2</v>
      </c>
      <c r="R4125">
        <v>9.4644829999999999E-2</v>
      </c>
      <c r="S4125">
        <v>2.952591</v>
      </c>
      <c r="T4125">
        <v>-0.1913118</v>
      </c>
      <c r="U4125">
        <v>0.74459839999999999</v>
      </c>
      <c r="V4125">
        <v>-0.1228081</v>
      </c>
      <c r="W4125">
        <v>4.8881420000000002E-2</v>
      </c>
      <c r="X4125">
        <v>0.99122589999999999</v>
      </c>
      <c r="Y4125">
        <v>-0.27133859999999999</v>
      </c>
      <c r="Z4125">
        <v>1.04554E-2</v>
      </c>
      <c r="AA4125">
        <v>0.96242720000000004</v>
      </c>
      <c r="AB4125">
        <v>40</v>
      </c>
      <c r="AC4125">
        <v>16.820599999999999</v>
      </c>
      <c r="AD4125">
        <v>-1.1039497853057001</v>
      </c>
      <c r="AE4125">
        <v>4.30274</v>
      </c>
      <c r="AF4125">
        <v>-4.7588186085746003</v>
      </c>
      <c r="AG4125">
        <v>-1.1039497853057001</v>
      </c>
      <c r="AH4125">
        <v>16.624593016173399</v>
      </c>
      <c r="AI4125">
        <v>93.652837587370598</v>
      </c>
      <c r="AJ4125">
        <v>105.97386143439699</v>
      </c>
      <c r="AK4125">
        <v>17.327497009989401</v>
      </c>
      <c r="AL4125">
        <v>87.198184418378602</v>
      </c>
      <c r="AM4125">
        <v>97.062679600264403</v>
      </c>
      <c r="AN4125">
        <v>1.0000000037388099</v>
      </c>
    </row>
    <row r="4126" spans="1:40" x14ac:dyDescent="0.3">
      <c r="A4126" t="str">
        <f>"20200111154001736"</f>
        <v>20200111154001736</v>
      </c>
      <c r="B4126" t="str">
        <f>"1578728401725592"</f>
        <v>1578728401725592</v>
      </c>
      <c r="C4126" t="s">
        <v>40</v>
      </c>
      <c r="D4126">
        <v>4.7991270000000004</v>
      </c>
      <c r="E4126">
        <v>0.44054919999999997</v>
      </c>
      <c r="F4126" t="s">
        <v>81</v>
      </c>
      <c r="G4126">
        <v>-222.16370000000001</v>
      </c>
      <c r="H4126" s="1">
        <v>-7.5743709999999995E-7</v>
      </c>
      <c r="I4126">
        <v>-57.480580000000003</v>
      </c>
      <c r="J4126">
        <v>-238.81360000000001</v>
      </c>
      <c r="K4126">
        <v>1.1039829999999999</v>
      </c>
      <c r="L4126">
        <v>-61.753999999999998</v>
      </c>
      <c r="M4126">
        <v>0.99953789999999998</v>
      </c>
      <c r="N4126">
        <v>0</v>
      </c>
      <c r="O4126">
        <v>-2.8371460000000001E-2</v>
      </c>
      <c r="P4126">
        <v>0.99477819999999995</v>
      </c>
      <c r="Q4126">
        <v>3.7550819999999999E-2</v>
      </c>
      <c r="R4126">
        <v>9.4901659999999999E-2</v>
      </c>
      <c r="S4126">
        <v>2.9520719999999998</v>
      </c>
      <c r="T4126">
        <v>-0.1931785</v>
      </c>
      <c r="U4126">
        <v>0.74670409999999998</v>
      </c>
      <c r="V4126">
        <v>-0.1230779</v>
      </c>
      <c r="W4126">
        <v>4.8414199999999998E-2</v>
      </c>
      <c r="X4126">
        <v>0.99121530000000002</v>
      </c>
      <c r="Y4126">
        <v>-0.272022599999999</v>
      </c>
      <c r="Z4126">
        <v>1.0580900000000001E-2</v>
      </c>
      <c r="AA4126">
        <v>0.96223270000000005</v>
      </c>
      <c r="AB4126">
        <v>40</v>
      </c>
      <c r="AC4126">
        <v>16.649899999999999</v>
      </c>
      <c r="AD4126">
        <v>-1.1039837574371001</v>
      </c>
      <c r="AE4126">
        <v>4.27341999999999</v>
      </c>
      <c r="AF4126">
        <v>-4.7246218351728997</v>
      </c>
      <c r="AG4126">
        <v>-1.1039837574371001</v>
      </c>
      <c r="AH4126">
        <v>16.4540777815991</v>
      </c>
      <c r="AI4126">
        <v>93.689835605293396</v>
      </c>
      <c r="AJ4126">
        <v>106.020883125891</v>
      </c>
      <c r="AK4126">
        <v>17.1545185669837</v>
      </c>
      <c r="AL4126">
        <v>87.224985702014905</v>
      </c>
      <c r="AM4126">
        <v>97.078113481614693</v>
      </c>
      <c r="AN4126">
        <v>0.99999993759206796</v>
      </c>
    </row>
    <row r="4127" spans="1:40" x14ac:dyDescent="0.3">
      <c r="A4127" t="str">
        <f>"20200111154001749"</f>
        <v>20200111154001749</v>
      </c>
      <c r="B4127" t="str">
        <f>"1578728401744645"</f>
        <v>1578728401744645</v>
      </c>
      <c r="C4127" t="s">
        <v>40</v>
      </c>
      <c r="D4127">
        <v>4.8179819999999998</v>
      </c>
      <c r="E4127">
        <v>0.44031819999999999</v>
      </c>
      <c r="F4127" t="s">
        <v>81</v>
      </c>
      <c r="G4127">
        <v>-222.07589999999999</v>
      </c>
      <c r="H4127" s="1">
        <v>-7.1802999999999897E-7</v>
      </c>
      <c r="I4127">
        <v>-57.511310000000002</v>
      </c>
      <c r="J4127">
        <v>-238.59200000000001</v>
      </c>
      <c r="K4127">
        <v>1.1040110000000001</v>
      </c>
      <c r="L4127">
        <v>-61.760309999999997</v>
      </c>
      <c r="M4127">
        <v>0.9995366</v>
      </c>
      <c r="N4127">
        <v>0</v>
      </c>
      <c r="O4127">
        <v>-2.837025E-2</v>
      </c>
      <c r="P4127">
        <v>0.99474479999999998</v>
      </c>
      <c r="Q4127">
        <v>3.7548310000000001E-2</v>
      </c>
      <c r="R4127">
        <v>9.5254169999999999E-2</v>
      </c>
      <c r="S4127">
        <v>2.9517060000000002</v>
      </c>
      <c r="T4127">
        <v>-0.19468769999999999</v>
      </c>
      <c r="U4127">
        <v>0.74819950000000002</v>
      </c>
      <c r="V4127">
        <v>-0.123430399999999</v>
      </c>
      <c r="W4127">
        <v>4.851946E-2</v>
      </c>
      <c r="X4127">
        <v>0.9911664</v>
      </c>
      <c r="Y4127">
        <v>-0.2724974</v>
      </c>
      <c r="Z4127">
        <v>1.0679350000000001E-2</v>
      </c>
      <c r="AA4127">
        <v>0.96209719999999999</v>
      </c>
      <c r="AB4127">
        <v>40</v>
      </c>
      <c r="AC4127">
        <v>16.516100000000002</v>
      </c>
      <c r="AD4127">
        <v>-1.10401171803</v>
      </c>
      <c r="AE4127">
        <v>4.2489999999999997</v>
      </c>
      <c r="AF4127">
        <v>-4.6962029233733702</v>
      </c>
      <c r="AG4127">
        <v>-1.10401171803</v>
      </c>
      <c r="AH4127">
        <v>16.320502236640799</v>
      </c>
      <c r="AI4127">
        <v>93.719445076120294</v>
      </c>
      <c r="AJ4127">
        <v>106.053102783272</v>
      </c>
      <c r="AK4127">
        <v>17.018576821439801</v>
      </c>
      <c r="AL4127">
        <v>87.218947873117003</v>
      </c>
      <c r="AM4127">
        <v>97.098525606758997</v>
      </c>
      <c r="AN4127">
        <v>1.0000000170659</v>
      </c>
    </row>
    <row r="4128" spans="1:40" x14ac:dyDescent="0.3">
      <c r="A4128" t="str">
        <f>"20200111154001766"</f>
        <v>20200111154001766</v>
      </c>
      <c r="B4128" t="str">
        <f>"1578728401755380"</f>
        <v>1578728401755380</v>
      </c>
      <c r="C4128" t="s">
        <v>40</v>
      </c>
      <c r="D4128">
        <v>4.8148289999999996</v>
      </c>
      <c r="E4128">
        <v>0.44023069999999997</v>
      </c>
      <c r="F4128" t="s">
        <v>81</v>
      </c>
      <c r="G4128">
        <v>-221.8802</v>
      </c>
      <c r="H4128" s="1">
        <v>-6.5313019999999895E-7</v>
      </c>
      <c r="I4128">
        <v>-57.505940000000002</v>
      </c>
      <c r="J4128">
        <v>-238.29490000000001</v>
      </c>
      <c r="K4128">
        <v>1.1040559999999999</v>
      </c>
      <c r="L4128">
        <v>-61.768740000000001</v>
      </c>
      <c r="M4128">
        <v>0.99953530000000002</v>
      </c>
      <c r="N4128">
        <v>0</v>
      </c>
      <c r="O4128">
        <v>-2.8350879999999998E-2</v>
      </c>
      <c r="P4128">
        <v>0.99469920000000001</v>
      </c>
      <c r="Q4128">
        <v>3.7081000000000003E-2</v>
      </c>
      <c r="R4128">
        <v>9.5909679999999997E-2</v>
      </c>
      <c r="S4128">
        <v>2.951263</v>
      </c>
      <c r="T4128">
        <v>-0.19496579999999999</v>
      </c>
      <c r="U4128">
        <v>0.75131230000000004</v>
      </c>
      <c r="V4128">
        <v>-0.1240665</v>
      </c>
      <c r="W4128">
        <v>4.8208439999999998E-2</v>
      </c>
      <c r="X4128">
        <v>0.99110220000000004</v>
      </c>
      <c r="Y4128">
        <v>-0.2734625</v>
      </c>
      <c r="Z4128">
        <v>1.0724859999999999E-2</v>
      </c>
      <c r="AA4128">
        <v>0.96182290000000004</v>
      </c>
      <c r="AB4128">
        <v>40</v>
      </c>
      <c r="AC4128">
        <v>16.4147</v>
      </c>
      <c r="AD4128">
        <v>-1.1040566531301901</v>
      </c>
      <c r="AE4128">
        <v>4.2627999999999897</v>
      </c>
      <c r="AF4128">
        <v>-4.7065397882251201</v>
      </c>
      <c r="AG4128">
        <v>-1.1040566531301901</v>
      </c>
      <c r="AH4128">
        <v>16.218503380240701</v>
      </c>
      <c r="AI4128">
        <v>93.740487468919895</v>
      </c>
      <c r="AJ4128">
        <v>106.182500917786</v>
      </c>
      <c r="AK4128">
        <v>16.923661240002001</v>
      </c>
      <c r="AL4128">
        <v>87.236789004193895</v>
      </c>
      <c r="AM4128">
        <v>97.135189288642295</v>
      </c>
      <c r="AN4128">
        <v>1.0000000604771599</v>
      </c>
    </row>
    <row r="4129" spans="1:40" x14ac:dyDescent="0.3">
      <c r="A4129" t="str">
        <f>"20200111154001779"</f>
        <v>20200111154001779</v>
      </c>
      <c r="B4129" t="str">
        <f>"1578728401774901"</f>
        <v>1578728401774901</v>
      </c>
      <c r="C4129" t="s">
        <v>40</v>
      </c>
      <c r="D4129">
        <v>4.7650160000000001</v>
      </c>
      <c r="E4129">
        <v>0.44004199999999999</v>
      </c>
      <c r="F4129" t="s">
        <v>81</v>
      </c>
      <c r="G4129">
        <v>-221.65819999999999</v>
      </c>
      <c r="H4129" s="1">
        <v>-5.7491819999999899E-7</v>
      </c>
      <c r="I4129">
        <v>-57.514539999999997</v>
      </c>
      <c r="J4129">
        <v>-238.06370000000001</v>
      </c>
      <c r="K4129">
        <v>1.104095</v>
      </c>
      <c r="L4129">
        <v>-61.775300000000001</v>
      </c>
      <c r="M4129">
        <v>0.99953449999999999</v>
      </c>
      <c r="N4129">
        <v>0</v>
      </c>
      <c r="O4129">
        <v>-2.832078E-2</v>
      </c>
      <c r="P4129">
        <v>0.99468760000000001</v>
      </c>
      <c r="Q4129">
        <v>3.6638299999999999E-2</v>
      </c>
      <c r="R4129">
        <v>9.6199960000000001E-2</v>
      </c>
      <c r="S4129">
        <v>2.9505309999999998</v>
      </c>
      <c r="T4129">
        <v>-0.19580549999999999</v>
      </c>
      <c r="U4129">
        <v>0.75448609999999905</v>
      </c>
      <c r="V4129">
        <v>-0.1243292</v>
      </c>
      <c r="W4129">
        <v>4.7897910000000002E-2</v>
      </c>
      <c r="X4129">
        <v>0.99108430000000003</v>
      </c>
      <c r="Y4129">
        <v>-0.27445449999999999</v>
      </c>
      <c r="Z4129">
        <v>1.0802539999999999E-2</v>
      </c>
      <c r="AA4129">
        <v>0.96153940000000004</v>
      </c>
      <c r="AB4129">
        <v>40</v>
      </c>
      <c r="AC4129">
        <v>16.4055</v>
      </c>
      <c r="AD4129">
        <v>-1.1040955749182</v>
      </c>
      <c r="AE4129">
        <v>4.2607599999999897</v>
      </c>
      <c r="AF4129">
        <v>-4.7037386319356997</v>
      </c>
      <c r="AG4129">
        <v>-1.1040955749182</v>
      </c>
      <c r="AH4129">
        <v>16.209464055461201</v>
      </c>
      <c r="AI4129">
        <v>93.742709983564396</v>
      </c>
      <c r="AJ4129">
        <v>106.18192066207899</v>
      </c>
      <c r="AK4129">
        <v>16.914222096253901</v>
      </c>
      <c r="AL4129">
        <v>87.254601540917804</v>
      </c>
      <c r="AM4129">
        <v>97.150269025686598</v>
      </c>
      <c r="AN4129">
        <v>1.0000000247307399</v>
      </c>
    </row>
    <row r="4130" spans="1:40" x14ac:dyDescent="0.3">
      <c r="A4130" t="str">
        <f>"20200111154001792"</f>
        <v>20200111154001792</v>
      </c>
      <c r="B4130" t="str">
        <f>"1578728401785637"</f>
        <v>1578728401785637</v>
      </c>
      <c r="C4130" t="s">
        <v>40</v>
      </c>
      <c r="D4130">
        <v>4.8315919999999997</v>
      </c>
      <c r="E4130">
        <v>0.43995790000000001</v>
      </c>
      <c r="F4130" t="s">
        <v>81</v>
      </c>
      <c r="G4130">
        <v>-221.5145</v>
      </c>
      <c r="H4130" s="1">
        <v>-5.2160750000000001E-7</v>
      </c>
      <c r="I4130">
        <v>-57.5287199999999</v>
      </c>
      <c r="J4130">
        <v>-237.81219999999999</v>
      </c>
      <c r="K4130">
        <v>1.104147</v>
      </c>
      <c r="L4130">
        <v>-61.782440000000001</v>
      </c>
      <c r="M4130">
        <v>0.99953409999999998</v>
      </c>
      <c r="N4130">
        <v>0</v>
      </c>
      <c r="O4130">
        <v>-2.826938E-2</v>
      </c>
      <c r="P4130">
        <v>0.99463710000000005</v>
      </c>
      <c r="Q4130">
        <v>3.6576480000000001E-2</v>
      </c>
      <c r="R4130">
        <v>9.674489E-2</v>
      </c>
      <c r="S4130">
        <v>2.950043</v>
      </c>
      <c r="T4130">
        <v>-0.19681470000000001</v>
      </c>
      <c r="U4130">
        <v>0.75698849999999995</v>
      </c>
      <c r="V4130">
        <v>-0.1248244</v>
      </c>
      <c r="W4130">
        <v>4.799221E-2</v>
      </c>
      <c r="X4130">
        <v>0.9910175</v>
      </c>
      <c r="Y4130">
        <v>-0.27520070000000002</v>
      </c>
      <c r="Z4130">
        <v>1.087981E-2</v>
      </c>
      <c r="AA4130">
        <v>0.96132519999999999</v>
      </c>
      <c r="AB4130">
        <v>40</v>
      </c>
      <c r="AC4130">
        <v>16.297699999999899</v>
      </c>
      <c r="AD4130">
        <v>-1.1041475216075001</v>
      </c>
      <c r="AE4130">
        <v>4.2537200000000004</v>
      </c>
      <c r="AF4130">
        <v>-4.6926112515873903</v>
      </c>
      <c r="AG4130">
        <v>-1.1041475216075001</v>
      </c>
      <c r="AH4130">
        <v>16.1017360002187</v>
      </c>
      <c r="AI4130">
        <v>93.766595893567199</v>
      </c>
      <c r="AJ4130">
        <v>106.247977038991</v>
      </c>
      <c r="AK4130">
        <v>16.807904221786099</v>
      </c>
      <c r="AL4130">
        <v>87.249192354324506</v>
      </c>
      <c r="AM4130">
        <v>97.178930668983796</v>
      </c>
      <c r="AN4130">
        <v>1.0000000341811399</v>
      </c>
    </row>
    <row r="4131" spans="1:40" x14ac:dyDescent="0.3">
      <c r="A4131" t="str">
        <f>"20200111154001805"</f>
        <v>20200111154001805</v>
      </c>
      <c r="B4131" t="str">
        <f>"1578728401795396"</f>
        <v>1578728401795396</v>
      </c>
      <c r="C4131" t="s">
        <v>40</v>
      </c>
      <c r="D4131">
        <v>4.836951</v>
      </c>
      <c r="E4131">
        <v>0.43979699999999999</v>
      </c>
      <c r="F4131" t="s">
        <v>81</v>
      </c>
      <c r="G4131">
        <v>-221.2705</v>
      </c>
      <c r="H4131" s="1">
        <v>-4.4022190000000002E-7</v>
      </c>
      <c r="I4131">
        <v>-57.523409999999998</v>
      </c>
      <c r="J4131">
        <v>-237.5907</v>
      </c>
      <c r="K4131">
        <v>1.104203</v>
      </c>
      <c r="L4131">
        <v>-61.788640000000001</v>
      </c>
      <c r="M4131">
        <v>0.99953420000000004</v>
      </c>
      <c r="N4131">
        <v>0</v>
      </c>
      <c r="O4131">
        <v>-2.8199640000000002E-2</v>
      </c>
      <c r="P4131">
        <v>0.99459850000000005</v>
      </c>
      <c r="Q4131">
        <v>3.6392290000000001E-2</v>
      </c>
      <c r="R4131">
        <v>9.7208329999999996E-2</v>
      </c>
      <c r="S4131">
        <v>2.949554</v>
      </c>
      <c r="T4131">
        <v>-0.1968809</v>
      </c>
      <c r="U4131">
        <v>0.75942989999999999</v>
      </c>
      <c r="V4131">
        <v>-0.12522059999999999</v>
      </c>
      <c r="W4131">
        <v>4.7952670000000003E-2</v>
      </c>
      <c r="X4131">
        <v>0.9909694</v>
      </c>
      <c r="Y4131">
        <v>-0.27591650000000001</v>
      </c>
      <c r="Z4131">
        <v>1.0903009999999999E-2</v>
      </c>
      <c r="AA4131">
        <v>0.96111979999999997</v>
      </c>
      <c r="AB4131">
        <v>40</v>
      </c>
      <c r="AC4131">
        <v>16.3202</v>
      </c>
      <c r="AD4131">
        <v>-1.1042034402218901</v>
      </c>
      <c r="AE4131">
        <v>4.2652299999999999</v>
      </c>
      <c r="AF4131">
        <v>-4.7036334571489098</v>
      </c>
      <c r="AG4131">
        <v>-1.1042034402218901</v>
      </c>
      <c r="AH4131">
        <v>16.124329489478502</v>
      </c>
      <c r="AI4131">
        <v>93.761245839106905</v>
      </c>
      <c r="AJ4131">
        <v>106.262510207695</v>
      </c>
      <c r="AK4131">
        <v>16.832630050644902</v>
      </c>
      <c r="AL4131">
        <v>87.251460359011901</v>
      </c>
      <c r="AM4131">
        <v>97.201824041238496</v>
      </c>
      <c r="AN4131">
        <v>1.00000000448042</v>
      </c>
    </row>
    <row r="4132" spans="1:40" x14ac:dyDescent="0.3">
      <c r="A4132" t="str">
        <f>"20200111154001817"</f>
        <v>20200111154001817</v>
      </c>
      <c r="B4132" t="str">
        <f>"1578728401814916"</f>
        <v>1578728401814916</v>
      </c>
      <c r="C4132" t="s">
        <v>40</v>
      </c>
      <c r="D4132">
        <v>4.7990570000000004</v>
      </c>
      <c r="E4132">
        <v>0.43960379999999899</v>
      </c>
      <c r="F4132" t="s">
        <v>81</v>
      </c>
      <c r="G4132">
        <v>-221.0917</v>
      </c>
      <c r="H4132" s="1">
        <v>-3.7910650000000002E-7</v>
      </c>
      <c r="I4132">
        <v>-57.524250000000002</v>
      </c>
      <c r="J4132">
        <v>-237.3698</v>
      </c>
      <c r="K4132">
        <v>1.1042590000000001</v>
      </c>
      <c r="L4132">
        <v>-61.794829999999997</v>
      </c>
      <c r="M4132">
        <v>0.99953479999999995</v>
      </c>
      <c r="N4132">
        <v>0</v>
      </c>
      <c r="O4132">
        <v>-2.8117099999999999E-2</v>
      </c>
      <c r="P4132">
        <v>0.99455660000000001</v>
      </c>
      <c r="Q4132">
        <v>3.6550819999999998E-2</v>
      </c>
      <c r="R4132">
        <v>9.7577540000000004E-2</v>
      </c>
      <c r="S4132">
        <v>2.9490050000000001</v>
      </c>
      <c r="T4132">
        <v>-0.19736290000000001</v>
      </c>
      <c r="U4132">
        <v>0.76220699999999997</v>
      </c>
      <c r="V4132">
        <v>-0.12551029999999999</v>
      </c>
      <c r="W4132">
        <v>4.8254650000000003E-2</v>
      </c>
      <c r="X4132">
        <v>0.99091810000000002</v>
      </c>
      <c r="Y4132">
        <v>-0.27672429999999998</v>
      </c>
      <c r="Z4132">
        <v>1.0951489999999999E-2</v>
      </c>
      <c r="AA4132">
        <v>0.96088700000000005</v>
      </c>
      <c r="AB4132">
        <v>40</v>
      </c>
      <c r="AC4132">
        <v>16.278099999999899</v>
      </c>
      <c r="AD4132">
        <v>-1.1042593791065001</v>
      </c>
      <c r="AE4132">
        <v>4.2705799999999998</v>
      </c>
      <c r="AF4132">
        <v>-4.7063528946577504</v>
      </c>
      <c r="AG4132">
        <v>-1.1042593791065001</v>
      </c>
      <c r="AH4132">
        <v>16.082335602909499</v>
      </c>
      <c r="AI4132">
        <v>93.770287214584698</v>
      </c>
      <c r="AJ4132">
        <v>106.311646678645</v>
      </c>
      <c r="AK4132">
        <v>16.793173160245999</v>
      </c>
      <c r="AL4132">
        <v>87.234138152165599</v>
      </c>
      <c r="AM4132">
        <v>97.218679794846594</v>
      </c>
      <c r="AN4132">
        <v>1.0000000137801599</v>
      </c>
    </row>
    <row r="4133" spans="1:40" x14ac:dyDescent="0.3">
      <c r="A4133" t="str">
        <f>"20200111154001832"</f>
        <v>20200111154001832</v>
      </c>
      <c r="B4133" t="str">
        <f>"1578728401824676"</f>
        <v>1578728401824676</v>
      </c>
      <c r="C4133" t="s">
        <v>40</v>
      </c>
      <c r="D4133">
        <v>4.8542639999999997</v>
      </c>
      <c r="E4133">
        <v>0.43964700000000001</v>
      </c>
      <c r="F4133" t="s">
        <v>81</v>
      </c>
      <c r="G4133">
        <v>-220.90039999999999</v>
      </c>
      <c r="H4133" s="1">
        <v>-3.1446270000000002E-7</v>
      </c>
      <c r="I4133">
        <v>-57.522770000000001</v>
      </c>
      <c r="J4133">
        <v>-237.0977</v>
      </c>
      <c r="K4133">
        <v>1.104341</v>
      </c>
      <c r="L4133">
        <v>-61.802399999999999</v>
      </c>
      <c r="M4133">
        <v>0.99953650000000005</v>
      </c>
      <c r="N4133">
        <v>0</v>
      </c>
      <c r="O4133">
        <v>-2.7981260000000001E-2</v>
      </c>
      <c r="P4133">
        <v>0.99447110000000005</v>
      </c>
      <c r="Q4133">
        <v>3.7651259999999999E-2</v>
      </c>
      <c r="R4133">
        <v>9.8030190000000003E-2</v>
      </c>
      <c r="S4133">
        <v>2.9486539999999999</v>
      </c>
      <c r="T4133">
        <v>-0.19770489999999999</v>
      </c>
      <c r="U4133">
        <v>0.76486209999999999</v>
      </c>
      <c r="V4133">
        <v>-0.12583139999999901</v>
      </c>
      <c r="W4133">
        <v>4.9525329999999999E-2</v>
      </c>
      <c r="X4133">
        <v>0.99081470000000005</v>
      </c>
      <c r="Y4133">
        <v>-0.27742879999999998</v>
      </c>
      <c r="Z4133">
        <v>1.098473E-2</v>
      </c>
      <c r="AA4133">
        <v>0.96068339999999997</v>
      </c>
      <c r="AB4133">
        <v>40</v>
      </c>
      <c r="AC4133">
        <v>16.197299999999998</v>
      </c>
      <c r="AD4133">
        <v>-1.1043413144626999</v>
      </c>
      <c r="AE4133">
        <v>4.27963</v>
      </c>
      <c r="AF4133">
        <v>-4.7107382169383403</v>
      </c>
      <c r="AG4133">
        <v>-1.1043413144626999</v>
      </c>
      <c r="AH4133">
        <v>16.001667805984901</v>
      </c>
      <c r="AI4133">
        <v>93.787733368008801</v>
      </c>
      <c r="AJ4133">
        <v>106.40392536688699</v>
      </c>
      <c r="AK4133">
        <v>16.717176701238898</v>
      </c>
      <c r="AL4133">
        <v>87.161246440161804</v>
      </c>
      <c r="AM4133">
        <v>97.237699423418505</v>
      </c>
      <c r="AN4133">
        <v>1.0000000346368201</v>
      </c>
    </row>
    <row r="4134" spans="1:40" x14ac:dyDescent="0.3">
      <c r="A4134" t="str">
        <f>"20200111154001843"</f>
        <v>20200111154001843</v>
      </c>
      <c r="B4134" t="str">
        <f>"1578728401834944"</f>
        <v>1578728401834944</v>
      </c>
      <c r="C4134" t="s">
        <v>40</v>
      </c>
      <c r="D4134">
        <v>5.0609590000000004</v>
      </c>
      <c r="E4134">
        <v>0.43964700000000001</v>
      </c>
      <c r="F4134" t="s">
        <v>81</v>
      </c>
      <c r="G4134">
        <v>-220.33580000000001</v>
      </c>
      <c r="H4134" s="1">
        <v>-1.4575320000000001E-7</v>
      </c>
      <c r="I4134">
        <v>-57.447130000000001</v>
      </c>
      <c r="J4134">
        <v>-236.90199999999999</v>
      </c>
      <c r="K4134">
        <v>1.1043970000000001</v>
      </c>
      <c r="L4134">
        <v>-61.807769999999998</v>
      </c>
      <c r="M4134">
        <v>0.99953840000000005</v>
      </c>
      <c r="N4134">
        <v>0</v>
      </c>
      <c r="O4134">
        <v>-2.785379E-2</v>
      </c>
      <c r="P4134">
        <v>0.99444489999999996</v>
      </c>
      <c r="Q4134">
        <v>3.8136400000000001E-2</v>
      </c>
      <c r="R4134">
        <v>9.8106680000000002E-2</v>
      </c>
      <c r="S4134">
        <v>2.9485169999999998</v>
      </c>
      <c r="T4134">
        <v>-0.19425899999999999</v>
      </c>
      <c r="U4134">
        <v>0.7661133</v>
      </c>
      <c r="V4134">
        <v>-0.12578549999999999</v>
      </c>
      <c r="W4134">
        <v>5.0124920000000003E-2</v>
      </c>
      <c r="X4134">
        <v>0.99079039999999996</v>
      </c>
      <c r="Y4134">
        <v>-0.2777211</v>
      </c>
      <c r="Z4134">
        <v>1.07947999999999E-2</v>
      </c>
      <c r="AA4134">
        <v>0.96060109999999999</v>
      </c>
      <c r="AB4134">
        <v>40</v>
      </c>
      <c r="AC4134">
        <v>16.566199999999998</v>
      </c>
      <c r="AD4134">
        <v>-1.10439714575319</v>
      </c>
      <c r="AE4134">
        <v>4.3606399999999903</v>
      </c>
      <c r="AF4134">
        <v>-4.8004609558774103</v>
      </c>
      <c r="AG4134">
        <v>-1.10439714575319</v>
      </c>
      <c r="AH4134">
        <v>16.3702619604395</v>
      </c>
      <c r="AI4134">
        <v>93.704021489188804</v>
      </c>
      <c r="AJ4134">
        <v>106.343393613706</v>
      </c>
      <c r="AK4134">
        <v>17.095309154790499</v>
      </c>
      <c r="AL4134">
        <v>87.126849809904797</v>
      </c>
      <c r="AM4134">
        <v>97.235262847921206</v>
      </c>
      <c r="AN4134">
        <v>1.0000000581737001</v>
      </c>
    </row>
    <row r="4135" spans="1:40" x14ac:dyDescent="0.3">
      <c r="A4135" t="str">
        <f>"20200111154001855"</f>
        <v>20200111154001855</v>
      </c>
      <c r="B4135" t="str">
        <f>"1578728401844703"</f>
        <v>1578728401844703</v>
      </c>
      <c r="C4135" t="s">
        <v>40</v>
      </c>
      <c r="D4135">
        <v>5.0406529999999998</v>
      </c>
      <c r="E4135">
        <v>0.46833429999999998</v>
      </c>
      <c r="F4135" t="s">
        <v>82</v>
      </c>
      <c r="G4135">
        <v>-219.99969999999999</v>
      </c>
      <c r="H4135" s="1">
        <v>-3.7856510000000002E-6</v>
      </c>
      <c r="I4135">
        <v>-57.413879999999999</v>
      </c>
      <c r="J4135">
        <v>-236.696</v>
      </c>
      <c r="K4135">
        <v>1.1044579999999999</v>
      </c>
      <c r="L4135">
        <v>-61.813420000000001</v>
      </c>
      <c r="M4135">
        <v>0.99954080000000001</v>
      </c>
      <c r="N4135">
        <v>0</v>
      </c>
      <c r="O4135">
        <v>-2.771117E-2</v>
      </c>
      <c r="P4135">
        <v>0.99442649999999999</v>
      </c>
      <c r="Q4135">
        <v>3.8424809999999997E-2</v>
      </c>
      <c r="R4135">
        <v>9.8180580000000003E-2</v>
      </c>
      <c r="S4135">
        <v>2.9485169999999998</v>
      </c>
      <c r="T4135">
        <v>-0.19265650000000001</v>
      </c>
      <c r="U4135">
        <v>0.76647949999999998</v>
      </c>
      <c r="V4135">
        <v>-0.125722</v>
      </c>
      <c r="W4135">
        <v>5.0530659999999998E-2</v>
      </c>
      <c r="X4135">
        <v>0.99077780000000004</v>
      </c>
      <c r="Y4135">
        <v>-0.27770640000000002</v>
      </c>
      <c r="Z4135">
        <v>1.069612E-2</v>
      </c>
      <c r="AA4135">
        <v>0.96060650000000003</v>
      </c>
      <c r="AB4135">
        <v>40</v>
      </c>
      <c r="AC4135">
        <v>16.696300000000001</v>
      </c>
      <c r="AD4135">
        <v>-1.1044617856509999</v>
      </c>
      <c r="AE4135">
        <v>4.3995399999999796</v>
      </c>
      <c r="AF4135">
        <v>-4.8407519332851603</v>
      </c>
      <c r="AG4135">
        <v>-1.1044617856509999</v>
      </c>
      <c r="AH4135">
        <v>16.500446278375001</v>
      </c>
      <c r="AI4135">
        <v>93.674965706949195</v>
      </c>
      <c r="AJ4135">
        <v>106.350157111787</v>
      </c>
      <c r="AK4135">
        <v>17.231292537157699</v>
      </c>
      <c r="AL4135">
        <v>87.103572981471899</v>
      </c>
      <c r="AM4135">
        <v>97.231739957978505</v>
      </c>
      <c r="AN4135">
        <v>1.00000000892843</v>
      </c>
    </row>
    <row r="4136" spans="1:40" x14ac:dyDescent="0.3">
      <c r="A4136" t="str">
        <f>"20200111154001868"</f>
        <v>20200111154001868</v>
      </c>
      <c r="B4136" t="str">
        <f>"1578728401855438"</f>
        <v>1578728401855438</v>
      </c>
      <c r="C4136" t="s">
        <v>40</v>
      </c>
      <c r="D4136">
        <v>4.9559410000000002</v>
      </c>
      <c r="E4136">
        <v>0.48034719999999997</v>
      </c>
      <c r="F4136" t="s">
        <v>82</v>
      </c>
      <c r="G4136">
        <v>-219.6251</v>
      </c>
      <c r="H4136" s="1">
        <v>-3.3938539999999998E-6</v>
      </c>
      <c r="I4136">
        <v>-58.71669</v>
      </c>
      <c r="J4136">
        <v>-236.46459999999999</v>
      </c>
      <c r="K4136">
        <v>1.1045240000000001</v>
      </c>
      <c r="L4136">
        <v>-61.819670000000002</v>
      </c>
      <c r="M4136">
        <v>0.99954480000000001</v>
      </c>
      <c r="N4136">
        <v>0</v>
      </c>
      <c r="O4136">
        <v>-2.7504440000000002E-2</v>
      </c>
      <c r="P4136">
        <v>0.99436179999999996</v>
      </c>
      <c r="Q4136">
        <v>3.8979550000000002E-2</v>
      </c>
      <c r="R4136">
        <v>9.8616640000000005E-2</v>
      </c>
      <c r="S4136">
        <v>2.9710079999999999</v>
      </c>
      <c r="T4136">
        <v>-0.1922191</v>
      </c>
      <c r="U4136">
        <v>0.53894039999999999</v>
      </c>
      <c r="V4136">
        <v>-0.12595809999999999</v>
      </c>
      <c r="W4136">
        <v>5.1204520000000003E-2</v>
      </c>
      <c r="X4136">
        <v>0.99071319999999996</v>
      </c>
      <c r="Y4136">
        <v>-0.2050131</v>
      </c>
      <c r="Z4136">
        <v>8.3359599999999999E-3</v>
      </c>
      <c r="AA4136">
        <v>0.97872380000000003</v>
      </c>
      <c r="AB4136">
        <v>40</v>
      </c>
      <c r="AC4136">
        <v>16.839499999999902</v>
      </c>
      <c r="AD4136">
        <v>-1.1045273938539999</v>
      </c>
      <c r="AE4136">
        <v>3.1029799999999899</v>
      </c>
      <c r="AF4136">
        <v>-3.5502301686689299</v>
      </c>
      <c r="AG4136">
        <v>-1.1045273938539999</v>
      </c>
      <c r="AH4136">
        <v>16.678378043404201</v>
      </c>
      <c r="AI4136">
        <v>93.706092292532801</v>
      </c>
      <c r="AJ4136">
        <v>102.016865252686</v>
      </c>
      <c r="AK4136">
        <v>17.0877853794168</v>
      </c>
      <c r="AL4136">
        <v>87.064913558683699</v>
      </c>
      <c r="AM4136">
        <v>97.245644052336999</v>
      </c>
      <c r="AN4136">
        <v>0.99999999523913996</v>
      </c>
    </row>
    <row r="4137" spans="1:40" x14ac:dyDescent="0.3">
      <c r="A4137" t="str">
        <f>"20200111154001880"</f>
        <v>20200111154001880</v>
      </c>
      <c r="B4137" t="str">
        <f>"1578728401874959"</f>
        <v>1578728401874959</v>
      </c>
      <c r="C4137" t="s">
        <v>40</v>
      </c>
      <c r="D4137">
        <v>4.9615099999999996</v>
      </c>
      <c r="E4137">
        <v>0.49683260000000001</v>
      </c>
      <c r="F4137" t="s">
        <v>82</v>
      </c>
      <c r="G4137">
        <v>-218.10509999999999</v>
      </c>
      <c r="H4137" s="1">
        <v>-2.6776969999999999E-6</v>
      </c>
      <c r="I4137">
        <v>-59.07788</v>
      </c>
      <c r="J4137">
        <v>-236.24979999999999</v>
      </c>
      <c r="K4137">
        <v>1.104584</v>
      </c>
      <c r="L4137">
        <v>-61.825409999999998</v>
      </c>
      <c r="M4137">
        <v>0.99954920000000003</v>
      </c>
      <c r="N4137">
        <v>0</v>
      </c>
      <c r="O4137">
        <v>-2.729028E-2</v>
      </c>
      <c r="P4137">
        <v>0.99431749999999997</v>
      </c>
      <c r="Q4137">
        <v>3.9542529999999999E-2</v>
      </c>
      <c r="R4137">
        <v>9.8838690000000007E-2</v>
      </c>
      <c r="S4137">
        <v>2.9799190000000002</v>
      </c>
      <c r="T4137">
        <v>-0.1792743</v>
      </c>
      <c r="U4137">
        <v>0.44500729999999999</v>
      </c>
      <c r="V4137">
        <v>-0.12597220000000001</v>
      </c>
      <c r="W4137">
        <v>5.1873589999999997E-2</v>
      </c>
      <c r="X4137">
        <v>0.99067660000000002</v>
      </c>
      <c r="Y4137">
        <v>-0.17427879999999901</v>
      </c>
      <c r="Z4137">
        <v>6.8409409999999997E-3</v>
      </c>
      <c r="AA4137">
        <v>0.98467260000000001</v>
      </c>
      <c r="AB4137">
        <v>40</v>
      </c>
      <c r="AC4137">
        <v>18.1447</v>
      </c>
      <c r="AD4137">
        <v>-1.1045866776969999</v>
      </c>
      <c r="AE4137">
        <v>2.74752999999999</v>
      </c>
      <c r="AF4137">
        <v>-3.23001727373987</v>
      </c>
      <c r="AG4137">
        <v>-1.1045866776969999</v>
      </c>
      <c r="AH4137">
        <v>17.997750452468299</v>
      </c>
      <c r="AI4137">
        <v>93.456949294100198</v>
      </c>
      <c r="AJ4137">
        <v>100.17443696657099</v>
      </c>
      <c r="AK4137">
        <v>18.318628351121902</v>
      </c>
      <c r="AL4137">
        <v>87.026527654670602</v>
      </c>
      <c r="AM4137">
        <v>97.246711392927494</v>
      </c>
      <c r="AN4137">
        <v>0.99999999514994398</v>
      </c>
    </row>
    <row r="4138" spans="1:40" x14ac:dyDescent="0.3">
      <c r="A4138" t="str">
        <f>"20200111154001893"</f>
        <v>20200111154001893</v>
      </c>
      <c r="B4138" t="str">
        <f>"1578728401884719"</f>
        <v>1578728401884719</v>
      </c>
      <c r="C4138" t="s">
        <v>40</v>
      </c>
      <c r="D4138">
        <v>4.8659220000000003</v>
      </c>
      <c r="E4138">
        <v>0.50080199999999997</v>
      </c>
      <c r="F4138" t="s">
        <v>82</v>
      </c>
      <c r="G4138">
        <v>-218.90129999999999</v>
      </c>
      <c r="H4138" s="1">
        <v>-2.8551450000000002E-6</v>
      </c>
      <c r="I4138">
        <v>-60.003140000000002</v>
      </c>
      <c r="J4138">
        <v>-236.00819999999999</v>
      </c>
      <c r="K4138">
        <v>1.104651</v>
      </c>
      <c r="L4138">
        <v>-61.831819999999901</v>
      </c>
      <c r="M4138">
        <v>0.99955490000000002</v>
      </c>
      <c r="N4138">
        <v>0</v>
      </c>
      <c r="O4138">
        <v>-2.7022560000000001E-2</v>
      </c>
      <c r="P4138">
        <v>0.99425010000000003</v>
      </c>
      <c r="Q4138">
        <v>4.0063439999999999E-2</v>
      </c>
      <c r="R4138">
        <v>9.930746E-2</v>
      </c>
      <c r="S4138">
        <v>2.9935</v>
      </c>
      <c r="T4138">
        <v>-0.1905966</v>
      </c>
      <c r="U4138">
        <v>0.314422599999999</v>
      </c>
      <c r="V4138">
        <v>-0.1261806</v>
      </c>
      <c r="W4138">
        <v>5.2507869999999998E-2</v>
      </c>
      <c r="X4138">
        <v>0.99061670000000002</v>
      </c>
      <c r="Y4138">
        <v>-0.1309825</v>
      </c>
      <c r="Z4138">
        <v>5.8689049999999998E-3</v>
      </c>
      <c r="AA4138">
        <v>0.99136729999999995</v>
      </c>
      <c r="AB4138">
        <v>40</v>
      </c>
      <c r="AC4138">
        <v>17.1068999999999</v>
      </c>
      <c r="AD4138">
        <v>-1.104653855145</v>
      </c>
      <c r="AE4138">
        <v>1.8286799999999901</v>
      </c>
      <c r="AF4138">
        <v>-2.2809178712993701</v>
      </c>
      <c r="AG4138">
        <v>-1.104653855145</v>
      </c>
      <c r="AH4138">
        <v>16.981224958106001</v>
      </c>
      <c r="AI4138">
        <v>93.688895471245402</v>
      </c>
      <c r="AJ4138">
        <v>97.650179674204495</v>
      </c>
      <c r="AK4138">
        <v>17.169299565011499</v>
      </c>
      <c r="AL4138">
        <v>86.990136605462794</v>
      </c>
      <c r="AM4138">
        <v>97.259006337478596</v>
      </c>
      <c r="AN4138">
        <v>1.0000000332735901</v>
      </c>
    </row>
    <row r="4139" spans="1:40" x14ac:dyDescent="0.3">
      <c r="A4139" t="str">
        <f>"20200111154001904"</f>
        <v>20200111154001904</v>
      </c>
      <c r="B4139" t="str">
        <f>"1578728401895455"</f>
        <v>1578728401895455</v>
      </c>
      <c r="C4139" t="s">
        <v>40</v>
      </c>
      <c r="D4139">
        <v>4.8673859999999998</v>
      </c>
      <c r="E4139">
        <v>0.50286999999999904</v>
      </c>
      <c r="F4139" t="s">
        <v>82</v>
      </c>
      <c r="G4139">
        <v>-218.9016</v>
      </c>
      <c r="H4139" s="1">
        <v>-2.8184870000000001E-6</v>
      </c>
      <c r="I4139">
        <v>-60.210630000000002</v>
      </c>
      <c r="J4139">
        <v>-235.8175</v>
      </c>
      <c r="K4139">
        <v>1.1047009999999999</v>
      </c>
      <c r="L4139">
        <v>-61.836730000000003</v>
      </c>
      <c r="M4139">
        <v>0.99956029999999996</v>
      </c>
      <c r="N4139">
        <v>0</v>
      </c>
      <c r="O4139">
        <v>-2.6769669999999999E-2</v>
      </c>
      <c r="P4139">
        <v>0.99420120000000001</v>
      </c>
      <c r="Q4139">
        <v>4.0367979999999998E-2</v>
      </c>
      <c r="R4139">
        <v>9.9671360000000001E-2</v>
      </c>
      <c r="S4139">
        <v>2.9967959999999998</v>
      </c>
      <c r="T4139">
        <v>-0.19351760000000001</v>
      </c>
      <c r="U4139">
        <v>0.28399659999999999</v>
      </c>
      <c r="V4139">
        <v>-0.12629799999999999</v>
      </c>
      <c r="W4139">
        <v>5.2893089999999997E-2</v>
      </c>
      <c r="X4139">
        <v>0.99058120000000005</v>
      </c>
      <c r="Y4139">
        <v>-0.12065819999999999</v>
      </c>
      <c r="Z4139">
        <v>5.6065469999999999E-3</v>
      </c>
      <c r="AA4139">
        <v>0.99267830000000001</v>
      </c>
      <c r="AB4139">
        <v>40</v>
      </c>
      <c r="AC4139">
        <v>16.915899999999901</v>
      </c>
      <c r="AD4139">
        <v>-1.1047038184869999</v>
      </c>
      <c r="AE4139">
        <v>1.6261000000000001</v>
      </c>
      <c r="AF4139">
        <v>-2.0696411899243299</v>
      </c>
      <c r="AG4139">
        <v>-1.1047038184869999</v>
      </c>
      <c r="AH4139">
        <v>16.795329786799101</v>
      </c>
      <c r="AI4139">
        <v>93.735008373215607</v>
      </c>
      <c r="AJ4139">
        <v>97.024982425951706</v>
      </c>
      <c r="AK4139">
        <v>16.958386946551101</v>
      </c>
      <c r="AL4139">
        <v>86.968034276858702</v>
      </c>
      <c r="AM4139">
        <v>97.265945669369103</v>
      </c>
      <c r="AN4139">
        <v>0.99999998878359397</v>
      </c>
    </row>
    <row r="4140" spans="1:40" x14ac:dyDescent="0.3">
      <c r="A4140" t="str">
        <f>"20200111154001917"</f>
        <v>20200111154001917</v>
      </c>
      <c r="B4140" t="str">
        <f>"1578728401905215"</f>
        <v>1578728401905215</v>
      </c>
      <c r="C4140" t="s">
        <v>40</v>
      </c>
      <c r="D4140">
        <v>4.8525790000000004</v>
      </c>
      <c r="E4140">
        <v>0.5042951</v>
      </c>
      <c r="F4140" t="s">
        <v>82</v>
      </c>
      <c r="G4140">
        <v>-218.59200000000001</v>
      </c>
      <c r="H4140" s="1">
        <v>-2.6709819999999998E-6</v>
      </c>
      <c r="I4140">
        <v>-60.293300000000002</v>
      </c>
      <c r="J4140">
        <v>-235.59880000000001</v>
      </c>
      <c r="K4140">
        <v>1.1047610000000001</v>
      </c>
      <c r="L4140">
        <v>-61.842379999999999</v>
      </c>
      <c r="M4140">
        <v>0.99956710000000004</v>
      </c>
      <c r="N4140">
        <v>0</v>
      </c>
      <c r="O4140">
        <v>-2.6466549999999998E-2</v>
      </c>
      <c r="P4140">
        <v>0.9941392</v>
      </c>
      <c r="Q4140">
        <v>4.0633919999999997E-2</v>
      </c>
      <c r="R4140">
        <v>0.1001811</v>
      </c>
      <c r="S4140">
        <v>2.9983369999999998</v>
      </c>
      <c r="T4140">
        <v>-0.1922886</v>
      </c>
      <c r="U4140">
        <v>0.2686462</v>
      </c>
      <c r="V4140">
        <v>-0.1265124</v>
      </c>
      <c r="W4140">
        <v>5.3247839999999998E-2</v>
      </c>
      <c r="X4140">
        <v>0.99053480000000005</v>
      </c>
      <c r="Y4140">
        <v>-0.1152837</v>
      </c>
      <c r="Z4140">
        <v>5.3782409999999998E-3</v>
      </c>
      <c r="AA4140">
        <v>0.99331800000000003</v>
      </c>
      <c r="AB4140">
        <v>40</v>
      </c>
      <c r="AC4140">
        <v>17.006799999999998</v>
      </c>
      <c r="AD4140">
        <v>-1.1047636709819999</v>
      </c>
      <c r="AE4140">
        <v>1.54908</v>
      </c>
      <c r="AF4140">
        <v>-1.9903559313647401</v>
      </c>
      <c r="AG4140">
        <v>-1.1047636709819999</v>
      </c>
      <c r="AH4140">
        <v>16.889156625161199</v>
      </c>
      <c r="AI4140">
        <v>93.716885650135893</v>
      </c>
      <c r="AJ4140">
        <v>96.721201153261404</v>
      </c>
      <c r="AK4140">
        <v>17.041878740663201</v>
      </c>
      <c r="AL4140">
        <v>86.947679811283905</v>
      </c>
      <c r="AM4140">
        <v>97.278485266872906</v>
      </c>
      <c r="AN4140">
        <v>0.99999995491473104</v>
      </c>
    </row>
    <row r="4141" spans="1:40" x14ac:dyDescent="0.3">
      <c r="A4141" t="str">
        <f>"20200111154001929"</f>
        <v>20200111154001929</v>
      </c>
      <c r="B4141" t="str">
        <f>"1578728401924735"</f>
        <v>1578728401924735</v>
      </c>
      <c r="C4141" t="s">
        <v>40</v>
      </c>
      <c r="D4141">
        <v>4.8954849999999999</v>
      </c>
      <c r="E4141">
        <v>0.50631019999999904</v>
      </c>
      <c r="F4141" t="s">
        <v>82</v>
      </c>
      <c r="G4141">
        <v>-218.44239999999999</v>
      </c>
      <c r="H4141" s="1">
        <v>-2.5946390000000001E-6</v>
      </c>
      <c r="I4141">
        <v>-60.361939999999997</v>
      </c>
      <c r="J4141">
        <v>-235.37569999999999</v>
      </c>
      <c r="K4141">
        <v>1.1048249999999999</v>
      </c>
      <c r="L4141">
        <v>-61.847990000000003</v>
      </c>
      <c r="M4141">
        <v>0.9995752</v>
      </c>
      <c r="N4141">
        <v>0</v>
      </c>
      <c r="O4141">
        <v>-2.6113529999999999E-2</v>
      </c>
      <c r="P4141">
        <v>0.9940985</v>
      </c>
      <c r="Q4141">
        <v>4.0640059999999999E-2</v>
      </c>
      <c r="R4141">
        <v>0.10058209999999999</v>
      </c>
      <c r="S4141">
        <v>2.9994960000000002</v>
      </c>
      <c r="T4141">
        <v>-0.19314890000000001</v>
      </c>
      <c r="U4141">
        <v>0.25881959999999998</v>
      </c>
      <c r="V4141">
        <v>-0.1265685</v>
      </c>
      <c r="W4141">
        <v>5.3336389999999997E-2</v>
      </c>
      <c r="X4141">
        <v>0.99052289999999998</v>
      </c>
      <c r="Y4141">
        <v>-0.1116745</v>
      </c>
      <c r="Z4141">
        <v>5.2623820000000003E-3</v>
      </c>
      <c r="AA4141">
        <v>0.99373089999999997</v>
      </c>
      <c r="AB4141">
        <v>40</v>
      </c>
      <c r="AC4141">
        <v>16.933299999999999</v>
      </c>
      <c r="AD4141">
        <v>-1.104827594639</v>
      </c>
      <c r="AE4141">
        <v>1.4860499999999901</v>
      </c>
      <c r="AF4141">
        <v>-1.91965885235145</v>
      </c>
      <c r="AG4141">
        <v>-1.104827594639</v>
      </c>
      <c r="AH4141">
        <v>16.817669233789001</v>
      </c>
      <c r="AI4141">
        <v>93.734433802678197</v>
      </c>
      <c r="AJ4141">
        <v>96.511863407486501</v>
      </c>
      <c r="AK4141">
        <v>16.962892812855301</v>
      </c>
      <c r="AL4141">
        <v>86.942599143616107</v>
      </c>
      <c r="AM4141">
        <v>97.281764708812503</v>
      </c>
      <c r="AN4141">
        <v>0.99999998555744496</v>
      </c>
    </row>
    <row r="4142" spans="1:40" x14ac:dyDescent="0.3">
      <c r="A4142" t="str">
        <f>"20200111154001944"</f>
        <v>20200111154001944</v>
      </c>
      <c r="B4142" t="str">
        <f>"1578728401935003"</f>
        <v>1578728401935003</v>
      </c>
      <c r="C4142" t="s">
        <v>40</v>
      </c>
      <c r="D4142">
        <v>4.8585909999999997</v>
      </c>
      <c r="E4142">
        <v>0.50710310000000003</v>
      </c>
      <c r="F4142" t="s">
        <v>82</v>
      </c>
      <c r="G4142">
        <v>-218.0455</v>
      </c>
      <c r="H4142" s="1">
        <v>-2.4351019999999998E-6</v>
      </c>
      <c r="I4142">
        <v>-60.438380000000002</v>
      </c>
      <c r="J4142">
        <v>-235.11689999999999</v>
      </c>
      <c r="K4142">
        <v>1.104903</v>
      </c>
      <c r="L4142">
        <v>-61.854370000000003</v>
      </c>
      <c r="M4142">
        <v>0.99958530000000001</v>
      </c>
      <c r="N4142">
        <v>0</v>
      </c>
      <c r="O4142">
        <v>-2.5666600000000001E-2</v>
      </c>
      <c r="P4142">
        <v>0.9939983</v>
      </c>
      <c r="Q4142">
        <v>4.1163239999999997E-2</v>
      </c>
      <c r="R4142">
        <v>0.10135520000000001</v>
      </c>
      <c r="S4142">
        <v>3.0009000000000001</v>
      </c>
      <c r="T4142">
        <v>-0.19131280000000001</v>
      </c>
      <c r="U4142">
        <v>0.24407960000000001</v>
      </c>
      <c r="V4142">
        <v>-0.12690489999999999</v>
      </c>
      <c r="W4142">
        <v>5.3945880000000002E-2</v>
      </c>
      <c r="X4142">
        <v>0.99044690000000002</v>
      </c>
      <c r="Y4142">
        <v>-0.106359</v>
      </c>
      <c r="Z4142">
        <v>5.0136620000000003E-3</v>
      </c>
      <c r="AA4142">
        <v>0.99431510000000001</v>
      </c>
      <c r="AB4142">
        <v>40</v>
      </c>
      <c r="AC4142">
        <v>17.071399999999901</v>
      </c>
      <c r="AD4142">
        <v>-1.104905435102</v>
      </c>
      <c r="AE4142">
        <v>1.4159899999999901</v>
      </c>
      <c r="AF4142">
        <v>-1.84604530561985</v>
      </c>
      <c r="AG4142">
        <v>-1.104905435102</v>
      </c>
      <c r="AH4142">
        <v>16.958872706126002</v>
      </c>
      <c r="AI4142">
        <v>93.705839929362895</v>
      </c>
      <c r="AJ4142">
        <v>96.212428415358801</v>
      </c>
      <c r="AK4142">
        <v>17.094796364786099</v>
      </c>
      <c r="AL4142">
        <v>86.907627746789302</v>
      </c>
      <c r="AM4142">
        <v>97.301464168927694</v>
      </c>
      <c r="AN4142">
        <v>1.00000003666629</v>
      </c>
    </row>
    <row r="4143" spans="1:40" x14ac:dyDescent="0.3">
      <c r="A4143" t="str">
        <f>"20200111154001957"</f>
        <v>20200111154001957</v>
      </c>
      <c r="B4143" t="str">
        <f>"1578728401944764"</f>
        <v>1578728401944764</v>
      </c>
      <c r="C4143" t="s">
        <v>40</v>
      </c>
      <c r="D4143">
        <v>4.8911350000000002</v>
      </c>
      <c r="E4143">
        <v>0.50768579999999996</v>
      </c>
      <c r="F4143" t="s">
        <v>82</v>
      </c>
      <c r="G4143">
        <v>-217.65559999999999</v>
      </c>
      <c r="H4143" s="1">
        <v>-2.2729019999999999E-6</v>
      </c>
      <c r="I4143">
        <v>-60.457439999999998</v>
      </c>
      <c r="J4143">
        <v>-234.8888</v>
      </c>
      <c r="K4143">
        <v>1.104967</v>
      </c>
      <c r="L4143">
        <v>-61.859920000000002</v>
      </c>
      <c r="M4143">
        <v>0.99959480000000001</v>
      </c>
      <c r="N4143">
        <v>0</v>
      </c>
      <c r="O4143">
        <v>-2.524531E-2</v>
      </c>
      <c r="P4143">
        <v>0.99393819999999999</v>
      </c>
      <c r="Q4143">
        <v>4.138228E-2</v>
      </c>
      <c r="R4143">
        <v>0.1018563</v>
      </c>
      <c r="S4143">
        <v>3.0014949999999998</v>
      </c>
      <c r="T4143">
        <v>-0.1899265</v>
      </c>
      <c r="U4143">
        <v>0.2401123</v>
      </c>
      <c r="V4143">
        <v>-0.126994</v>
      </c>
      <c r="W4143">
        <v>5.423679E-2</v>
      </c>
      <c r="X4143">
        <v>0.99041959999999996</v>
      </c>
      <c r="Y4143">
        <v>-0.10462630000000001</v>
      </c>
      <c r="Z4143">
        <v>4.8954020000000001E-3</v>
      </c>
      <c r="AA4143">
        <v>0.99449960000000004</v>
      </c>
      <c r="AB4143">
        <v>40</v>
      </c>
      <c r="AC4143">
        <v>17.2332</v>
      </c>
      <c r="AD4143">
        <v>-1.104969272902</v>
      </c>
      <c r="AE4143">
        <v>1.40247999999999</v>
      </c>
      <c r="AF4143">
        <v>-1.8296554405688501</v>
      </c>
      <c r="AG4143">
        <v>-1.104969272902</v>
      </c>
      <c r="AH4143">
        <v>17.1223671796856</v>
      </c>
      <c r="AI4143">
        <v>93.671542421430004</v>
      </c>
      <c r="AJ4143">
        <v>96.099345790207707</v>
      </c>
      <c r="AK4143">
        <v>17.255261631202099</v>
      </c>
      <c r="AL4143">
        <v>86.890935419529896</v>
      </c>
      <c r="AM4143">
        <v>97.306734374876797</v>
      </c>
      <c r="AN4143">
        <v>1.0000000447448301</v>
      </c>
    </row>
    <row r="4144" spans="1:40" x14ac:dyDescent="0.3">
      <c r="A4144" t="str">
        <f>"20200111154001970"</f>
        <v>20200111154001970</v>
      </c>
      <c r="B4144" t="str">
        <f>"1578728401965259"</f>
        <v>1578728401965259</v>
      </c>
      <c r="C4144" t="s">
        <v>40</v>
      </c>
      <c r="D4144">
        <v>4.8663429999999996</v>
      </c>
      <c r="E4144">
        <v>0.50845180000000001</v>
      </c>
      <c r="F4144" t="s">
        <v>82</v>
      </c>
      <c r="G4144">
        <v>-217.28460000000001</v>
      </c>
      <c r="H4144" s="1">
        <v>-2.1170030000000001E-6</v>
      </c>
      <c r="I4144">
        <v>-60.469810000000003</v>
      </c>
      <c r="J4144">
        <v>-234.6566</v>
      </c>
      <c r="K4144">
        <v>1.105035</v>
      </c>
      <c r="L4144">
        <v>-61.865360000000003</v>
      </c>
      <c r="M4144">
        <v>0.99960550000000004</v>
      </c>
      <c r="N4144">
        <v>0</v>
      </c>
      <c r="O4144">
        <v>-2.477412E-2</v>
      </c>
      <c r="P4144">
        <v>0.99385400000000002</v>
      </c>
      <c r="Q4144">
        <v>4.1423050000000003E-2</v>
      </c>
      <c r="R4144">
        <v>0.1026575</v>
      </c>
      <c r="S4144">
        <v>3.001846</v>
      </c>
      <c r="T4144">
        <v>-0.18841740000000001</v>
      </c>
      <c r="U4144">
        <v>0.23702999999999999</v>
      </c>
      <c r="V4144">
        <v>-0.12733330000000001</v>
      </c>
      <c r="W4144">
        <v>5.4341540000000001E-2</v>
      </c>
      <c r="X4144">
        <v>0.99037030000000004</v>
      </c>
      <c r="Y4144">
        <v>-0.10314139999999999</v>
      </c>
      <c r="Z4144">
        <v>4.7802169999999998E-3</v>
      </c>
      <c r="AA4144">
        <v>0.99465519999999996</v>
      </c>
      <c r="AB4144">
        <v>40</v>
      </c>
      <c r="AC4144">
        <v>17.3719999999999</v>
      </c>
      <c r="AD4144">
        <v>-1.105037117003</v>
      </c>
      <c r="AE4144">
        <v>1.3955500000000001</v>
      </c>
      <c r="AF4144">
        <v>-1.8182254448123401</v>
      </c>
      <c r="AG4144">
        <v>-1.105037117003</v>
      </c>
      <c r="AH4144">
        <v>17.2626891050624</v>
      </c>
      <c r="AI4144">
        <v>93.642584818071697</v>
      </c>
      <c r="AJ4144">
        <v>96.012617786841105</v>
      </c>
      <c r="AK4144">
        <v>17.393317278085799</v>
      </c>
      <c r="AL4144">
        <v>86.884924844457004</v>
      </c>
      <c r="AM4144">
        <v>97.326405278018697</v>
      </c>
      <c r="AN4144">
        <v>1.0000000516902701</v>
      </c>
    </row>
    <row r="4145" spans="1:40" x14ac:dyDescent="0.3">
      <c r="A4145" t="str">
        <f>"20200111154001982"</f>
        <v>20200111154001982</v>
      </c>
      <c r="B4145" t="str">
        <f>"1578728401975019"</f>
        <v>1578728401975019</v>
      </c>
      <c r="C4145" t="s">
        <v>40</v>
      </c>
      <c r="D4145">
        <v>4.8441919999999996</v>
      </c>
      <c r="E4145">
        <v>0.50874920000000001</v>
      </c>
      <c r="F4145" t="s">
        <v>82</v>
      </c>
      <c r="G4145">
        <v>-216.9615</v>
      </c>
      <c r="H4145" s="1">
        <v>-1.9839620000000002E-6</v>
      </c>
      <c r="I4145">
        <v>-60.490749999999998</v>
      </c>
      <c r="J4145">
        <v>-234.43209999999999</v>
      </c>
      <c r="K4145">
        <v>1.1051</v>
      </c>
      <c r="L4145">
        <v>-61.870510000000003</v>
      </c>
      <c r="M4145">
        <v>0.99961639999999996</v>
      </c>
      <c r="N4145">
        <v>0</v>
      </c>
      <c r="O4145">
        <v>-2.428814E-2</v>
      </c>
      <c r="P4145">
        <v>0.9937667</v>
      </c>
      <c r="Q4145">
        <v>4.1017959999999999E-2</v>
      </c>
      <c r="R4145">
        <v>0.10366069999999999</v>
      </c>
      <c r="S4145">
        <v>3.0022739999999999</v>
      </c>
      <c r="T4145">
        <v>-0.18748809999999999</v>
      </c>
      <c r="U4145">
        <v>0.23321529999999999</v>
      </c>
      <c r="V4145">
        <v>-0.12785940000000001</v>
      </c>
      <c r="W4145">
        <v>5.399205E-2</v>
      </c>
      <c r="X4145">
        <v>0.99032160000000002</v>
      </c>
      <c r="Y4145">
        <v>-0.1013973</v>
      </c>
      <c r="Z4145">
        <v>4.671634E-3</v>
      </c>
      <c r="AA4145">
        <v>0.99483500000000002</v>
      </c>
      <c r="AB4145">
        <v>40</v>
      </c>
      <c r="AC4145">
        <v>17.470599999999902</v>
      </c>
      <c r="AD4145">
        <v>-1.105101983962</v>
      </c>
      <c r="AE4145">
        <v>1.3797599999999901</v>
      </c>
      <c r="AF4145">
        <v>-1.7965749861370599</v>
      </c>
      <c r="AG4145">
        <v>-1.105101983962</v>
      </c>
      <c r="AH4145">
        <v>17.362888906610401</v>
      </c>
      <c r="AI4145">
        <v>93.622523875832499</v>
      </c>
      <c r="AJ4145">
        <v>95.907493014897099</v>
      </c>
      <c r="AK4145">
        <v>17.490535819667301</v>
      </c>
      <c r="AL4145">
        <v>86.9049784867358</v>
      </c>
      <c r="AM4145">
        <v>97.356702508785702</v>
      </c>
      <c r="AN4145">
        <v>1.0000000195290599</v>
      </c>
    </row>
    <row r="4146" spans="1:40" x14ac:dyDescent="0.3">
      <c r="A4146" t="str">
        <f>"20200111154001995"</f>
        <v>20200111154001995</v>
      </c>
      <c r="B4146" t="str">
        <f>"1578728401984780"</f>
        <v>1578728401984780</v>
      </c>
      <c r="C4146" t="s">
        <v>40</v>
      </c>
      <c r="D4146">
        <v>4.8655879999999998</v>
      </c>
      <c r="E4146">
        <v>0.50900100000000004</v>
      </c>
      <c r="F4146" t="s">
        <v>82</v>
      </c>
      <c r="G4146">
        <v>-216.77520000000001</v>
      </c>
      <c r="H4146" s="1">
        <v>-1.9055180000000001E-6</v>
      </c>
      <c r="I4146">
        <v>-60.49615</v>
      </c>
      <c r="J4146">
        <v>-234.20590000000001</v>
      </c>
      <c r="K4146">
        <v>1.105165</v>
      </c>
      <c r="L4146">
        <v>-61.875610000000002</v>
      </c>
      <c r="M4146">
        <v>0.99962779999999996</v>
      </c>
      <c r="N4146">
        <v>0</v>
      </c>
      <c r="O4146">
        <v>-2.3778069999999998E-2</v>
      </c>
      <c r="P4146">
        <v>0.99366719999999997</v>
      </c>
      <c r="Q4146">
        <v>4.0689469999999998E-2</v>
      </c>
      <c r="R4146">
        <v>0.10473730000000001</v>
      </c>
      <c r="S4146">
        <v>3.0021969999999998</v>
      </c>
      <c r="T4146">
        <v>-0.1879007</v>
      </c>
      <c r="U4146">
        <v>0.23367309999999999</v>
      </c>
      <c r="V4146">
        <v>-0.1284341</v>
      </c>
      <c r="W4146">
        <v>5.3716369999999999E-2</v>
      </c>
      <c r="X4146">
        <v>0.99026219999999998</v>
      </c>
      <c r="Y4146">
        <v>-0.10104299999999999</v>
      </c>
      <c r="Z4146">
        <v>4.6390700000000003E-3</v>
      </c>
      <c r="AA4146">
        <v>0.99487130000000001</v>
      </c>
      <c r="AB4146">
        <v>40</v>
      </c>
      <c r="AC4146">
        <v>17.430700000000002</v>
      </c>
      <c r="AD4146">
        <v>-1.105166905518</v>
      </c>
      <c r="AE4146">
        <v>1.3794599999999899</v>
      </c>
      <c r="AF4146">
        <v>-1.7864385953298501</v>
      </c>
      <c r="AG4146">
        <v>-1.105166905518</v>
      </c>
      <c r="AH4146">
        <v>17.323758901961401</v>
      </c>
      <c r="AI4146">
        <v>93.631027160917697</v>
      </c>
      <c r="AJ4146">
        <v>95.887571980008104</v>
      </c>
      <c r="AK4146">
        <v>17.450655553222699</v>
      </c>
      <c r="AL4146">
        <v>86.920796668525298</v>
      </c>
      <c r="AM4146">
        <v>97.389842975263605</v>
      </c>
      <c r="AN4146">
        <v>0.99999999559881303</v>
      </c>
    </row>
    <row r="4147" spans="1:40" x14ac:dyDescent="0.3">
      <c r="A4147" t="str">
        <f>"20200111154002008"</f>
        <v>20200111154002008</v>
      </c>
      <c r="B4147" t="str">
        <f>"1578728401995516"</f>
        <v>1578728401995516</v>
      </c>
      <c r="C4147" t="s">
        <v>40</v>
      </c>
      <c r="D4147">
        <v>4.848433</v>
      </c>
      <c r="E4147">
        <v>0.50918450000000004</v>
      </c>
      <c r="F4147" t="s">
        <v>82</v>
      </c>
      <c r="G4147">
        <v>-216.73840000000001</v>
      </c>
      <c r="H4147" s="1">
        <v>-1.8935050000000001E-6</v>
      </c>
      <c r="I4147">
        <v>-60.510460000000002</v>
      </c>
      <c r="J4147">
        <v>-233.97980000000001</v>
      </c>
      <c r="K4147">
        <v>1.105237</v>
      </c>
      <c r="L4147">
        <v>-61.880519999999997</v>
      </c>
      <c r="M4147">
        <v>0.99963979999999997</v>
      </c>
      <c r="N4147">
        <v>0</v>
      </c>
      <c r="O4147">
        <v>-2.3223259999999999E-2</v>
      </c>
      <c r="P4147">
        <v>0.99352689999999999</v>
      </c>
      <c r="Q4147">
        <v>4.016844E-2</v>
      </c>
      <c r="R4147">
        <v>0.106259199999999</v>
      </c>
      <c r="S4147">
        <v>3.002167</v>
      </c>
      <c r="T4147">
        <v>-0.189946</v>
      </c>
      <c r="U4147">
        <v>0.2346191</v>
      </c>
      <c r="V4147">
        <v>-0.1294082</v>
      </c>
      <c r="W4147">
        <v>5.3239259999999997E-2</v>
      </c>
      <c r="X4147">
        <v>0.99016110000000002</v>
      </c>
      <c r="Y4147">
        <v>-0.1007995</v>
      </c>
      <c r="Z4147">
        <v>4.6467519999999997E-3</v>
      </c>
      <c r="AA4147">
        <v>0.99489590000000006</v>
      </c>
      <c r="AB4147">
        <v>40</v>
      </c>
      <c r="AC4147">
        <v>17.241399999999999</v>
      </c>
      <c r="AD4147">
        <v>-1.1052388935049999</v>
      </c>
      <c r="AE4147">
        <v>1.3700600000000001</v>
      </c>
      <c r="AF4147">
        <v>-1.76292924115132</v>
      </c>
      <c r="AG4147">
        <v>-1.1052388935049999</v>
      </c>
      <c r="AH4147">
        <v>17.134958314412401</v>
      </c>
      <c r="AI4147">
        <v>93.671253071958603</v>
      </c>
      <c r="AJ4147">
        <v>95.874204537151698</v>
      </c>
      <c r="AK4147">
        <v>17.260830482849698</v>
      </c>
      <c r="AL4147">
        <v>86.9481720999907</v>
      </c>
      <c r="AM4147">
        <v>97.4460159404085</v>
      </c>
      <c r="AN4147">
        <v>0.99999995249289697</v>
      </c>
    </row>
    <row r="4148" spans="1:40" x14ac:dyDescent="0.3">
      <c r="A4148" t="str">
        <f>"20200111154002022"</f>
        <v>20200111154002022</v>
      </c>
      <c r="B4148" t="str">
        <f>"1578728402015038"</f>
        <v>1578728402015038</v>
      </c>
      <c r="C4148" t="s">
        <v>40</v>
      </c>
      <c r="D4148">
        <v>4.863486</v>
      </c>
      <c r="E4148">
        <v>0.50952109999999995</v>
      </c>
      <c r="F4148" t="s">
        <v>82</v>
      </c>
      <c r="G4148">
        <v>-216.74109999999999</v>
      </c>
      <c r="H4148" s="1">
        <v>-1.8964369999999999E-6</v>
      </c>
      <c r="I4148">
        <v>-60.517049999999998</v>
      </c>
      <c r="J4148">
        <v>-233.71549999999999</v>
      </c>
      <c r="K4148">
        <v>1.105332</v>
      </c>
      <c r="L4148">
        <v>-61.88608</v>
      </c>
      <c r="M4148">
        <v>0.9996545</v>
      </c>
      <c r="N4148">
        <v>0</v>
      </c>
      <c r="O4148">
        <v>-2.254608E-2</v>
      </c>
      <c r="P4148">
        <v>0.99318019999999996</v>
      </c>
      <c r="Q4148">
        <v>3.9787509999999998E-2</v>
      </c>
      <c r="R4148">
        <v>0.1095913</v>
      </c>
      <c r="S4148">
        <v>3.0019529999999999</v>
      </c>
      <c r="T4148">
        <v>-0.19246730000000001</v>
      </c>
      <c r="U4148">
        <v>0.23742679999999999</v>
      </c>
      <c r="V4148">
        <v>-0.13206780000000001</v>
      </c>
      <c r="W4148">
        <v>5.289833E-2</v>
      </c>
      <c r="X4148">
        <v>0.98982820000000005</v>
      </c>
      <c r="Y4148">
        <v>-0.1010501</v>
      </c>
      <c r="Z4148">
        <v>4.6731689999999996E-3</v>
      </c>
      <c r="AA4148">
        <v>0.99487040000000004</v>
      </c>
      <c r="AB4148">
        <v>40</v>
      </c>
      <c r="AC4148">
        <v>16.974399999999999</v>
      </c>
      <c r="AD4148">
        <v>-1.1053338964370001</v>
      </c>
      <c r="AE4148">
        <v>1.36903</v>
      </c>
      <c r="AF4148">
        <v>-1.7440754194168899</v>
      </c>
      <c r="AG4148">
        <v>-1.1053338964370001</v>
      </c>
      <c r="AH4148">
        <v>16.868151310628399</v>
      </c>
      <c r="AI4148">
        <v>93.729285671300005</v>
      </c>
      <c r="AJ4148">
        <v>95.903097123539297</v>
      </c>
      <c r="AK4148">
        <v>16.9940604544494</v>
      </c>
      <c r="AL4148">
        <v>86.9677336641045</v>
      </c>
      <c r="AM4148">
        <v>97.599802110946101</v>
      </c>
      <c r="AN4148">
        <v>1.0000000013144299</v>
      </c>
    </row>
    <row r="4149" spans="1:40" x14ac:dyDescent="0.3">
      <c r="A4149" t="str">
        <f>"20200111154002036"</f>
        <v>20200111154002036</v>
      </c>
      <c r="B4149" t="str">
        <f>"1578728402024795"</f>
        <v>1578728402024795</v>
      </c>
      <c r="C4149" t="s">
        <v>40</v>
      </c>
      <c r="D4149">
        <v>4.8422780000000003</v>
      </c>
      <c r="E4149">
        <v>0.50961060000000002</v>
      </c>
      <c r="F4149" t="s">
        <v>82</v>
      </c>
      <c r="G4149">
        <v>-216.54130000000001</v>
      </c>
      <c r="H4149" s="1">
        <v>-1.803042E-6</v>
      </c>
      <c r="I4149">
        <v>-60.488160000000001</v>
      </c>
      <c r="J4149">
        <v>-233.50829999999999</v>
      </c>
      <c r="K4149">
        <v>1.105397</v>
      </c>
      <c r="L4149">
        <v>-61.890320000000003</v>
      </c>
      <c r="M4149">
        <v>0.9996659</v>
      </c>
      <c r="N4149">
        <v>0</v>
      </c>
      <c r="O4149">
        <v>-2.1997260000000001E-2</v>
      </c>
      <c r="P4149">
        <v>0.99295639999999996</v>
      </c>
      <c r="Q4149">
        <v>3.9927879999999999E-2</v>
      </c>
      <c r="R4149">
        <v>0.1115493</v>
      </c>
      <c r="S4149">
        <v>3.0013890000000001</v>
      </c>
      <c r="T4149">
        <v>-0.19317029999999999</v>
      </c>
      <c r="U4149">
        <v>0.24429319999999999</v>
      </c>
      <c r="V4149">
        <v>-0.13348289999999999</v>
      </c>
      <c r="W4149">
        <v>5.3068789999999998E-2</v>
      </c>
      <c r="X4149">
        <v>0.98962919999999999</v>
      </c>
      <c r="Y4149">
        <v>-0.1027757</v>
      </c>
      <c r="Z4149">
        <v>4.7108030000000004E-3</v>
      </c>
      <c r="AA4149">
        <v>0.99469339999999995</v>
      </c>
      <c r="AB4149">
        <v>40</v>
      </c>
      <c r="AC4149">
        <v>16.966999999999899</v>
      </c>
      <c r="AD4149">
        <v>-1.1053988030420001</v>
      </c>
      <c r="AE4149">
        <v>1.4021599999999901</v>
      </c>
      <c r="AF4149">
        <v>-1.7676307098128199</v>
      </c>
      <c r="AG4149">
        <v>-1.1053988030420001</v>
      </c>
      <c r="AH4149">
        <v>16.8609660920423</v>
      </c>
      <c r="AI4149">
        <v>93.730536661197704</v>
      </c>
      <c r="AJ4149">
        <v>95.984780157722199</v>
      </c>
      <c r="AK4149">
        <v>16.989367333630799</v>
      </c>
      <c r="AL4149">
        <v>86.957953184227506</v>
      </c>
      <c r="AM4149">
        <v>97.681792664811496</v>
      </c>
      <c r="AN4149">
        <v>0.999999967278556</v>
      </c>
    </row>
    <row r="4150" spans="1:40" x14ac:dyDescent="0.3">
      <c r="A4150" t="str">
        <f>"20200111154002046"</f>
        <v>20200111154002046</v>
      </c>
      <c r="B4150" t="str">
        <f>"1578728402035065"</f>
        <v>1578728402035065</v>
      </c>
      <c r="C4150" t="s">
        <v>40</v>
      </c>
      <c r="D4150">
        <v>4.8330149999999996</v>
      </c>
      <c r="E4150">
        <v>0.50978219999999996</v>
      </c>
      <c r="F4150" t="s">
        <v>82</v>
      </c>
      <c r="G4150">
        <v>-216.24969999999999</v>
      </c>
      <c r="H4150" s="1">
        <v>-1.6694909999999901E-6</v>
      </c>
      <c r="I4150">
        <v>-60.456389999999999</v>
      </c>
      <c r="J4150">
        <v>-233.29929999999999</v>
      </c>
      <c r="K4150">
        <v>1.105461</v>
      </c>
      <c r="L4150">
        <v>-61.894410000000001</v>
      </c>
      <c r="M4150">
        <v>0.99967810000000001</v>
      </c>
      <c r="N4150">
        <v>0</v>
      </c>
      <c r="O4150">
        <v>-2.1407309999999999E-2</v>
      </c>
      <c r="P4150">
        <v>0.99270530000000001</v>
      </c>
      <c r="Q4150">
        <v>4.0288839999999999E-2</v>
      </c>
      <c r="R4150">
        <v>0.11363570000000001</v>
      </c>
      <c r="S4150">
        <v>3.0010219999999999</v>
      </c>
      <c r="T4150">
        <v>-0.19221260000000001</v>
      </c>
      <c r="U4150">
        <v>0.24932860000000001</v>
      </c>
      <c r="V4150">
        <v>-0.13498579999999999</v>
      </c>
      <c r="W4150">
        <v>5.345449E-2</v>
      </c>
      <c r="X4150">
        <v>0.98940459999999997</v>
      </c>
      <c r="Y4150">
        <v>-0.1038578</v>
      </c>
      <c r="Z4150">
        <v>4.6846120000000003E-3</v>
      </c>
      <c r="AA4150">
        <v>0.9945811</v>
      </c>
      <c r="AB4150">
        <v>40</v>
      </c>
      <c r="AC4150">
        <v>17.049599999999899</v>
      </c>
      <c r="AD4150">
        <v>-1.1054626694909999</v>
      </c>
      <c r="AE4150">
        <v>1.4380200000000001</v>
      </c>
      <c r="AF4150">
        <v>-1.79521658341614</v>
      </c>
      <c r="AG4150">
        <v>-1.1054626694909999</v>
      </c>
      <c r="AH4150">
        <v>16.9441754722666</v>
      </c>
      <c r="AI4150">
        <v>93.7120524440341</v>
      </c>
      <c r="AJ4150">
        <v>96.047862163128897</v>
      </c>
      <c r="AK4150">
        <v>17.074833314851801</v>
      </c>
      <c r="AL4150">
        <v>86.935822906676407</v>
      </c>
      <c r="AM4150">
        <v>97.7689745633581</v>
      </c>
      <c r="AN4150">
        <v>1.00000000560198</v>
      </c>
    </row>
    <row r="4151" spans="1:40" x14ac:dyDescent="0.3">
      <c r="A4151" t="str">
        <f>"20200111154002067"</f>
        <v>20200111154002067</v>
      </c>
      <c r="B4151" t="str">
        <f>"1578728402055561"</f>
        <v>1578728402055561</v>
      </c>
      <c r="C4151" t="s">
        <v>40</v>
      </c>
      <c r="D4151">
        <v>4.7872139999999996</v>
      </c>
      <c r="E4151">
        <v>0.51018079999999999</v>
      </c>
      <c r="F4151" t="s">
        <v>82</v>
      </c>
      <c r="G4151">
        <v>-215.97130000000001</v>
      </c>
      <c r="H4151" s="1">
        <v>-1.5421199999999999E-6</v>
      </c>
      <c r="I4151">
        <v>-60.426560000000002</v>
      </c>
      <c r="J4151">
        <v>-232.9478</v>
      </c>
      <c r="K4151">
        <v>1.1055790000000001</v>
      </c>
      <c r="L4151">
        <v>-61.901000000000003</v>
      </c>
      <c r="M4151">
        <v>0.99969859999999999</v>
      </c>
      <c r="N4151">
        <v>0</v>
      </c>
      <c r="O4151">
        <v>-2.0381199999999999E-2</v>
      </c>
      <c r="P4151">
        <v>0.99211930000000004</v>
      </c>
      <c r="Q4151">
        <v>4.1030120000000003E-2</v>
      </c>
      <c r="R4151">
        <v>0.11838849999999999</v>
      </c>
      <c r="S4151">
        <v>3.0007320000000002</v>
      </c>
      <c r="T4151">
        <v>-0.19143560000000001</v>
      </c>
      <c r="U4151">
        <v>0.25418089999999999</v>
      </c>
      <c r="V4151">
        <v>-0.13872079999999901</v>
      </c>
      <c r="W4151">
        <v>5.4226789999999997E-2</v>
      </c>
      <c r="X4151">
        <v>0.9888458</v>
      </c>
      <c r="Y4151">
        <v>-0.1044448</v>
      </c>
      <c r="Z4151">
        <v>4.6192259999999997E-3</v>
      </c>
      <c r="AA4151">
        <v>0.99451990000000001</v>
      </c>
      <c r="AB4151">
        <v>40</v>
      </c>
      <c r="AC4151">
        <v>16.976499999999898</v>
      </c>
      <c r="AD4151">
        <v>-1.10558054212</v>
      </c>
      <c r="AE4151">
        <v>1.47444</v>
      </c>
      <c r="AF4151">
        <v>-1.81253782000351</v>
      </c>
      <c r="AG4151">
        <v>-1.10558054212</v>
      </c>
      <c r="AH4151">
        <v>16.8718986761859</v>
      </c>
      <c r="AI4151">
        <v>93.727725391507406</v>
      </c>
      <c r="AJ4151">
        <v>96.131733998159703</v>
      </c>
      <c r="AK4151">
        <v>17.004957119132602</v>
      </c>
      <c r="AL4151">
        <v>86.891509115609196</v>
      </c>
      <c r="AM4151">
        <v>97.985657378685204</v>
      </c>
      <c r="AN4151">
        <v>1.00000001064199</v>
      </c>
    </row>
    <row r="4152" spans="1:40" x14ac:dyDescent="0.3">
      <c r="A4152" t="str">
        <f>"20200111154002078"</f>
        <v>20200111154002078</v>
      </c>
      <c r="B4152" t="str">
        <f>"1578728402075080"</f>
        <v>1578728402075080</v>
      </c>
      <c r="C4152" t="s">
        <v>40</v>
      </c>
      <c r="D4152">
        <v>4.7937070000000004</v>
      </c>
      <c r="E4152">
        <v>0.51054169999999999</v>
      </c>
      <c r="F4152" t="s">
        <v>82</v>
      </c>
      <c r="G4152">
        <v>-215.41290000000001</v>
      </c>
      <c r="H4152" s="1">
        <v>-1.297028E-6</v>
      </c>
      <c r="I4152">
        <v>-60.350520000000003</v>
      </c>
      <c r="J4152">
        <v>-232.73339999999999</v>
      </c>
      <c r="K4152">
        <v>1.105642</v>
      </c>
      <c r="L4152">
        <v>-61.904850000000003</v>
      </c>
      <c r="M4152">
        <v>0.99971120000000002</v>
      </c>
      <c r="N4152">
        <v>0</v>
      </c>
      <c r="O4152">
        <v>-1.9730580000000001E-2</v>
      </c>
      <c r="P4152">
        <v>0.9917726</v>
      </c>
      <c r="Q4152">
        <v>4.1343669999999999E-2</v>
      </c>
      <c r="R4152">
        <v>0.1211531</v>
      </c>
      <c r="S4152">
        <v>3</v>
      </c>
      <c r="T4152">
        <v>-0.18915129999999999</v>
      </c>
      <c r="U4152">
        <v>0.26525880000000002</v>
      </c>
      <c r="V4152">
        <v>-0.1408412</v>
      </c>
      <c r="W4152">
        <v>5.4555800000000002E-2</v>
      </c>
      <c r="X4152">
        <v>0.98852790000000001</v>
      </c>
      <c r="Y4152">
        <v>-0.1074639</v>
      </c>
      <c r="Z4152">
        <v>4.6185929999999998E-3</v>
      </c>
      <c r="AA4152">
        <v>0.99419829999999998</v>
      </c>
      <c r="AB4152">
        <v>40</v>
      </c>
      <c r="AC4152">
        <v>17.3204999999999</v>
      </c>
      <c r="AD4152">
        <v>-1.1056432970279999</v>
      </c>
      <c r="AE4152">
        <v>1.55433</v>
      </c>
      <c r="AF4152">
        <v>-1.8881705400625299</v>
      </c>
      <c r="AG4152">
        <v>-1.1056432970279999</v>
      </c>
      <c r="AH4152">
        <v>17.216861639471901</v>
      </c>
      <c r="AI4152">
        <v>93.652570846298204</v>
      </c>
      <c r="AJ4152">
        <v>96.258607460456005</v>
      </c>
      <c r="AK4152">
        <v>17.355343839905402</v>
      </c>
      <c r="AL4152">
        <v>86.872630232850895</v>
      </c>
      <c r="AM4152">
        <v>98.108682989922102</v>
      </c>
      <c r="AN4152">
        <v>0.99999999400474504</v>
      </c>
    </row>
    <row r="4153" spans="1:40" x14ac:dyDescent="0.3">
      <c r="A4153" t="str">
        <f>"20200111154002089"</f>
        <v>20200111154002089</v>
      </c>
      <c r="B4153" t="str">
        <f>"1578728402084840"</f>
        <v>1578728402084840</v>
      </c>
      <c r="C4153" t="s">
        <v>40</v>
      </c>
      <c r="D4153">
        <v>4.8284339999999997</v>
      </c>
      <c r="E4153">
        <v>0.51078089999999998</v>
      </c>
      <c r="F4153" t="s">
        <v>82</v>
      </c>
      <c r="G4153">
        <v>-215.1267</v>
      </c>
      <c r="H4153" s="1">
        <v>-1.180257E-6</v>
      </c>
      <c r="I4153">
        <v>-60.316679999999998</v>
      </c>
      <c r="J4153">
        <v>-232.53360000000001</v>
      </c>
      <c r="K4153">
        <v>1.1056950000000001</v>
      </c>
      <c r="L4153">
        <v>-61.908259999999999</v>
      </c>
      <c r="M4153">
        <v>0.99972289999999997</v>
      </c>
      <c r="N4153">
        <v>0</v>
      </c>
      <c r="O4153">
        <v>-1.9103350000000002E-2</v>
      </c>
      <c r="P4153">
        <v>0.9913708</v>
      </c>
      <c r="Q4153">
        <v>4.1977800000000003E-2</v>
      </c>
      <c r="R4153">
        <v>0.124185199999999</v>
      </c>
      <c r="S4153">
        <v>2.9996800000000001</v>
      </c>
      <c r="T4153">
        <v>-0.18837010000000001</v>
      </c>
      <c r="U4153">
        <v>0.2705688</v>
      </c>
      <c r="V4153">
        <v>-0.1432515</v>
      </c>
      <c r="W4153">
        <v>5.5199039999999998E-2</v>
      </c>
      <c r="X4153">
        <v>0.98814579999999996</v>
      </c>
      <c r="Y4153">
        <v>-0.1085965</v>
      </c>
      <c r="Z4153">
        <v>4.5958600000000002E-3</v>
      </c>
      <c r="AA4153">
        <v>0.9940753</v>
      </c>
      <c r="AB4153">
        <v>40</v>
      </c>
      <c r="AC4153">
        <v>17.4069</v>
      </c>
      <c r="AD4153">
        <v>-1.105696180257</v>
      </c>
      <c r="AE4153">
        <v>1.59157999999999</v>
      </c>
      <c r="AF4153">
        <v>-1.91618363027685</v>
      </c>
      <c r="AG4153">
        <v>-1.105696180257</v>
      </c>
      <c r="AH4153">
        <v>17.304074801808699</v>
      </c>
      <c r="AI4153">
        <v>93.633963849029499</v>
      </c>
      <c r="AJ4153">
        <v>96.318959391775806</v>
      </c>
      <c r="AK4153">
        <v>17.444922713917901</v>
      </c>
      <c r="AL4153">
        <v>86.835719769742596</v>
      </c>
      <c r="AM4153">
        <v>98.248703935086695</v>
      </c>
      <c r="AN4153">
        <v>1.0000000241633999</v>
      </c>
    </row>
    <row r="4154" spans="1:40" x14ac:dyDescent="0.3">
      <c r="A4154" t="str">
        <f>"20200111154002101"</f>
        <v>20200111154002101</v>
      </c>
      <c r="B4154" t="str">
        <f>"1578728402095576"</f>
        <v>1578728402095576</v>
      </c>
      <c r="C4154" t="s">
        <v>40</v>
      </c>
      <c r="D4154">
        <v>4.8760409999999998</v>
      </c>
      <c r="E4154">
        <v>0.51116669999999997</v>
      </c>
      <c r="F4154" t="s">
        <v>82</v>
      </c>
      <c r="G4154">
        <v>-214.74529999999999</v>
      </c>
      <c r="H4154" s="1">
        <v>-1.0263949999999999E-6</v>
      </c>
      <c r="I4154">
        <v>-60.261670000000002</v>
      </c>
      <c r="J4154">
        <v>-232.3442</v>
      </c>
      <c r="K4154">
        <v>1.1057429999999999</v>
      </c>
      <c r="L4154">
        <v>-61.911380000000001</v>
      </c>
      <c r="M4154">
        <v>0.99973400000000001</v>
      </c>
      <c r="N4154">
        <v>0</v>
      </c>
      <c r="O4154">
        <v>-1.849199E-2</v>
      </c>
      <c r="P4154">
        <v>0.99097950000000001</v>
      </c>
      <c r="Q4154">
        <v>4.213244E-2</v>
      </c>
      <c r="R4154">
        <v>0.1272192</v>
      </c>
      <c r="S4154">
        <v>2.9992369999999999</v>
      </c>
      <c r="T4154">
        <v>-0.18642839999999999</v>
      </c>
      <c r="U4154">
        <v>0.27761839999999999</v>
      </c>
      <c r="V4154">
        <v>-0.14567820000000001</v>
      </c>
      <c r="W4154">
        <v>5.535901E-2</v>
      </c>
      <c r="X4154">
        <v>0.98778200000000005</v>
      </c>
      <c r="Y4154">
        <v>-0.11032160000000001</v>
      </c>
      <c r="Z4154">
        <v>4.5643209999999997E-3</v>
      </c>
      <c r="AA4154">
        <v>0.99388549999999998</v>
      </c>
      <c r="AB4154">
        <v>40</v>
      </c>
      <c r="AC4154">
        <v>17.5989</v>
      </c>
      <c r="AD4154">
        <v>-1.105744026395</v>
      </c>
      <c r="AE4154">
        <v>1.64971</v>
      </c>
      <c r="AF4154">
        <v>-1.96719929862332</v>
      </c>
      <c r="AG4154">
        <v>-1.105744026395</v>
      </c>
      <c r="AH4154">
        <v>17.496910894605499</v>
      </c>
      <c r="AI4154">
        <v>93.593504357434995</v>
      </c>
      <c r="AJ4154">
        <v>96.414895991667805</v>
      </c>
      <c r="AK4154">
        <v>17.641837596638801</v>
      </c>
      <c r="AL4154">
        <v>86.826540110686693</v>
      </c>
      <c r="AM4154">
        <v>98.389511775399896</v>
      </c>
      <c r="AN4154">
        <v>1.0000000187337099</v>
      </c>
    </row>
    <row r="4155" spans="1:40" x14ac:dyDescent="0.3">
      <c r="A4155" t="str">
        <f>"20200111154002113"</f>
        <v>20200111154002113</v>
      </c>
      <c r="B4155" t="str">
        <f>"1578728402105337"</f>
        <v>1578728402105337</v>
      </c>
      <c r="C4155" t="s">
        <v>40</v>
      </c>
      <c r="D4155">
        <v>4.8463890000000003</v>
      </c>
      <c r="E4155">
        <v>0.51148970000000005</v>
      </c>
      <c r="F4155" t="s">
        <v>82</v>
      </c>
      <c r="G4155">
        <v>-214.56610000000001</v>
      </c>
      <c r="H4155" s="1">
        <v>-9.5491529999999997E-7</v>
      </c>
      <c r="I4155">
        <v>-60.231319999999997</v>
      </c>
      <c r="J4155">
        <v>-232.13079999999999</v>
      </c>
      <c r="K4155">
        <v>1.1057999999999999</v>
      </c>
      <c r="L4155">
        <v>-61.914760000000001</v>
      </c>
      <c r="M4155">
        <v>0.99974629999999998</v>
      </c>
      <c r="N4155">
        <v>0</v>
      </c>
      <c r="O4155">
        <v>-1.778915E-2</v>
      </c>
      <c r="P4155">
        <v>0.99054120000000001</v>
      </c>
      <c r="Q4155">
        <v>4.2224789999999998E-2</v>
      </c>
      <c r="R4155">
        <v>0.13055899999999901</v>
      </c>
      <c r="S4155">
        <v>2.998856</v>
      </c>
      <c r="T4155">
        <v>-0.18651980000000001</v>
      </c>
      <c r="U4155">
        <v>0.28338619999999998</v>
      </c>
      <c r="V4155">
        <v>-0.1483207</v>
      </c>
      <c r="W4155">
        <v>5.5455659999999997E-2</v>
      </c>
      <c r="X4155">
        <v>0.98738320000000002</v>
      </c>
      <c r="Y4155">
        <v>-0.1115283</v>
      </c>
      <c r="Z4155">
        <v>4.5605419999999999E-3</v>
      </c>
      <c r="AA4155">
        <v>0.99375080000000005</v>
      </c>
      <c r="AB4155">
        <v>40</v>
      </c>
      <c r="AC4155">
        <v>17.564699999999899</v>
      </c>
      <c r="AD4155">
        <v>-1.1058009549152901</v>
      </c>
      <c r="AE4155">
        <v>1.68344</v>
      </c>
      <c r="AF4155">
        <v>-1.98785742822242</v>
      </c>
      <c r="AG4155">
        <v>-1.1058009549152901</v>
      </c>
      <c r="AH4155">
        <v>17.463385115414901</v>
      </c>
      <c r="AI4155">
        <v>93.600008777255695</v>
      </c>
      <c r="AJ4155">
        <v>96.494027534730705</v>
      </c>
      <c r="AK4155">
        <v>17.610911180178199</v>
      </c>
      <c r="AL4155">
        <v>86.820993805027697</v>
      </c>
      <c r="AM4155">
        <v>98.542865676443299</v>
      </c>
      <c r="AN4155">
        <v>0.99999997195838197</v>
      </c>
    </row>
    <row r="4156" spans="1:40" x14ac:dyDescent="0.3">
      <c r="A4156" t="str">
        <f>"20200111154002136"</f>
        <v>20200111154002136</v>
      </c>
      <c r="B4156" t="str">
        <f>"1578728402124856"</f>
        <v>1578728402124856</v>
      </c>
      <c r="C4156" t="s">
        <v>40</v>
      </c>
      <c r="D4156">
        <v>4.8214819999999996</v>
      </c>
      <c r="E4156">
        <v>0.51213599999999904</v>
      </c>
      <c r="F4156" t="s">
        <v>82</v>
      </c>
      <c r="G4156">
        <v>-214.33090000000001</v>
      </c>
      <c r="H4156" s="1">
        <v>-8.6132059999999999E-7</v>
      </c>
      <c r="I4156">
        <v>-60.18994</v>
      </c>
      <c r="J4156">
        <v>-231.733</v>
      </c>
      <c r="K4156">
        <v>1.105912</v>
      </c>
      <c r="L4156">
        <v>-61.920589999999997</v>
      </c>
      <c r="M4156">
        <v>0.99976880000000001</v>
      </c>
      <c r="N4156">
        <v>0</v>
      </c>
      <c r="O4156">
        <v>-1.6420690000000002E-2</v>
      </c>
      <c r="P4156">
        <v>0.98968650000000002</v>
      </c>
      <c r="Q4156">
        <v>4.3450120000000002E-2</v>
      </c>
      <c r="R4156">
        <v>0.13650100000000001</v>
      </c>
      <c r="S4156">
        <v>2.9983059999999999</v>
      </c>
      <c r="T4156">
        <v>-0.18626609999999999</v>
      </c>
      <c r="U4156">
        <v>0.29052729999999999</v>
      </c>
      <c r="V4156">
        <v>-0.15290889999999999</v>
      </c>
      <c r="W4156">
        <v>5.6682059999999999E-2</v>
      </c>
      <c r="X4156">
        <v>0.98661339999999997</v>
      </c>
      <c r="Y4156">
        <v>-0.1125318</v>
      </c>
      <c r="Z4156">
        <v>4.5009719999999998E-3</v>
      </c>
      <c r="AA4156">
        <v>0.99363789999999996</v>
      </c>
      <c r="AB4156">
        <v>40</v>
      </c>
      <c r="AC4156">
        <v>17.402099999999901</v>
      </c>
      <c r="AD4156">
        <v>-1.1059128613206</v>
      </c>
      <c r="AE4156">
        <v>1.73065</v>
      </c>
      <c r="AF4156">
        <v>-2.0081677406495002</v>
      </c>
      <c r="AG4156">
        <v>-1.1059128613206</v>
      </c>
      <c r="AH4156">
        <v>17.302138742851501</v>
      </c>
      <c r="AI4156">
        <v>93.632917451360399</v>
      </c>
      <c r="AJ4156">
        <v>96.6203963354546</v>
      </c>
      <c r="AK4156">
        <v>17.453360307067001</v>
      </c>
      <c r="AL4156">
        <v>86.750615615657097</v>
      </c>
      <c r="AM4156">
        <v>98.809815574597195</v>
      </c>
      <c r="AN4156">
        <v>0.99999999434230602</v>
      </c>
    </row>
    <row r="4157" spans="1:40" x14ac:dyDescent="0.3">
      <c r="A4157" t="str">
        <f>"20200111154002150"</f>
        <v>20200111154002150</v>
      </c>
      <c r="B4157" t="str">
        <f>"1578728402144884"</f>
        <v>1578728402144884</v>
      </c>
      <c r="C4157" t="s">
        <v>40</v>
      </c>
      <c r="D4157">
        <v>4.7510009999999996</v>
      </c>
      <c r="E4157">
        <v>0.51268910000000001</v>
      </c>
      <c r="F4157" t="s">
        <v>82</v>
      </c>
      <c r="G4157">
        <v>-213.64259999999999</v>
      </c>
      <c r="H4157" s="1">
        <v>-5.8298639999999997E-7</v>
      </c>
      <c r="I4157">
        <v>-60.094439999999999</v>
      </c>
      <c r="J4157">
        <v>-231.46950000000001</v>
      </c>
      <c r="K4157">
        <v>1.1059779999999999</v>
      </c>
      <c r="L4157">
        <v>-61.924100000000003</v>
      </c>
      <c r="M4157">
        <v>0.99978359999999999</v>
      </c>
      <c r="N4157">
        <v>0</v>
      </c>
      <c r="O4157">
        <v>-1.547397E-2</v>
      </c>
      <c r="P4157">
        <v>0.98924920000000005</v>
      </c>
      <c r="Q4157">
        <v>4.3846089999999997E-2</v>
      </c>
      <c r="R4157">
        <v>0.13951179999999999</v>
      </c>
      <c r="S4157">
        <v>2.9975589999999999</v>
      </c>
      <c r="T4157">
        <v>-0.1832482</v>
      </c>
      <c r="U4157">
        <v>0.30258180000000001</v>
      </c>
      <c r="V4157">
        <v>-0.1549854</v>
      </c>
      <c r="W4157">
        <v>5.7078150000000001E-2</v>
      </c>
      <c r="X4157">
        <v>0.98626650000000005</v>
      </c>
      <c r="Y4157">
        <v>-0.11557530000000001</v>
      </c>
      <c r="Z4157">
        <v>4.4634260000000004E-3</v>
      </c>
      <c r="AA4157">
        <v>0.99328870000000002</v>
      </c>
      <c r="AB4157">
        <v>39</v>
      </c>
      <c r="AC4157">
        <v>17.826899999999998</v>
      </c>
      <c r="AD4157">
        <v>-1.1059785829863999</v>
      </c>
      <c r="AE4157">
        <v>1.8296599999999901</v>
      </c>
      <c r="AF4157">
        <v>-2.0973321077403599</v>
      </c>
      <c r="AG4157">
        <v>-1.1059785829863999</v>
      </c>
      <c r="AH4157">
        <v>17.728923999782101</v>
      </c>
      <c r="AI4157">
        <v>93.544985120815497</v>
      </c>
      <c r="AJ4157">
        <v>96.746735323720699</v>
      </c>
      <c r="AK4157">
        <v>17.886775472013799</v>
      </c>
      <c r="AL4157">
        <v>86.727884544793397</v>
      </c>
      <c r="AM4157">
        <v>98.930627761178698</v>
      </c>
      <c r="AN4157">
        <v>0.99999999922141602</v>
      </c>
    </row>
    <row r="4158" spans="1:40" x14ac:dyDescent="0.3">
      <c r="A4158" t="str">
        <f>"20200111154002169"</f>
        <v>20200111154002169</v>
      </c>
      <c r="B4158" t="str">
        <f>"1578728402165379"</f>
        <v>1578728402165379</v>
      </c>
      <c r="C4158" t="s">
        <v>40</v>
      </c>
      <c r="D4158">
        <v>4.8165959999999997</v>
      </c>
      <c r="E4158">
        <v>0.5130479</v>
      </c>
      <c r="F4158" t="s">
        <v>82</v>
      </c>
      <c r="G4158">
        <v>-213.39869999999999</v>
      </c>
      <c r="H4158" s="1">
        <v>-4.8207609999999897E-7</v>
      </c>
      <c r="I4158">
        <v>-60.073549999999997</v>
      </c>
      <c r="J4158">
        <v>-231.15870000000001</v>
      </c>
      <c r="K4158">
        <v>1.1060650000000001</v>
      </c>
      <c r="L4158">
        <v>-61.927860000000003</v>
      </c>
      <c r="M4158">
        <v>0.99980020000000003</v>
      </c>
      <c r="N4158">
        <v>0</v>
      </c>
      <c r="O4158">
        <v>-1.432775E-2</v>
      </c>
      <c r="P4158">
        <v>0.9884638</v>
      </c>
      <c r="Q4158">
        <v>4.5272020000000003E-2</v>
      </c>
      <c r="R4158">
        <v>0.1445332</v>
      </c>
      <c r="S4158">
        <v>2.997452</v>
      </c>
      <c r="T4158">
        <v>-0.18345139999999999</v>
      </c>
      <c r="U4158">
        <v>0.30694579999999999</v>
      </c>
      <c r="V4158">
        <v>-0.1588764</v>
      </c>
      <c r="W4158">
        <v>5.8493410000000003E-2</v>
      </c>
      <c r="X4158">
        <v>0.9855642</v>
      </c>
      <c r="Y4158">
        <v>-0.1158725</v>
      </c>
      <c r="Z4158">
        <v>4.4073309999999996E-3</v>
      </c>
      <c r="AA4158">
        <v>0.99325430000000003</v>
      </c>
      <c r="AB4158">
        <v>39</v>
      </c>
      <c r="AC4158">
        <v>17.760000000000002</v>
      </c>
      <c r="AD4158">
        <v>-1.10606548207609</v>
      </c>
      <c r="AE4158">
        <v>1.8543099999999899</v>
      </c>
      <c r="AF4158">
        <v>-2.1005458500224599</v>
      </c>
      <c r="AG4158">
        <v>-1.10606548207609</v>
      </c>
      <c r="AH4158">
        <v>17.663833696182099</v>
      </c>
      <c r="AI4158">
        <v>93.558037070931306</v>
      </c>
      <c r="AJ4158">
        <v>96.7816454619864</v>
      </c>
      <c r="AK4158">
        <v>17.822645554604598</v>
      </c>
      <c r="AL4158">
        <v>86.646660359938807</v>
      </c>
      <c r="AM4158">
        <v>99.157498626287506</v>
      </c>
      <c r="AN4158">
        <v>0.99999999090601399</v>
      </c>
    </row>
    <row r="4159" spans="1:40" x14ac:dyDescent="0.3">
      <c r="A4159" t="str">
        <f>"20200111154002182"</f>
        <v>20200111154002182</v>
      </c>
      <c r="B4159" t="str">
        <f>"1578728402175139"</f>
        <v>1578728402175139</v>
      </c>
      <c r="C4159" t="s">
        <v>40</v>
      </c>
      <c r="D4159">
        <v>4.8490729999999997</v>
      </c>
      <c r="E4159">
        <v>0.5237368</v>
      </c>
      <c r="F4159" t="s">
        <v>82</v>
      </c>
      <c r="G4159">
        <v>-212.64330000000001</v>
      </c>
      <c r="H4159" s="1">
        <v>-1.78313799999999E-7</v>
      </c>
      <c r="I4159">
        <v>-59.959029999999998</v>
      </c>
      <c r="J4159">
        <v>-230.9057</v>
      </c>
      <c r="K4159">
        <v>1.1061209999999999</v>
      </c>
      <c r="L4159">
        <v>-61.930689999999998</v>
      </c>
      <c r="M4159">
        <v>0.99981330000000002</v>
      </c>
      <c r="N4159">
        <v>0</v>
      </c>
      <c r="O4159">
        <v>-1.336856E-2</v>
      </c>
      <c r="P4159">
        <v>0.98802760000000001</v>
      </c>
      <c r="Q4159">
        <v>4.5518509999999998E-2</v>
      </c>
      <c r="R4159">
        <v>0.14741000000000001</v>
      </c>
      <c r="S4159">
        <v>2.9966279999999998</v>
      </c>
      <c r="T4159">
        <v>-0.17901059999999999</v>
      </c>
      <c r="U4159">
        <v>0.31863399999999997</v>
      </c>
      <c r="V4159">
        <v>-0.1608077</v>
      </c>
      <c r="W4159">
        <v>5.8735229999999999E-2</v>
      </c>
      <c r="X4159">
        <v>0.98523649999999996</v>
      </c>
      <c r="Y4159">
        <v>-0.1187872</v>
      </c>
      <c r="Z4159">
        <v>4.3307770000000001E-3</v>
      </c>
      <c r="AA4159">
        <v>0.99291030000000002</v>
      </c>
      <c r="AB4159">
        <v>39</v>
      </c>
      <c r="AC4159">
        <v>18.2623999999999</v>
      </c>
      <c r="AD4159">
        <v>-1.1061211783138001</v>
      </c>
      <c r="AE4159">
        <v>1.97165999999999</v>
      </c>
      <c r="AF4159">
        <v>-2.2076440730343201</v>
      </c>
      <c r="AG4159">
        <v>-1.1061211783138001</v>
      </c>
      <c r="AH4159">
        <v>18.168523400211299</v>
      </c>
      <c r="AI4159">
        <v>93.458558630827994</v>
      </c>
      <c r="AJ4159">
        <v>96.9280055524967</v>
      </c>
      <c r="AK4159">
        <v>18.335551231374101</v>
      </c>
      <c r="AL4159">
        <v>86.632781101808803</v>
      </c>
      <c r="AM4159">
        <v>99.269925942269296</v>
      </c>
      <c r="AN4159">
        <v>0.99999995227734495</v>
      </c>
    </row>
    <row r="4160" spans="1:40" x14ac:dyDescent="0.3">
      <c r="A4160" t="str">
        <f>"20200111154002195"</f>
        <v>20200111154002195</v>
      </c>
      <c r="B4160" t="str">
        <f>"1578728402184900"</f>
        <v>1578728402184900</v>
      </c>
      <c r="C4160" t="s">
        <v>40</v>
      </c>
      <c r="D4160">
        <v>4.8069449999999998</v>
      </c>
      <c r="E4160">
        <v>0.5234432</v>
      </c>
      <c r="F4160" t="s">
        <v>82</v>
      </c>
      <c r="G4160">
        <v>-214.8075</v>
      </c>
      <c r="H4160" s="1">
        <v>-1.099553E-6</v>
      </c>
      <c r="I4160">
        <v>-60.639710000000001</v>
      </c>
      <c r="J4160">
        <v>-230.68610000000001</v>
      </c>
      <c r="K4160">
        <v>1.1061650000000001</v>
      </c>
      <c r="L4160">
        <v>-61.932949999999998</v>
      </c>
      <c r="M4160">
        <v>0.99982369999999998</v>
      </c>
      <c r="N4160">
        <v>0</v>
      </c>
      <c r="O4160">
        <v>-1.252232E-2</v>
      </c>
      <c r="P4160">
        <v>0.98757950000000005</v>
      </c>
      <c r="Q4160">
        <v>4.5966260000000002E-2</v>
      </c>
      <c r="R4160">
        <v>0.15024589999999999</v>
      </c>
      <c r="S4160">
        <v>3.0098569999999998</v>
      </c>
      <c r="T4160">
        <v>-0.2068101</v>
      </c>
      <c r="U4160">
        <v>0.24136350000000001</v>
      </c>
      <c r="V4160">
        <v>-0.16281010000000001</v>
      </c>
      <c r="W4160">
        <v>5.9176020000000003E-2</v>
      </c>
      <c r="X4160">
        <v>0.98488129999999996</v>
      </c>
      <c r="Y4160">
        <v>-9.2166300000000007E-2</v>
      </c>
      <c r="Z4160">
        <v>4.0158470000000003E-3</v>
      </c>
      <c r="AA4160">
        <v>0.9957355</v>
      </c>
      <c r="AB4160">
        <v>39</v>
      </c>
      <c r="AC4160">
        <v>15.8786</v>
      </c>
      <c r="AD4160">
        <v>-1.106166099553</v>
      </c>
      <c r="AE4160">
        <v>1.29323999999999</v>
      </c>
      <c r="AF4160">
        <v>-1.48483643073684</v>
      </c>
      <c r="AG4160">
        <v>-1.106166099553</v>
      </c>
      <c r="AH4160">
        <v>15.785057673905399</v>
      </c>
      <c r="AI4160">
        <v>93.9909901972337</v>
      </c>
      <c r="AJ4160">
        <v>95.373769343663895</v>
      </c>
      <c r="AK4160">
        <v>15.893281235615399</v>
      </c>
      <c r="AL4160">
        <v>86.607482028617198</v>
      </c>
      <c r="AM4160">
        <v>99.386639635209306</v>
      </c>
      <c r="AN4160">
        <v>1.00000005254736</v>
      </c>
    </row>
    <row r="4161" spans="1:40" x14ac:dyDescent="0.3">
      <c r="A4161" t="str">
        <f>"20200111154002208"</f>
        <v>20200111154002208</v>
      </c>
      <c r="B4161" t="str">
        <f>"1578728402205395"</f>
        <v>1578728402205395</v>
      </c>
      <c r="C4161" t="s">
        <v>40</v>
      </c>
      <c r="D4161">
        <v>4.8103420000000003</v>
      </c>
      <c r="E4161">
        <v>0.52387839999999997</v>
      </c>
      <c r="F4161" t="s">
        <v>82</v>
      </c>
      <c r="G4161">
        <v>-215.12870000000001</v>
      </c>
      <c r="H4161" s="1">
        <v>-1.235519E-6</v>
      </c>
      <c r="I4161">
        <v>-60.632779999999997</v>
      </c>
      <c r="J4161">
        <v>-230.4614</v>
      </c>
      <c r="K4161">
        <v>1.106212</v>
      </c>
      <c r="L4161">
        <v>-61.9349699999999</v>
      </c>
      <c r="M4161">
        <v>0.99983449999999996</v>
      </c>
      <c r="N4161">
        <v>0</v>
      </c>
      <c r="O4161">
        <v>-1.1628640000000001E-2</v>
      </c>
      <c r="P4161">
        <v>0.98716599999999999</v>
      </c>
      <c r="Q4161">
        <v>4.5875989999999998E-2</v>
      </c>
      <c r="R4161">
        <v>0.15296709999999999</v>
      </c>
      <c r="S4161">
        <v>3.0094449999999999</v>
      </c>
      <c r="T4161">
        <v>-0.2139781</v>
      </c>
      <c r="U4161">
        <v>0.25149539999999998</v>
      </c>
      <c r="V4161">
        <v>-0.1646502</v>
      </c>
      <c r="W4161">
        <v>5.9078430000000001E-2</v>
      </c>
      <c r="X4161">
        <v>0.98458120000000005</v>
      </c>
      <c r="Y4161">
        <v>-9.4595760000000001E-2</v>
      </c>
      <c r="Z4161">
        <v>4.1774339999999998E-3</v>
      </c>
      <c r="AA4161">
        <v>0.99550700000000003</v>
      </c>
      <c r="AB4161">
        <v>39</v>
      </c>
      <c r="AC4161">
        <v>15.3326999999999</v>
      </c>
      <c r="AD4161">
        <v>-1.106213235519</v>
      </c>
      <c r="AE4161">
        <v>1.30218999999998</v>
      </c>
      <c r="AF4161">
        <v>-1.47280643254343</v>
      </c>
      <c r="AG4161">
        <v>-1.106213235519</v>
      </c>
      <c r="AH4161">
        <v>15.2377707089925</v>
      </c>
      <c r="AI4161">
        <v>94.133011840504295</v>
      </c>
      <c r="AJ4161">
        <v>95.520773051407602</v>
      </c>
      <c r="AK4161">
        <v>15.3486977522528</v>
      </c>
      <c r="AL4161">
        <v>86.613083295273299</v>
      </c>
      <c r="AM4161">
        <v>99.493649227903006</v>
      </c>
      <c r="AN4161">
        <v>1.00000004432237</v>
      </c>
    </row>
    <row r="4162" spans="1:40" x14ac:dyDescent="0.3">
      <c r="A4162" t="str">
        <f>"20200111154002220"</f>
        <v>20200111154002220</v>
      </c>
      <c r="B4162" t="str">
        <f>"1578728402215155"</f>
        <v>1578728402215155</v>
      </c>
      <c r="C4162" t="s">
        <v>40</v>
      </c>
      <c r="D4162">
        <v>4.8319749999999999</v>
      </c>
      <c r="E4162">
        <v>0.52420999999999995</v>
      </c>
      <c r="F4162" t="s">
        <v>82</v>
      </c>
      <c r="G4162">
        <v>-215.59030000000001</v>
      </c>
      <c r="H4162" s="1">
        <v>-1.4443380000000001E-6</v>
      </c>
      <c r="I4162">
        <v>-60.673319999999997</v>
      </c>
      <c r="J4162">
        <v>-230.2491</v>
      </c>
      <c r="K4162">
        <v>1.106252</v>
      </c>
      <c r="L4162">
        <v>-61.936770000000003</v>
      </c>
      <c r="M4162">
        <v>0.9998437</v>
      </c>
      <c r="N4162">
        <v>0</v>
      </c>
      <c r="O4162">
        <v>-1.0773980000000001E-2</v>
      </c>
      <c r="P4162">
        <v>0.98675950000000001</v>
      </c>
      <c r="Q4162">
        <v>4.5610560000000001E-2</v>
      </c>
      <c r="R4162">
        <v>0.15564520000000001</v>
      </c>
      <c r="S4162">
        <v>3.0098419999999999</v>
      </c>
      <c r="T4162">
        <v>-0.22389339999999999</v>
      </c>
      <c r="U4162">
        <v>0.25534059999999997</v>
      </c>
      <c r="V4162">
        <v>-0.16648550000000001</v>
      </c>
      <c r="W4162">
        <v>5.8803790000000002E-2</v>
      </c>
      <c r="X4162">
        <v>0.98428890000000002</v>
      </c>
      <c r="Y4162">
        <v>-9.4972979999999999E-2</v>
      </c>
      <c r="Z4162">
        <v>4.3202789999999998E-3</v>
      </c>
      <c r="AA4162">
        <v>0.99547050000000004</v>
      </c>
      <c r="AB4162">
        <v>39</v>
      </c>
      <c r="AC4162">
        <v>14.6587999999999</v>
      </c>
      <c r="AD4162">
        <v>-1.1062534443379901</v>
      </c>
      <c r="AE4162">
        <v>1.26344999999999</v>
      </c>
      <c r="AF4162">
        <v>-1.4133358521228501</v>
      </c>
      <c r="AG4162">
        <v>-1.1062534443379901</v>
      </c>
      <c r="AH4162">
        <v>14.562012624529</v>
      </c>
      <c r="AI4162">
        <v>94.324085760367794</v>
      </c>
      <c r="AJ4162">
        <v>95.543556321123205</v>
      </c>
      <c r="AK4162">
        <v>14.672202513288401</v>
      </c>
      <c r="AL4162">
        <v>86.628846171733002</v>
      </c>
      <c r="AM4162">
        <v>99.600310907541498</v>
      </c>
      <c r="AN4162">
        <v>0.99999997304591104</v>
      </c>
    </row>
    <row r="4163" spans="1:40" x14ac:dyDescent="0.3">
      <c r="A4163" t="str">
        <f>"20200111154002233"</f>
        <v>20200111154002233</v>
      </c>
      <c r="B4163" t="str">
        <f>"1578728402224915"</f>
        <v>1578728402224915</v>
      </c>
      <c r="C4163" t="s">
        <v>40</v>
      </c>
      <c r="D4163">
        <v>4.8053269999999904</v>
      </c>
      <c r="E4163">
        <v>0.52466759999999901</v>
      </c>
      <c r="F4163" t="s">
        <v>82</v>
      </c>
      <c r="G4163">
        <v>-215.70859999999999</v>
      </c>
      <c r="H4163" s="1">
        <v>-1.496617E-6</v>
      </c>
      <c r="I4163">
        <v>-60.679110000000001</v>
      </c>
      <c r="J4163">
        <v>-229.99860000000001</v>
      </c>
      <c r="K4163">
        <v>1.106295</v>
      </c>
      <c r="L4163">
        <v>-61.938600000000001</v>
      </c>
      <c r="M4163">
        <v>0.99985400000000002</v>
      </c>
      <c r="N4163">
        <v>0</v>
      </c>
      <c r="O4163">
        <v>-9.7503580000000006E-3</v>
      </c>
      <c r="P4163">
        <v>0.98607060000000002</v>
      </c>
      <c r="Q4163">
        <v>4.4784749999999998E-2</v>
      </c>
      <c r="R4163">
        <v>0.16018579999999999</v>
      </c>
      <c r="S4163">
        <v>3.0097809999999998</v>
      </c>
      <c r="T4163">
        <v>-0.2289873</v>
      </c>
      <c r="U4163">
        <v>0.26031490000000002</v>
      </c>
      <c r="V4163">
        <v>-0.17001250000000001</v>
      </c>
      <c r="W4163">
        <v>5.7958839999999998E-2</v>
      </c>
      <c r="X4163">
        <v>0.98373600000000005</v>
      </c>
      <c r="Y4163">
        <v>-9.5576729999999999E-2</v>
      </c>
      <c r="Z4163">
        <v>4.3633229999999997E-3</v>
      </c>
      <c r="AA4163">
        <v>0.99541250000000003</v>
      </c>
      <c r="AB4163">
        <v>39</v>
      </c>
      <c r="AC4163">
        <v>14.29</v>
      </c>
      <c r="AD4163">
        <v>-1.1062964966169999</v>
      </c>
      <c r="AE4163">
        <v>1.25949</v>
      </c>
      <c r="AF4163">
        <v>-1.3905067288372599</v>
      </c>
      <c r="AG4163">
        <v>-1.1062964966169999</v>
      </c>
      <c r="AH4163">
        <v>14.1926314263132</v>
      </c>
      <c r="AI4163">
        <v>94.435962360402399</v>
      </c>
      <c r="AJ4163">
        <v>95.595629735310098</v>
      </c>
      <c r="AK4163">
        <v>14.3034327245085</v>
      </c>
      <c r="AL4163">
        <v>86.677341039544302</v>
      </c>
      <c r="AM4163">
        <v>99.805191041854897</v>
      </c>
      <c r="AN4163">
        <v>0.99999999749319701</v>
      </c>
    </row>
    <row r="4164" spans="1:40" x14ac:dyDescent="0.3">
      <c r="A4164" t="str">
        <f>"20200111154002245"</f>
        <v>20200111154002245</v>
      </c>
      <c r="B4164" t="str">
        <f>"1578728402235653"</f>
        <v>1578728402235653</v>
      </c>
      <c r="C4164" t="s">
        <v>40</v>
      </c>
      <c r="D4164">
        <v>4.7726030000000002</v>
      </c>
      <c r="E4164">
        <v>0.52531740000000005</v>
      </c>
      <c r="F4164" t="s">
        <v>82</v>
      </c>
      <c r="G4164">
        <v>-215.85</v>
      </c>
      <c r="H4164" s="1">
        <v>-1.5552219999999999E-6</v>
      </c>
      <c r="I4164">
        <v>-60.671439999999997</v>
      </c>
      <c r="J4164">
        <v>-229.80029999999999</v>
      </c>
      <c r="K4164">
        <v>1.1063210000000001</v>
      </c>
      <c r="L4164">
        <v>-61.939790000000002</v>
      </c>
      <c r="M4164">
        <v>0.99986169999999996</v>
      </c>
      <c r="N4164">
        <v>0</v>
      </c>
      <c r="O4164">
        <v>-8.9231799999999993E-3</v>
      </c>
      <c r="P4164">
        <v>0.98568219999999995</v>
      </c>
      <c r="Q4164">
        <v>4.425602E-2</v>
      </c>
      <c r="R4164">
        <v>0.16270319999999999</v>
      </c>
      <c r="S4164">
        <v>3.009293</v>
      </c>
      <c r="T4164">
        <v>-0.23529949999999999</v>
      </c>
      <c r="U4164">
        <v>0.26950069999999998</v>
      </c>
      <c r="V4164">
        <v>-0.17171330000000001</v>
      </c>
      <c r="W4164">
        <v>5.7421380000000001E-2</v>
      </c>
      <c r="X4164">
        <v>0.98347200000000001</v>
      </c>
      <c r="Y4164">
        <v>-9.7761029999999999E-2</v>
      </c>
      <c r="Z4164">
        <v>4.5039980000000004E-3</v>
      </c>
      <c r="AA4164">
        <v>0.99519970000000002</v>
      </c>
      <c r="AB4164">
        <v>39</v>
      </c>
      <c r="AC4164">
        <v>13.9503</v>
      </c>
      <c r="AD4164">
        <v>-1.106322555222</v>
      </c>
      <c r="AE4164">
        <v>1.2683499999999901</v>
      </c>
      <c r="AF4164">
        <v>-1.38415889017656</v>
      </c>
      <c r="AG4164">
        <v>-1.106322555222</v>
      </c>
      <c r="AH4164">
        <v>13.8520215669474</v>
      </c>
      <c r="AI4164">
        <v>94.543829116193507</v>
      </c>
      <c r="AJ4164">
        <v>95.706320592879294</v>
      </c>
      <c r="AK4164">
        <v>13.9648969534553</v>
      </c>
      <c r="AL4164">
        <v>86.708186358005804</v>
      </c>
      <c r="AM4164">
        <v>99.903955187776205</v>
      </c>
      <c r="AN4164">
        <v>0.99999992353099398</v>
      </c>
    </row>
    <row r="4165" spans="1:40" x14ac:dyDescent="0.3">
      <c r="A4165" t="str">
        <f>"20200111154002259"</f>
        <v>20200111154002259</v>
      </c>
      <c r="B4165" t="str">
        <f>"1578728402255171"</f>
        <v>1578728402255171</v>
      </c>
      <c r="C4165" t="s">
        <v>40</v>
      </c>
      <c r="D4165">
        <v>4.8528719999999996</v>
      </c>
      <c r="E4165">
        <v>0.49434790000000001</v>
      </c>
      <c r="F4165" t="s">
        <v>82</v>
      </c>
      <c r="G4165">
        <v>-215.6131</v>
      </c>
      <c r="H4165" s="1">
        <v>-1.4503760000000001E-6</v>
      </c>
      <c r="I4165">
        <v>-60.65925</v>
      </c>
      <c r="J4165">
        <v>-229.5737</v>
      </c>
      <c r="K4165">
        <v>1.1063499999999999</v>
      </c>
      <c r="L4165">
        <v>-61.941040000000001</v>
      </c>
      <c r="M4165">
        <v>0.99986940000000002</v>
      </c>
      <c r="N4165">
        <v>0</v>
      </c>
      <c r="O4165">
        <v>-7.9732039999999994E-3</v>
      </c>
      <c r="P4165">
        <v>0.98515439999999999</v>
      </c>
      <c r="Q4165">
        <v>4.3918319999999997E-2</v>
      </c>
      <c r="R4165">
        <v>0.16595799999999999</v>
      </c>
      <c r="S4165">
        <v>3.009277</v>
      </c>
      <c r="T4165">
        <v>-0.23466529999999999</v>
      </c>
      <c r="U4165">
        <v>0.27160640000000003</v>
      </c>
      <c r="V4165">
        <v>-0.17403109999999999</v>
      </c>
      <c r="W4165">
        <v>5.7070049999999997E-2</v>
      </c>
      <c r="X4165">
        <v>0.98308499999999999</v>
      </c>
      <c r="Y4165">
        <v>-9.7512109999999999E-2</v>
      </c>
      <c r="Z4165">
        <v>4.4082710000000001E-3</v>
      </c>
      <c r="AA4165">
        <v>0.99522460000000001</v>
      </c>
      <c r="AB4165">
        <v>39</v>
      </c>
      <c r="AC4165">
        <v>13.960599999999999</v>
      </c>
      <c r="AD4165">
        <v>-1.1063514503759999</v>
      </c>
      <c r="AE4165">
        <v>1.28179</v>
      </c>
      <c r="AF4165">
        <v>-1.38444893533663</v>
      </c>
      <c r="AG4165">
        <v>-1.1063514503759999</v>
      </c>
      <c r="AH4165">
        <v>13.863595934330901</v>
      </c>
      <c r="AI4165">
        <v>94.540197485637194</v>
      </c>
      <c r="AJ4165">
        <v>95.702774802609298</v>
      </c>
      <c r="AK4165">
        <v>13.9764088598144</v>
      </c>
      <c r="AL4165">
        <v>86.728349288881105</v>
      </c>
      <c r="AM4165">
        <v>100.038809975707</v>
      </c>
      <c r="AN4165">
        <v>0.99999996579960504</v>
      </c>
    </row>
    <row r="4166" spans="1:40" x14ac:dyDescent="0.3">
      <c r="A4166" t="str">
        <f>"20200111154002269"</f>
        <v>20200111154002269</v>
      </c>
      <c r="B4166" t="str">
        <f>"1578728402264932"</f>
        <v>1578728402264932</v>
      </c>
      <c r="C4166" t="s">
        <v>40</v>
      </c>
      <c r="D4166">
        <v>4.7289469999999998</v>
      </c>
      <c r="E4166">
        <v>0.48226999999999998</v>
      </c>
      <c r="F4166" t="s">
        <v>82</v>
      </c>
      <c r="G4166">
        <v>-216.49950000000001</v>
      </c>
      <c r="H4166" s="1">
        <v>-1.8905679999999999E-6</v>
      </c>
      <c r="I4166">
        <v>-59.632319999999901</v>
      </c>
      <c r="J4166">
        <v>-229.37049999999999</v>
      </c>
      <c r="K4166">
        <v>1.1063719999999999</v>
      </c>
      <c r="L4166">
        <v>-61.941960000000002</v>
      </c>
      <c r="M4166">
        <v>0.99987570000000003</v>
      </c>
      <c r="N4166">
        <v>0</v>
      </c>
      <c r="O4166">
        <v>-7.1116189999999996E-3</v>
      </c>
      <c r="P4166">
        <v>0.9846222</v>
      </c>
      <c r="Q4166">
        <v>4.3505189999999999E-2</v>
      </c>
      <c r="R4166">
        <v>0.16919300000000001</v>
      </c>
      <c r="S4166">
        <v>2.9681090000000001</v>
      </c>
      <c r="T4166">
        <v>-0.25116309999999997</v>
      </c>
      <c r="U4166">
        <v>0.52410889999999999</v>
      </c>
      <c r="V4166">
        <v>-0.17641579999999901</v>
      </c>
      <c r="W4166">
        <v>5.6643020000000002E-2</v>
      </c>
      <c r="X4166">
        <v>0.98268460000000002</v>
      </c>
      <c r="Y4166">
        <v>-0.18023990000000001</v>
      </c>
      <c r="Z4166">
        <v>8.1505520000000001E-3</v>
      </c>
      <c r="AA4166">
        <v>0.98358889999999999</v>
      </c>
      <c r="AB4166">
        <v>39</v>
      </c>
      <c r="AC4166">
        <v>12.870999999999899</v>
      </c>
      <c r="AD4166">
        <v>-1.1063738905679901</v>
      </c>
      <c r="AE4166">
        <v>2.3096399999999999</v>
      </c>
      <c r="AF4166">
        <v>-2.3840582834934101</v>
      </c>
      <c r="AG4166">
        <v>-1.1063738905679901</v>
      </c>
      <c r="AH4166">
        <v>12.7628858782452</v>
      </c>
      <c r="AI4166">
        <v>94.870573489488507</v>
      </c>
      <c r="AJ4166">
        <v>100.58069376672201</v>
      </c>
      <c r="AK4166">
        <v>13.0306965671807</v>
      </c>
      <c r="AL4166">
        <v>86.752856043369505</v>
      </c>
      <c r="AM4166">
        <v>100.177573279705</v>
      </c>
      <c r="AN4166">
        <v>0.99999999464075995</v>
      </c>
    </row>
    <row r="4167" spans="1:40" x14ac:dyDescent="0.3">
      <c r="A4167" t="str">
        <f>"20200111154002281"</f>
        <v>20200111154002281</v>
      </c>
      <c r="B4167" t="str">
        <f>"1578728402274691"</f>
        <v>1578728402274691</v>
      </c>
      <c r="C4167" t="s">
        <v>40</v>
      </c>
      <c r="D4167">
        <v>4.555091</v>
      </c>
      <c r="E4167">
        <v>0.48226999999999998</v>
      </c>
      <c r="F4167" t="s">
        <v>82</v>
      </c>
      <c r="G4167">
        <v>-216.251</v>
      </c>
      <c r="H4167" s="1">
        <v>-1.870097E-6</v>
      </c>
      <c r="I4167">
        <v>-59.146729999999998</v>
      </c>
      <c r="J4167">
        <v>-229.1671</v>
      </c>
      <c r="K4167">
        <v>1.1063909999999999</v>
      </c>
      <c r="L4167">
        <v>-61.942659999999997</v>
      </c>
      <c r="M4167">
        <v>0.99988129999999997</v>
      </c>
      <c r="N4167">
        <v>0</v>
      </c>
      <c r="O4167">
        <v>-6.243864E-3</v>
      </c>
      <c r="P4167">
        <v>0.98400549999999998</v>
      </c>
      <c r="Q4167">
        <v>4.2866330000000001E-2</v>
      </c>
      <c r="R4167">
        <v>0.17290359999999999</v>
      </c>
      <c r="S4167">
        <v>2.9498600000000001</v>
      </c>
      <c r="T4167">
        <v>-0.24876280000000001</v>
      </c>
      <c r="U4167">
        <v>0.62847900000000001</v>
      </c>
      <c r="V4167">
        <v>-0.1792697</v>
      </c>
      <c r="W4167">
        <v>5.5986510000000003E-2</v>
      </c>
      <c r="X4167">
        <v>0.98220560000000001</v>
      </c>
      <c r="Y4167">
        <v>-0.21373320000000001</v>
      </c>
      <c r="Z4167">
        <v>9.4167639999999993E-3</v>
      </c>
      <c r="AA4167">
        <v>0.97684669999999896</v>
      </c>
      <c r="AB4167">
        <v>39</v>
      </c>
      <c r="AC4167">
        <v>12.9161</v>
      </c>
      <c r="AD4167">
        <v>-1.1063928700969901</v>
      </c>
      <c r="AE4167">
        <v>2.79592999999999</v>
      </c>
      <c r="AF4167">
        <v>-2.8565080505196998</v>
      </c>
      <c r="AG4167">
        <v>-1.1063928700969901</v>
      </c>
      <c r="AH4167">
        <v>12.808611035633399</v>
      </c>
      <c r="AI4167">
        <v>94.819080823288601</v>
      </c>
      <c r="AJ4167">
        <v>102.572067219316</v>
      </c>
      <c r="AK4167">
        <v>13.1698238442219</v>
      </c>
      <c r="AL4167">
        <v>86.790531029756195</v>
      </c>
      <c r="AM4167">
        <v>100.343626896367</v>
      </c>
      <c r="AN4167">
        <v>0.99999997765571402</v>
      </c>
    </row>
    <row r="4168" spans="1:40" x14ac:dyDescent="0.3">
      <c r="A4168" t="str">
        <f>"20200111154002293"</f>
        <v>20200111154002293</v>
      </c>
      <c r="B4168" t="str">
        <f>"1578728402285427"</f>
        <v>1578728402285427</v>
      </c>
      <c r="C4168" t="s">
        <v>40</v>
      </c>
      <c r="D4168">
        <v>4.6115510000000004</v>
      </c>
      <c r="E4168">
        <v>0.40140389999999998</v>
      </c>
      <c r="F4168" t="s">
        <v>82</v>
      </c>
      <c r="G4168">
        <v>-216.16980000000001</v>
      </c>
      <c r="H4168" s="1">
        <v>-1.839058E-6</v>
      </c>
      <c r="I4168">
        <v>-59.125279999999997</v>
      </c>
      <c r="J4168">
        <v>-228.94929999999999</v>
      </c>
      <c r="K4168">
        <v>1.1064069999999999</v>
      </c>
      <c r="L4168">
        <v>-61.943269999999998</v>
      </c>
      <c r="M4168">
        <v>0.99988659999999996</v>
      </c>
      <c r="N4168">
        <v>0</v>
      </c>
      <c r="O4168">
        <v>-5.3106730000000001E-3</v>
      </c>
      <c r="P4168">
        <v>0.9833906</v>
      </c>
      <c r="Q4168">
        <v>4.26063E-2</v>
      </c>
      <c r="R4168">
        <v>0.17642959999999999</v>
      </c>
      <c r="S4168">
        <v>2.9474330000000002</v>
      </c>
      <c r="T4168">
        <v>-0.25089800000000001</v>
      </c>
      <c r="U4168">
        <v>0.6388855</v>
      </c>
      <c r="V4168">
        <v>-0.18187639999999999</v>
      </c>
      <c r="W4168">
        <v>5.5711320000000002E-2</v>
      </c>
      <c r="X4168">
        <v>0.98174189999999995</v>
      </c>
      <c r="Y4168">
        <v>-0.2162625</v>
      </c>
      <c r="Z4168">
        <v>9.5292720000000001E-3</v>
      </c>
      <c r="AA4168">
        <v>0.97628870000000001</v>
      </c>
      <c r="AB4168">
        <v>39</v>
      </c>
      <c r="AC4168">
        <v>12.779499999999899</v>
      </c>
      <c r="AD4168">
        <v>-1.106408839058</v>
      </c>
      <c r="AE4168">
        <v>2.8179899999999898</v>
      </c>
      <c r="AF4168">
        <v>-2.8653433032339999</v>
      </c>
      <c r="AG4168">
        <v>-1.106408839058</v>
      </c>
      <c r="AH4168">
        <v>12.673760967428899</v>
      </c>
      <c r="AI4168">
        <v>94.867001139098505</v>
      </c>
      <c r="AJ4168">
        <v>102.739523175667</v>
      </c>
      <c r="AK4168">
        <v>13.0406499003715</v>
      </c>
      <c r="AL4168">
        <v>86.806322869548495</v>
      </c>
      <c r="AM4168">
        <v>100.495559086989</v>
      </c>
      <c r="AN4168">
        <v>0.99999996713435502</v>
      </c>
    </row>
    <row r="4169" spans="1:40" x14ac:dyDescent="0.3">
      <c r="A4169" t="str">
        <f>"20200111154002308"</f>
        <v>20200111154002308</v>
      </c>
      <c r="B4169" t="str">
        <f>"1578728402304947"</f>
        <v>1578728402304947</v>
      </c>
      <c r="C4169" t="s">
        <v>40</v>
      </c>
      <c r="D4169">
        <v>4.5590000000000002</v>
      </c>
      <c r="E4169">
        <v>0.39386589999999999</v>
      </c>
      <c r="F4169" t="s">
        <v>82</v>
      </c>
      <c r="G4169">
        <v>-213.6009</v>
      </c>
      <c r="H4169" s="1">
        <v>-1.6418060000000001E-6</v>
      </c>
      <c r="I4169">
        <v>-54.958019999999998</v>
      </c>
      <c r="J4169">
        <v>-228.69560000000001</v>
      </c>
      <c r="K4169">
        <v>1.106422</v>
      </c>
      <c r="L4169">
        <v>-61.943660000000001</v>
      </c>
      <c r="M4169">
        <v>0.9998918</v>
      </c>
      <c r="N4169">
        <v>0</v>
      </c>
      <c r="O4169">
        <v>-4.2159789999999999E-3</v>
      </c>
      <c r="P4169">
        <v>0.98276870000000005</v>
      </c>
      <c r="Q4169">
        <v>4.211409E-2</v>
      </c>
      <c r="R4169">
        <v>0.17997920000000001</v>
      </c>
      <c r="S4169">
        <v>2.8285520000000002</v>
      </c>
      <c r="T4169">
        <v>-0.20389879999999999</v>
      </c>
      <c r="U4169">
        <v>1.2872920000000001</v>
      </c>
      <c r="V4169">
        <v>-0.18434809999999999</v>
      </c>
      <c r="W4169">
        <v>5.5204280000000001E-2</v>
      </c>
      <c r="X4169">
        <v>0.98130949999999995</v>
      </c>
      <c r="Y4169">
        <v>-0.41715370000000002</v>
      </c>
      <c r="Z4169">
        <v>1.4601690000000001E-2</v>
      </c>
      <c r="AA4169">
        <v>0.90871860000000004</v>
      </c>
      <c r="AB4169">
        <v>39</v>
      </c>
      <c r="AC4169">
        <v>15.0947</v>
      </c>
      <c r="AD4169">
        <v>-1.1064236418060001</v>
      </c>
      <c r="AE4169">
        <v>6.9856399999999903</v>
      </c>
      <c r="AF4169">
        <v>-7.0181677492717904</v>
      </c>
      <c r="AG4169">
        <v>-1.1064236418060001</v>
      </c>
      <c r="AH4169">
        <v>14.998742105625601</v>
      </c>
      <c r="AI4169">
        <v>93.822538929536293</v>
      </c>
      <c r="AJ4169">
        <v>115.075696982469</v>
      </c>
      <c r="AK4169">
        <v>16.596418787893199</v>
      </c>
      <c r="AL4169">
        <v>86.835419114593606</v>
      </c>
      <c r="AM4169">
        <v>100.63954030644901</v>
      </c>
      <c r="AN4169">
        <v>1.0000000346470801</v>
      </c>
    </row>
    <row r="4170" spans="1:40" x14ac:dyDescent="0.3">
      <c r="A4170" t="str">
        <f>"20200111154002324"</f>
        <v>20200111154002324</v>
      </c>
      <c r="B4170" t="str">
        <f>"1578728402314707"</f>
        <v>1578728402314707</v>
      </c>
      <c r="C4170" t="s">
        <v>40</v>
      </c>
      <c r="D4170">
        <v>4.4935049999999999</v>
      </c>
      <c r="E4170">
        <v>0.39453329999999998</v>
      </c>
      <c r="F4170" t="s">
        <v>41</v>
      </c>
      <c r="G4170">
        <v>-227.80289999999999</v>
      </c>
      <c r="H4170">
        <v>1.039947</v>
      </c>
      <c r="I4170">
        <v>-61.513289999999998</v>
      </c>
      <c r="J4170">
        <v>-228.42160000000001</v>
      </c>
      <c r="K4170">
        <v>1.1064320000000001</v>
      </c>
      <c r="L4170">
        <v>-61.943730000000002</v>
      </c>
      <c r="M4170">
        <v>0.99989600000000001</v>
      </c>
      <c r="N4170">
        <v>0</v>
      </c>
      <c r="O4170">
        <v>-3.0304669999999998E-3</v>
      </c>
      <c r="P4170">
        <v>0.9815952</v>
      </c>
      <c r="Q4170">
        <v>4.1760510000000001E-2</v>
      </c>
      <c r="R4170">
        <v>0.1863525</v>
      </c>
      <c r="S4170">
        <v>2.8132480000000002</v>
      </c>
      <c r="T4170">
        <v>-0.20948349999999999</v>
      </c>
      <c r="U4170">
        <v>1.3560490000000001</v>
      </c>
      <c r="V4170">
        <v>-0.18955379999999999</v>
      </c>
      <c r="W4170">
        <v>5.4817659999999997E-2</v>
      </c>
      <c r="X4170">
        <v>0.98033890000000001</v>
      </c>
      <c r="Y4170">
        <v>-0.43595250000000002</v>
      </c>
      <c r="Z4170">
        <v>1.557976E-2</v>
      </c>
      <c r="AA4170">
        <v>0.89983480000000005</v>
      </c>
      <c r="AB4170">
        <v>39</v>
      </c>
      <c r="AC4170">
        <v>0.61870000000001801</v>
      </c>
      <c r="AD4170">
        <v>-6.6484999999999905E-2</v>
      </c>
      <c r="AE4170">
        <v>0.43043999999999699</v>
      </c>
      <c r="AF4170">
        <v>-0.42897521573287301</v>
      </c>
      <c r="AG4170">
        <v>-6.6484999999999905E-2</v>
      </c>
      <c r="AH4170">
        <v>0.61262562951730004</v>
      </c>
      <c r="AI4170">
        <v>95.080098631632694</v>
      </c>
      <c r="AJ4170">
        <v>125.000635830923</v>
      </c>
      <c r="AK4170">
        <v>0.75083297269068605</v>
      </c>
      <c r="AL4170">
        <v>86.857604258401395</v>
      </c>
      <c r="AM4170">
        <v>100.943403040936</v>
      </c>
      <c r="AN4170">
        <v>0.99999998889776198</v>
      </c>
    </row>
    <row r="4171" spans="1:40" x14ac:dyDescent="0.3">
      <c r="A4171" t="str">
        <f>"20200111154002337"</f>
        <v>20200111154002337</v>
      </c>
      <c r="B4171" t="str">
        <f>"1578728402325444"</f>
        <v>1578728402325444</v>
      </c>
      <c r="C4171" t="s">
        <v>40</v>
      </c>
      <c r="D4171">
        <v>4.4785899999999996</v>
      </c>
      <c r="E4171">
        <v>0.39505560000000001</v>
      </c>
      <c r="F4171" t="s">
        <v>41</v>
      </c>
      <c r="G4171">
        <v>-227.51779999999999</v>
      </c>
      <c r="H4171">
        <v>1.0393159999999999</v>
      </c>
      <c r="I4171">
        <v>-61.502890000000001</v>
      </c>
      <c r="J4171">
        <v>-228.20320000000001</v>
      </c>
      <c r="K4171">
        <v>1.10643799999999</v>
      </c>
      <c r="L4171">
        <v>-61.943660000000001</v>
      </c>
      <c r="M4171">
        <v>0.99989830000000002</v>
      </c>
      <c r="N4171">
        <v>0</v>
      </c>
      <c r="O4171">
        <v>-2.0832910000000001E-3</v>
      </c>
      <c r="P4171">
        <v>0.98098280000000004</v>
      </c>
      <c r="Q4171">
        <v>4.1338779999999999E-2</v>
      </c>
      <c r="R4171">
        <v>0.18964230000000001</v>
      </c>
      <c r="S4171">
        <v>2.8052980000000001</v>
      </c>
      <c r="T4171">
        <v>-0.2083237</v>
      </c>
      <c r="U4171">
        <v>1.368652</v>
      </c>
      <c r="V4171">
        <v>-0.19191240000000001</v>
      </c>
      <c r="W4171">
        <v>5.4381539999999999E-2</v>
      </c>
      <c r="X4171">
        <v>0.9799042</v>
      </c>
      <c r="Y4171">
        <v>-0.43936839999999999</v>
      </c>
      <c r="Z4171">
        <v>1.557216E-2</v>
      </c>
      <c r="AA4171">
        <v>0.89817199999999997</v>
      </c>
      <c r="AB4171">
        <v>39</v>
      </c>
      <c r="AC4171">
        <v>0.685400000000015</v>
      </c>
      <c r="AD4171">
        <v>-6.7121999999999904E-2</v>
      </c>
      <c r="AE4171">
        <v>0.440769999999993</v>
      </c>
      <c r="AF4171">
        <v>-0.43921713402410301</v>
      </c>
      <c r="AG4171">
        <v>-6.7121999999999904E-2</v>
      </c>
      <c r="AH4171">
        <v>0.67986749871161101</v>
      </c>
      <c r="AI4171">
        <v>94.740571260380506</v>
      </c>
      <c r="AJ4171">
        <v>122.863811571707</v>
      </c>
      <c r="AK4171">
        <v>0.81218031834607296</v>
      </c>
      <c r="AL4171">
        <v>86.882629399439296</v>
      </c>
      <c r="AM4171">
        <v>101.081015406321</v>
      </c>
      <c r="AN4171">
        <v>0.999999981172085</v>
      </c>
    </row>
    <row r="4172" spans="1:40" x14ac:dyDescent="0.3">
      <c r="A4172" t="str">
        <f>"20200111154002348"</f>
        <v>20200111154002348</v>
      </c>
      <c r="B4172" t="str">
        <f>"1578728402344964"</f>
        <v>1578728402344964</v>
      </c>
      <c r="C4172" t="s">
        <v>40</v>
      </c>
      <c r="D4172">
        <v>4.5668699999999998</v>
      </c>
      <c r="E4172">
        <v>0.3970706</v>
      </c>
      <c r="F4172" t="s">
        <v>41</v>
      </c>
      <c r="G4172">
        <v>-227.1816</v>
      </c>
      <c r="H4172">
        <v>1.030826</v>
      </c>
      <c r="I4172">
        <v>-61.442700000000002</v>
      </c>
      <c r="J4172">
        <v>-227.99369999999999</v>
      </c>
      <c r="K4172">
        <v>1.1064430000000001</v>
      </c>
      <c r="L4172">
        <v>-61.943300000000001</v>
      </c>
      <c r="M4172">
        <v>0.99989969999999995</v>
      </c>
      <c r="N4172">
        <v>0</v>
      </c>
      <c r="O4172">
        <v>-1.1733309999999999E-3</v>
      </c>
      <c r="P4172">
        <v>0.98033130000000002</v>
      </c>
      <c r="Q4172">
        <v>4.1387670000000001E-2</v>
      </c>
      <c r="R4172">
        <v>0.19297139999999999</v>
      </c>
      <c r="S4172">
        <v>2.8013309999999998</v>
      </c>
      <c r="T4172">
        <v>-0.20733389999999999</v>
      </c>
      <c r="U4172">
        <v>1.3736569999999999</v>
      </c>
      <c r="V4172">
        <v>-0.19434960000000001</v>
      </c>
      <c r="W4172">
        <v>5.4414869999999997E-2</v>
      </c>
      <c r="X4172">
        <v>0.97942189999999996</v>
      </c>
      <c r="Y4172">
        <v>-0.44035439999999998</v>
      </c>
      <c r="Z4172">
        <v>1.548309E-2</v>
      </c>
      <c r="AA4172">
        <v>0.89769049999999995</v>
      </c>
      <c r="AB4172">
        <v>39</v>
      </c>
      <c r="AC4172">
        <v>0.81209999999998606</v>
      </c>
      <c r="AD4172">
        <v>-7.5617000000000004E-2</v>
      </c>
      <c r="AE4172">
        <v>0.50059999999999805</v>
      </c>
      <c r="AF4172">
        <v>-0.498421180044546</v>
      </c>
      <c r="AG4172">
        <v>-7.5617000000000004E-2</v>
      </c>
      <c r="AH4172">
        <v>0.80644535606877599</v>
      </c>
      <c r="AI4172">
        <v>94.560342502246797</v>
      </c>
      <c r="AJ4172">
        <v>121.718016269209</v>
      </c>
      <c r="AK4172">
        <v>0.95104979666203204</v>
      </c>
      <c r="AL4172">
        <v>86.880716963208698</v>
      </c>
      <c r="AM4172">
        <v>101.22357574585401</v>
      </c>
      <c r="AN4172">
        <v>1.0000000016484401</v>
      </c>
    </row>
    <row r="4173" spans="1:40" x14ac:dyDescent="0.3">
      <c r="A4173" t="str">
        <f>"20200111154002360"</f>
        <v>20200111154002360</v>
      </c>
      <c r="B4173" t="str">
        <f>"1578728402354724"</f>
        <v>1578728402354724</v>
      </c>
      <c r="C4173" t="s">
        <v>40</v>
      </c>
      <c r="D4173">
        <v>4.5599920000000003</v>
      </c>
      <c r="E4173">
        <v>0.39782780000000001</v>
      </c>
      <c r="F4173" t="s">
        <v>41</v>
      </c>
      <c r="G4173">
        <v>-227.1088</v>
      </c>
      <c r="H4173">
        <v>1.042864</v>
      </c>
      <c r="I4173">
        <v>-61.511090000000003</v>
      </c>
      <c r="J4173">
        <v>-227.7997</v>
      </c>
      <c r="K4173">
        <v>1.10644599999999</v>
      </c>
      <c r="L4173">
        <v>-61.942839999999997</v>
      </c>
      <c r="M4173">
        <v>0.99990029999999996</v>
      </c>
      <c r="N4173">
        <v>0</v>
      </c>
      <c r="O4173">
        <v>-3.3037600000000001E-4</v>
      </c>
      <c r="P4173">
        <v>0.97964479999999998</v>
      </c>
      <c r="Q4173">
        <v>4.135378E-2</v>
      </c>
      <c r="R4173">
        <v>0.19643360000000001</v>
      </c>
      <c r="S4173">
        <v>2.7995610000000002</v>
      </c>
      <c r="T4173">
        <v>-0.20113349999999999</v>
      </c>
      <c r="U4173">
        <v>1.3672789999999999</v>
      </c>
      <c r="V4173">
        <v>-0.19698579999999999</v>
      </c>
      <c r="W4173">
        <v>5.4364389999999999E-2</v>
      </c>
      <c r="X4173">
        <v>0.97889789999999999</v>
      </c>
      <c r="Y4173">
        <v>-0.43823260000000003</v>
      </c>
      <c r="Z4173">
        <v>1.490735E-2</v>
      </c>
      <c r="AA4173">
        <v>0.89873799999999904</v>
      </c>
      <c r="AB4173">
        <v>39</v>
      </c>
      <c r="AC4173">
        <v>0.69089999999999896</v>
      </c>
      <c r="AD4173">
        <v>-6.3581999999999805E-2</v>
      </c>
      <c r="AE4173">
        <v>0.43175000000000002</v>
      </c>
      <c r="AF4173">
        <v>-0.42936315752485199</v>
      </c>
      <c r="AG4173">
        <v>-6.3581999999999805E-2</v>
      </c>
      <c r="AH4173">
        <v>0.68657562008281803</v>
      </c>
      <c r="AI4173">
        <v>94.489534015669804</v>
      </c>
      <c r="AJ4173">
        <v>122.020586938989</v>
      </c>
      <c r="AK4173">
        <v>0.81226933578451499</v>
      </c>
      <c r="AL4173">
        <v>86.8836135224076</v>
      </c>
      <c r="AM4173">
        <v>101.37780207837601</v>
      </c>
      <c r="AN4173">
        <v>0.99999999546306095</v>
      </c>
    </row>
    <row r="4174" spans="1:40" x14ac:dyDescent="0.3">
      <c r="A4174" t="str">
        <f>"20200111154002371"</f>
        <v>20200111154002371</v>
      </c>
      <c r="B4174" t="str">
        <f>"1578728402365460"</f>
        <v>1578728402365460</v>
      </c>
      <c r="C4174" t="s">
        <v>40</v>
      </c>
      <c r="D4174">
        <v>4.568276</v>
      </c>
      <c r="E4174">
        <v>0.3987908</v>
      </c>
      <c r="F4174" t="s">
        <v>41</v>
      </c>
      <c r="G4174">
        <v>-226.82769999999999</v>
      </c>
      <c r="H4174">
        <v>1.037228</v>
      </c>
      <c r="I4174">
        <v>-61.466299999999997</v>
      </c>
      <c r="J4174">
        <v>-227.6</v>
      </c>
      <c r="K4174">
        <v>1.106449</v>
      </c>
      <c r="L4174">
        <v>-61.942169999999997</v>
      </c>
      <c r="M4174">
        <v>0.99990009999999996</v>
      </c>
      <c r="N4174">
        <v>0</v>
      </c>
      <c r="O4174">
        <v>5.376647E-4</v>
      </c>
      <c r="P4174">
        <v>0.97898770000000002</v>
      </c>
      <c r="Q4174">
        <v>4.1442300000000001E-2</v>
      </c>
      <c r="R4174">
        <v>0.19966390000000001</v>
      </c>
      <c r="S4174">
        <v>2.7958370000000001</v>
      </c>
      <c r="T4174">
        <v>-0.19910530000000001</v>
      </c>
      <c r="U4174">
        <v>1.3710020000000001</v>
      </c>
      <c r="V4174">
        <v>-0.1993673</v>
      </c>
      <c r="W4174">
        <v>5.4437239999999998E-2</v>
      </c>
      <c r="X4174">
        <v>0.97841160000000005</v>
      </c>
      <c r="Y4174">
        <v>-0.43890709999999999</v>
      </c>
      <c r="Z4174">
        <v>1.4735160000000001E-2</v>
      </c>
      <c r="AA4174">
        <v>0.89841159999999998</v>
      </c>
      <c r="AB4174">
        <v>39</v>
      </c>
      <c r="AC4174">
        <v>0.77230000000000099</v>
      </c>
      <c r="AD4174">
        <v>-6.9220999999999894E-2</v>
      </c>
      <c r="AE4174">
        <v>0.47587000000000002</v>
      </c>
      <c r="AF4174">
        <v>-0.472702219594685</v>
      </c>
      <c r="AG4174">
        <v>-6.9220999999999894E-2</v>
      </c>
      <c r="AH4174">
        <v>0.76808340678018605</v>
      </c>
      <c r="AI4174">
        <v>94.388922800999197</v>
      </c>
      <c r="AJ4174">
        <v>121.609423386095</v>
      </c>
      <c r="AK4174">
        <v>0.90453913957429199</v>
      </c>
      <c r="AL4174">
        <v>86.879433337078893</v>
      </c>
      <c r="AM4174">
        <v>101.517274099893</v>
      </c>
      <c r="AN4174">
        <v>0.99999999621133295</v>
      </c>
    </row>
    <row r="4175" spans="1:40" x14ac:dyDescent="0.3">
      <c r="A4175" t="str">
        <f>"20200111154002383"</f>
        <v>20200111154002383</v>
      </c>
      <c r="B4175" t="str">
        <f>"1578728402375220"</f>
        <v>1578728402375220</v>
      </c>
      <c r="C4175" t="s">
        <v>40</v>
      </c>
      <c r="D4175">
        <v>4.5822570000000002</v>
      </c>
      <c r="E4175">
        <v>0.3993968</v>
      </c>
      <c r="F4175" t="s">
        <v>82</v>
      </c>
      <c r="G4175">
        <v>-212.04910000000001</v>
      </c>
      <c r="H4175" s="1">
        <v>-1.2886700000000001E-6</v>
      </c>
      <c r="I4175">
        <v>-54.30048</v>
      </c>
      <c r="J4175">
        <v>-227.39580000000001</v>
      </c>
      <c r="K4175">
        <v>1.106449</v>
      </c>
      <c r="L4175">
        <v>-61.941310000000001</v>
      </c>
      <c r="M4175">
        <v>0.99989910000000004</v>
      </c>
      <c r="N4175">
        <v>0</v>
      </c>
      <c r="O4175">
        <v>1.4251870000000001E-3</v>
      </c>
      <c r="P4175">
        <v>0.97828780000000004</v>
      </c>
      <c r="Q4175">
        <v>4.145455E-2</v>
      </c>
      <c r="R4175">
        <v>0.20306399999999999</v>
      </c>
      <c r="S4175">
        <v>2.7928920000000002</v>
      </c>
      <c r="T4175">
        <v>-0.1987139</v>
      </c>
      <c r="U4175">
        <v>1.372406</v>
      </c>
      <c r="V4175">
        <v>-0.20190050000000001</v>
      </c>
      <c r="W4175">
        <v>5.4432960000000002E-2</v>
      </c>
      <c r="X4175">
        <v>0.97789230000000005</v>
      </c>
      <c r="Y4175">
        <v>-0.43885220000000003</v>
      </c>
      <c r="Z4175">
        <v>1.4657099999999999E-2</v>
      </c>
      <c r="AA4175">
        <v>0.89843969999999995</v>
      </c>
      <c r="AB4175">
        <v>39</v>
      </c>
      <c r="AC4175">
        <v>15.346699999999901</v>
      </c>
      <c r="AD4175">
        <v>-1.1064502886700001</v>
      </c>
      <c r="AE4175">
        <v>7.6408299999999798</v>
      </c>
      <c r="AF4175">
        <v>-7.5873436429872401</v>
      </c>
      <c r="AG4175">
        <v>-1.1064502886700001</v>
      </c>
      <c r="AH4175">
        <v>15.293869678685599</v>
      </c>
      <c r="AI4175">
        <v>93.708091974050205</v>
      </c>
      <c r="AJ4175">
        <v>116.38617465940899</v>
      </c>
      <c r="AK4175">
        <v>17.108315684096301</v>
      </c>
      <c r="AL4175">
        <v>86.879679109886894</v>
      </c>
      <c r="AM4175">
        <v>101.665654141247</v>
      </c>
      <c r="AN4175">
        <v>1.0000000547169401</v>
      </c>
    </row>
    <row r="4176" spans="1:40" x14ac:dyDescent="0.3">
      <c r="A4176" t="str">
        <f>"20200111154002393"</f>
        <v>20200111154002393</v>
      </c>
      <c r="B4176" t="str">
        <f>"1578728402384979"</f>
        <v>1578728402384979</v>
      </c>
      <c r="C4176" t="s">
        <v>40</v>
      </c>
      <c r="D4176">
        <v>4.5592169999999896</v>
      </c>
      <c r="E4176">
        <v>0.4002174</v>
      </c>
      <c r="F4176" t="s">
        <v>41</v>
      </c>
      <c r="G4176">
        <v>-226.47470000000001</v>
      </c>
      <c r="H4176">
        <v>1.0409740000000001</v>
      </c>
      <c r="I4176">
        <v>-61.48648</v>
      </c>
      <c r="J4176">
        <v>-227.19669999999999</v>
      </c>
      <c r="K4176">
        <v>1.106449</v>
      </c>
      <c r="L4176">
        <v>-61.940370000000001</v>
      </c>
      <c r="M4176">
        <v>0.99989749999999999</v>
      </c>
      <c r="N4176">
        <v>0</v>
      </c>
      <c r="O4176">
        <v>2.2902339999999999E-3</v>
      </c>
      <c r="P4176">
        <v>0.97758800000000001</v>
      </c>
      <c r="Q4176">
        <v>4.1325899999999999E-2</v>
      </c>
      <c r="R4176">
        <v>0.2064318</v>
      </c>
      <c r="S4176">
        <v>2.7891240000000002</v>
      </c>
      <c r="T4176">
        <v>-0.1982524</v>
      </c>
      <c r="U4176">
        <v>1.377197</v>
      </c>
      <c r="V4176">
        <v>-0.20442360000000001</v>
      </c>
      <c r="W4176">
        <v>5.4287259999999997E-2</v>
      </c>
      <c r="X4176">
        <v>0.97737600000000002</v>
      </c>
      <c r="Y4176">
        <v>-0.43979980000000002</v>
      </c>
      <c r="Z4176">
        <v>1.460933E-2</v>
      </c>
      <c r="AA4176">
        <v>0.89797700000000003</v>
      </c>
      <c r="AB4176">
        <v>39</v>
      </c>
      <c r="AC4176">
        <v>0.72199999999997999</v>
      </c>
      <c r="AD4176">
        <v>-6.5474999999999894E-2</v>
      </c>
      <c r="AE4176">
        <v>0.45388999999998703</v>
      </c>
      <c r="AF4176">
        <v>-0.44958507478264498</v>
      </c>
      <c r="AG4176">
        <v>-6.5474999999999894E-2</v>
      </c>
      <c r="AH4176">
        <v>0.71880084655994303</v>
      </c>
      <c r="AI4176">
        <v>94.416035137619801</v>
      </c>
      <c r="AJ4176">
        <v>122.024555260062</v>
      </c>
      <c r="AK4176">
        <v>0.85034603080605298</v>
      </c>
      <c r="AL4176">
        <v>86.888039233750703</v>
      </c>
      <c r="AM4176">
        <v>101.813430591534</v>
      </c>
      <c r="AN4176">
        <v>0.99999998010563296</v>
      </c>
    </row>
    <row r="4177" spans="1:40" x14ac:dyDescent="0.3">
      <c r="A4177" t="str">
        <f>"20200111154002404"</f>
        <v>20200111154002404</v>
      </c>
      <c r="B4177" t="str">
        <f>"1578728402395715"</f>
        <v>1578728402395715</v>
      </c>
      <c r="C4177" t="s">
        <v>40</v>
      </c>
      <c r="D4177">
        <v>4.5604719999999999</v>
      </c>
      <c r="E4177">
        <v>0.40094259999999998</v>
      </c>
      <c r="F4177" t="s">
        <v>82</v>
      </c>
      <c r="G4177">
        <v>-211.71420000000001</v>
      </c>
      <c r="H4177" s="1">
        <v>-1.1824549999999999E-6</v>
      </c>
      <c r="I4177">
        <v>-54.271369999999997</v>
      </c>
      <c r="J4177">
        <v>-227.01490000000001</v>
      </c>
      <c r="K4177">
        <v>1.1064529999999999</v>
      </c>
      <c r="L4177">
        <v>-61.939210000000003</v>
      </c>
      <c r="M4177">
        <v>0.99989530000000004</v>
      </c>
      <c r="N4177">
        <v>0</v>
      </c>
      <c r="O4177">
        <v>3.0804679999999998E-3</v>
      </c>
      <c r="P4177">
        <v>0.97691039999999996</v>
      </c>
      <c r="Q4177">
        <v>4.0962789999999999E-2</v>
      </c>
      <c r="R4177">
        <v>0.20968600000000001</v>
      </c>
      <c r="S4177">
        <v>2.7857970000000001</v>
      </c>
      <c r="T4177">
        <v>-0.19908519999999999</v>
      </c>
      <c r="U4177">
        <v>1.379883</v>
      </c>
      <c r="V4177">
        <v>-0.2069057</v>
      </c>
      <c r="W4177">
        <v>5.3907789999999997E-2</v>
      </c>
      <c r="X4177">
        <v>0.97687460000000004</v>
      </c>
      <c r="Y4177">
        <v>-0.44020330000000002</v>
      </c>
      <c r="Z4177">
        <v>1.464358E-2</v>
      </c>
      <c r="AA4177">
        <v>0.89777870000000004</v>
      </c>
      <c r="AB4177">
        <v>39</v>
      </c>
      <c r="AC4177">
        <v>15.300700000000001</v>
      </c>
      <c r="AD4177">
        <v>-1.106454182455</v>
      </c>
      <c r="AE4177">
        <v>7.6678399999999902</v>
      </c>
      <c r="AF4177">
        <v>-7.5889466670885897</v>
      </c>
      <c r="AG4177">
        <v>-1.106454182455</v>
      </c>
      <c r="AH4177">
        <v>15.2604673260201</v>
      </c>
      <c r="AI4177">
        <v>93.714440744871794</v>
      </c>
      <c r="AJ4177">
        <v>116.44090663339</v>
      </c>
      <c r="AK4177">
        <v>17.079174903440599</v>
      </c>
      <c r="AL4177">
        <v>86.909813213873704</v>
      </c>
      <c r="AM4177">
        <v>101.9587250757</v>
      </c>
      <c r="AN4177">
        <v>1.00000000132016</v>
      </c>
    </row>
    <row r="4178" spans="1:40" x14ac:dyDescent="0.3">
      <c r="A4178" t="str">
        <f>"20200111154002417"</f>
        <v>20200111154002417</v>
      </c>
      <c r="B4178" t="str">
        <f>"1578728402405477"</f>
        <v>1578728402405477</v>
      </c>
      <c r="C4178" t="s">
        <v>40</v>
      </c>
      <c r="D4178">
        <v>4.5634860000000002</v>
      </c>
      <c r="E4178">
        <v>0.40163650000000001</v>
      </c>
      <c r="F4178" t="s">
        <v>41</v>
      </c>
      <c r="G4178">
        <v>-226.12389999999999</v>
      </c>
      <c r="H4178">
        <v>1.042297</v>
      </c>
      <c r="I4178">
        <v>-61.496580000000002</v>
      </c>
      <c r="J4178">
        <v>-226.8031</v>
      </c>
      <c r="K4178">
        <v>1.106454</v>
      </c>
      <c r="L4178">
        <v>-61.937809999999999</v>
      </c>
      <c r="M4178">
        <v>0.99989209999999995</v>
      </c>
      <c r="N4178">
        <v>0</v>
      </c>
      <c r="O4178">
        <v>4.000338E-3</v>
      </c>
      <c r="P4178">
        <v>0.97623970000000004</v>
      </c>
      <c r="Q4178">
        <v>4.0712140000000001E-2</v>
      </c>
      <c r="R4178">
        <v>0.21283540000000001</v>
      </c>
      <c r="S4178">
        <v>2.7824249999999999</v>
      </c>
      <c r="T4178">
        <v>-0.20038639999999999</v>
      </c>
      <c r="U4178">
        <v>1.38324</v>
      </c>
      <c r="V4178">
        <v>-0.20915800000000001</v>
      </c>
      <c r="W4178">
        <v>5.3642090000000003E-2</v>
      </c>
      <c r="X4178">
        <v>0.97640950000000004</v>
      </c>
      <c r="Y4178">
        <v>-0.44066709999999898</v>
      </c>
      <c r="Z4178">
        <v>1.470458E-2</v>
      </c>
      <c r="AA4178">
        <v>0.89755019999999996</v>
      </c>
      <c r="AB4178">
        <v>39</v>
      </c>
      <c r="AC4178">
        <v>0.67920000000000802</v>
      </c>
      <c r="AD4178">
        <v>-6.4157000000000006E-2</v>
      </c>
      <c r="AE4178">
        <v>0.44122999999999701</v>
      </c>
      <c r="AF4178">
        <v>-0.43577485182881898</v>
      </c>
      <c r="AG4178">
        <v>-6.4157000000000006E-2</v>
      </c>
      <c r="AH4178">
        <v>0.67671369726313102</v>
      </c>
      <c r="AI4178">
        <v>94.557379146490405</v>
      </c>
      <c r="AJ4178">
        <v>122.77981345352499</v>
      </c>
      <c r="AK4178">
        <v>0.80743870987150801</v>
      </c>
      <c r="AL4178">
        <v>86.925058841355295</v>
      </c>
      <c r="AM4178">
        <v>102.09068347300099</v>
      </c>
      <c r="AN4178">
        <v>1.0000000272369001</v>
      </c>
    </row>
    <row r="4179" spans="1:40" x14ac:dyDescent="0.3">
      <c r="A4179" t="str">
        <f>"20200111154002432"</f>
        <v>20200111154002432</v>
      </c>
      <c r="B4179" t="str">
        <f>"1578728402424996"</f>
        <v>1578728402424996</v>
      </c>
      <c r="C4179" t="s">
        <v>40</v>
      </c>
      <c r="D4179">
        <v>4.5527150000000001</v>
      </c>
      <c r="E4179">
        <v>0.40281820000000002</v>
      </c>
      <c r="F4179" t="s">
        <v>41</v>
      </c>
      <c r="G4179">
        <v>-225.78970000000001</v>
      </c>
      <c r="H4179">
        <v>1.0333289999999999</v>
      </c>
      <c r="I4179">
        <v>-61.432299999999998</v>
      </c>
      <c r="J4179">
        <v>-226.52340000000001</v>
      </c>
      <c r="K4179">
        <v>1.106457</v>
      </c>
      <c r="L4179">
        <v>-61.935639999999999</v>
      </c>
      <c r="M4179">
        <v>0.99988630000000001</v>
      </c>
      <c r="N4179">
        <v>0</v>
      </c>
      <c r="O4179">
        <v>5.2133220000000003E-3</v>
      </c>
      <c r="P4179">
        <v>0.97545150000000003</v>
      </c>
      <c r="Q4179">
        <v>4.0488339999999998E-2</v>
      </c>
      <c r="R4179">
        <v>0.2164604</v>
      </c>
      <c r="S4179">
        <v>2.7791290000000002</v>
      </c>
      <c r="T4179">
        <v>-0.2005382</v>
      </c>
      <c r="U4179">
        <v>1.3863829999999999</v>
      </c>
      <c r="V4179">
        <v>-0.2116006</v>
      </c>
      <c r="W4179">
        <v>5.3403060000000002E-2</v>
      </c>
      <c r="X4179">
        <v>0.97589610000000004</v>
      </c>
      <c r="Y4179">
        <v>-0.44081579999999898</v>
      </c>
      <c r="Z4179">
        <v>1.4650299999999899E-2</v>
      </c>
      <c r="AA4179">
        <v>0.897478</v>
      </c>
      <c r="AB4179">
        <v>39</v>
      </c>
      <c r="AC4179">
        <v>0.73369999999999802</v>
      </c>
      <c r="AD4179">
        <v>-7.3127999999999804E-2</v>
      </c>
      <c r="AE4179">
        <v>0.50334000000000101</v>
      </c>
      <c r="AF4179">
        <v>-0.49615622910996698</v>
      </c>
      <c r="AG4179">
        <v>-7.3127999999999804E-2</v>
      </c>
      <c r="AH4179">
        <v>0.73137393745324497</v>
      </c>
      <c r="AI4179">
        <v>94.730103884458899</v>
      </c>
      <c r="AJ4179">
        <v>124.15254748526399</v>
      </c>
      <c r="AK4179">
        <v>0.88680693753177497</v>
      </c>
      <c r="AL4179">
        <v>86.938773671219394</v>
      </c>
      <c r="AM4179">
        <v>102.233895565848</v>
      </c>
      <c r="AN4179">
        <v>0.99999994936646497</v>
      </c>
    </row>
    <row r="4180" spans="1:40" x14ac:dyDescent="0.3">
      <c r="A4180" t="str">
        <f>"20200111154002446"</f>
        <v>20200111154002446</v>
      </c>
      <c r="B4180" t="str">
        <f>"1578728402434756"</f>
        <v>1578728402434756</v>
      </c>
      <c r="C4180" t="s">
        <v>40</v>
      </c>
      <c r="D4180">
        <v>4.5695709999999998</v>
      </c>
      <c r="E4180">
        <v>0.40330110000000002</v>
      </c>
      <c r="F4180" t="s">
        <v>82</v>
      </c>
      <c r="G4180">
        <v>-211.16990000000001</v>
      </c>
      <c r="H4180" s="1">
        <v>-9.9947470000000004E-7</v>
      </c>
      <c r="I4180">
        <v>-54.262889999999999</v>
      </c>
      <c r="J4180">
        <v>-226.291</v>
      </c>
      <c r="K4180">
        <v>1.106454</v>
      </c>
      <c r="L4180">
        <v>-61.933500000000002</v>
      </c>
      <c r="M4180">
        <v>0.99988060000000001</v>
      </c>
      <c r="N4180">
        <v>0</v>
      </c>
      <c r="O4180">
        <v>6.2187469999999898E-3</v>
      </c>
      <c r="P4180">
        <v>0.97433559999999997</v>
      </c>
      <c r="Q4180">
        <v>3.972465E-2</v>
      </c>
      <c r="R4180">
        <v>0.2215675</v>
      </c>
      <c r="S4180">
        <v>2.7759550000000002</v>
      </c>
      <c r="T4180">
        <v>-0.20004959999999999</v>
      </c>
      <c r="U4180">
        <v>1.387238</v>
      </c>
      <c r="V4180">
        <v>-0.21572939999999999</v>
      </c>
      <c r="W4180">
        <v>5.2611680000000001E-2</v>
      </c>
      <c r="X4180">
        <v>0.97503479999999998</v>
      </c>
      <c r="Y4180">
        <v>-0.44055</v>
      </c>
      <c r="Z4180">
        <v>1.4551329999999999E-2</v>
      </c>
      <c r="AA4180">
        <v>0.89761009999999997</v>
      </c>
      <c r="AB4180">
        <v>39</v>
      </c>
      <c r="AC4180">
        <v>15.121099999999901</v>
      </c>
      <c r="AD4180">
        <v>-1.1064549994746999</v>
      </c>
      <c r="AE4180">
        <v>7.6706099999999902</v>
      </c>
      <c r="AF4180">
        <v>-7.5442910016726801</v>
      </c>
      <c r="AG4180">
        <v>-1.1064549994746999</v>
      </c>
      <c r="AH4180">
        <v>15.104193547006201</v>
      </c>
      <c r="AI4180">
        <v>93.749496974316301</v>
      </c>
      <c r="AJ4180">
        <v>116.54135814236901</v>
      </c>
      <c r="AK4180">
        <v>16.9197290784813</v>
      </c>
      <c r="AL4180">
        <v>86.984180434081296</v>
      </c>
      <c r="AM4180">
        <v>102.47587922714401</v>
      </c>
      <c r="AN4180">
        <v>1.0000000120539101</v>
      </c>
    </row>
    <row r="4181" spans="1:40" x14ac:dyDescent="0.3">
      <c r="A4181" t="str">
        <f>"20200111154002459"</f>
        <v>20200111154002459</v>
      </c>
      <c r="B4181" t="str">
        <f>"1578728402455253"</f>
        <v>1578728402455253</v>
      </c>
      <c r="C4181" t="s">
        <v>40</v>
      </c>
      <c r="D4181">
        <v>4.6165539999999998</v>
      </c>
      <c r="E4181">
        <v>0.40427809999999997</v>
      </c>
      <c r="F4181" t="s">
        <v>41</v>
      </c>
      <c r="G4181">
        <v>-225.42699999999999</v>
      </c>
      <c r="H4181">
        <v>1.042748</v>
      </c>
      <c r="I4181">
        <v>-61.497729999999997</v>
      </c>
      <c r="J4181">
        <v>-226.06960000000001</v>
      </c>
      <c r="K4181">
        <v>1.106454</v>
      </c>
      <c r="L4181">
        <v>-61.931339999999999</v>
      </c>
      <c r="M4181">
        <v>0.99987409999999999</v>
      </c>
      <c r="N4181">
        <v>0</v>
      </c>
      <c r="O4181">
        <v>7.1736710000000004E-3</v>
      </c>
      <c r="P4181">
        <v>0.97356509999999996</v>
      </c>
      <c r="Q4181">
        <v>3.9240619999999997E-2</v>
      </c>
      <c r="R4181">
        <v>0.2250133</v>
      </c>
      <c r="S4181">
        <v>2.769638</v>
      </c>
      <c r="T4181">
        <v>-0.2042136</v>
      </c>
      <c r="U4181">
        <v>1.397125</v>
      </c>
      <c r="V4181">
        <v>-0.21824589999999999</v>
      </c>
      <c r="W4181">
        <v>5.2111680000000001E-2</v>
      </c>
      <c r="X4181">
        <v>0.97450139999999996</v>
      </c>
      <c r="Y4181">
        <v>-0.4430248</v>
      </c>
      <c r="Z4181">
        <v>1.4892209999999999E-2</v>
      </c>
      <c r="AA4181">
        <v>0.89638569999999995</v>
      </c>
      <c r="AB4181">
        <v>39</v>
      </c>
      <c r="AC4181">
        <v>0.64259999999998696</v>
      </c>
      <c r="AD4181">
        <v>-6.3705999999999999E-2</v>
      </c>
      <c r="AE4181">
        <v>0.43361000000000099</v>
      </c>
      <c r="AF4181">
        <v>-0.42611089278961101</v>
      </c>
      <c r="AG4181">
        <v>-6.3705999999999999E-2</v>
      </c>
      <c r="AH4181">
        <v>0.64136298679197601</v>
      </c>
      <c r="AI4181">
        <v>94.729530764829406</v>
      </c>
      <c r="AJ4181">
        <v>123.599401499403</v>
      </c>
      <c r="AK4181">
        <v>0.77264184989986395</v>
      </c>
      <c r="AL4181">
        <v>87.012867459915498</v>
      </c>
      <c r="AM4181">
        <v>102.62346229651099</v>
      </c>
      <c r="AN4181">
        <v>0.99999993933059395</v>
      </c>
    </row>
    <row r="4182" spans="1:40" x14ac:dyDescent="0.3">
      <c r="A4182" t="str">
        <f>"20200111154002470"</f>
        <v>20200111154002470</v>
      </c>
      <c r="B4182" t="str">
        <f>"1578728402465011"</f>
        <v>1578728402465011</v>
      </c>
      <c r="C4182" t="s">
        <v>40</v>
      </c>
      <c r="D4182">
        <v>4.6201559999999997</v>
      </c>
      <c r="E4182">
        <v>0.40480759999999899</v>
      </c>
      <c r="F4182" t="s">
        <v>41</v>
      </c>
      <c r="G4182">
        <v>-225.0924</v>
      </c>
      <c r="H4182">
        <v>1.033569</v>
      </c>
      <c r="I4182">
        <v>-61.437170000000002</v>
      </c>
      <c r="J4182">
        <v>-225.87209999999999</v>
      </c>
      <c r="K4182">
        <v>1.106452</v>
      </c>
      <c r="L4182">
        <v>-61.929229999999997</v>
      </c>
      <c r="M4182">
        <v>0.99986770000000003</v>
      </c>
      <c r="N4182">
        <v>0</v>
      </c>
      <c r="O4182">
        <v>8.0212289999999995E-3</v>
      </c>
      <c r="P4182">
        <v>0.97291419999999995</v>
      </c>
      <c r="Q4182">
        <v>3.9002059999999998E-2</v>
      </c>
      <c r="R4182">
        <v>0.22785230000000001</v>
      </c>
      <c r="S4182">
        <v>2.7664490000000002</v>
      </c>
      <c r="T4182">
        <v>-0.20633689999999999</v>
      </c>
      <c r="U4182">
        <v>1.398987</v>
      </c>
      <c r="V4182">
        <v>-0.22026229999999999</v>
      </c>
      <c r="W4182">
        <v>5.186168E-2</v>
      </c>
      <c r="X4182">
        <v>0.97406099999999995</v>
      </c>
      <c r="Y4182">
        <v>-0.44314160000000002</v>
      </c>
      <c r="Z4182">
        <v>1.500459E-2</v>
      </c>
      <c r="AA4182">
        <v>0.89632610000000001</v>
      </c>
      <c r="AB4182">
        <v>39</v>
      </c>
      <c r="AC4182">
        <v>0.77969999999999096</v>
      </c>
      <c r="AD4182">
        <v>-7.2883000000000003E-2</v>
      </c>
      <c r="AE4182">
        <v>0.49206000000000899</v>
      </c>
      <c r="AF4182">
        <v>-0.482772578305387</v>
      </c>
      <c r="AG4182">
        <v>-7.2883000000000003E-2</v>
      </c>
      <c r="AH4182">
        <v>0.77875584504532303</v>
      </c>
      <c r="AI4182">
        <v>94.547966861535201</v>
      </c>
      <c r="AJ4182">
        <v>121.795934202116</v>
      </c>
      <c r="AK4182">
        <v>0.91915284922851004</v>
      </c>
      <c r="AL4182">
        <v>87.027210901819402</v>
      </c>
      <c r="AM4182">
        <v>102.741874753944</v>
      </c>
      <c r="AN4182">
        <v>0.99999997318735501</v>
      </c>
    </row>
    <row r="4183" spans="1:40" x14ac:dyDescent="0.3">
      <c r="A4183" t="str">
        <f>"20200111154002482"</f>
        <v>20200111154002482</v>
      </c>
      <c r="B4183" t="str">
        <f>"1578728402474771"</f>
        <v>1578728402474771</v>
      </c>
      <c r="C4183" t="s">
        <v>40</v>
      </c>
      <c r="D4183">
        <v>4.6082789999999996</v>
      </c>
      <c r="E4183">
        <v>0.40528510000000001</v>
      </c>
      <c r="F4183" t="s">
        <v>41</v>
      </c>
      <c r="G4183">
        <v>-224.99250000000001</v>
      </c>
      <c r="H4183">
        <v>1.0402629999999999</v>
      </c>
      <c r="I4183">
        <v>-61.482849999999999</v>
      </c>
      <c r="J4183">
        <v>-225.67429999999999</v>
      </c>
      <c r="K4183">
        <v>1.106452</v>
      </c>
      <c r="L4183">
        <v>-61.926879999999997</v>
      </c>
      <c r="M4183">
        <v>0.99986050000000004</v>
      </c>
      <c r="N4183">
        <v>0</v>
      </c>
      <c r="O4183">
        <v>8.8631519999999991E-3</v>
      </c>
      <c r="P4183">
        <v>0.97224100000000002</v>
      </c>
      <c r="Q4183">
        <v>3.8722909999999999E-2</v>
      </c>
      <c r="R4183">
        <v>0.23075509999999999</v>
      </c>
      <c r="S4183">
        <v>2.7634120000000002</v>
      </c>
      <c r="T4183">
        <v>-0.20794850000000001</v>
      </c>
      <c r="U4183">
        <v>1.402374</v>
      </c>
      <c r="V4183">
        <v>-0.2223482</v>
      </c>
      <c r="W4183">
        <v>5.1571190000000003E-2</v>
      </c>
      <c r="X4183">
        <v>0.97360239999999998</v>
      </c>
      <c r="Y4183">
        <v>-0.44364229999999999</v>
      </c>
      <c r="Z4183">
        <v>1.50905E-2</v>
      </c>
      <c r="AA4183">
        <v>0.89607689999999995</v>
      </c>
      <c r="AB4183">
        <v>39</v>
      </c>
      <c r="AC4183">
        <v>0.68179999999998098</v>
      </c>
      <c r="AD4183">
        <v>-6.6188999999999998E-2</v>
      </c>
      <c r="AE4183">
        <v>0.44403000000000498</v>
      </c>
      <c r="AF4183">
        <v>-0.43508977614418398</v>
      </c>
      <c r="AG4183">
        <v>-6.6188999999999998E-2</v>
      </c>
      <c r="AH4183">
        <v>0.68120115576713403</v>
      </c>
      <c r="AI4183">
        <v>94.681354538442505</v>
      </c>
      <c r="AJ4183">
        <v>122.566765151609</v>
      </c>
      <c r="AK4183">
        <v>0.81099883578503096</v>
      </c>
      <c r="AL4183">
        <v>87.043877050759505</v>
      </c>
      <c r="AM4183">
        <v>102.864403360015</v>
      </c>
      <c r="AN4183">
        <v>0.99999997148350706</v>
      </c>
    </row>
    <row r="4184" spans="1:40" x14ac:dyDescent="0.3">
      <c r="A4184" t="str">
        <f>"20200111154002494"</f>
        <v>20200111154002494</v>
      </c>
      <c r="B4184" t="str">
        <f>"1578728402485507"</f>
        <v>1578728402485507</v>
      </c>
      <c r="C4184" t="s">
        <v>40</v>
      </c>
      <c r="D4184">
        <v>4.6492209999999998</v>
      </c>
      <c r="E4184">
        <v>0.40528510000000001</v>
      </c>
      <c r="F4184" t="s">
        <v>41</v>
      </c>
      <c r="G4184">
        <v>-224.7413</v>
      </c>
      <c r="H4184">
        <v>1.0358560000000001</v>
      </c>
      <c r="I4184">
        <v>-61.45158</v>
      </c>
      <c r="J4184">
        <v>-225.4554</v>
      </c>
      <c r="K4184">
        <v>1.1064480000000001</v>
      </c>
      <c r="L4184">
        <v>-61.924190000000003</v>
      </c>
      <c r="M4184">
        <v>0.99985190000000002</v>
      </c>
      <c r="N4184">
        <v>0</v>
      </c>
      <c r="O4184">
        <v>9.7903959999999998E-3</v>
      </c>
      <c r="P4184">
        <v>0.97147969999999895</v>
      </c>
      <c r="Q4184">
        <v>3.876317E-2</v>
      </c>
      <c r="R4184">
        <v>0.23393349999999999</v>
      </c>
      <c r="S4184">
        <v>2.7601469999999999</v>
      </c>
      <c r="T4184">
        <v>-0.2088594</v>
      </c>
      <c r="U4184">
        <v>1.406555</v>
      </c>
      <c r="V4184">
        <v>-0.22462960000000001</v>
      </c>
      <c r="W4184">
        <v>5.160025E-2</v>
      </c>
      <c r="X4184">
        <v>0.97307710000000003</v>
      </c>
      <c r="Y4184">
        <v>-0.44430829999999999</v>
      </c>
      <c r="Z4184">
        <v>1.512525E-2</v>
      </c>
      <c r="AA4184">
        <v>0.8957463</v>
      </c>
      <c r="AB4184">
        <v>39</v>
      </c>
      <c r="AC4184">
        <v>0.71410000000000196</v>
      </c>
      <c r="AD4184">
        <v>-7.0591999999999905E-2</v>
      </c>
      <c r="AE4184">
        <v>0.47260999999999598</v>
      </c>
      <c r="AF4184">
        <v>-0.46245266425792703</v>
      </c>
      <c r="AG4184">
        <v>-7.0591999999999905E-2</v>
      </c>
      <c r="AH4184">
        <v>0.71384226152473296</v>
      </c>
      <c r="AI4184">
        <v>94.744436824842694</v>
      </c>
      <c r="AJ4184">
        <v>122.93661637660099</v>
      </c>
      <c r="AK4184">
        <v>0.85347318146617901</v>
      </c>
      <c r="AL4184">
        <v>87.042210026591803</v>
      </c>
      <c r="AM4184">
        <v>102.998717060018</v>
      </c>
      <c r="AN4184">
        <v>1.00000004277031</v>
      </c>
    </row>
    <row r="4185" spans="1:40" x14ac:dyDescent="0.3">
      <c r="A4185" t="str">
        <f>"20200111154002506"</f>
        <v>20200111154002506</v>
      </c>
      <c r="B4185" t="str">
        <f>"1578728402495267"</f>
        <v>1578728402495267</v>
      </c>
      <c r="C4185" t="s">
        <v>40</v>
      </c>
      <c r="D4185">
        <v>4.6620900000000001</v>
      </c>
      <c r="E4185">
        <v>0.41784830000000001</v>
      </c>
      <c r="F4185" t="s">
        <v>82</v>
      </c>
      <c r="G4185">
        <v>-210.91839999999999</v>
      </c>
      <c r="H4185" s="1">
        <v>-8.6180729999999996E-7</v>
      </c>
      <c r="I4185">
        <v>-54.4587199999999</v>
      </c>
      <c r="J4185">
        <v>-225.25829999999999</v>
      </c>
      <c r="K4185">
        <v>1.1064449999999999</v>
      </c>
      <c r="L4185">
        <v>-61.92154</v>
      </c>
      <c r="M4185">
        <v>0.9998435</v>
      </c>
      <c r="N4185">
        <v>0</v>
      </c>
      <c r="O4185">
        <v>1.0606539999999999E-2</v>
      </c>
      <c r="P4185">
        <v>0.97080100000000003</v>
      </c>
      <c r="Q4185">
        <v>3.9038259999999998E-2</v>
      </c>
      <c r="R4185">
        <v>0.23668829999999999</v>
      </c>
      <c r="S4185">
        <v>2.7556609999999999</v>
      </c>
      <c r="T4185">
        <v>-0.20974110000000001</v>
      </c>
      <c r="U4185">
        <v>1.4151609999999999</v>
      </c>
      <c r="V4185">
        <v>-0.22659609999999999</v>
      </c>
      <c r="W4185">
        <v>5.1868350000000001E-2</v>
      </c>
      <c r="X4185">
        <v>0.97260679999999999</v>
      </c>
      <c r="Y4185">
        <v>-0.44637019999999999</v>
      </c>
      <c r="Z4185">
        <v>1.5216210000000001E-2</v>
      </c>
      <c r="AA4185">
        <v>0.89471909999999899</v>
      </c>
      <c r="AB4185">
        <v>39</v>
      </c>
      <c r="AC4185">
        <v>14.3399</v>
      </c>
      <c r="AD4185">
        <v>-1.1064458618073001</v>
      </c>
      <c r="AE4185">
        <v>7.4628199999999998</v>
      </c>
      <c r="AF4185">
        <v>-7.2762017053055601</v>
      </c>
      <c r="AG4185">
        <v>-1.1064458618073001</v>
      </c>
      <c r="AH4185">
        <v>14.3510263232663</v>
      </c>
      <c r="AI4185">
        <v>93.933759187565798</v>
      </c>
      <c r="AJ4185">
        <v>116.88574313157901</v>
      </c>
      <c r="AK4185">
        <v>16.128214105488698</v>
      </c>
      <c r="AL4185">
        <v>87.026828460938901</v>
      </c>
      <c r="AM4185">
        <v>103.114719207241</v>
      </c>
      <c r="AN4185">
        <v>1.00000005283658</v>
      </c>
    </row>
    <row r="4186" spans="1:40" x14ac:dyDescent="0.3">
      <c r="A4186" t="str">
        <f>"20200111154002518"</f>
        <v>20200111154002518</v>
      </c>
      <c r="B4186" t="str">
        <f>"1578728402514788"</f>
        <v>1578728402514788</v>
      </c>
      <c r="C4186" t="s">
        <v>40</v>
      </c>
      <c r="D4186">
        <v>4.6317729999999999</v>
      </c>
      <c r="E4186">
        <v>0.41697390000000001</v>
      </c>
      <c r="F4186" t="s">
        <v>41</v>
      </c>
      <c r="G4186">
        <v>-224.3329</v>
      </c>
      <c r="H4186">
        <v>1.0437379999999901</v>
      </c>
      <c r="I4186">
        <v>-61.47916</v>
      </c>
      <c r="J4186">
        <v>-225.0463</v>
      </c>
      <c r="K4186">
        <v>1.1064309999999999</v>
      </c>
      <c r="L4186">
        <v>-61.918550000000003</v>
      </c>
      <c r="M4186">
        <v>0.99983390000000005</v>
      </c>
      <c r="N4186">
        <v>0</v>
      </c>
      <c r="O4186">
        <v>1.1475020000000001E-2</v>
      </c>
      <c r="P4186">
        <v>0.97006930000000002</v>
      </c>
      <c r="Q4186">
        <v>3.9700220000000001E-2</v>
      </c>
      <c r="R4186">
        <v>0.23956040000000001</v>
      </c>
      <c r="S4186">
        <v>2.7743530000000001</v>
      </c>
      <c r="T4186">
        <v>-0.18800159999999999</v>
      </c>
      <c r="U4186">
        <v>1.326538</v>
      </c>
      <c r="V4186">
        <v>-0.22863159999999999</v>
      </c>
      <c r="W4186">
        <v>5.2525479999999999E-2</v>
      </c>
      <c r="X4186">
        <v>0.97209500000000004</v>
      </c>
      <c r="Y4186">
        <v>-0.42022520000000002</v>
      </c>
      <c r="Z4186">
        <v>1.2756160000000001E-2</v>
      </c>
      <c r="AA4186">
        <v>0.90733019999999998</v>
      </c>
      <c r="AB4186">
        <v>39</v>
      </c>
      <c r="AC4186">
        <v>0.71340000000000703</v>
      </c>
      <c r="AD4186">
        <v>-6.2693000000000096E-2</v>
      </c>
      <c r="AE4186">
        <v>0.439390000000003</v>
      </c>
      <c r="AF4186">
        <v>-0.42877332585299299</v>
      </c>
      <c r="AG4186">
        <v>-6.2693000000000096E-2</v>
      </c>
      <c r="AH4186">
        <v>0.71439573811422996</v>
      </c>
      <c r="AI4186">
        <v>94.303078953632195</v>
      </c>
      <c r="AJ4186">
        <v>120.97176913277799</v>
      </c>
      <c r="AK4186">
        <v>0.83554667604378197</v>
      </c>
      <c r="AL4186">
        <v>86.989126167827706</v>
      </c>
      <c r="AM4186">
        <v>103.23512285422601</v>
      </c>
      <c r="AN4186">
        <v>1.0000000117963901</v>
      </c>
    </row>
    <row r="4187" spans="1:40" x14ac:dyDescent="0.3">
      <c r="A4187" t="str">
        <f>"20200111154002531"</f>
        <v>20200111154002531</v>
      </c>
      <c r="B4187" t="str">
        <f>"1578728402525524"</f>
        <v>1578728402525524</v>
      </c>
      <c r="C4187" t="s">
        <v>40</v>
      </c>
      <c r="D4187">
        <v>4.7024710000000001</v>
      </c>
      <c r="E4187">
        <v>0.41669489999999998</v>
      </c>
      <c r="F4187" t="s">
        <v>41</v>
      </c>
      <c r="G4187">
        <v>-224.04939999999999</v>
      </c>
      <c r="H4187">
        <v>1.0392969999999999</v>
      </c>
      <c r="I4187">
        <v>-61.435769999999998</v>
      </c>
      <c r="J4187">
        <v>-224.82239999999999</v>
      </c>
      <c r="K4187">
        <v>1.1064099999999999</v>
      </c>
      <c r="L4187">
        <v>-61.915219999999998</v>
      </c>
      <c r="M4187">
        <v>0.99982329999999997</v>
      </c>
      <c r="N4187">
        <v>0</v>
      </c>
      <c r="O4187">
        <v>1.2368560000000001E-2</v>
      </c>
      <c r="P4187">
        <v>0.96932439999999997</v>
      </c>
      <c r="Q4187">
        <v>3.9997329999999998E-2</v>
      </c>
      <c r="R4187">
        <v>0.2425088</v>
      </c>
      <c r="S4187">
        <v>2.7689509999999999</v>
      </c>
      <c r="T4187">
        <v>-0.18646090000000001</v>
      </c>
      <c r="U4187">
        <v>1.341248</v>
      </c>
      <c r="V4187">
        <v>-0.23071749999999999</v>
      </c>
      <c r="W4187">
        <v>5.2821199999999999E-2</v>
      </c>
      <c r="X4187">
        <v>0.97158599999999995</v>
      </c>
      <c r="Y4187">
        <v>-0.42401810000000001</v>
      </c>
      <c r="Z4187">
        <v>1.272424E-2</v>
      </c>
      <c r="AA4187">
        <v>0.90556440000000005</v>
      </c>
      <c r="AB4187">
        <v>39</v>
      </c>
      <c r="AC4187">
        <v>0.77299999999999602</v>
      </c>
      <c r="AD4187">
        <v>-6.71130000000002E-2</v>
      </c>
      <c r="AE4187">
        <v>0.47944999999999899</v>
      </c>
      <c r="AF4187">
        <v>-0.46730756354775499</v>
      </c>
      <c r="AG4187">
        <v>-6.71130000000002E-2</v>
      </c>
      <c r="AH4187">
        <v>0.77465454365799902</v>
      </c>
      <c r="AI4187">
        <v>94.242620502274804</v>
      </c>
      <c r="AJ4187">
        <v>121.10032900230701</v>
      </c>
      <c r="AK4187">
        <v>0.90717703659645299</v>
      </c>
      <c r="AL4187">
        <v>86.972159069603606</v>
      </c>
      <c r="AM4187">
        <v>103.358310690734</v>
      </c>
      <c r="AN4187">
        <v>0.99999999968584397</v>
      </c>
    </row>
    <row r="4188" spans="1:40" x14ac:dyDescent="0.3">
      <c r="A4188" t="str">
        <f>"20200111154002545"</f>
        <v>20200111154002545</v>
      </c>
      <c r="B4188" t="str">
        <f>"1578728402535284"</f>
        <v>1578728402535284</v>
      </c>
      <c r="C4188" t="s">
        <v>40</v>
      </c>
      <c r="D4188">
        <v>4.6586299999999996</v>
      </c>
      <c r="E4188">
        <v>0.4170471</v>
      </c>
      <c r="F4188" t="s">
        <v>66</v>
      </c>
      <c r="G4188">
        <v>-208.35249999999999</v>
      </c>
      <c r="H4188" s="1">
        <v>-2.7539680000000002E-6</v>
      </c>
      <c r="I4188">
        <v>-53.862380000000002</v>
      </c>
      <c r="J4188">
        <v>-224.5848</v>
      </c>
      <c r="K4188">
        <v>1.1063769999999999</v>
      </c>
      <c r="L4188">
        <v>-61.911439999999999</v>
      </c>
      <c r="M4188">
        <v>0.99981149999999996</v>
      </c>
      <c r="N4188">
        <v>0</v>
      </c>
      <c r="O4188">
        <v>1.3287159999999999E-2</v>
      </c>
      <c r="P4188">
        <v>0.96856679999999995</v>
      </c>
      <c r="Q4188">
        <v>4.0519069999999997E-2</v>
      </c>
      <c r="R4188">
        <v>0.24543129999999999</v>
      </c>
      <c r="S4188">
        <v>2.7644500000000001</v>
      </c>
      <c r="T4188">
        <v>-0.18570919999999999</v>
      </c>
      <c r="U4188">
        <v>1.3516539999999999</v>
      </c>
      <c r="V4188">
        <v>-0.23275409999999999</v>
      </c>
      <c r="W4188">
        <v>5.334593E-2</v>
      </c>
      <c r="X4188">
        <v>0.97107140000000003</v>
      </c>
      <c r="Y4188">
        <v>-0.42652089999999998</v>
      </c>
      <c r="Z4188">
        <v>1.2702929999999999E-2</v>
      </c>
      <c r="AA4188">
        <v>0.90438850000000004</v>
      </c>
      <c r="AB4188">
        <v>39</v>
      </c>
      <c r="AC4188">
        <v>16.232299999999999</v>
      </c>
      <c r="AD4188">
        <v>-1.106379753968</v>
      </c>
      <c r="AE4188">
        <v>8.0490599999999901</v>
      </c>
      <c r="AF4188">
        <v>-7.8035485363555201</v>
      </c>
      <c r="AG4188">
        <v>-1.106379753968</v>
      </c>
      <c r="AH4188">
        <v>16.2771322225015</v>
      </c>
      <c r="AI4188">
        <v>93.507368797687306</v>
      </c>
      <c r="AJ4188">
        <v>115.61389310669701</v>
      </c>
      <c r="AK4188">
        <v>18.084924089087099</v>
      </c>
      <c r="AL4188">
        <v>86.942051689279495</v>
      </c>
      <c r="AM4188">
        <v>103.478825952127</v>
      </c>
      <c r="AN4188">
        <v>0.999999961606166</v>
      </c>
    </row>
    <row r="4189" spans="1:40" x14ac:dyDescent="0.3">
      <c r="A4189" t="str">
        <f>"20200111154002558"</f>
        <v>20200111154002558</v>
      </c>
      <c r="B4189" t="str">
        <f>"1578728402554803"</f>
        <v>1578728402554803</v>
      </c>
      <c r="C4189" t="s">
        <v>40</v>
      </c>
      <c r="D4189">
        <v>4.6827860000000001</v>
      </c>
      <c r="E4189">
        <v>0.41747620000000002</v>
      </c>
      <c r="F4189" t="s">
        <v>41</v>
      </c>
      <c r="G4189">
        <v>-223.69229999999999</v>
      </c>
      <c r="H4189">
        <v>1.0468090000000001</v>
      </c>
      <c r="I4189">
        <v>-61.472700000000003</v>
      </c>
      <c r="J4189">
        <v>-224.35159999999999</v>
      </c>
      <c r="K4189">
        <v>1.106331</v>
      </c>
      <c r="L4189">
        <v>-61.907589999999999</v>
      </c>
      <c r="M4189">
        <v>0.99979929999999995</v>
      </c>
      <c r="N4189">
        <v>0</v>
      </c>
      <c r="O4189">
        <v>1.4164629999999999E-2</v>
      </c>
      <c r="P4189">
        <v>0.96733860000000005</v>
      </c>
      <c r="Q4189">
        <v>4.1039899999999997E-2</v>
      </c>
      <c r="R4189">
        <v>0.25014330000000001</v>
      </c>
      <c r="S4189">
        <v>2.7611690000000002</v>
      </c>
      <c r="T4189">
        <v>-0.1842801</v>
      </c>
      <c r="U4189">
        <v>1.357178</v>
      </c>
      <c r="V4189">
        <v>-0.23662739999999999</v>
      </c>
      <c r="W4189">
        <v>5.3859209999999998E-2</v>
      </c>
      <c r="X4189">
        <v>0.97010649999999998</v>
      </c>
      <c r="Y4189">
        <v>-0.42761969999999999</v>
      </c>
      <c r="Z4189">
        <v>1.259294E-2</v>
      </c>
      <c r="AA4189">
        <v>0.90387099999999998</v>
      </c>
      <c r="AB4189">
        <v>39</v>
      </c>
      <c r="AC4189">
        <v>0.659300000000001</v>
      </c>
      <c r="AD4189">
        <v>-5.9521999999999797E-2</v>
      </c>
      <c r="AE4189">
        <v>0.434889999999995</v>
      </c>
      <c r="AF4189">
        <v>-0.42310369103531997</v>
      </c>
      <c r="AG4189">
        <v>-5.9521999999999797E-2</v>
      </c>
      <c r="AH4189">
        <v>0.66163679040185897</v>
      </c>
      <c r="AI4189">
        <v>94.334165878568299</v>
      </c>
      <c r="AJ4189">
        <v>122.598113791949</v>
      </c>
      <c r="AK4189">
        <v>0.78760576703385399</v>
      </c>
      <c r="AL4189">
        <v>86.912600630034603</v>
      </c>
      <c r="AM4189">
        <v>103.707856186041</v>
      </c>
      <c r="AN4189">
        <v>0.99999998113741595</v>
      </c>
    </row>
    <row r="4190" spans="1:40" x14ac:dyDescent="0.3">
      <c r="A4190" t="str">
        <f>"20200111154002570"</f>
        <v>20200111154002570</v>
      </c>
      <c r="B4190" t="str">
        <f>"1578728402565540"</f>
        <v>1578728402565540</v>
      </c>
      <c r="C4190" t="s">
        <v>40</v>
      </c>
      <c r="D4190">
        <v>4.70784</v>
      </c>
      <c r="E4190">
        <v>0.41768379999999999</v>
      </c>
      <c r="F4190" t="s">
        <v>41</v>
      </c>
      <c r="G4190">
        <v>-223.35900000000001</v>
      </c>
      <c r="H4190">
        <v>1.039007</v>
      </c>
      <c r="I4190">
        <v>-61.415619999999997</v>
      </c>
      <c r="J4190">
        <v>-224.13849999999999</v>
      </c>
      <c r="K4190">
        <v>1.106285</v>
      </c>
      <c r="L4190">
        <v>-61.9039</v>
      </c>
      <c r="M4190">
        <v>0.99978820000000002</v>
      </c>
      <c r="N4190">
        <v>0</v>
      </c>
      <c r="O4190">
        <v>1.493162E-2</v>
      </c>
      <c r="P4190">
        <v>0.96664859999999997</v>
      </c>
      <c r="Q4190">
        <v>4.1025970000000002E-2</v>
      </c>
      <c r="R4190">
        <v>0.25279859999999998</v>
      </c>
      <c r="S4190">
        <v>2.755798</v>
      </c>
      <c r="T4190">
        <v>-0.1869315</v>
      </c>
      <c r="U4190">
        <v>1.36673</v>
      </c>
      <c r="V4190">
        <v>-0.23854249999999999</v>
      </c>
      <c r="W4190">
        <v>5.3853980000000003E-2</v>
      </c>
      <c r="X4190">
        <v>0.96963770000000005</v>
      </c>
      <c r="Y4190">
        <v>-0.4301142</v>
      </c>
      <c r="Z4190">
        <v>1.281766E-2</v>
      </c>
      <c r="AA4190">
        <v>0.90268349999999997</v>
      </c>
      <c r="AB4190">
        <v>39</v>
      </c>
      <c r="AC4190">
        <v>0.77949999999998398</v>
      </c>
      <c r="AD4190">
        <v>-6.7277999999999893E-2</v>
      </c>
      <c r="AE4190">
        <v>0.48828000000000299</v>
      </c>
      <c r="AF4190">
        <v>-0.47404901090088802</v>
      </c>
      <c r="AG4190">
        <v>-6.7277999999999893E-2</v>
      </c>
      <c r="AH4190">
        <v>0.78251812653076802</v>
      </c>
      <c r="AI4190">
        <v>94.205689336941902</v>
      </c>
      <c r="AJ4190">
        <v>121.20745587558</v>
      </c>
      <c r="AK4190">
        <v>0.91737855456149298</v>
      </c>
      <c r="AL4190">
        <v>86.912900849893205</v>
      </c>
      <c r="AM4190">
        <v>103.82098729212299</v>
      </c>
      <c r="AN4190">
        <v>1.0000000223646901</v>
      </c>
    </row>
    <row r="4191" spans="1:40" x14ac:dyDescent="0.3">
      <c r="A4191" t="str">
        <f>"20200111154002582"</f>
        <v>20200111154002582</v>
      </c>
      <c r="B4191" t="str">
        <f>"1578728402575299"</f>
        <v>1578728402575299</v>
      </c>
      <c r="C4191" t="s">
        <v>40</v>
      </c>
      <c r="D4191">
        <v>4.7300760000000004</v>
      </c>
      <c r="E4191">
        <v>0.41770350000000001</v>
      </c>
      <c r="F4191" t="s">
        <v>66</v>
      </c>
      <c r="G4191">
        <v>-208.0215</v>
      </c>
      <c r="H4191" s="1">
        <v>-2.945615E-6</v>
      </c>
      <c r="I4191">
        <v>-53.868020000000001</v>
      </c>
      <c r="J4191">
        <v>-223.93960000000001</v>
      </c>
      <c r="K4191">
        <v>1.1062369999999999</v>
      </c>
      <c r="L4191">
        <v>-61.900300000000001</v>
      </c>
      <c r="M4191">
        <v>0.99977780000000005</v>
      </c>
      <c r="N4191">
        <v>0</v>
      </c>
      <c r="O4191">
        <v>1.561627E-2</v>
      </c>
      <c r="P4191">
        <v>0.96605030000000003</v>
      </c>
      <c r="Q4191">
        <v>4.0834870000000002E-2</v>
      </c>
      <c r="R4191">
        <v>0.25510640000000001</v>
      </c>
      <c r="S4191">
        <v>2.7525940000000002</v>
      </c>
      <c r="T4191">
        <v>-0.1889412</v>
      </c>
      <c r="U4191">
        <v>1.3724369999999999</v>
      </c>
      <c r="V4191">
        <v>-0.24018819999999999</v>
      </c>
      <c r="W4191">
        <v>5.367541E-2</v>
      </c>
      <c r="X4191">
        <v>0.96924129999999997</v>
      </c>
      <c r="Y4191">
        <v>-0.4313958</v>
      </c>
      <c r="Z4191">
        <v>1.2960279999999999E-2</v>
      </c>
      <c r="AA4191">
        <v>0.90206969999999997</v>
      </c>
      <c r="AB4191">
        <v>39</v>
      </c>
      <c r="AC4191">
        <v>15.918100000000001</v>
      </c>
      <c r="AD4191">
        <v>-1.1062399456150001</v>
      </c>
      <c r="AE4191">
        <v>8.0322800000000001</v>
      </c>
      <c r="AF4191">
        <v>-7.7528495320219504</v>
      </c>
      <c r="AG4191">
        <v>-1.1062399456150001</v>
      </c>
      <c r="AH4191">
        <v>15.980090129911099</v>
      </c>
      <c r="AI4191">
        <v>93.563956035494698</v>
      </c>
      <c r="AJ4191">
        <v>115.880658338609</v>
      </c>
      <c r="AK4191">
        <v>17.795890627994101</v>
      </c>
      <c r="AL4191">
        <v>86.923147090569501</v>
      </c>
      <c r="AM4191">
        <v>103.91811463277701</v>
      </c>
      <c r="AN4191">
        <v>1.0000000593417899</v>
      </c>
    </row>
    <row r="4192" spans="1:40" x14ac:dyDescent="0.3">
      <c r="A4192" t="str">
        <f>"20200111154002593"</f>
        <v>20200111154002593</v>
      </c>
      <c r="B4192" t="str">
        <f>"1578728402585060"</f>
        <v>1578728402585060</v>
      </c>
      <c r="C4192" t="s">
        <v>40</v>
      </c>
      <c r="D4192">
        <v>4.6796150000000001</v>
      </c>
      <c r="E4192">
        <v>0.41806720000000003</v>
      </c>
      <c r="F4192" t="s">
        <v>41</v>
      </c>
      <c r="G4192">
        <v>-223.0077</v>
      </c>
      <c r="H4192">
        <v>1.04129</v>
      </c>
      <c r="I4192">
        <v>-61.433070000000001</v>
      </c>
      <c r="J4192">
        <v>-223.733</v>
      </c>
      <c r="K4192">
        <v>1.106182</v>
      </c>
      <c r="L4192">
        <v>-61.896549999999998</v>
      </c>
      <c r="M4192">
        <v>0.99976679999999996</v>
      </c>
      <c r="N4192">
        <v>0</v>
      </c>
      <c r="O4192">
        <v>1.6308679999999999E-2</v>
      </c>
      <c r="P4192">
        <v>0.96541109999999997</v>
      </c>
      <c r="Q4192">
        <v>4.0328389999999999E-2</v>
      </c>
      <c r="R4192">
        <v>0.25759470000000001</v>
      </c>
      <c r="S4192">
        <v>2.7494960000000002</v>
      </c>
      <c r="T4192">
        <v>-0.19162670000000001</v>
      </c>
      <c r="U4192">
        <v>1.378601</v>
      </c>
      <c r="V4192">
        <v>-0.24200720000000001</v>
      </c>
      <c r="W4192">
        <v>5.3182130000000001E-2</v>
      </c>
      <c r="X4192">
        <v>0.96881589999999995</v>
      </c>
      <c r="Y4192">
        <v>-0.43276979999999998</v>
      </c>
      <c r="Z4192">
        <v>1.315085E-2</v>
      </c>
      <c r="AA4192">
        <v>0.9014086</v>
      </c>
      <c r="AB4192">
        <v>39</v>
      </c>
      <c r="AC4192">
        <v>0.72530000000000405</v>
      </c>
      <c r="AD4192">
        <v>-6.4891999999999894E-2</v>
      </c>
      <c r="AE4192">
        <v>0.463480000000004</v>
      </c>
      <c r="AF4192">
        <v>-0.44903624802016401</v>
      </c>
      <c r="AG4192">
        <v>-6.4891999999999894E-2</v>
      </c>
      <c r="AH4192">
        <v>0.72862169029722401</v>
      </c>
      <c r="AI4192">
        <v>94.335837493856204</v>
      </c>
      <c r="AJ4192">
        <v>121.644770198082</v>
      </c>
      <c r="AK4192">
        <v>0.85833215672699203</v>
      </c>
      <c r="AL4192">
        <v>86.951450306538007</v>
      </c>
      <c r="AM4192">
        <v>104.02529021522599</v>
      </c>
      <c r="AN4192">
        <v>1.0000000359479899</v>
      </c>
    </row>
    <row r="4193" spans="1:40" x14ac:dyDescent="0.3">
      <c r="A4193" t="str">
        <f>"20200111154002605"</f>
        <v>20200111154002605</v>
      </c>
      <c r="B4193" t="str">
        <f>"1578728402594819"</f>
        <v>1578728402594819</v>
      </c>
      <c r="C4193" t="s">
        <v>40</v>
      </c>
      <c r="D4193">
        <v>4.7512999999999996</v>
      </c>
      <c r="E4193">
        <v>0.41814620000000002</v>
      </c>
      <c r="F4193" t="s">
        <v>66</v>
      </c>
      <c r="G4193">
        <v>-208.07310000000001</v>
      </c>
      <c r="H4193" s="1">
        <v>-2.8853129999999999E-6</v>
      </c>
      <c r="I4193">
        <v>-54.012810000000002</v>
      </c>
      <c r="J4193">
        <v>-223.53460000000001</v>
      </c>
      <c r="K4193">
        <v>1.1061209999999999</v>
      </c>
      <c r="L4193">
        <v>-61.89273</v>
      </c>
      <c r="M4193">
        <v>0.9997566</v>
      </c>
      <c r="N4193">
        <v>0</v>
      </c>
      <c r="O4193">
        <v>1.692254E-2</v>
      </c>
      <c r="P4193">
        <v>0.96492359999999999</v>
      </c>
      <c r="Q4193">
        <v>3.9799679999999997E-2</v>
      </c>
      <c r="R4193">
        <v>0.25949699999999998</v>
      </c>
      <c r="S4193">
        <v>2.7466430000000002</v>
      </c>
      <c r="T4193">
        <v>-0.194017</v>
      </c>
      <c r="U4193">
        <v>1.3827510000000001</v>
      </c>
      <c r="V4193">
        <v>-0.243314</v>
      </c>
      <c r="W4193">
        <v>5.2672610000000002E-2</v>
      </c>
      <c r="X4193">
        <v>0.9685163</v>
      </c>
      <c r="Y4193">
        <v>-0.43365730000000002</v>
      </c>
      <c r="Z4193">
        <v>1.3311399999999999E-2</v>
      </c>
      <c r="AA4193">
        <v>0.90097959999999999</v>
      </c>
      <c r="AB4193">
        <v>39</v>
      </c>
      <c r="AC4193">
        <v>15.461499999999999</v>
      </c>
      <c r="AD4193">
        <v>-1.106123885313</v>
      </c>
      <c r="AE4193">
        <v>7.87992000000001</v>
      </c>
      <c r="AF4193">
        <v>-7.5862958947722303</v>
      </c>
      <c r="AG4193">
        <v>-1.106123885313</v>
      </c>
      <c r="AH4193">
        <v>15.529554022198401</v>
      </c>
      <c r="AI4193">
        <v>93.661871847918206</v>
      </c>
      <c r="AJ4193">
        <v>116.035833064253</v>
      </c>
      <c r="AK4193">
        <v>17.318846485291001</v>
      </c>
      <c r="AL4193">
        <v>86.980684412539105</v>
      </c>
      <c r="AM4193">
        <v>104.102199182232</v>
      </c>
      <c r="AN4193">
        <v>0.99999996490294996</v>
      </c>
    </row>
    <row r="4194" spans="1:40" x14ac:dyDescent="0.3">
      <c r="A4194" t="str">
        <f>"20200111154002618"</f>
        <v>20200111154002618</v>
      </c>
      <c r="B4194" t="str">
        <f>"1578728402615315"</f>
        <v>1578728402615315</v>
      </c>
      <c r="C4194" t="s">
        <v>40</v>
      </c>
      <c r="D4194">
        <v>6.5148780000000004</v>
      </c>
      <c r="E4194">
        <v>0.4182748</v>
      </c>
      <c r="F4194" t="s">
        <v>41</v>
      </c>
      <c r="G4194">
        <v>-222.6568</v>
      </c>
      <c r="H4194">
        <v>1.043102</v>
      </c>
      <c r="I4194">
        <v>-61.449019999999997</v>
      </c>
      <c r="J4194">
        <v>-223.32079999999999</v>
      </c>
      <c r="K4194">
        <v>1.1060589999999999</v>
      </c>
      <c r="L4194">
        <v>-61.888579999999997</v>
      </c>
      <c r="M4194">
        <v>0.99974549999999995</v>
      </c>
      <c r="N4194">
        <v>0</v>
      </c>
      <c r="O4194">
        <v>1.7566080000000001E-2</v>
      </c>
      <c r="P4194">
        <v>0.9644142</v>
      </c>
      <c r="Q4194">
        <v>3.9277060000000003E-2</v>
      </c>
      <c r="R4194">
        <v>0.26146219999999998</v>
      </c>
      <c r="S4194">
        <v>2.74411</v>
      </c>
      <c r="T4194">
        <v>-0.19700719999999999</v>
      </c>
      <c r="U4194">
        <v>1.387238</v>
      </c>
      <c r="V4194">
        <v>-0.2446554</v>
      </c>
      <c r="W4194">
        <v>5.2172160000000002E-2</v>
      </c>
      <c r="X4194">
        <v>0.96820550000000005</v>
      </c>
      <c r="Y4194">
        <v>-0.43455840000000001</v>
      </c>
      <c r="Z4194">
        <v>1.350959E-2</v>
      </c>
      <c r="AA4194">
        <v>0.90054239999999997</v>
      </c>
      <c r="AB4194">
        <v>39</v>
      </c>
      <c r="AC4194">
        <v>0.66399999999998705</v>
      </c>
      <c r="AD4194">
        <v>-6.2957000000000096E-2</v>
      </c>
      <c r="AE4194">
        <v>0.439560000000007</v>
      </c>
      <c r="AF4194">
        <v>-0.42516953886577202</v>
      </c>
      <c r="AG4194">
        <v>-6.2957000000000096E-2</v>
      </c>
      <c r="AH4194">
        <v>0.667447675281026</v>
      </c>
      <c r="AI4194">
        <v>94.548593768423302</v>
      </c>
      <c r="AJ4194">
        <v>122.497464328399</v>
      </c>
      <c r="AK4194">
        <v>0.79386341386058301</v>
      </c>
      <c r="AL4194">
        <v>87.009397805900207</v>
      </c>
      <c r="AM4194">
        <v>104.18118592611999</v>
      </c>
      <c r="AN4194">
        <v>1.0000000446292301</v>
      </c>
    </row>
    <row r="4195" spans="1:40" x14ac:dyDescent="0.3">
      <c r="A4195" t="str">
        <f>"20200111154002629"</f>
        <v>20200111154002629</v>
      </c>
      <c r="B4195" t="str">
        <f>"1578728402625075"</f>
        <v>1578728402625075</v>
      </c>
      <c r="C4195" t="s">
        <v>40</v>
      </c>
      <c r="D4195">
        <v>4.7480339999999996</v>
      </c>
      <c r="E4195">
        <v>0.41839379999999998</v>
      </c>
      <c r="F4195" t="s">
        <v>41</v>
      </c>
      <c r="G4195">
        <v>-222.3252</v>
      </c>
      <c r="H4195">
        <v>1.0332570000000001</v>
      </c>
      <c r="I4195">
        <v>-61.3831699999999</v>
      </c>
      <c r="J4195">
        <v>-223.1046</v>
      </c>
      <c r="K4195">
        <v>1.1059950000000001</v>
      </c>
      <c r="L4195">
        <v>-61.8842199999999</v>
      </c>
      <c r="M4195">
        <v>0.99973460000000003</v>
      </c>
      <c r="N4195">
        <v>0</v>
      </c>
      <c r="O4195">
        <v>1.817363E-2</v>
      </c>
      <c r="P4195">
        <v>0.96400160000000001</v>
      </c>
      <c r="Q4195">
        <v>3.8812409999999999E-2</v>
      </c>
      <c r="R4195">
        <v>0.26304860000000002</v>
      </c>
      <c r="S4195">
        <v>2.7415620000000001</v>
      </c>
      <c r="T4195">
        <v>-0.2004755</v>
      </c>
      <c r="U4195">
        <v>1.391632</v>
      </c>
      <c r="V4195">
        <v>-0.2456516</v>
      </c>
      <c r="W4195">
        <v>5.1733580000000001E-2</v>
      </c>
      <c r="X4195">
        <v>0.96797670000000002</v>
      </c>
      <c r="Y4195">
        <v>-0.43546489999999999</v>
      </c>
      <c r="Z4195">
        <v>1.374306E-2</v>
      </c>
      <c r="AA4195">
        <v>0.90010080000000003</v>
      </c>
      <c r="AB4195">
        <v>39</v>
      </c>
      <c r="AC4195">
        <v>0.77940000000000897</v>
      </c>
      <c r="AD4195">
        <v>-7.2738000000000094E-2</v>
      </c>
      <c r="AE4195">
        <v>0.501049999999999</v>
      </c>
      <c r="AF4195">
        <v>-0.48381962623362001</v>
      </c>
      <c r="AG4195">
        <v>-7.2738000000000094E-2</v>
      </c>
      <c r="AH4195">
        <v>0.78354924466110398</v>
      </c>
      <c r="AI4195">
        <v>94.5162441833142</v>
      </c>
      <c r="AJ4195">
        <v>121.69416379630999</v>
      </c>
      <c r="AK4195">
        <v>0.923754115650818</v>
      </c>
      <c r="AL4195">
        <v>87.034560382873906</v>
      </c>
      <c r="AM4195">
        <v>104.23981472471399</v>
      </c>
      <c r="AN4195">
        <v>0.99999998181253302</v>
      </c>
    </row>
    <row r="4196" spans="1:40" x14ac:dyDescent="0.3">
      <c r="A4196" t="str">
        <f>"20200111154002642"</f>
        <v>20200111154002642</v>
      </c>
      <c r="B4196" t="str">
        <f>"1578728402634836"</f>
        <v>1578728402634836</v>
      </c>
      <c r="C4196" t="s">
        <v>40</v>
      </c>
      <c r="D4196">
        <v>4.7345990000000002</v>
      </c>
      <c r="E4196">
        <v>0.41862169999999999</v>
      </c>
      <c r="F4196" t="s">
        <v>66</v>
      </c>
      <c r="G4196">
        <v>-208.1259</v>
      </c>
      <c r="H4196" s="1">
        <v>-2.7930230000000002E-6</v>
      </c>
      <c r="I4196">
        <v>-54.256950000000003</v>
      </c>
      <c r="J4196">
        <v>-222.89320000000001</v>
      </c>
      <c r="K4196">
        <v>1.105936</v>
      </c>
      <c r="L4196">
        <v>-61.87988</v>
      </c>
      <c r="M4196">
        <v>0.99972419999999995</v>
      </c>
      <c r="N4196">
        <v>0</v>
      </c>
      <c r="O4196">
        <v>1.8737770000000001E-2</v>
      </c>
      <c r="P4196">
        <v>0.96367389999999997</v>
      </c>
      <c r="Q4196">
        <v>3.8549140000000003E-2</v>
      </c>
      <c r="R4196">
        <v>0.2642854</v>
      </c>
      <c r="S4196">
        <v>2.7395320000000001</v>
      </c>
      <c r="T4196">
        <v>-0.2022815</v>
      </c>
      <c r="U4196">
        <v>1.394989</v>
      </c>
      <c r="V4196">
        <v>-0.24634</v>
      </c>
      <c r="W4196">
        <v>5.1495970000000002E-2</v>
      </c>
      <c r="X4196">
        <v>0.96781439999999996</v>
      </c>
      <c r="Y4196">
        <v>-0.43608590000000003</v>
      </c>
      <c r="Z4196">
        <v>1.385457E-2</v>
      </c>
      <c r="AA4196">
        <v>0.8997984</v>
      </c>
      <c r="AB4196">
        <v>39</v>
      </c>
      <c r="AC4196">
        <v>14.767300000000001</v>
      </c>
      <c r="AD4196">
        <v>-1.105938793023</v>
      </c>
      <c r="AE4196">
        <v>7.6229300000000002</v>
      </c>
      <c r="AF4196">
        <v>-7.3124733681788596</v>
      </c>
      <c r="AG4196">
        <v>-1.105938793023</v>
      </c>
      <c r="AH4196">
        <v>14.841829318988299</v>
      </c>
      <c r="AI4196">
        <v>93.824101369832107</v>
      </c>
      <c r="AJ4196">
        <v>116.229169731856</v>
      </c>
      <c r="AK4196">
        <v>16.582378143927901</v>
      </c>
      <c r="AL4196">
        <v>87.048192574217296</v>
      </c>
      <c r="AM4196">
        <v>104.28038649557</v>
      </c>
      <c r="AN4196">
        <v>0.99999997168679999</v>
      </c>
    </row>
    <row r="4197" spans="1:40" x14ac:dyDescent="0.3">
      <c r="A4197" t="str">
        <f>"20200111154002653"</f>
        <v>20200111154002653</v>
      </c>
      <c r="B4197" t="str">
        <f>"1578728402645572"</f>
        <v>1578728402645572</v>
      </c>
      <c r="C4197" t="s">
        <v>40</v>
      </c>
      <c r="D4197">
        <v>4.9505400000000002</v>
      </c>
      <c r="E4197">
        <v>0.41862169999999999</v>
      </c>
      <c r="F4197" t="s">
        <v>41</v>
      </c>
      <c r="G4197">
        <v>-221.97200000000001</v>
      </c>
      <c r="H4197">
        <v>1.0371900000000001</v>
      </c>
      <c r="I4197">
        <v>-61.410209999999999</v>
      </c>
      <c r="J4197">
        <v>-222.68809999999999</v>
      </c>
      <c r="K4197">
        <v>1.1058809999999999</v>
      </c>
      <c r="L4197">
        <v>-61.875610000000002</v>
      </c>
      <c r="M4197">
        <v>0.99971429999999994</v>
      </c>
      <c r="N4197">
        <v>0</v>
      </c>
      <c r="O4197">
        <v>1.926839E-2</v>
      </c>
      <c r="P4197">
        <v>0.96333069999999998</v>
      </c>
      <c r="Q4197">
        <v>3.856176E-2</v>
      </c>
      <c r="R4197">
        <v>0.26553139999999997</v>
      </c>
      <c r="S4197">
        <v>2.7383120000000001</v>
      </c>
      <c r="T4197">
        <v>-0.20435980000000001</v>
      </c>
      <c r="U4197">
        <v>1.396423</v>
      </c>
      <c r="V4197">
        <v>-0.24707229999999999</v>
      </c>
      <c r="W4197">
        <v>5.1533570000000001E-2</v>
      </c>
      <c r="X4197">
        <v>0.96762570000000003</v>
      </c>
      <c r="Y4197">
        <v>-0.43612679999999998</v>
      </c>
      <c r="Z4197">
        <v>1.3964819999999999E-2</v>
      </c>
      <c r="AA4197">
        <v>0.89977680000000004</v>
      </c>
      <c r="AB4197">
        <v>39</v>
      </c>
      <c r="AC4197">
        <v>0.71609999999998297</v>
      </c>
      <c r="AD4197">
        <v>-6.8690999999999794E-2</v>
      </c>
      <c r="AE4197">
        <v>0.46539999999999498</v>
      </c>
      <c r="AF4197">
        <v>-0.44861204140009597</v>
      </c>
      <c r="AG4197">
        <v>-6.8690999999999794E-2</v>
      </c>
      <c r="AH4197">
        <v>0.72027597951095401</v>
      </c>
      <c r="AI4197">
        <v>94.628018802175205</v>
      </c>
      <c r="AJ4197">
        <v>121.916035158558</v>
      </c>
      <c r="AK4197">
        <v>0.85133348567445999</v>
      </c>
      <c r="AL4197">
        <v>87.046035362279198</v>
      </c>
      <c r="AM4197">
        <v>104.323772261611</v>
      </c>
      <c r="AN4197">
        <v>0.99999996278236103</v>
      </c>
    </row>
    <row r="4198" spans="1:40" x14ac:dyDescent="0.3">
      <c r="A4198" t="str">
        <f>"20200111154002666"</f>
        <v>20200111154002666</v>
      </c>
      <c r="B4198" t="str">
        <f>"1578728402655332"</f>
        <v>1578728402655332</v>
      </c>
      <c r="C4198" t="s">
        <v>40</v>
      </c>
      <c r="D4198">
        <v>4.8918879999999998</v>
      </c>
      <c r="E4198">
        <v>0.42721039999999999</v>
      </c>
      <c r="F4198" t="s">
        <v>66</v>
      </c>
      <c r="G4198">
        <v>-207.9059</v>
      </c>
      <c r="H4198" s="1">
        <v>-2.909906E-6</v>
      </c>
      <c r="I4198">
        <v>-54.314309999999999</v>
      </c>
      <c r="J4198">
        <v>-222.48609999999999</v>
      </c>
      <c r="K4198">
        <v>1.105844</v>
      </c>
      <c r="L4198">
        <v>-61.871220000000001</v>
      </c>
      <c r="M4198">
        <v>0.99970409999999998</v>
      </c>
      <c r="N4198">
        <v>0</v>
      </c>
      <c r="O4198">
        <v>1.9753819999999998E-2</v>
      </c>
      <c r="P4198">
        <v>0.96306259999999999</v>
      </c>
      <c r="Q4198">
        <v>3.8645970000000002E-2</v>
      </c>
      <c r="R4198">
        <v>0.26649</v>
      </c>
      <c r="S4198">
        <v>2.7365569999999999</v>
      </c>
      <c r="T4198">
        <v>-0.20472599999999999</v>
      </c>
      <c r="U4198">
        <v>1.39978</v>
      </c>
      <c r="V4198">
        <v>-0.2475609</v>
      </c>
      <c r="W4198">
        <v>5.1676439999999997E-2</v>
      </c>
      <c r="X4198">
        <v>0.96749320000000005</v>
      </c>
      <c r="Y4198">
        <v>-0.43679479999999998</v>
      </c>
      <c r="Z4198">
        <v>1.3983519999999999E-2</v>
      </c>
      <c r="AA4198">
        <v>0.89945249999999999</v>
      </c>
      <c r="AB4198">
        <v>39</v>
      </c>
      <c r="AC4198">
        <v>14.5801999999999</v>
      </c>
      <c r="AD4198">
        <v>-1.105846909906</v>
      </c>
      <c r="AE4198">
        <v>7.5569099999999896</v>
      </c>
      <c r="AF4198">
        <v>-7.23458646744582</v>
      </c>
      <c r="AG4198">
        <v>-1.105846909906</v>
      </c>
      <c r="AH4198">
        <v>14.6601712207787</v>
      </c>
      <c r="AI4198">
        <v>93.869810358681903</v>
      </c>
      <c r="AJ4198">
        <v>116.26568536190899</v>
      </c>
      <c r="AK4198">
        <v>16.3854435083597</v>
      </c>
      <c r="AL4198">
        <v>87.037838622216299</v>
      </c>
      <c r="AM4198">
        <v>104.352813709446</v>
      </c>
      <c r="AN4198">
        <v>0.99999997285306097</v>
      </c>
    </row>
    <row r="4199" spans="1:40" x14ac:dyDescent="0.3">
      <c r="A4199" t="str">
        <f>"20200111154002681"</f>
        <v>20200111154002681</v>
      </c>
      <c r="B4199" t="str">
        <f>"1578728402674851"</f>
        <v>1578728402674851</v>
      </c>
      <c r="C4199" t="s">
        <v>40</v>
      </c>
      <c r="D4199">
        <v>4.8087330000000001</v>
      </c>
      <c r="E4199">
        <v>0.42710330000000002</v>
      </c>
      <c r="F4199" t="s">
        <v>41</v>
      </c>
      <c r="G4199">
        <v>-221.5505</v>
      </c>
      <c r="H4199">
        <v>1.0402830000000001</v>
      </c>
      <c r="I4199">
        <v>-61.416820000000001</v>
      </c>
      <c r="J4199">
        <v>-222.21199999999999</v>
      </c>
      <c r="K4199">
        <v>1.1058140000000001</v>
      </c>
      <c r="L4199">
        <v>-61.865229999999997</v>
      </c>
      <c r="M4199">
        <v>0.99968970000000001</v>
      </c>
      <c r="N4199">
        <v>0</v>
      </c>
      <c r="O4199">
        <v>2.0395900000000002E-2</v>
      </c>
      <c r="P4199">
        <v>0.96262340000000002</v>
      </c>
      <c r="Q4199">
        <v>3.9297060000000002E-2</v>
      </c>
      <c r="R4199">
        <v>0.26797749999999998</v>
      </c>
      <c r="S4199">
        <v>2.7528229999999998</v>
      </c>
      <c r="T4199">
        <v>-0.19291169999999999</v>
      </c>
      <c r="U4199">
        <v>1.337067</v>
      </c>
      <c r="V4199">
        <v>-0.2484304</v>
      </c>
      <c r="W4199">
        <v>5.2459289999999999E-2</v>
      </c>
      <c r="X4199">
        <v>0.96722819999999998</v>
      </c>
      <c r="Y4199">
        <v>-0.41767339999999997</v>
      </c>
      <c r="Z4199">
        <v>1.249536E-2</v>
      </c>
      <c r="AA4199">
        <v>0.90851130000000002</v>
      </c>
      <c r="AB4199">
        <v>39</v>
      </c>
      <c r="AC4199">
        <v>0.66150000000001796</v>
      </c>
      <c r="AD4199">
        <v>-6.5530999999999701E-2</v>
      </c>
      <c r="AE4199">
        <v>0.44841000000000902</v>
      </c>
      <c r="AF4199">
        <v>-0.43191920844964998</v>
      </c>
      <c r="AG4199">
        <v>-6.5530999999999701E-2</v>
      </c>
      <c r="AH4199">
        <v>0.66603063468884804</v>
      </c>
      <c r="AI4199">
        <v>94.719146688461905</v>
      </c>
      <c r="AJ4199">
        <v>122.963308382755</v>
      </c>
      <c r="AK4199">
        <v>0.79652075988815396</v>
      </c>
      <c r="AL4199">
        <v>86.992923823238101</v>
      </c>
      <c r="AM4199">
        <v>104.404913015719</v>
      </c>
      <c r="AN4199">
        <v>1.00000001581335</v>
      </c>
    </row>
    <row r="4200" spans="1:40" x14ac:dyDescent="0.3">
      <c r="A4200" t="str">
        <f>"20200111154002693"</f>
        <v>20200111154002693</v>
      </c>
      <c r="B4200" t="str">
        <f>"1578728402685588"</f>
        <v>1578728402685588</v>
      </c>
      <c r="C4200" t="s">
        <v>40</v>
      </c>
      <c r="D4200">
        <v>4.83195</v>
      </c>
      <c r="E4200">
        <v>0.42691669999999998</v>
      </c>
      <c r="F4200" t="s">
        <v>41</v>
      </c>
      <c r="G4200">
        <v>-221.27969999999999</v>
      </c>
      <c r="H4200">
        <v>1.0400290000000001</v>
      </c>
      <c r="I4200">
        <v>-61.410710000000002</v>
      </c>
      <c r="J4200">
        <v>-221.9975</v>
      </c>
      <c r="K4200">
        <v>1.105809</v>
      </c>
      <c r="L4200">
        <v>-61.860410000000002</v>
      </c>
      <c r="M4200">
        <v>0.99967760000000006</v>
      </c>
      <c r="N4200">
        <v>0</v>
      </c>
      <c r="O4200">
        <v>2.088489E-2</v>
      </c>
      <c r="P4200">
        <v>0.96234949999999997</v>
      </c>
      <c r="Q4200">
        <v>3.9522309999999998E-2</v>
      </c>
      <c r="R4200">
        <v>0.26892670000000002</v>
      </c>
      <c r="S4200">
        <v>2.7509160000000001</v>
      </c>
      <c r="T4200">
        <v>-0.19412019999999999</v>
      </c>
      <c r="U4200">
        <v>1.3417049999999999</v>
      </c>
      <c r="V4200">
        <v>-0.2489083</v>
      </c>
      <c r="W4200">
        <v>5.2837389999999998E-2</v>
      </c>
      <c r="X4200">
        <v>0.96708470000000002</v>
      </c>
      <c r="Y4200">
        <v>-0.41870350000000001</v>
      </c>
      <c r="Z4200">
        <v>1.257874E-2</v>
      </c>
      <c r="AA4200">
        <v>0.90803590000000001</v>
      </c>
      <c r="AB4200">
        <v>39</v>
      </c>
      <c r="AC4200">
        <v>0.71780000000001098</v>
      </c>
      <c r="AD4200">
        <v>-6.5779999999999894E-2</v>
      </c>
      <c r="AE4200">
        <v>0.44969999999999999</v>
      </c>
      <c r="AF4200">
        <v>-0.43200376300390297</v>
      </c>
      <c r="AG4200">
        <v>-6.5779999999999894E-2</v>
      </c>
      <c r="AH4200">
        <v>0.722677884720343</v>
      </c>
      <c r="AI4200">
        <v>94.467304915668507</v>
      </c>
      <c r="AJ4200">
        <v>120.87021842524599</v>
      </c>
      <c r="AK4200">
        <v>0.844522104336767</v>
      </c>
      <c r="AL4200">
        <v>86.971230076742998</v>
      </c>
      <c r="AM4200">
        <v>104.433519198095</v>
      </c>
      <c r="AN4200">
        <v>0.99999997428249499</v>
      </c>
    </row>
    <row r="4201" spans="1:40" x14ac:dyDescent="0.3">
      <c r="A4201" t="str">
        <f>"20200111154002706"</f>
        <v>20200111154002706</v>
      </c>
      <c r="B4201" t="str">
        <f>"1578728402695347"</f>
        <v>1578728402695347</v>
      </c>
      <c r="C4201" t="s">
        <v>40</v>
      </c>
      <c r="D4201">
        <v>4.8577909999999997</v>
      </c>
      <c r="E4201">
        <v>0.42710160000000003</v>
      </c>
      <c r="F4201" t="s">
        <v>66</v>
      </c>
      <c r="G4201">
        <v>-206.48009999999999</v>
      </c>
      <c r="H4201" s="1">
        <v>-3.7004970000000001E-6</v>
      </c>
      <c r="I4201">
        <v>-54.265689999999999</v>
      </c>
      <c r="J4201">
        <v>-221.80199999999999</v>
      </c>
      <c r="K4201">
        <v>1.1058190000000001</v>
      </c>
      <c r="L4201">
        <v>-61.855899999999998</v>
      </c>
      <c r="M4201">
        <v>0.99966600000000005</v>
      </c>
      <c r="N4201">
        <v>0</v>
      </c>
      <c r="O4201">
        <v>2.132349E-2</v>
      </c>
      <c r="P4201">
        <v>0.9620398</v>
      </c>
      <c r="Q4201">
        <v>3.9595020000000002E-2</v>
      </c>
      <c r="R4201">
        <v>0.27002209999999899</v>
      </c>
      <c r="S4201">
        <v>2.74939</v>
      </c>
      <c r="T4201">
        <v>-0.1959293</v>
      </c>
      <c r="U4201">
        <v>1.345642</v>
      </c>
      <c r="V4201">
        <v>-0.24958240000000001</v>
      </c>
      <c r="W4201">
        <v>5.3084989999999999E-2</v>
      </c>
      <c r="X4201">
        <v>0.96689740000000002</v>
      </c>
      <c r="Y4201">
        <v>-0.4195372</v>
      </c>
      <c r="Z4201">
        <v>1.2696880000000001E-2</v>
      </c>
      <c r="AA4201">
        <v>0.90764929999999999</v>
      </c>
      <c r="AB4201">
        <v>39</v>
      </c>
      <c r="AC4201">
        <v>15.321899999999999</v>
      </c>
      <c r="AD4201">
        <v>-1.105822700497</v>
      </c>
      <c r="AE4201">
        <v>7.5902099999999901</v>
      </c>
      <c r="AF4201">
        <v>-7.2314869670577702</v>
      </c>
      <c r="AG4201">
        <v>-1.105822700497</v>
      </c>
      <c r="AH4201">
        <v>15.415805995823399</v>
      </c>
      <c r="AI4201">
        <v>93.715724606330298</v>
      </c>
      <c r="AJ4201">
        <v>115.131067663011</v>
      </c>
      <c r="AK4201">
        <v>17.063537795560599</v>
      </c>
      <c r="AL4201">
        <v>86.957023740427402</v>
      </c>
      <c r="AM4201">
        <v>104.473654733072</v>
      </c>
      <c r="AN4201">
        <v>0.99999998633991005</v>
      </c>
    </row>
    <row r="4202" spans="1:40" x14ac:dyDescent="0.3">
      <c r="A4202" t="str">
        <f>"20200111154002719"</f>
        <v>20200111154002719</v>
      </c>
      <c r="B4202" t="str">
        <f>"1578728402714868"</f>
        <v>1578728402714868</v>
      </c>
      <c r="C4202" t="s">
        <v>40</v>
      </c>
      <c r="D4202">
        <v>4.8409110000000002</v>
      </c>
      <c r="E4202">
        <v>0.42728929999999998</v>
      </c>
      <c r="F4202" t="s">
        <v>41</v>
      </c>
      <c r="G4202">
        <v>-220.87889999999999</v>
      </c>
      <c r="H4202">
        <v>1.039523</v>
      </c>
      <c r="I4202">
        <v>-61.403480000000002</v>
      </c>
      <c r="J4202">
        <v>-221.57419999999999</v>
      </c>
      <c r="K4202">
        <v>1.1058410000000001</v>
      </c>
      <c r="L4202">
        <v>-61.850560000000002</v>
      </c>
      <c r="M4202">
        <v>0.99965170000000003</v>
      </c>
      <c r="N4202">
        <v>0</v>
      </c>
      <c r="O4202">
        <v>2.1839819999999999E-2</v>
      </c>
      <c r="P4202">
        <v>0.9617791</v>
      </c>
      <c r="Q4202">
        <v>3.9452630000000002E-2</v>
      </c>
      <c r="R4202">
        <v>0.27096949999999997</v>
      </c>
      <c r="S4202">
        <v>2.7484130000000002</v>
      </c>
      <c r="T4202">
        <v>-0.1973848</v>
      </c>
      <c r="U4202">
        <v>1.3471070000000001</v>
      </c>
      <c r="V4202">
        <v>-0.25003330000000001</v>
      </c>
      <c r="W4202">
        <v>5.3147840000000002E-2</v>
      </c>
      <c r="X4202">
        <v>0.96677740000000001</v>
      </c>
      <c r="Y4202">
        <v>-0.41957460000000002</v>
      </c>
      <c r="Z4202">
        <v>1.2759960000000001E-2</v>
      </c>
      <c r="AA4202">
        <v>0.90763119999999997</v>
      </c>
      <c r="AB4202">
        <v>39</v>
      </c>
      <c r="AC4202">
        <v>0.69530000000000303</v>
      </c>
      <c r="AD4202">
        <v>-6.6318000000000099E-2</v>
      </c>
      <c r="AE4202">
        <v>0.44707999999999198</v>
      </c>
      <c r="AF4202">
        <v>-0.42902510738240701</v>
      </c>
      <c r="AG4202">
        <v>-6.6318000000000099E-2</v>
      </c>
      <c r="AH4202">
        <v>0.70039140386390997</v>
      </c>
      <c r="AI4202">
        <v>94.616218148775403</v>
      </c>
      <c r="AJ4202">
        <v>121.48957355908399</v>
      </c>
      <c r="AK4202">
        <v>0.82401986535213101</v>
      </c>
      <c r="AL4202">
        <v>86.953417476507795</v>
      </c>
      <c r="AM4202">
        <v>104.500425740965</v>
      </c>
      <c r="AN4202">
        <v>0.99999994257815605</v>
      </c>
    </row>
    <row r="4203" spans="1:40" x14ac:dyDescent="0.3">
      <c r="A4203" t="str">
        <f>"20200111154002732"</f>
        <v>20200111154002732</v>
      </c>
      <c r="B4203" t="str">
        <f>"1578728402725604"</f>
        <v>1578728402725604</v>
      </c>
      <c r="C4203" t="s">
        <v>40</v>
      </c>
      <c r="D4203">
        <v>4.8644639999999999</v>
      </c>
      <c r="E4203">
        <v>0.42728569999999999</v>
      </c>
      <c r="F4203" t="s">
        <v>41</v>
      </c>
      <c r="G4203">
        <v>-220.6001</v>
      </c>
      <c r="H4203">
        <v>1.0361499999999999</v>
      </c>
      <c r="I4203">
        <v>-61.372529999999998</v>
      </c>
      <c r="J4203">
        <v>-221.34899999999999</v>
      </c>
      <c r="K4203">
        <v>1.105869</v>
      </c>
      <c r="L4203">
        <v>-61.845179999999999</v>
      </c>
      <c r="M4203">
        <v>0.9996372</v>
      </c>
      <c r="N4203">
        <v>0</v>
      </c>
      <c r="O4203">
        <v>2.2360229999999998E-2</v>
      </c>
      <c r="P4203">
        <v>0.96146860000000001</v>
      </c>
      <c r="Q4203">
        <v>3.9460820000000001E-2</v>
      </c>
      <c r="R4203">
        <v>0.27206829999999999</v>
      </c>
      <c r="S4203">
        <v>2.7473749999999999</v>
      </c>
      <c r="T4203">
        <v>-0.19656280000000001</v>
      </c>
      <c r="U4203">
        <v>1.3484499999999999</v>
      </c>
      <c r="V4203">
        <v>-0.25063489999999999</v>
      </c>
      <c r="W4203">
        <v>5.3354020000000002E-2</v>
      </c>
      <c r="X4203">
        <v>0.96661030000000003</v>
      </c>
      <c r="Y4203">
        <v>-0.4196028</v>
      </c>
      <c r="Z4203">
        <v>1.2675799999999999E-2</v>
      </c>
      <c r="AA4203">
        <v>0.90761930000000002</v>
      </c>
      <c r="AB4203">
        <v>38</v>
      </c>
      <c r="AC4203">
        <v>0.74890000000001999</v>
      </c>
      <c r="AD4203">
        <v>-6.9719000000000003E-2</v>
      </c>
      <c r="AE4203">
        <v>0.47265000000000101</v>
      </c>
      <c r="AF4203">
        <v>-0.45297680785864702</v>
      </c>
      <c r="AG4203">
        <v>-6.9719000000000003E-2</v>
      </c>
      <c r="AH4203">
        <v>0.75460546303895004</v>
      </c>
      <c r="AI4203">
        <v>94.529228360399699</v>
      </c>
      <c r="AJ4203">
        <v>120.975676320063</v>
      </c>
      <c r="AK4203">
        <v>0.88288058777336298</v>
      </c>
      <c r="AL4203">
        <v>86.941587587090197</v>
      </c>
      <c r="AM4203">
        <v>104.536245154364</v>
      </c>
      <c r="AN4203">
        <v>0.99999998830712999</v>
      </c>
    </row>
    <row r="4204" spans="1:40" x14ac:dyDescent="0.3">
      <c r="A4204" t="str">
        <f>"20200111154002749"</f>
        <v>20200111154002749</v>
      </c>
      <c r="B4204" t="str">
        <f>"1578728402745124"</f>
        <v>1578728402745124</v>
      </c>
      <c r="C4204" t="s">
        <v>40</v>
      </c>
      <c r="D4204">
        <v>4.9170780000000001</v>
      </c>
      <c r="E4204">
        <v>0.42701480000000003</v>
      </c>
      <c r="F4204" t="s">
        <v>66</v>
      </c>
      <c r="G4204">
        <v>-206.0419</v>
      </c>
      <c r="H4204" s="1">
        <v>-3.9296590000000002E-6</v>
      </c>
      <c r="I4204">
        <v>-54.31306</v>
      </c>
      <c r="J4204">
        <v>-221.07380000000001</v>
      </c>
      <c r="K4204">
        <v>1.1059139999999901</v>
      </c>
      <c r="L4204">
        <v>-61.838349999999998</v>
      </c>
      <c r="M4204">
        <v>0.99961829999999996</v>
      </c>
      <c r="N4204">
        <v>0</v>
      </c>
      <c r="O4204">
        <v>2.3026749999999999E-2</v>
      </c>
      <c r="P4204">
        <v>0.96109020000000001</v>
      </c>
      <c r="Q4204">
        <v>3.9331610000000003E-2</v>
      </c>
      <c r="R4204">
        <v>0.27342050000000001</v>
      </c>
      <c r="S4204">
        <v>2.7460170000000002</v>
      </c>
      <c r="T4204">
        <v>-0.19838819999999999</v>
      </c>
      <c r="U4204">
        <v>1.351227</v>
      </c>
      <c r="V4204">
        <v>-0.25135210000000002</v>
      </c>
      <c r="W4204">
        <v>5.3451159999999998E-2</v>
      </c>
      <c r="X4204">
        <v>0.96641869999999996</v>
      </c>
      <c r="Y4204">
        <v>-0.41989979999999899</v>
      </c>
      <c r="Z4204">
        <v>1.2761E-2</v>
      </c>
      <c r="AA4204">
        <v>0.90748079999999998</v>
      </c>
      <c r="AB4204">
        <v>38</v>
      </c>
      <c r="AC4204">
        <v>15.0319</v>
      </c>
      <c r="AD4204">
        <v>-1.1059179296589901</v>
      </c>
      <c r="AE4204">
        <v>7.5252899999999903</v>
      </c>
      <c r="AF4204">
        <v>-7.1461890100648597</v>
      </c>
      <c r="AG4204">
        <v>-1.1059179296589901</v>
      </c>
      <c r="AH4204">
        <v>15.1357084426156</v>
      </c>
      <c r="AI4204">
        <v>93.780188596193895</v>
      </c>
      <c r="AJ4204">
        <v>115.273918471055</v>
      </c>
      <c r="AK4204">
        <v>16.774407348534801</v>
      </c>
      <c r="AL4204">
        <v>86.936013970460706</v>
      </c>
      <c r="AM4204">
        <v>104.578838531453</v>
      </c>
      <c r="AN4204">
        <v>1.0000000041947199</v>
      </c>
    </row>
    <row r="4205" spans="1:40" x14ac:dyDescent="0.3">
      <c r="A4205" t="str">
        <f>"20200111154002761"</f>
        <v>20200111154002761</v>
      </c>
      <c r="B4205" t="str">
        <f>"1578728402754884"</f>
        <v>1578728402754884</v>
      </c>
      <c r="C4205" t="s">
        <v>40</v>
      </c>
      <c r="D4205">
        <v>4.9125909999999999</v>
      </c>
      <c r="E4205">
        <v>0.42692429999999898</v>
      </c>
      <c r="F4205" t="s">
        <v>66</v>
      </c>
      <c r="G4205">
        <v>-205.68680000000001</v>
      </c>
      <c r="H4205" s="1">
        <v>-4.1432700000000002E-6</v>
      </c>
      <c r="I4205">
        <v>-54.22569</v>
      </c>
      <c r="J4205">
        <v>-220.85679999999999</v>
      </c>
      <c r="K4205">
        <v>1.1059540000000001</v>
      </c>
      <c r="L4205">
        <v>-61.832790000000003</v>
      </c>
      <c r="M4205">
        <v>0.99960230000000005</v>
      </c>
      <c r="N4205">
        <v>0</v>
      </c>
      <c r="O4205">
        <v>2.3583690000000001E-2</v>
      </c>
      <c r="P4205">
        <v>0.9604471</v>
      </c>
      <c r="Q4205">
        <v>3.8925979999999999E-2</v>
      </c>
      <c r="R4205">
        <v>0.27572839999999998</v>
      </c>
      <c r="S4205">
        <v>2.7433779999999999</v>
      </c>
      <c r="T4205">
        <v>-0.19717560000000001</v>
      </c>
      <c r="U4205">
        <v>1.3572690000000001</v>
      </c>
      <c r="V4205">
        <v>-0.25313740000000001</v>
      </c>
      <c r="W4205">
        <v>5.3209739999999998E-2</v>
      </c>
      <c r="X4205">
        <v>0.96596590000000004</v>
      </c>
      <c r="Y4205">
        <v>-0.42135459999999902</v>
      </c>
      <c r="Z4205">
        <v>1.269994E-2</v>
      </c>
      <c r="AA4205">
        <v>0.90680709999999998</v>
      </c>
      <c r="AB4205">
        <v>38</v>
      </c>
      <c r="AC4205">
        <v>15.1699999999999</v>
      </c>
      <c r="AD4205">
        <v>-1.1059581432700001</v>
      </c>
      <c r="AE4205">
        <v>7.6071</v>
      </c>
      <c r="AF4205">
        <v>-7.2165272445810498</v>
      </c>
      <c r="AG4205">
        <v>-1.1059581432700001</v>
      </c>
      <c r="AH4205">
        <v>15.280308068187001</v>
      </c>
      <c r="AI4205">
        <v>93.744459182126604</v>
      </c>
      <c r="AJ4205">
        <v>115.280255315454</v>
      </c>
      <c r="AK4205">
        <v>16.934852333136799</v>
      </c>
      <c r="AL4205">
        <v>86.9498659252327</v>
      </c>
      <c r="AM4205">
        <v>104.68451523376299</v>
      </c>
      <c r="AN4205">
        <v>0.99999996983621797</v>
      </c>
    </row>
    <row r="4206" spans="1:40" x14ac:dyDescent="0.3">
      <c r="A4206" t="str">
        <f>"20200111154002774"</f>
        <v>20200111154002774</v>
      </c>
      <c r="B4206" t="str">
        <f>"1578728402765620"</f>
        <v>1578728402765620</v>
      </c>
      <c r="C4206" t="s">
        <v>40</v>
      </c>
      <c r="D4206">
        <v>4.9079370000000004</v>
      </c>
      <c r="E4206">
        <v>0.4268902</v>
      </c>
      <c r="F4206" t="s">
        <v>41</v>
      </c>
      <c r="G4206">
        <v>-219.91669999999999</v>
      </c>
      <c r="H4206">
        <v>1.037617</v>
      </c>
      <c r="I4206">
        <v>-61.364849999999997</v>
      </c>
      <c r="J4206">
        <v>-220.6266</v>
      </c>
      <c r="K4206">
        <v>1.1060099999999999</v>
      </c>
      <c r="L4206">
        <v>-61.826810000000002</v>
      </c>
      <c r="M4206">
        <v>0.99958429999999998</v>
      </c>
      <c r="N4206">
        <v>0</v>
      </c>
      <c r="O4206">
        <v>2.4202499999999998E-2</v>
      </c>
      <c r="P4206">
        <v>0.96007929999999997</v>
      </c>
      <c r="Q4206">
        <v>3.8324379999999998E-2</v>
      </c>
      <c r="R4206">
        <v>0.27709040000000001</v>
      </c>
      <c r="S4206">
        <v>2.7398989999999999</v>
      </c>
      <c r="T4206">
        <v>-0.19917070000000001</v>
      </c>
      <c r="U4206">
        <v>1.364441</v>
      </c>
      <c r="V4206">
        <v>-0.25391180000000002</v>
      </c>
      <c r="W4206">
        <v>5.278596E-2</v>
      </c>
      <c r="X4206">
        <v>0.96578589999999997</v>
      </c>
      <c r="Y4206">
        <v>-0.42313410000000001</v>
      </c>
      <c r="Z4206">
        <v>1.28543999999999E-2</v>
      </c>
      <c r="AA4206">
        <v>0.90597589999999995</v>
      </c>
      <c r="AB4206">
        <v>38</v>
      </c>
      <c r="AC4206">
        <v>0.70990000000000397</v>
      </c>
      <c r="AD4206">
        <v>-6.8392999999999898E-2</v>
      </c>
      <c r="AE4206">
        <v>0.46195999999999698</v>
      </c>
      <c r="AF4206">
        <v>-0.44176066902141098</v>
      </c>
      <c r="AG4206">
        <v>-6.8392999999999898E-2</v>
      </c>
      <c r="AH4206">
        <v>0.71620393066982702</v>
      </c>
      <c r="AI4206">
        <v>94.646578197310006</v>
      </c>
      <c r="AJ4206">
        <v>121.66663808886599</v>
      </c>
      <c r="AK4206">
        <v>0.84426190335117901</v>
      </c>
      <c r="AL4206">
        <v>86.9741809406529</v>
      </c>
      <c r="AM4206">
        <v>104.73011374917201</v>
      </c>
      <c r="AN4206">
        <v>0.99999998219558495</v>
      </c>
    </row>
    <row r="4207" spans="1:40" x14ac:dyDescent="0.3">
      <c r="A4207" t="str">
        <f>"20200111154002788"</f>
        <v>20200111154002788</v>
      </c>
      <c r="B4207" t="str">
        <f>"1578728402785140"</f>
        <v>1578728402785140</v>
      </c>
      <c r="C4207" t="s">
        <v>40</v>
      </c>
      <c r="D4207">
        <v>4.9037870000000003</v>
      </c>
      <c r="E4207">
        <v>0.42682759999999997</v>
      </c>
      <c r="F4207" t="s">
        <v>66</v>
      </c>
      <c r="G4207">
        <v>-205.67859999999999</v>
      </c>
      <c r="H4207" s="1">
        <v>-4.1187780000000001E-6</v>
      </c>
      <c r="I4207">
        <v>-54.35613</v>
      </c>
      <c r="J4207">
        <v>-220.4007</v>
      </c>
      <c r="K4207">
        <v>1.1060749999999999</v>
      </c>
      <c r="L4207">
        <v>-61.820650000000001</v>
      </c>
      <c r="M4207">
        <v>0.99956440000000002</v>
      </c>
      <c r="N4207">
        <v>0</v>
      </c>
      <c r="O4207">
        <v>2.4884449999999999E-2</v>
      </c>
      <c r="P4207">
        <v>0.95969990000000005</v>
      </c>
      <c r="Q4207">
        <v>3.7754879999999998E-2</v>
      </c>
      <c r="R4207">
        <v>0.27847959999999999</v>
      </c>
      <c r="S4207">
        <v>2.7378999999999998</v>
      </c>
      <c r="T4207">
        <v>-0.20258010000000001</v>
      </c>
      <c r="U4207">
        <v>1.368347</v>
      </c>
      <c r="V4207">
        <v>-0.25465500000000002</v>
      </c>
      <c r="W4207">
        <v>5.237787E-2</v>
      </c>
      <c r="X4207">
        <v>0.96561249999999998</v>
      </c>
      <c r="Y4207">
        <v>-0.42378539999999998</v>
      </c>
      <c r="Z4207">
        <v>1.3053820000000001E-2</v>
      </c>
      <c r="AA4207">
        <v>0.90566860000000005</v>
      </c>
      <c r="AB4207">
        <v>38</v>
      </c>
      <c r="AC4207">
        <v>14.722099999999999</v>
      </c>
      <c r="AD4207">
        <v>-1.1060791187779999</v>
      </c>
      <c r="AE4207">
        <v>7.4645199999999896</v>
      </c>
      <c r="AF4207">
        <v>-7.0640908694450397</v>
      </c>
      <c r="AG4207">
        <v>-1.1060791187779999</v>
      </c>
      <c r="AH4207">
        <v>14.8366932822455</v>
      </c>
      <c r="AI4207">
        <v>93.850783900292996</v>
      </c>
      <c r="AJ4207">
        <v>115.460193354268</v>
      </c>
      <c r="AK4207">
        <v>16.469737653654398</v>
      </c>
      <c r="AL4207">
        <v>86.997595386263399</v>
      </c>
      <c r="AM4207">
        <v>104.773882715586</v>
      </c>
      <c r="AN4207">
        <v>1.00000005522349</v>
      </c>
    </row>
    <row r="4208" spans="1:40" x14ac:dyDescent="0.3">
      <c r="A4208" t="str">
        <f>"20200111154002801"</f>
        <v>20200111154002801</v>
      </c>
      <c r="B4208" t="str">
        <f>"1578728402794900"</f>
        <v>1578728402794900</v>
      </c>
      <c r="C4208" t="s">
        <v>40</v>
      </c>
      <c r="D4208">
        <v>4.9489850000000004</v>
      </c>
      <c r="E4208">
        <v>0.42676449999999999</v>
      </c>
      <c r="F4208" t="s">
        <v>66</v>
      </c>
      <c r="G4208">
        <v>-205.70079999999999</v>
      </c>
      <c r="H4208" s="1">
        <v>-4.086855E-6</v>
      </c>
      <c r="I4208">
        <v>-54.445480000000003</v>
      </c>
      <c r="J4208">
        <v>-220.1688</v>
      </c>
      <c r="K4208">
        <v>1.1061510000000001</v>
      </c>
      <c r="L4208">
        <v>-61.81418</v>
      </c>
      <c r="M4208">
        <v>0.99954219999999905</v>
      </c>
      <c r="N4208">
        <v>0</v>
      </c>
      <c r="O4208">
        <v>2.563673E-2</v>
      </c>
      <c r="P4208">
        <v>0.95921500000000004</v>
      </c>
      <c r="Q4208">
        <v>3.6954689999999998E-2</v>
      </c>
      <c r="R4208">
        <v>0.280252</v>
      </c>
      <c r="S4208">
        <v>2.7357939999999998</v>
      </c>
      <c r="T4208">
        <v>-0.2058518</v>
      </c>
      <c r="U4208">
        <v>1.3725889999999901</v>
      </c>
      <c r="V4208">
        <v>-0.25571700000000003</v>
      </c>
      <c r="W4208">
        <v>5.1730249999999998E-2</v>
      </c>
      <c r="X4208">
        <v>0.96536670000000002</v>
      </c>
      <c r="Y4208">
        <v>-0.42447659999999998</v>
      </c>
      <c r="Z4208">
        <v>1.324024E-2</v>
      </c>
      <c r="AA4208">
        <v>0.90534210000000004</v>
      </c>
      <c r="AB4208">
        <v>38</v>
      </c>
      <c r="AC4208">
        <v>14.468</v>
      </c>
      <c r="AD4208">
        <v>-1.1061550868549901</v>
      </c>
      <c r="AE4208">
        <v>7.3686999999999996</v>
      </c>
      <c r="AF4208">
        <v>-6.9629990540486499</v>
      </c>
      <c r="AG4208">
        <v>-1.1061550868549901</v>
      </c>
      <c r="AH4208">
        <v>14.5844843027</v>
      </c>
      <c r="AI4208">
        <v>93.915463116621396</v>
      </c>
      <c r="AJ4208">
        <v>115.52098117052</v>
      </c>
      <c r="AK4208">
        <v>16.199201130875601</v>
      </c>
      <c r="AL4208">
        <v>87.034751589004998</v>
      </c>
      <c r="AM4208">
        <v>104.836394198259</v>
      </c>
      <c r="AN4208">
        <v>1.0000000341614701</v>
      </c>
    </row>
    <row r="4209" spans="1:40" x14ac:dyDescent="0.3">
      <c r="A4209" t="str">
        <f>"20200111154002816"</f>
        <v>20200111154002816</v>
      </c>
      <c r="B4209" t="str">
        <f>"1578728402804660"</f>
        <v>1578728402804660</v>
      </c>
      <c r="C4209" t="s">
        <v>40</v>
      </c>
      <c r="D4209">
        <v>4.9237380000000002</v>
      </c>
      <c r="E4209">
        <v>0.42669279999999998</v>
      </c>
      <c r="F4209" t="s">
        <v>41</v>
      </c>
      <c r="G4209">
        <v>-219.2397</v>
      </c>
      <c r="H4209">
        <v>1.0355190000000001</v>
      </c>
      <c r="I4209">
        <v>-61.345869999999998</v>
      </c>
      <c r="J4209">
        <v>-219.93049999999999</v>
      </c>
      <c r="K4209">
        <v>1.1062289999999999</v>
      </c>
      <c r="L4209">
        <v>-61.807310000000001</v>
      </c>
      <c r="M4209">
        <v>0.99951730000000005</v>
      </c>
      <c r="N4209">
        <v>0</v>
      </c>
      <c r="O4209">
        <v>2.6469900000000001E-2</v>
      </c>
      <c r="P4209">
        <v>0.95846659999999995</v>
      </c>
      <c r="Q4209">
        <v>3.6023390000000002E-2</v>
      </c>
      <c r="R4209">
        <v>0.28292079999999997</v>
      </c>
      <c r="S4209">
        <v>2.7328950000000001</v>
      </c>
      <c r="T4209">
        <v>-0.2077666</v>
      </c>
      <c r="U4209">
        <v>1.378174</v>
      </c>
      <c r="V4209">
        <v>-0.25760509999999998</v>
      </c>
      <c r="W4209">
        <v>5.0936420000000003E-2</v>
      </c>
      <c r="X4209">
        <v>0.96490679999999995</v>
      </c>
      <c r="Y4209">
        <v>-0.42556490000000002</v>
      </c>
      <c r="Z4209">
        <v>1.334946E-2</v>
      </c>
      <c r="AA4209">
        <v>0.90482940000000001</v>
      </c>
      <c r="AB4209">
        <v>38</v>
      </c>
      <c r="AC4209">
        <v>0.69079999999999497</v>
      </c>
      <c r="AD4209">
        <v>-7.0709999999999995E-2</v>
      </c>
      <c r="AE4209">
        <v>0.46144000000000301</v>
      </c>
      <c r="AF4209">
        <v>-0.43980412986588002</v>
      </c>
      <c r="AG4209">
        <v>-7.0709999999999995E-2</v>
      </c>
      <c r="AH4209">
        <v>0.69771889985051805</v>
      </c>
      <c r="AI4209">
        <v>94.900178722733898</v>
      </c>
      <c r="AJ4209">
        <v>122.225106140815</v>
      </c>
      <c r="AK4209">
        <v>0.82779178538790898</v>
      </c>
      <c r="AL4209">
        <v>87.080294699849503</v>
      </c>
      <c r="AM4209">
        <v>104.947859756599</v>
      </c>
      <c r="AN4209">
        <v>1.00000001955733</v>
      </c>
    </row>
    <row r="4210" spans="1:40" x14ac:dyDescent="0.3">
      <c r="A4210" t="str">
        <f>"20200111154002831"</f>
        <v>20200111154002831</v>
      </c>
      <c r="B4210" t="str">
        <f>"1578728402825156"</f>
        <v>1578728402825156</v>
      </c>
      <c r="C4210" t="s">
        <v>40</v>
      </c>
      <c r="D4210">
        <v>4.9444889999999999</v>
      </c>
      <c r="E4210">
        <v>0.4199793</v>
      </c>
      <c r="F4210" t="s">
        <v>41</v>
      </c>
      <c r="G4210">
        <v>-218.91390000000001</v>
      </c>
      <c r="H4210">
        <v>1.027406</v>
      </c>
      <c r="I4210">
        <v>-61.290719999999901</v>
      </c>
      <c r="J4210">
        <v>-219.6626</v>
      </c>
      <c r="K4210">
        <v>1.106339</v>
      </c>
      <c r="L4210">
        <v>-61.799190000000003</v>
      </c>
      <c r="M4210">
        <v>0.99948530000000002</v>
      </c>
      <c r="N4210">
        <v>0</v>
      </c>
      <c r="O4210">
        <v>2.7522609999999999E-2</v>
      </c>
      <c r="P4210">
        <v>0.95790120000000001</v>
      </c>
      <c r="Q4210">
        <v>3.5502640000000002E-2</v>
      </c>
      <c r="R4210">
        <v>0.28489439999999999</v>
      </c>
      <c r="S4210">
        <v>2.7287140000000001</v>
      </c>
      <c r="T4210">
        <v>-0.2115716</v>
      </c>
      <c r="U4210">
        <v>1.3863529999999999</v>
      </c>
      <c r="V4210">
        <v>-0.25858619999999999</v>
      </c>
      <c r="W4210">
        <v>5.0560679999999997E-2</v>
      </c>
      <c r="X4210">
        <v>0.96466410000000002</v>
      </c>
      <c r="Y4210">
        <v>-0.42729060000000002</v>
      </c>
      <c r="Z4210">
        <v>1.358963E-2</v>
      </c>
      <c r="AA4210">
        <v>0.90401220000000004</v>
      </c>
      <c r="AB4210">
        <v>38</v>
      </c>
      <c r="AC4210">
        <v>0.74869999999998504</v>
      </c>
      <c r="AD4210">
        <v>-7.8932999999999906E-2</v>
      </c>
      <c r="AE4210">
        <v>0.50847000000000897</v>
      </c>
      <c r="AF4210">
        <v>-0.48398691505109798</v>
      </c>
      <c r="AG4210">
        <v>-7.8932999999999906E-2</v>
      </c>
      <c r="AH4210">
        <v>0.75665712599034196</v>
      </c>
      <c r="AI4210">
        <v>95.022167921506394</v>
      </c>
      <c r="AJ4210">
        <v>122.60454070063901</v>
      </c>
      <c r="AK4210">
        <v>0.90166721063907096</v>
      </c>
      <c r="AL4210">
        <v>87.101850779851304</v>
      </c>
      <c r="AM4210">
        <v>105.005831442323</v>
      </c>
      <c r="AN4210">
        <v>1.0000000155106501</v>
      </c>
    </row>
    <row r="4211" spans="1:40" x14ac:dyDescent="0.3">
      <c r="A4211" t="str">
        <f>"20200111154002844"</f>
        <v>20200111154002844</v>
      </c>
      <c r="B4211" t="str">
        <f>"1578728402834916"</f>
        <v>1578728402834916</v>
      </c>
      <c r="C4211" t="s">
        <v>40</v>
      </c>
      <c r="D4211">
        <v>4.9789709999999996</v>
      </c>
      <c r="E4211">
        <v>0.4192534</v>
      </c>
      <c r="F4211" t="s">
        <v>66</v>
      </c>
      <c r="G4211">
        <v>-207.77029999999999</v>
      </c>
      <c r="H4211" s="1">
        <v>-2.6927070000000001E-6</v>
      </c>
      <c r="I4211">
        <v>-55.483420000000002</v>
      </c>
      <c r="J4211">
        <v>-219.43559999999999</v>
      </c>
      <c r="K4211">
        <v>1.106441</v>
      </c>
      <c r="L4211">
        <v>-61.792020000000001</v>
      </c>
      <c r="M4211">
        <v>0.99945499999999998</v>
      </c>
      <c r="N4211">
        <v>0</v>
      </c>
      <c r="O4211">
        <v>2.849896E-2</v>
      </c>
      <c r="P4211">
        <v>0.95735890000000001</v>
      </c>
      <c r="Q4211">
        <v>3.5206090000000002E-2</v>
      </c>
      <c r="R4211">
        <v>0.28674870000000002</v>
      </c>
      <c r="S4211">
        <v>2.712723</v>
      </c>
      <c r="T4211">
        <v>-0.25236439999999999</v>
      </c>
      <c r="U4211">
        <v>1.440674</v>
      </c>
      <c r="V4211">
        <v>-0.25952229999999998</v>
      </c>
      <c r="W4211">
        <v>5.0376839999999999E-2</v>
      </c>
      <c r="X4211">
        <v>0.96442229999999995</v>
      </c>
      <c r="Y4211">
        <v>-0.4422856</v>
      </c>
      <c r="Z4211">
        <v>1.6784139999999999E-2</v>
      </c>
      <c r="AA4211">
        <v>0.89671719999999899</v>
      </c>
      <c r="AB4211">
        <v>38</v>
      </c>
      <c r="AC4211">
        <v>11.6653</v>
      </c>
      <c r="AD4211">
        <v>-1.1064436927069901</v>
      </c>
      <c r="AE4211">
        <v>6.3085999999999904</v>
      </c>
      <c r="AF4211">
        <v>-5.9322496787876302</v>
      </c>
      <c r="AG4211">
        <v>-1.1064436927069901</v>
      </c>
      <c r="AH4211">
        <v>11.7585273416568</v>
      </c>
      <c r="AI4211">
        <v>94.8022026320957</v>
      </c>
      <c r="AJ4211">
        <v>116.771226609159</v>
      </c>
      <c r="AK4211">
        <v>13.2166095932768</v>
      </c>
      <c r="AL4211">
        <v>87.112397464421207</v>
      </c>
      <c r="AM4211">
        <v>105.06129455698699</v>
      </c>
      <c r="AN4211">
        <v>1.00000001147148</v>
      </c>
    </row>
    <row r="4212" spans="1:40" x14ac:dyDescent="0.3">
      <c r="A4212" t="str">
        <f>"20200111154002861"</f>
        <v>20200111154002861</v>
      </c>
      <c r="B4212" t="str">
        <f>"1578728402855412"</f>
        <v>1578728402855412</v>
      </c>
      <c r="C4212" t="s">
        <v>40</v>
      </c>
      <c r="D4212">
        <v>5.1496820000000003</v>
      </c>
      <c r="E4212">
        <v>0.41901650000000001</v>
      </c>
      <c r="F4212" t="s">
        <v>41</v>
      </c>
      <c r="G4212">
        <v>-218.56700000000001</v>
      </c>
      <c r="H4212">
        <v>1.0250520000000001</v>
      </c>
      <c r="I4212">
        <v>-61.326419999999999</v>
      </c>
      <c r="J4212">
        <v>-219.18039999999999</v>
      </c>
      <c r="K4212">
        <v>1.1065560000000001</v>
      </c>
      <c r="L4212">
        <v>-61.783630000000002</v>
      </c>
      <c r="M4212">
        <v>0.99941720000000001</v>
      </c>
      <c r="N4212">
        <v>0</v>
      </c>
      <c r="O4212">
        <v>2.9681630000000001E-2</v>
      </c>
      <c r="P4212">
        <v>0.95646690000000001</v>
      </c>
      <c r="Q4212">
        <v>3.4104429999999998E-2</v>
      </c>
      <c r="R4212">
        <v>0.28984149999999997</v>
      </c>
      <c r="S4212">
        <v>2.7080690000000001</v>
      </c>
      <c r="T4212">
        <v>-0.2537507</v>
      </c>
      <c r="U4212">
        <v>1.4519040000000001</v>
      </c>
      <c r="V4212">
        <v>-0.26150709999999999</v>
      </c>
      <c r="W4212">
        <v>4.9388639999999998E-2</v>
      </c>
      <c r="X4212">
        <v>0.96393720000000005</v>
      </c>
      <c r="Y4212">
        <v>-0.44473459999999998</v>
      </c>
      <c r="Z4212">
        <v>1.6890240000000001E-2</v>
      </c>
      <c r="AA4212">
        <v>0.89550319999999894</v>
      </c>
      <c r="AB4212">
        <v>38</v>
      </c>
      <c r="AC4212">
        <v>0.61339999999998396</v>
      </c>
      <c r="AD4212">
        <v>-8.1503999999999799E-2</v>
      </c>
      <c r="AE4212">
        <v>0.457210000000003</v>
      </c>
      <c r="AF4212">
        <v>-0.43387490928347999</v>
      </c>
      <c r="AG4212">
        <v>-8.1503999999999799E-2</v>
      </c>
      <c r="AH4212">
        <v>0.61966935562738801</v>
      </c>
      <c r="AI4212">
        <v>96.149520465059894</v>
      </c>
      <c r="AJ4212">
        <v>124.998619850903</v>
      </c>
      <c r="AK4212">
        <v>0.76084193445512105</v>
      </c>
      <c r="AL4212">
        <v>87.169087877108396</v>
      </c>
      <c r="AM4212">
        <v>105.178474188846</v>
      </c>
      <c r="AN4212">
        <v>1.00000006332764</v>
      </c>
    </row>
    <row r="4213" spans="1:40" x14ac:dyDescent="0.3">
      <c r="A4213" t="str">
        <f>"20200111154002872"</f>
        <v>20200111154002872</v>
      </c>
      <c r="B4213" t="str">
        <f>"1578728402865174"</f>
        <v>1578728402865174</v>
      </c>
      <c r="C4213" t="s">
        <v>40</v>
      </c>
      <c r="D4213">
        <v>5.1441919999999897</v>
      </c>
      <c r="E4213">
        <v>0.4421389</v>
      </c>
      <c r="F4213" t="s">
        <v>41</v>
      </c>
      <c r="G4213">
        <v>-218.2423</v>
      </c>
      <c r="H4213">
        <v>1.0166200000000001</v>
      </c>
      <c r="I4213">
        <v>-61.275739999999999</v>
      </c>
      <c r="J4213">
        <v>-218.96260000000001</v>
      </c>
      <c r="K4213">
        <v>1.1066720000000001</v>
      </c>
      <c r="L4213">
        <v>-61.776209999999999</v>
      </c>
      <c r="M4213">
        <v>0.99938119999999997</v>
      </c>
      <c r="N4213">
        <v>0</v>
      </c>
      <c r="O4213">
        <v>3.0773160000000001E-2</v>
      </c>
      <c r="P4213">
        <v>0.95586249999999995</v>
      </c>
      <c r="Q4213">
        <v>3.3093650000000002E-2</v>
      </c>
      <c r="R4213">
        <v>0.2919447</v>
      </c>
      <c r="S4213">
        <v>2.7024689999999998</v>
      </c>
      <c r="T4213">
        <v>-0.25907989999999997</v>
      </c>
      <c r="U4213">
        <v>1.4629209999999999</v>
      </c>
      <c r="V4213">
        <v>-0.2625827</v>
      </c>
      <c r="W4213">
        <v>4.8474679999999999E-2</v>
      </c>
      <c r="X4213">
        <v>0.96369110000000002</v>
      </c>
      <c r="Y4213">
        <v>-0.4472892</v>
      </c>
      <c r="Z4213">
        <v>1.7276509999999998E-2</v>
      </c>
      <c r="AA4213">
        <v>0.89422259999999998</v>
      </c>
      <c r="AB4213">
        <v>38</v>
      </c>
      <c r="AC4213">
        <v>0.72030000000000804</v>
      </c>
      <c r="AD4213">
        <v>-9.0051999999999799E-2</v>
      </c>
      <c r="AE4213">
        <v>0.50046999999999997</v>
      </c>
      <c r="AF4213">
        <v>-0.47307698627024197</v>
      </c>
      <c r="AG4213">
        <v>-9.0051999999999799E-2</v>
      </c>
      <c r="AH4213">
        <v>0.72769130827339201</v>
      </c>
      <c r="AI4213">
        <v>95.9233907649743</v>
      </c>
      <c r="AJ4213">
        <v>123.02816454782101</v>
      </c>
      <c r="AK4213">
        <v>0.87260863952815404</v>
      </c>
      <c r="AL4213">
        <v>87.221516560356804</v>
      </c>
      <c r="AM4213">
        <v>105.241717900233</v>
      </c>
      <c r="AN4213">
        <v>1.0000000025797999</v>
      </c>
    </row>
    <row r="4214" spans="1:40" x14ac:dyDescent="0.3">
      <c r="A4214" t="str">
        <f>"20200111154002885"</f>
        <v>20200111154002885</v>
      </c>
      <c r="B4214" t="str">
        <f>"1578728402874931"</f>
        <v>1578728402874931</v>
      </c>
      <c r="C4214" t="s">
        <v>40</v>
      </c>
      <c r="D4214">
        <v>5.0998989999999997</v>
      </c>
      <c r="E4214">
        <v>0.4516849</v>
      </c>
      <c r="F4214" t="s">
        <v>66</v>
      </c>
      <c r="G4214">
        <v>-207.95939999999999</v>
      </c>
      <c r="H4214" s="1">
        <v>-2.2704520000000001E-6</v>
      </c>
      <c r="I4214">
        <v>-56.618499999999997</v>
      </c>
      <c r="J4214">
        <v>-218.76140000000001</v>
      </c>
      <c r="K4214">
        <v>1.106789</v>
      </c>
      <c r="L4214">
        <v>-61.768949999999997</v>
      </c>
      <c r="M4214">
        <v>0.99934319999999999</v>
      </c>
      <c r="N4214">
        <v>0</v>
      </c>
      <c r="O4214">
        <v>3.1890590000000003E-2</v>
      </c>
      <c r="P4214">
        <v>0.95521529999999999</v>
      </c>
      <c r="Q4214">
        <v>3.2285790000000002E-2</v>
      </c>
      <c r="R4214">
        <v>0.2941452</v>
      </c>
      <c r="S4214">
        <v>2.7538450000000001</v>
      </c>
      <c r="T4214">
        <v>-0.27697640000000001</v>
      </c>
      <c r="U4214">
        <v>1.2908630000000001</v>
      </c>
      <c r="V4214">
        <v>-0.26373370000000002</v>
      </c>
      <c r="W4214">
        <v>4.7754070000000003E-2</v>
      </c>
      <c r="X4214">
        <v>0.96341279999999996</v>
      </c>
      <c r="Y4214">
        <v>-0.39384530000000001</v>
      </c>
      <c r="Z4214">
        <v>1.5746179999999999E-2</v>
      </c>
      <c r="AA4214">
        <v>0.91904189999999997</v>
      </c>
      <c r="AB4214">
        <v>38</v>
      </c>
      <c r="AC4214">
        <v>10.802</v>
      </c>
      <c r="AD4214">
        <v>-1.106791270452</v>
      </c>
      <c r="AE4214">
        <v>5.1504499999999904</v>
      </c>
      <c r="AF4214">
        <v>-4.7625585688814898</v>
      </c>
      <c r="AG4214">
        <v>-1.106791270452</v>
      </c>
      <c r="AH4214">
        <v>10.8678186064163</v>
      </c>
      <c r="AI4214">
        <v>95.328995939389102</v>
      </c>
      <c r="AJ4214">
        <v>113.664273080595</v>
      </c>
      <c r="AK4214">
        <v>11.917064751873401</v>
      </c>
      <c r="AL4214">
        <v>87.262852529781</v>
      </c>
      <c r="AM4214">
        <v>105.309615054868</v>
      </c>
      <c r="AN4214">
        <v>1.00000006946054</v>
      </c>
    </row>
    <row r="4215" spans="1:40" x14ac:dyDescent="0.3">
      <c r="A4215" t="str">
        <f>"20200111154002898"</f>
        <v>20200111154002898</v>
      </c>
      <c r="B4215" t="str">
        <f>"1578728402895427"</f>
        <v>1578728402895427</v>
      </c>
      <c r="C4215" t="s">
        <v>40</v>
      </c>
      <c r="D4215">
        <v>5.1369530000000001</v>
      </c>
      <c r="E4215">
        <v>0.467001</v>
      </c>
      <c r="F4215" t="s">
        <v>66</v>
      </c>
      <c r="G4215">
        <v>-207.60050000000001</v>
      </c>
      <c r="H4215" s="1">
        <v>-2.4399449999999999E-6</v>
      </c>
      <c r="I4215">
        <v>-56.838940000000001</v>
      </c>
      <c r="J4215">
        <v>-218.5472</v>
      </c>
      <c r="K4215">
        <v>1.1069199999999999</v>
      </c>
      <c r="L4215">
        <v>-61.761020000000002</v>
      </c>
      <c r="M4215">
        <v>0.99929959999999995</v>
      </c>
      <c r="N4215">
        <v>0</v>
      </c>
      <c r="O4215">
        <v>3.3136810000000003E-2</v>
      </c>
      <c r="P4215">
        <v>0.95462930000000001</v>
      </c>
      <c r="Q4215">
        <v>3.1672619999999999E-2</v>
      </c>
      <c r="R4215">
        <v>0.29610799999999998</v>
      </c>
      <c r="S4215">
        <v>2.7727659999999998</v>
      </c>
      <c r="T4215">
        <v>-0.27496659999999901</v>
      </c>
      <c r="U4215">
        <v>1.2247920000000001</v>
      </c>
      <c r="V4215">
        <v>-0.26452379999999998</v>
      </c>
      <c r="W4215">
        <v>4.723347E-2</v>
      </c>
      <c r="X4215">
        <v>0.96322169999999896</v>
      </c>
      <c r="Y4215">
        <v>-0.3721333</v>
      </c>
      <c r="Z4215">
        <v>1.4464629999999999E-2</v>
      </c>
      <c r="AA4215">
        <v>0.92806659999999996</v>
      </c>
      <c r="AB4215">
        <v>38</v>
      </c>
      <c r="AC4215">
        <v>10.9466999999999</v>
      </c>
      <c r="AD4215">
        <v>-1.1069224399449999</v>
      </c>
      <c r="AE4215">
        <v>4.9220799999999896</v>
      </c>
      <c r="AF4215">
        <v>-4.5181534096627596</v>
      </c>
      <c r="AG4215">
        <v>-1.1069224399449999</v>
      </c>
      <c r="AH4215">
        <v>11.0101662817139</v>
      </c>
      <c r="AI4215">
        <v>95.313774000519103</v>
      </c>
      <c r="AJ4215">
        <v>112.311381163758</v>
      </c>
      <c r="AK4215">
        <v>11.952520615848799</v>
      </c>
      <c r="AL4215">
        <v>87.292714064730603</v>
      </c>
      <c r="AM4215">
        <v>105.356220983847</v>
      </c>
      <c r="AN4215">
        <v>0.999999942402783</v>
      </c>
    </row>
    <row r="4216" spans="1:40" x14ac:dyDescent="0.3">
      <c r="A4216" t="str">
        <f>"20200111154002913"</f>
        <v>20200111154002913</v>
      </c>
      <c r="B4216" t="str">
        <f>"1578728402905187"</f>
        <v>1578728402905187</v>
      </c>
      <c r="C4216" t="s">
        <v>40</v>
      </c>
      <c r="D4216">
        <v>5.0714410000000001</v>
      </c>
      <c r="E4216">
        <v>0.47124110000000002</v>
      </c>
      <c r="F4216" t="s">
        <v>66</v>
      </c>
      <c r="G4216">
        <v>-207.32730000000001</v>
      </c>
      <c r="H4216" s="1">
        <v>-2.488624E-6</v>
      </c>
      <c r="I4216">
        <v>-57.308579999999999</v>
      </c>
      <c r="J4216">
        <v>-218.28129999999999</v>
      </c>
      <c r="K4216">
        <v>1.1070960000000001</v>
      </c>
      <c r="L4216">
        <v>-61.7506699999999</v>
      </c>
      <c r="M4216">
        <v>0.99923850000000003</v>
      </c>
      <c r="N4216">
        <v>0</v>
      </c>
      <c r="O4216">
        <v>3.4819000000000003E-2</v>
      </c>
      <c r="P4216">
        <v>0.95391559999999997</v>
      </c>
      <c r="Q4216">
        <v>3.1313809999999997E-2</v>
      </c>
      <c r="R4216">
        <v>0.2984368</v>
      </c>
      <c r="S4216">
        <v>2.8063199999999999</v>
      </c>
      <c r="T4216">
        <v>-0.27686440000000001</v>
      </c>
      <c r="U4216">
        <v>1.1136469999999901</v>
      </c>
      <c r="V4216">
        <v>-0.26527060000000002</v>
      </c>
      <c r="W4216">
        <v>4.697817E-2</v>
      </c>
      <c r="X4216">
        <v>0.96302880000000002</v>
      </c>
      <c r="Y4216">
        <v>-0.33500580000000002</v>
      </c>
      <c r="Z4216">
        <v>1.2589970000000001E-2</v>
      </c>
      <c r="AA4216">
        <v>0.94213190000000002</v>
      </c>
      <c r="AB4216">
        <v>37</v>
      </c>
      <c r="AC4216">
        <v>10.953999999999899</v>
      </c>
      <c r="AD4216">
        <v>-1.1070984886239901</v>
      </c>
      <c r="AE4216">
        <v>4.4420899999999799</v>
      </c>
      <c r="AF4216">
        <v>-4.022641883316</v>
      </c>
      <c r="AG4216">
        <v>-1.1070984886239901</v>
      </c>
      <c r="AH4216">
        <v>11.005506794978</v>
      </c>
      <c r="AI4216">
        <v>95.3973656786455</v>
      </c>
      <c r="AJ4216">
        <v>110.07795116814501</v>
      </c>
      <c r="AK4216">
        <v>11.7698128531948</v>
      </c>
      <c r="AL4216">
        <v>87.307357967230999</v>
      </c>
      <c r="AM4216">
        <v>105.400457564096</v>
      </c>
      <c r="AN4216">
        <v>0.999999954655173</v>
      </c>
    </row>
    <row r="4217" spans="1:40" x14ac:dyDescent="0.3">
      <c r="A4217" t="str">
        <f>"20200111154002926"</f>
        <v>20200111154002926</v>
      </c>
      <c r="B4217" t="str">
        <f>"1578728402914947"</f>
        <v>1578728402914947</v>
      </c>
      <c r="C4217" t="s">
        <v>40</v>
      </c>
      <c r="D4217">
        <v>5.0219589999999998</v>
      </c>
      <c r="E4217">
        <v>0.4741744</v>
      </c>
      <c r="F4217" t="s">
        <v>66</v>
      </c>
      <c r="G4217">
        <v>-207.13820000000001</v>
      </c>
      <c r="H4217" s="1">
        <v>-2.5741419999999999E-6</v>
      </c>
      <c r="I4217">
        <v>-57.438899999999997</v>
      </c>
      <c r="J4217">
        <v>-218.07169999999999</v>
      </c>
      <c r="K4217">
        <v>1.10724</v>
      </c>
      <c r="L4217">
        <v>-61.74194</v>
      </c>
      <c r="M4217">
        <v>0.99918340000000005</v>
      </c>
      <c r="N4217">
        <v>0</v>
      </c>
      <c r="O4217">
        <v>3.6285659999999997E-2</v>
      </c>
      <c r="P4217">
        <v>0.95299610000000001</v>
      </c>
      <c r="Q4217">
        <v>3.1253000000000003E-2</v>
      </c>
      <c r="R4217">
        <v>0.30136669999999999</v>
      </c>
      <c r="S4217">
        <v>2.8135379999999999</v>
      </c>
      <c r="T4217">
        <v>-0.27953230000000001</v>
      </c>
      <c r="U4217">
        <v>1.088684</v>
      </c>
      <c r="V4217">
        <v>-0.26683259999999998</v>
      </c>
      <c r="W4217">
        <v>4.6971980000000003E-2</v>
      </c>
      <c r="X4217">
        <v>0.96259749999999999</v>
      </c>
      <c r="Y4217">
        <v>-0.32555250000000002</v>
      </c>
      <c r="Z4217">
        <v>1.210804E-2</v>
      </c>
      <c r="AA4217">
        <v>0.94544640000000002</v>
      </c>
      <c r="AB4217">
        <v>37</v>
      </c>
      <c r="AC4217">
        <v>10.933499999999899</v>
      </c>
      <c r="AD4217">
        <v>-1.107242574142</v>
      </c>
      <c r="AE4217">
        <v>4.3030400000000002</v>
      </c>
      <c r="AF4217">
        <v>-3.8690552484201102</v>
      </c>
      <c r="AG4217">
        <v>-1.107242574142</v>
      </c>
      <c r="AH4217">
        <v>10.9849120827928</v>
      </c>
      <c r="AI4217">
        <v>95.430896474068206</v>
      </c>
      <c r="AJ4217">
        <v>109.403048909489</v>
      </c>
      <c r="AK4217">
        <v>11.698883198836</v>
      </c>
      <c r="AL4217">
        <v>87.307713075343301</v>
      </c>
      <c r="AM4217">
        <v>105.493405227224</v>
      </c>
      <c r="AN4217">
        <v>0.99999997516706396</v>
      </c>
    </row>
    <row r="4218" spans="1:40" x14ac:dyDescent="0.3">
      <c r="A4218" t="str">
        <f>"20200111154002941"</f>
        <v>20200111154002941</v>
      </c>
      <c r="B4218" t="str">
        <f>"1578728402935444"</f>
        <v>1578728402935444</v>
      </c>
      <c r="C4218" t="s">
        <v>40</v>
      </c>
      <c r="D4218">
        <v>5.2523470000000003</v>
      </c>
      <c r="E4218">
        <v>0.47775299999999998</v>
      </c>
      <c r="F4218" t="s">
        <v>66</v>
      </c>
      <c r="G4218">
        <v>-206.791</v>
      </c>
      <c r="H4218" s="1">
        <v>-2.7976269999999998E-6</v>
      </c>
      <c r="I4218">
        <v>-57.428510000000003</v>
      </c>
      <c r="J4218">
        <v>-217.8466</v>
      </c>
      <c r="K4218">
        <v>1.107405</v>
      </c>
      <c r="L4218">
        <v>-61.732300000000002</v>
      </c>
      <c r="M4218">
        <v>0.99911890000000003</v>
      </c>
      <c r="N4218">
        <v>0</v>
      </c>
      <c r="O4218">
        <v>3.7938029999999998E-2</v>
      </c>
      <c r="P4218">
        <v>0.95234810000000003</v>
      </c>
      <c r="Q4218">
        <v>3.0758879999999999E-2</v>
      </c>
      <c r="R4218">
        <v>0.30345870000000003</v>
      </c>
      <c r="S4218">
        <v>2.8164669999999998</v>
      </c>
      <c r="T4218">
        <v>-0.2764452</v>
      </c>
      <c r="U4218">
        <v>1.076935</v>
      </c>
      <c r="V4218">
        <v>-0.26737030000000001</v>
      </c>
      <c r="W4218">
        <v>4.6539959999999998E-2</v>
      </c>
      <c r="X4218">
        <v>0.96246929999999997</v>
      </c>
      <c r="Y4218">
        <v>-0.32027339999999999</v>
      </c>
      <c r="Z4218">
        <v>1.1566430000000001E-2</v>
      </c>
      <c r="AA4218">
        <v>0.9472545</v>
      </c>
      <c r="AB4218">
        <v>37</v>
      </c>
      <c r="AC4218">
        <v>11.055599999999901</v>
      </c>
      <c r="AD4218">
        <v>-1.107407797627</v>
      </c>
      <c r="AE4218">
        <v>4.3037900000000002</v>
      </c>
      <c r="AF4218">
        <v>-3.8476704797536598</v>
      </c>
      <c r="AG4218">
        <v>-1.107407797627</v>
      </c>
      <c r="AH4218">
        <v>11.1141043250056</v>
      </c>
      <c r="AI4218">
        <v>95.378941600667005</v>
      </c>
      <c r="AJ4218">
        <v>109.095704104969</v>
      </c>
      <c r="AK4218">
        <v>11.813307542687699</v>
      </c>
      <c r="AL4218">
        <v>87.332493164177393</v>
      </c>
      <c r="AM4218">
        <v>105.52509011531301</v>
      </c>
      <c r="AN4218">
        <v>0.99999999932068995</v>
      </c>
    </row>
    <row r="4219" spans="1:40" x14ac:dyDescent="0.3">
      <c r="A4219" t="str">
        <f>"20200111154002953"</f>
        <v>20200111154002953</v>
      </c>
      <c r="B4219" t="str">
        <f>"1578728402945204"</f>
        <v>1578728402945204</v>
      </c>
      <c r="C4219" t="s">
        <v>40</v>
      </c>
      <c r="D4219">
        <v>5.1051099999999998</v>
      </c>
      <c r="E4219">
        <v>0.47896179999999999</v>
      </c>
      <c r="F4219" t="s">
        <v>66</v>
      </c>
      <c r="G4219">
        <v>-206.23910000000001</v>
      </c>
      <c r="H4219" s="1">
        <v>-3.1406749999999998E-6</v>
      </c>
      <c r="I4219">
        <v>-57.38496</v>
      </c>
      <c r="J4219">
        <v>-217.6327</v>
      </c>
      <c r="K4219">
        <v>1.107561</v>
      </c>
      <c r="L4219">
        <v>-61.722720000000002</v>
      </c>
      <c r="M4219">
        <v>0.99905160000000004</v>
      </c>
      <c r="N4219">
        <v>0</v>
      </c>
      <c r="O4219">
        <v>3.9599269999999999E-2</v>
      </c>
      <c r="P4219">
        <v>0.95151490000000005</v>
      </c>
      <c r="Q4219">
        <v>3.0140739999999999E-2</v>
      </c>
      <c r="R4219">
        <v>0.30612260000000002</v>
      </c>
      <c r="S4219">
        <v>2.822006</v>
      </c>
      <c r="T4219">
        <v>-0.26923049999999998</v>
      </c>
      <c r="U4219">
        <v>1.056915</v>
      </c>
      <c r="V4219">
        <v>-0.26847700000000002</v>
      </c>
      <c r="W4219">
        <v>4.5963129999999998E-2</v>
      </c>
      <c r="X4219">
        <v>0.96218890000000001</v>
      </c>
      <c r="Y4219">
        <v>-0.31228719999999999</v>
      </c>
      <c r="Z4219">
        <v>1.0738589999999999E-2</v>
      </c>
      <c r="AA4219">
        <v>0.94992699999999997</v>
      </c>
      <c r="AB4219">
        <v>37</v>
      </c>
      <c r="AC4219">
        <v>11.3935999999999</v>
      </c>
      <c r="AD4219">
        <v>-1.1075641406749901</v>
      </c>
      <c r="AE4219">
        <v>4.3377599999999896</v>
      </c>
      <c r="AF4219">
        <v>-3.85131802482366</v>
      </c>
      <c r="AG4219">
        <v>-1.1075641406749901</v>
      </c>
      <c r="AH4219">
        <v>11.4618618862005</v>
      </c>
      <c r="AI4219">
        <v>95.2335615544565</v>
      </c>
      <c r="AJ4219">
        <v>108.572943351853</v>
      </c>
      <c r="AK4219">
        <v>12.1422249506578</v>
      </c>
      <c r="AL4219">
        <v>87.365578482411806</v>
      </c>
      <c r="AM4219">
        <v>105.590555125394</v>
      </c>
      <c r="AN4219">
        <v>0.99999999406580298</v>
      </c>
    </row>
    <row r="4220" spans="1:40" x14ac:dyDescent="0.3">
      <c r="A4220" t="str">
        <f>"20200111154002967"</f>
        <v>20200111154002967</v>
      </c>
      <c r="B4220" t="str">
        <f>"1578728402954964"</f>
        <v>1578728402954964</v>
      </c>
      <c r="C4220" t="s">
        <v>40</v>
      </c>
      <c r="D4220">
        <v>5.0929840000000004</v>
      </c>
      <c r="E4220">
        <v>0.4797458</v>
      </c>
      <c r="F4220" t="s">
        <v>66</v>
      </c>
      <c r="G4220">
        <v>-205.90950000000001</v>
      </c>
      <c r="H4220" s="1">
        <v>-3.3320780000000001E-6</v>
      </c>
      <c r="I4220">
        <v>-57.334780000000002</v>
      </c>
      <c r="J4220">
        <v>-217.41540000000001</v>
      </c>
      <c r="K4220">
        <v>1.1077159999999999</v>
      </c>
      <c r="L4220">
        <v>-61.712339999999998</v>
      </c>
      <c r="M4220">
        <v>0.9989749</v>
      </c>
      <c r="N4220">
        <v>0</v>
      </c>
      <c r="O4220">
        <v>4.1427470000000001E-2</v>
      </c>
      <c r="P4220">
        <v>0.95057150000000001</v>
      </c>
      <c r="Q4220">
        <v>2.899444E-2</v>
      </c>
      <c r="R4220">
        <v>0.30914960000000002</v>
      </c>
      <c r="S4220">
        <v>2.8215479999999999</v>
      </c>
      <c r="T4220">
        <v>-0.26656929999999901</v>
      </c>
      <c r="U4220">
        <v>1.0560909999999999</v>
      </c>
      <c r="V4220">
        <v>-0.26978839999999998</v>
      </c>
      <c r="W4220">
        <v>4.4846579999999997E-2</v>
      </c>
      <c r="X4220">
        <v>0.96187469999999997</v>
      </c>
      <c r="Y4220">
        <v>-0.31039149999999999</v>
      </c>
      <c r="Z4220">
        <v>1.0382509999999999E-2</v>
      </c>
      <c r="AA4220">
        <v>0.95055210000000001</v>
      </c>
      <c r="AB4220">
        <v>37</v>
      </c>
      <c r="AC4220">
        <v>11.505899999999899</v>
      </c>
      <c r="AD4220">
        <v>-1.1077193320780001</v>
      </c>
      <c r="AE4220">
        <v>4.3775599999999999</v>
      </c>
      <c r="AF4220">
        <v>-3.8657611456468901</v>
      </c>
      <c r="AG4220">
        <v>-1.1077193320780001</v>
      </c>
      <c r="AH4220">
        <v>11.583611667497699</v>
      </c>
      <c r="AI4220">
        <v>95.183121672540096</v>
      </c>
      <c r="AJ4220">
        <v>108.455233745285</v>
      </c>
      <c r="AK4220">
        <v>12.261778444305801</v>
      </c>
      <c r="AL4220">
        <v>87.429618066602998</v>
      </c>
      <c r="AM4220">
        <v>105.667844374854</v>
      </c>
      <c r="AN4220">
        <v>0.99999996750617204</v>
      </c>
    </row>
    <row r="4221" spans="1:40" x14ac:dyDescent="0.3">
      <c r="A4221" t="str">
        <f>"20200111154002979"</f>
        <v>20200111154002979</v>
      </c>
      <c r="B4221" t="str">
        <f>"1578728402975460"</f>
        <v>1578728402975460</v>
      </c>
      <c r="C4221" t="s">
        <v>40</v>
      </c>
      <c r="D4221">
        <v>5.2602609999999999</v>
      </c>
      <c r="E4221">
        <v>0.48089019999999999</v>
      </c>
      <c r="F4221" t="s">
        <v>66</v>
      </c>
      <c r="G4221">
        <v>-205.875</v>
      </c>
      <c r="H4221" s="1">
        <v>-3.341397E-6</v>
      </c>
      <c r="I4221">
        <v>-57.377650000000003</v>
      </c>
      <c r="J4221">
        <v>-217.2064</v>
      </c>
      <c r="K4221">
        <v>1.107864</v>
      </c>
      <c r="L4221">
        <v>-61.702030000000001</v>
      </c>
      <c r="M4221">
        <v>0.99889479999999997</v>
      </c>
      <c r="N4221">
        <v>0</v>
      </c>
      <c r="O4221">
        <v>4.3257589999999999E-2</v>
      </c>
      <c r="P4221">
        <v>0.94957279999999999</v>
      </c>
      <c r="Q4221">
        <v>2.8002530000000001E-2</v>
      </c>
      <c r="R4221">
        <v>0.31229410000000002</v>
      </c>
      <c r="S4221">
        <v>2.8197779999999999</v>
      </c>
      <c r="T4221">
        <v>-0.2706614</v>
      </c>
      <c r="U4221">
        <v>1.0591429999999999</v>
      </c>
      <c r="V4221">
        <v>-0.2712194</v>
      </c>
      <c r="W4221">
        <v>4.3873839999999997E-2</v>
      </c>
      <c r="X4221">
        <v>0.96151710000000001</v>
      </c>
      <c r="Y4221">
        <v>-0.30972519999999998</v>
      </c>
      <c r="Z4221">
        <v>1.034585E-2</v>
      </c>
      <c r="AA4221">
        <v>0.9507698</v>
      </c>
      <c r="AB4221">
        <v>37</v>
      </c>
      <c r="AC4221">
        <v>11.3314</v>
      </c>
      <c r="AD4221">
        <v>-1.1078673413969999</v>
      </c>
      <c r="AE4221">
        <v>4.3243799999999997</v>
      </c>
      <c r="AF4221">
        <v>-3.7983861926873899</v>
      </c>
      <c r="AG4221">
        <v>-1.1078673413969999</v>
      </c>
      <c r="AH4221">
        <v>11.4126594121169</v>
      </c>
      <c r="AI4221">
        <v>95.262446808739696</v>
      </c>
      <c r="AJ4221">
        <v>108.408586580536</v>
      </c>
      <c r="AK4221">
        <v>12.079068779169701</v>
      </c>
      <c r="AL4221">
        <v>87.485406980434902</v>
      </c>
      <c r="AM4221">
        <v>105.75240286831399</v>
      </c>
      <c r="AN4221">
        <v>1.0000000051825499</v>
      </c>
    </row>
    <row r="4222" spans="1:40" x14ac:dyDescent="0.3">
      <c r="A4222" t="str">
        <f>"20200111154002994"</f>
        <v>20200111154002994</v>
      </c>
      <c r="B4222" t="str">
        <f>"1578728402985220"</f>
        <v>1578728402985220</v>
      </c>
      <c r="C4222" t="s">
        <v>40</v>
      </c>
      <c r="D4222">
        <v>5.1242760000000001</v>
      </c>
      <c r="E4222">
        <v>0.4814734</v>
      </c>
      <c r="F4222" t="s">
        <v>66</v>
      </c>
      <c r="G4222">
        <v>-205.71440000000001</v>
      </c>
      <c r="H4222" s="1">
        <v>-3.428451E-6</v>
      </c>
      <c r="I4222">
        <v>-57.381230000000002</v>
      </c>
      <c r="J4222">
        <v>-216.95230000000001</v>
      </c>
      <c r="K4222">
        <v>1.108036</v>
      </c>
      <c r="L4222">
        <v>-61.688870000000001</v>
      </c>
      <c r="M4222">
        <v>0.99878739999999999</v>
      </c>
      <c r="N4222">
        <v>0</v>
      </c>
      <c r="O4222">
        <v>4.5605350000000003E-2</v>
      </c>
      <c r="P4222">
        <v>0.9480594</v>
      </c>
      <c r="Q4222">
        <v>2.55459E-2</v>
      </c>
      <c r="R4222">
        <v>0.31706620000000002</v>
      </c>
      <c r="S4222">
        <v>2.8187869999999999</v>
      </c>
      <c r="T4222">
        <v>-0.2717406</v>
      </c>
      <c r="U4222">
        <v>1.059814</v>
      </c>
      <c r="V4222">
        <v>-0.27379540000000002</v>
      </c>
      <c r="W4222">
        <v>4.1419879999999999E-2</v>
      </c>
      <c r="X4222">
        <v>0.96089570000000002</v>
      </c>
      <c r="Y4222">
        <v>-0.30780730000000001</v>
      </c>
      <c r="Z4222">
        <v>1.008331E-2</v>
      </c>
      <c r="AA4222">
        <v>0.95139530000000005</v>
      </c>
      <c r="AB4222">
        <v>37</v>
      </c>
      <c r="AC4222">
        <v>11.2378999999999</v>
      </c>
      <c r="AD4222">
        <v>-1.108039428451</v>
      </c>
      <c r="AE4222">
        <v>4.3076399999999904</v>
      </c>
      <c r="AF4222">
        <v>-3.7587003400661998</v>
      </c>
      <c r="AG4222">
        <v>-1.108039428451</v>
      </c>
      <c r="AH4222">
        <v>11.3266808379515</v>
      </c>
      <c r="AI4222">
        <v>95.3045276000298</v>
      </c>
      <c r="AJ4222">
        <v>108.35815749042401</v>
      </c>
      <c r="AK4222">
        <v>11.985377692264599</v>
      </c>
      <c r="AL4222">
        <v>87.626136676239199</v>
      </c>
      <c r="AM4222">
        <v>105.904249913288</v>
      </c>
      <c r="AN4222">
        <v>1.00000003689943</v>
      </c>
    </row>
    <row r="4223" spans="1:40" x14ac:dyDescent="0.3">
      <c r="A4223" t="str">
        <f>"20200111154003007"</f>
        <v>20200111154003007</v>
      </c>
      <c r="B4223" t="str">
        <f>"1578728402994979"</f>
        <v>1578728402994979</v>
      </c>
      <c r="C4223" t="s">
        <v>40</v>
      </c>
      <c r="D4223">
        <v>5.1688580000000002</v>
      </c>
      <c r="E4223">
        <v>0.48198740000000001</v>
      </c>
      <c r="F4223" t="s">
        <v>66</v>
      </c>
      <c r="G4223">
        <v>-205.67789999999999</v>
      </c>
      <c r="H4223" s="1">
        <v>-3.4430089999999999E-6</v>
      </c>
      <c r="I4223">
        <v>-57.405639999999998</v>
      </c>
      <c r="J4223">
        <v>-216.74930000000001</v>
      </c>
      <c r="K4223">
        <v>1.108179</v>
      </c>
      <c r="L4223">
        <v>-61.677639999999997</v>
      </c>
      <c r="M4223">
        <v>0.99869110000000005</v>
      </c>
      <c r="N4223">
        <v>0</v>
      </c>
      <c r="O4223">
        <v>4.7622280000000003E-2</v>
      </c>
      <c r="P4223">
        <v>0.9472178</v>
      </c>
      <c r="Q4223">
        <v>2.4552930000000001E-2</v>
      </c>
      <c r="R4223">
        <v>0.31964920000000002</v>
      </c>
      <c r="S4223">
        <v>2.8142550000000002</v>
      </c>
      <c r="T4223">
        <v>-0.27658189999999999</v>
      </c>
      <c r="U4223">
        <v>1.069153</v>
      </c>
      <c r="V4223">
        <v>-0.27448040000000001</v>
      </c>
      <c r="W4223">
        <v>4.0437470000000003E-2</v>
      </c>
      <c r="X4223">
        <v>0.96074210000000004</v>
      </c>
      <c r="Y4223">
        <v>-0.30911609999999901</v>
      </c>
      <c r="Z4223">
        <v>1.014369E-2</v>
      </c>
      <c r="AA4223">
        <v>0.95097019999999999</v>
      </c>
      <c r="AB4223">
        <v>37</v>
      </c>
      <c r="AC4223">
        <v>11.071400000000001</v>
      </c>
      <c r="AD4223">
        <v>-1.1081824430089999</v>
      </c>
      <c r="AE4223">
        <v>4.2719999999999896</v>
      </c>
      <c r="AF4223">
        <v>-3.7074832284658199</v>
      </c>
      <c r="AG4223">
        <v>-1.1081824430089999</v>
      </c>
      <c r="AH4223">
        <v>11.1649483606201</v>
      </c>
      <c r="AI4223">
        <v>95.381258739672404</v>
      </c>
      <c r="AJ4223">
        <v>108.36949610056401</v>
      </c>
      <c r="AK4223">
        <v>11.8164957627743</v>
      </c>
      <c r="AL4223">
        <v>87.682471814007599</v>
      </c>
      <c r="AM4223">
        <v>105.944439678907</v>
      </c>
      <c r="AN4223">
        <v>1.0000000308382799</v>
      </c>
    </row>
    <row r="4224" spans="1:40" x14ac:dyDescent="0.3">
      <c r="A4224" t="str">
        <f>"20200111154003019"</f>
        <v>20200111154003019</v>
      </c>
      <c r="B4224" t="str">
        <f>"1578728403015476"</f>
        <v>1578728403015476</v>
      </c>
      <c r="C4224" t="s">
        <v>40</v>
      </c>
      <c r="D4224">
        <v>5.1425400000000003</v>
      </c>
      <c r="E4224">
        <v>0.48275400000000002</v>
      </c>
      <c r="F4224" t="s">
        <v>66</v>
      </c>
      <c r="G4224">
        <v>-205.5334</v>
      </c>
      <c r="H4224" s="1">
        <v>-3.5234730000000001E-6</v>
      </c>
      <c r="I4224">
        <v>-57.399279999999997</v>
      </c>
      <c r="J4224">
        <v>-216.55619999999999</v>
      </c>
      <c r="K4224">
        <v>1.1083160000000001</v>
      </c>
      <c r="L4224">
        <v>-61.666690000000003</v>
      </c>
      <c r="M4224">
        <v>0.99859339999999996</v>
      </c>
      <c r="N4224">
        <v>0</v>
      </c>
      <c r="O4224">
        <v>4.9588760000000003E-2</v>
      </c>
      <c r="P4224">
        <v>0.94635729999999996</v>
      </c>
      <c r="Q4224">
        <v>2.354579E-2</v>
      </c>
      <c r="R4224">
        <v>0.32226329999999997</v>
      </c>
      <c r="S4224">
        <v>2.8123469999999999</v>
      </c>
      <c r="T4224">
        <v>-0.27787299999999998</v>
      </c>
      <c r="U4224">
        <v>1.072784</v>
      </c>
      <c r="V4224">
        <v>-0.27524579999999998</v>
      </c>
      <c r="W4224">
        <v>3.9435949999999997E-2</v>
      </c>
      <c r="X4224">
        <v>0.96056470000000005</v>
      </c>
      <c r="Y4224">
        <v>-0.30853039999999998</v>
      </c>
      <c r="Z4224">
        <v>9.9808329999999997E-3</v>
      </c>
      <c r="AA4224">
        <v>0.95116210000000001</v>
      </c>
      <c r="AB4224">
        <v>37</v>
      </c>
      <c r="AC4224">
        <v>11.022799999999901</v>
      </c>
      <c r="AD4224">
        <v>-1.1083195234729999</v>
      </c>
      <c r="AE4224">
        <v>4.2674099999999902</v>
      </c>
      <c r="AF4224">
        <v>-3.6830727776310201</v>
      </c>
      <c r="AG4224">
        <v>-1.1083195234729999</v>
      </c>
      <c r="AH4224">
        <v>11.1230914235092</v>
      </c>
      <c r="AI4224">
        <v>95.403569673668201</v>
      </c>
      <c r="AJ4224">
        <v>108.320715554564</v>
      </c>
      <c r="AK4224">
        <v>11.7693058447464</v>
      </c>
      <c r="AL4224">
        <v>87.739900415783296</v>
      </c>
      <c r="AM4224">
        <v>105.989433916379</v>
      </c>
      <c r="AN4224">
        <v>0.99999999372806603</v>
      </c>
    </row>
    <row r="4225" spans="1:40" x14ac:dyDescent="0.3">
      <c r="A4225" t="str">
        <f>"20200111154003032"</f>
        <v>20200111154003032</v>
      </c>
      <c r="B4225" t="str">
        <f>"1578728403025236"</f>
        <v>1578728403025236</v>
      </c>
      <c r="C4225" t="s">
        <v>40</v>
      </c>
      <c r="D4225">
        <v>5.1151330000000002</v>
      </c>
      <c r="E4225">
        <v>0.48295840000000001</v>
      </c>
      <c r="F4225" t="s">
        <v>66</v>
      </c>
      <c r="G4225">
        <v>-205.3674</v>
      </c>
      <c r="H4225" s="1">
        <v>-3.616484E-6</v>
      </c>
      <c r="I4225">
        <v>-57.389229999999998</v>
      </c>
      <c r="J4225">
        <v>-216.34979999999999</v>
      </c>
      <c r="K4225">
        <v>1.108455</v>
      </c>
      <c r="L4225">
        <v>-61.654449999999997</v>
      </c>
      <c r="M4225">
        <v>0.9984807</v>
      </c>
      <c r="N4225">
        <v>0</v>
      </c>
      <c r="O4225">
        <v>5.1772270000000002E-2</v>
      </c>
      <c r="P4225">
        <v>0.94545060000000003</v>
      </c>
      <c r="Q4225">
        <v>2.376909E-2</v>
      </c>
      <c r="R4225">
        <v>0.3248974</v>
      </c>
      <c r="S4225">
        <v>2.8110200000000001</v>
      </c>
      <c r="T4225">
        <v>-0.27844809999999998</v>
      </c>
      <c r="U4225">
        <v>1.074646</v>
      </c>
      <c r="V4225">
        <v>-0.27583600000000003</v>
      </c>
      <c r="W4225">
        <v>3.9663700000000003E-2</v>
      </c>
      <c r="X4225">
        <v>0.96038599999999996</v>
      </c>
      <c r="Y4225">
        <v>-0.30716019999999999</v>
      </c>
      <c r="Z4225">
        <v>9.7319390000000002E-3</v>
      </c>
      <c r="AA4225">
        <v>0.95160809999999996</v>
      </c>
      <c r="AB4225">
        <v>37</v>
      </c>
      <c r="AC4225">
        <v>10.982399999999901</v>
      </c>
      <c r="AD4225">
        <v>-1.108458616484</v>
      </c>
      <c r="AE4225">
        <v>4.2652199999999896</v>
      </c>
      <c r="AF4225">
        <v>-3.6584291530419999</v>
      </c>
      <c r="AG4225">
        <v>-1.108458616484</v>
      </c>
      <c r="AH4225">
        <v>11.0903558949993</v>
      </c>
      <c r="AI4225">
        <v>95.422099220930207</v>
      </c>
      <c r="AJ4225">
        <v>108.256421765723</v>
      </c>
      <c r="AK4225">
        <v>11.7306768027267</v>
      </c>
      <c r="AL4225">
        <v>87.726841072360301</v>
      </c>
      <c r="AM4225">
        <v>106.02478982373199</v>
      </c>
      <c r="AN4225">
        <v>0.99999998849484495</v>
      </c>
    </row>
    <row r="4226" spans="1:40" x14ac:dyDescent="0.3">
      <c r="A4226" t="str">
        <f>"20200111154003043"</f>
        <v>20200111154003043</v>
      </c>
      <c r="B4226" t="str">
        <f>"1578728403034995"</f>
        <v>1578728403034995</v>
      </c>
      <c r="C4226" t="s">
        <v>40</v>
      </c>
      <c r="D4226">
        <v>5.0480580000000002</v>
      </c>
      <c r="E4226">
        <v>0.48295840000000001</v>
      </c>
      <c r="F4226" t="s">
        <v>66</v>
      </c>
      <c r="G4226">
        <v>-205.13650000000001</v>
      </c>
      <c r="H4226" s="1">
        <v>-3.7538520000000001E-6</v>
      </c>
      <c r="I4226">
        <v>-57.3392699999999</v>
      </c>
      <c r="J4226">
        <v>-216.15100000000001</v>
      </c>
      <c r="K4226">
        <v>1.10859</v>
      </c>
      <c r="L4226">
        <v>-61.642060000000001</v>
      </c>
      <c r="M4226">
        <v>0.99836190000000002</v>
      </c>
      <c r="N4226">
        <v>0</v>
      </c>
      <c r="O4226">
        <v>5.3978310000000002E-2</v>
      </c>
      <c r="P4226">
        <v>0.94452389999999997</v>
      </c>
      <c r="Q4226">
        <v>2.4554409999999999E-2</v>
      </c>
      <c r="R4226">
        <v>0.32752369999999997</v>
      </c>
      <c r="S4226">
        <v>2.80864</v>
      </c>
      <c r="T4226">
        <v>-0.27764030000000001</v>
      </c>
      <c r="U4226">
        <v>1.0808409999999999</v>
      </c>
      <c r="V4226">
        <v>-0.27640429999999999</v>
      </c>
      <c r="W4226">
        <v>4.044652E-2</v>
      </c>
      <c r="X4226">
        <v>0.96018990000000004</v>
      </c>
      <c r="Y4226">
        <v>-0.3071719</v>
      </c>
      <c r="Z4226">
        <v>9.4995370000000006E-3</v>
      </c>
      <c r="AA4226">
        <v>0.95160659999999997</v>
      </c>
      <c r="AB4226">
        <v>37</v>
      </c>
      <c r="AC4226">
        <v>11.0144999999999</v>
      </c>
      <c r="AD4226">
        <v>-1.1085937538520001</v>
      </c>
      <c r="AE4226">
        <v>4.3027899999999999</v>
      </c>
      <c r="AF4226">
        <v>-3.66961178714305</v>
      </c>
      <c r="AG4226">
        <v>-1.1085937538520001</v>
      </c>
      <c r="AH4226">
        <v>11.1328895482002</v>
      </c>
      <c r="AI4226">
        <v>95.402569870004598</v>
      </c>
      <c r="AJ4226">
        <v>108.243201196256</v>
      </c>
      <c r="AK4226">
        <v>11.7743900254682</v>
      </c>
      <c r="AL4226">
        <v>87.681952677605395</v>
      </c>
      <c r="AM4226">
        <v>106.059215589933</v>
      </c>
      <c r="AN4226">
        <v>0.99999995105030404</v>
      </c>
    </row>
    <row r="4227" spans="1:40" x14ac:dyDescent="0.3">
      <c r="A4227" t="str">
        <f>"20200111154003057"</f>
        <v>20200111154003057</v>
      </c>
      <c r="B4227" t="str">
        <f>"1578728403044755"</f>
        <v>1578728403044755</v>
      </c>
      <c r="C4227" t="s">
        <v>40</v>
      </c>
      <c r="D4227">
        <v>5.16622</v>
      </c>
      <c r="E4227">
        <v>0.48311169999999998</v>
      </c>
      <c r="F4227" t="s">
        <v>66</v>
      </c>
      <c r="G4227">
        <v>-204.85210000000001</v>
      </c>
      <c r="H4227" s="1">
        <v>-3.9235709999999998E-6</v>
      </c>
      <c r="I4227">
        <v>-57.25759</v>
      </c>
      <c r="J4227">
        <v>-215.94739999999999</v>
      </c>
      <c r="K4227">
        <v>1.1087290000000001</v>
      </c>
      <c r="L4227">
        <v>-61.628999999999998</v>
      </c>
      <c r="M4227">
        <v>0.99823260000000003</v>
      </c>
      <c r="N4227">
        <v>0</v>
      </c>
      <c r="O4227">
        <v>5.6289699999999901E-2</v>
      </c>
      <c r="P4227">
        <v>0.94355370000000005</v>
      </c>
      <c r="Q4227">
        <v>2.552225E-2</v>
      </c>
      <c r="R4227">
        <v>0.33023439999999998</v>
      </c>
      <c r="S4227">
        <v>2.8058010000000002</v>
      </c>
      <c r="T4227">
        <v>-0.27529169999999997</v>
      </c>
      <c r="U4227">
        <v>1.088776</v>
      </c>
      <c r="V4227">
        <v>-0.27696150000000003</v>
      </c>
      <c r="W4227">
        <v>4.1407970000000002E-2</v>
      </c>
      <c r="X4227">
        <v>0.95998839999999996</v>
      </c>
      <c r="Y4227">
        <v>-0.30765799999999999</v>
      </c>
      <c r="Z4227">
        <v>9.2297890000000004E-3</v>
      </c>
      <c r="AA4227">
        <v>0.95145230000000003</v>
      </c>
      <c r="AB4227">
        <v>36</v>
      </c>
      <c r="AC4227">
        <v>11.0952999999999</v>
      </c>
      <c r="AD4227">
        <v>-1.108732923571</v>
      </c>
      <c r="AE4227">
        <v>4.3714099999999902</v>
      </c>
      <c r="AF4227">
        <v>-3.70776251514889</v>
      </c>
      <c r="AG4227">
        <v>-1.108732923571</v>
      </c>
      <c r="AH4227">
        <v>11.226768957616301</v>
      </c>
      <c r="AI4227">
        <v>95.3573083300045</v>
      </c>
      <c r="AJ4227">
        <v>108.276367940501</v>
      </c>
      <c r="AK4227">
        <v>11.875063485819799</v>
      </c>
      <c r="AL4227">
        <v>87.626819591726402</v>
      </c>
      <c r="AM4227">
        <v>106.09311776633299</v>
      </c>
      <c r="AN4227">
        <v>1.0000000102981601</v>
      </c>
    </row>
    <row r="4228" spans="1:40" x14ac:dyDescent="0.3">
      <c r="A4228" t="str">
        <f>"20200111154003074"</f>
        <v>20200111154003074</v>
      </c>
      <c r="B4228" t="str">
        <f>"1578728403065254"</f>
        <v>1578728403065254</v>
      </c>
      <c r="C4228" t="s">
        <v>40</v>
      </c>
      <c r="D4228">
        <v>5.202826</v>
      </c>
      <c r="E4228">
        <v>0.48351880000000003</v>
      </c>
      <c r="F4228" t="s">
        <v>66</v>
      </c>
      <c r="G4228">
        <v>-204.53550000000001</v>
      </c>
      <c r="H4228" s="1">
        <v>-4.1048369999999996E-6</v>
      </c>
      <c r="I4228">
        <v>-57.167589999999997</v>
      </c>
      <c r="J4228">
        <v>-215.6627</v>
      </c>
      <c r="K4228">
        <v>1.1089290000000001</v>
      </c>
      <c r="L4228">
        <v>-61.609769999999997</v>
      </c>
      <c r="M4228">
        <v>0.99803330000000001</v>
      </c>
      <c r="N4228">
        <v>0</v>
      </c>
      <c r="O4228">
        <v>5.9680940000000002E-2</v>
      </c>
      <c r="P4228">
        <v>0.94182869999999996</v>
      </c>
      <c r="Q4228">
        <v>2.7749880000000001E-2</v>
      </c>
      <c r="R4228">
        <v>0.33494600000000002</v>
      </c>
      <c r="S4228">
        <v>2.8032840000000001</v>
      </c>
      <c r="T4228">
        <v>-0.27235350000000003</v>
      </c>
      <c r="U4228">
        <v>1.095917</v>
      </c>
      <c r="V4228">
        <v>-0.27854089999999998</v>
      </c>
      <c r="W4228">
        <v>4.3602290000000002E-2</v>
      </c>
      <c r="X4228">
        <v>0.95943409999999996</v>
      </c>
      <c r="Y4228">
        <v>-0.3068574</v>
      </c>
      <c r="Z4228">
        <v>8.7828790000000004E-3</v>
      </c>
      <c r="AA4228">
        <v>0.95171499999999998</v>
      </c>
      <c r="AB4228">
        <v>36</v>
      </c>
      <c r="AC4228">
        <v>11.127199999999901</v>
      </c>
      <c r="AD4228">
        <v>-1.1089331048369999</v>
      </c>
      <c r="AE4228">
        <v>4.4421799999999898</v>
      </c>
      <c r="AF4228">
        <v>-3.7380323273970801</v>
      </c>
      <c r="AG4228">
        <v>-1.1089331048369999</v>
      </c>
      <c r="AH4228">
        <v>11.275922988086499</v>
      </c>
      <c r="AI4228">
        <v>95.333078473804406</v>
      </c>
      <c r="AJ4228">
        <v>108.340651193648</v>
      </c>
      <c r="AK4228">
        <v>11.9310124274903</v>
      </c>
      <c r="AL4228">
        <v>87.500980520896704</v>
      </c>
      <c r="AM4228">
        <v>106.188959302608</v>
      </c>
      <c r="AN4228">
        <v>0.99999999245443205</v>
      </c>
    </row>
    <row r="4229" spans="1:40" x14ac:dyDescent="0.3">
      <c r="A4229" t="str">
        <f>"20200111154003086"</f>
        <v>20200111154003086</v>
      </c>
      <c r="B4229" t="str">
        <f>"1578728403075012"</f>
        <v>1578728403075012</v>
      </c>
      <c r="C4229" t="s">
        <v>40</v>
      </c>
      <c r="D4229">
        <v>5.1505530000000004</v>
      </c>
      <c r="E4229">
        <v>0.48364649999999998</v>
      </c>
      <c r="F4229" t="s">
        <v>66</v>
      </c>
      <c r="G4229">
        <v>-203.95249999999999</v>
      </c>
      <c r="H4229" s="1">
        <v>-4.4437840000000001E-6</v>
      </c>
      <c r="I4229">
        <v>-56.978560000000002</v>
      </c>
      <c r="J4229">
        <v>-215.48159999999999</v>
      </c>
      <c r="K4229">
        <v>1.1090530000000001</v>
      </c>
      <c r="L4229">
        <v>-61.596710000000002</v>
      </c>
      <c r="M4229">
        <v>0.99789380000000005</v>
      </c>
      <c r="N4229">
        <v>0</v>
      </c>
      <c r="O4229">
        <v>6.194918E-2</v>
      </c>
      <c r="P4229">
        <v>0.94064479999999995</v>
      </c>
      <c r="Q4229">
        <v>2.867018E-2</v>
      </c>
      <c r="R4229">
        <v>0.33817940000000002</v>
      </c>
      <c r="S4229">
        <v>2.7993769999999998</v>
      </c>
      <c r="T4229">
        <v>-0.2650962</v>
      </c>
      <c r="U4229">
        <v>1.1071169999999999</v>
      </c>
      <c r="V4229">
        <v>-0.27967989999999998</v>
      </c>
      <c r="W4229">
        <v>4.449359E-2</v>
      </c>
      <c r="X4229">
        <v>0.95906179999999996</v>
      </c>
      <c r="Y4229">
        <v>-0.3084964</v>
      </c>
      <c r="Z4229">
        <v>8.4244980000000007E-3</v>
      </c>
      <c r="AA4229">
        <v>0.95118820000000004</v>
      </c>
      <c r="AB4229">
        <v>36</v>
      </c>
      <c r="AC4229">
        <v>11.5291</v>
      </c>
      <c r="AD4229">
        <v>-1.109057443784</v>
      </c>
      <c r="AE4229">
        <v>4.61815</v>
      </c>
      <c r="AF4229">
        <v>-3.8641126851335801</v>
      </c>
      <c r="AG4229">
        <v>-1.109057443784</v>
      </c>
      <c r="AH4229">
        <v>11.6997943567874</v>
      </c>
      <c r="AI4229">
        <v>95.143376654456205</v>
      </c>
      <c r="AJ4229">
        <v>108.276934845402</v>
      </c>
      <c r="AK4229">
        <v>12.3711989414178</v>
      </c>
      <c r="AL4229">
        <v>87.449863275637895</v>
      </c>
      <c r="AM4229">
        <v>106.257646783434</v>
      </c>
      <c r="AN4229">
        <v>1.00000003111716</v>
      </c>
    </row>
    <row r="4230" spans="1:40" x14ac:dyDescent="0.3">
      <c r="A4230" t="str">
        <f>"20200111154003098"</f>
        <v>20200111154003098</v>
      </c>
      <c r="B4230" t="str">
        <f>"1578728403095508"</f>
        <v>1578728403095508</v>
      </c>
      <c r="C4230" t="s">
        <v>40</v>
      </c>
      <c r="D4230">
        <v>5.147824</v>
      </c>
      <c r="E4230">
        <v>0.48382760000000002</v>
      </c>
      <c r="F4230" t="s">
        <v>66</v>
      </c>
      <c r="G4230">
        <v>-203.672</v>
      </c>
      <c r="H4230" s="1">
        <v>-4.6077680000000001E-6</v>
      </c>
      <c r="I4230">
        <v>-56.883540000000004</v>
      </c>
      <c r="J4230">
        <v>-215.27950000000001</v>
      </c>
      <c r="K4230">
        <v>1.1091879999999901</v>
      </c>
      <c r="L4230">
        <v>-61.581850000000003</v>
      </c>
      <c r="M4230">
        <v>0.99772910000000004</v>
      </c>
      <c r="N4230">
        <v>0</v>
      </c>
      <c r="O4230">
        <v>6.4524799999999993E-2</v>
      </c>
      <c r="P4230">
        <v>0.93939139999999999</v>
      </c>
      <c r="Q4230">
        <v>2.9393209999999999E-2</v>
      </c>
      <c r="R4230">
        <v>0.3415841</v>
      </c>
      <c r="S4230">
        <v>2.7960820000000002</v>
      </c>
      <c r="T4230">
        <v>-0.26258429999999999</v>
      </c>
      <c r="U4230">
        <v>1.1159059999999901</v>
      </c>
      <c r="V4230">
        <v>-0.28070129999999999</v>
      </c>
      <c r="W4230">
        <v>4.5183830000000001E-2</v>
      </c>
      <c r="X4230">
        <v>0.95873109999999995</v>
      </c>
      <c r="Y4230">
        <v>-0.30903209999999998</v>
      </c>
      <c r="Z4230">
        <v>8.1429780000000004E-3</v>
      </c>
      <c r="AA4230">
        <v>0.95101670000000005</v>
      </c>
      <c r="AB4230">
        <v>36</v>
      </c>
      <c r="AC4230">
        <v>11.6075</v>
      </c>
      <c r="AD4230">
        <v>-1.1091926077680001</v>
      </c>
      <c r="AE4230">
        <v>4.6983099999999904</v>
      </c>
      <c r="AF4230">
        <v>-3.9087364104453899</v>
      </c>
      <c r="AG4230">
        <v>-1.1091926077680001</v>
      </c>
      <c r="AH4230">
        <v>11.793981307702101</v>
      </c>
      <c r="AI4230">
        <v>95.101403304383297</v>
      </c>
      <c r="AJ4230">
        <v>108.336120040609</v>
      </c>
      <c r="AK4230">
        <v>12.4742343914925</v>
      </c>
      <c r="AL4230">
        <v>87.410275696917296</v>
      </c>
      <c r="AM4230">
        <v>106.31919596463401</v>
      </c>
      <c r="AN4230">
        <v>1.00000006021118</v>
      </c>
    </row>
    <row r="4231" spans="1:40" x14ac:dyDescent="0.3">
      <c r="A4231" t="str">
        <f>"20200111154003112"</f>
        <v>20200111154003112</v>
      </c>
      <c r="B4231" t="str">
        <f>"1578728403105267"</f>
        <v>1578728403105267</v>
      </c>
      <c r="C4231" t="s">
        <v>40</v>
      </c>
      <c r="D4231">
        <v>5.1865420000000002</v>
      </c>
      <c r="E4231">
        <v>0.48397210000000002</v>
      </c>
      <c r="F4231" t="s">
        <v>66</v>
      </c>
      <c r="G4231">
        <v>-203.4495</v>
      </c>
      <c r="H4231" s="1">
        <v>-4.7357360000000004E-6</v>
      </c>
      <c r="I4231">
        <v>-56.8178699999999</v>
      </c>
      <c r="J4231">
        <v>-215.04849999999999</v>
      </c>
      <c r="K4231">
        <v>1.1093440000000001</v>
      </c>
      <c r="L4231">
        <v>-61.564120000000003</v>
      </c>
      <c r="M4231">
        <v>0.99752569999999996</v>
      </c>
      <c r="N4231">
        <v>0</v>
      </c>
      <c r="O4231">
        <v>6.757552E-2</v>
      </c>
      <c r="P4231">
        <v>0.93799200000000005</v>
      </c>
      <c r="Q4231">
        <v>2.9948869999999999E-2</v>
      </c>
      <c r="R4231">
        <v>0.34536090000000003</v>
      </c>
      <c r="S4231">
        <v>2.792786</v>
      </c>
      <c r="T4231">
        <v>-0.26185439999999999</v>
      </c>
      <c r="U4231">
        <v>1.1246640000000001</v>
      </c>
      <c r="V4231">
        <v>-0.2816515</v>
      </c>
      <c r="W4231">
        <v>4.5696390000000003E-2</v>
      </c>
      <c r="X4231">
        <v>0.95842799999999995</v>
      </c>
      <c r="Y4231">
        <v>-0.30909589999999998</v>
      </c>
      <c r="Z4231">
        <v>7.8551490000000005E-3</v>
      </c>
      <c r="AA4231">
        <v>0.95099840000000002</v>
      </c>
      <c r="AB4231">
        <v>36</v>
      </c>
      <c r="AC4231">
        <v>11.598999999999901</v>
      </c>
      <c r="AD4231">
        <v>-1.1093487357359999</v>
      </c>
      <c r="AE4231">
        <v>4.7462499999999999</v>
      </c>
      <c r="AF4231">
        <v>-3.9207205328488599</v>
      </c>
      <c r="AG4231">
        <v>-1.1093487357359999</v>
      </c>
      <c r="AH4231">
        <v>11.800803362863499</v>
      </c>
      <c r="AI4231">
        <v>95.097934493329902</v>
      </c>
      <c r="AJ4231">
        <v>108.378645846514</v>
      </c>
      <c r="AK4231">
        <v>12.4844569014095</v>
      </c>
      <c r="AL4231">
        <v>87.3808775955616</v>
      </c>
      <c r="AM4231">
        <v>106.376384485602</v>
      </c>
      <c r="AN4231">
        <v>0.99999997934763996</v>
      </c>
    </row>
    <row r="4232" spans="1:40" x14ac:dyDescent="0.3">
      <c r="A4232" t="str">
        <f>"20200111154003128"</f>
        <v>20200111154003128</v>
      </c>
      <c r="B4232" t="str">
        <f>"1578728403124788"</f>
        <v>1578728403124788</v>
      </c>
      <c r="C4232" t="s">
        <v>40</v>
      </c>
      <c r="D4232">
        <v>5.1985960000000002</v>
      </c>
      <c r="E4232">
        <v>0.48355759999999998</v>
      </c>
      <c r="F4232" t="s">
        <v>66</v>
      </c>
      <c r="G4232">
        <v>-203.1909</v>
      </c>
      <c r="H4232" s="1">
        <v>-4.8849990000000004E-6</v>
      </c>
      <c r="I4232">
        <v>-56.738770000000002</v>
      </c>
      <c r="J4232">
        <v>-214.80340000000001</v>
      </c>
      <c r="K4232">
        <v>1.1095109999999999</v>
      </c>
      <c r="L4232">
        <v>-61.544220000000003</v>
      </c>
      <c r="M4232">
        <v>0.99728919999999999</v>
      </c>
      <c r="N4232">
        <v>0</v>
      </c>
      <c r="O4232">
        <v>7.0958439999999998E-2</v>
      </c>
      <c r="P4232">
        <v>0.93584730000000005</v>
      </c>
      <c r="Q4232">
        <v>3.035332E-2</v>
      </c>
      <c r="R4232">
        <v>0.35109600000000002</v>
      </c>
      <c r="S4232">
        <v>2.7888030000000001</v>
      </c>
      <c r="T4232">
        <v>-0.2609109</v>
      </c>
      <c r="U4232">
        <v>1.1348879999999999</v>
      </c>
      <c r="V4232">
        <v>-0.28429130000000002</v>
      </c>
      <c r="W4232">
        <v>4.6021239999999998E-2</v>
      </c>
      <c r="X4232">
        <v>0.95763279999999995</v>
      </c>
      <c r="Y4232">
        <v>-0.30935400000000002</v>
      </c>
      <c r="Z4232">
        <v>7.5426399999999998E-3</v>
      </c>
      <c r="AA4232">
        <v>0.95091700000000001</v>
      </c>
      <c r="AB4232">
        <v>36</v>
      </c>
      <c r="AC4232">
        <v>11.612500000000001</v>
      </c>
      <c r="AD4232">
        <v>-1.1095158849989999</v>
      </c>
      <c r="AE4232">
        <v>4.8054500000000004</v>
      </c>
      <c r="AF4232">
        <v>-3.9384740258975799</v>
      </c>
      <c r="AG4232">
        <v>-1.1095158849989999</v>
      </c>
      <c r="AH4232">
        <v>11.83204823352</v>
      </c>
      <c r="AI4232">
        <v>95.084361367832003</v>
      </c>
      <c r="AJ4232">
        <v>108.410792167355</v>
      </c>
      <c r="AK4232">
        <v>12.5195834016983</v>
      </c>
      <c r="AL4232">
        <v>87.362245615525396</v>
      </c>
      <c r="AM4232">
        <v>106.534511385832</v>
      </c>
      <c r="AN4232">
        <v>1.0000000387113299</v>
      </c>
    </row>
    <row r="4233" spans="1:40" x14ac:dyDescent="0.3">
      <c r="A4233" t="str">
        <f>"20200111154003142"</f>
        <v>20200111154003142</v>
      </c>
      <c r="B4233" t="str">
        <f>"1578728403135525"</f>
        <v>1578728403135525</v>
      </c>
      <c r="C4233" t="s">
        <v>40</v>
      </c>
      <c r="D4233">
        <v>4.9994730000000001</v>
      </c>
      <c r="E4233">
        <v>0.43844490000000003</v>
      </c>
      <c r="F4233" t="s">
        <v>66</v>
      </c>
      <c r="G4233">
        <v>-202.9939</v>
      </c>
      <c r="H4233" s="1">
        <v>-5.0075769999999997E-6</v>
      </c>
      <c r="I4233">
        <v>-56.638759999999998</v>
      </c>
      <c r="J4233">
        <v>-214.59389999999999</v>
      </c>
      <c r="K4233">
        <v>1.109648</v>
      </c>
      <c r="L4233">
        <v>-61.526519999999998</v>
      </c>
      <c r="M4233">
        <v>0.99707109999999999</v>
      </c>
      <c r="N4233">
        <v>0</v>
      </c>
      <c r="O4233">
        <v>7.3944380000000004E-2</v>
      </c>
      <c r="P4233">
        <v>0.93426540000000002</v>
      </c>
      <c r="Q4233">
        <v>3.0296670000000001E-2</v>
      </c>
      <c r="R4233">
        <v>0.35528910000000002</v>
      </c>
      <c r="S4233">
        <v>2.7807770000000001</v>
      </c>
      <c r="T4233">
        <v>-0.26125759999999998</v>
      </c>
      <c r="U4233">
        <v>1.15509</v>
      </c>
      <c r="V4233">
        <v>-0.28573409999999999</v>
      </c>
      <c r="W4233">
        <v>4.590263E-2</v>
      </c>
      <c r="X4233">
        <v>0.95720890000000003</v>
      </c>
      <c r="Y4233">
        <v>-0.31336190000000003</v>
      </c>
      <c r="Z4233">
        <v>7.4771269999999897E-3</v>
      </c>
      <c r="AA4233">
        <v>0.94960429999999996</v>
      </c>
      <c r="AB4233">
        <v>36</v>
      </c>
      <c r="AC4233">
        <v>11.5999999999999</v>
      </c>
      <c r="AD4233">
        <v>-1.1096530075769999</v>
      </c>
      <c r="AE4233">
        <v>4.8877600000000001</v>
      </c>
      <c r="AF4233">
        <v>-3.9854840126618201</v>
      </c>
      <c r="AG4233">
        <v>-1.1096530075769999</v>
      </c>
      <c r="AH4233">
        <v>11.837730658096</v>
      </c>
      <c r="AI4233">
        <v>95.076760592136694</v>
      </c>
      <c r="AJ4233">
        <v>108.607162532657</v>
      </c>
      <c r="AK4233">
        <v>12.5398277398868</v>
      </c>
      <c r="AL4233">
        <v>87.369048430973706</v>
      </c>
      <c r="AM4233">
        <v>106.62076240987599</v>
      </c>
      <c r="AN4233">
        <v>0.99999995279146703</v>
      </c>
    </row>
    <row r="4234" spans="1:40" x14ac:dyDescent="0.3">
      <c r="A4234" t="str">
        <f>"20200111154003162"</f>
        <v>20200111154003162</v>
      </c>
      <c r="B4234" t="str">
        <f>"1578728403155043"</f>
        <v>1578728403155043</v>
      </c>
      <c r="C4234" t="s">
        <v>40</v>
      </c>
      <c r="D4234">
        <v>5.1916949999999904</v>
      </c>
      <c r="E4234">
        <v>0.41448839999999998</v>
      </c>
      <c r="F4234" t="s">
        <v>41</v>
      </c>
      <c r="G4234">
        <v>-213.7022</v>
      </c>
      <c r="H4234">
        <v>1.0151709999999901</v>
      </c>
      <c r="I4234">
        <v>-61.020180000000003</v>
      </c>
      <c r="J4234">
        <v>-214.25649999999999</v>
      </c>
      <c r="K4234">
        <v>1.109877</v>
      </c>
      <c r="L4234">
        <v>-61.496519999999997</v>
      </c>
      <c r="M4234">
        <v>0.99668429999999997</v>
      </c>
      <c r="N4234">
        <v>0</v>
      </c>
      <c r="O4234">
        <v>7.896657E-2</v>
      </c>
      <c r="P4234">
        <v>0.93144950000000004</v>
      </c>
      <c r="Q4234">
        <v>3.037312E-2</v>
      </c>
      <c r="R4234">
        <v>0.3626007</v>
      </c>
      <c r="S4234">
        <v>2.6483150000000002</v>
      </c>
      <c r="T4234">
        <v>-0.2805995</v>
      </c>
      <c r="U4234">
        <v>1.503754</v>
      </c>
      <c r="V4234">
        <v>-0.28844160000000002</v>
      </c>
      <c r="W4234">
        <v>4.5859759999999999E-2</v>
      </c>
      <c r="X4234">
        <v>0.95639859999999999</v>
      </c>
      <c r="Y4234">
        <v>-0.42210589999999998</v>
      </c>
      <c r="Z4234">
        <v>1.303406E-2</v>
      </c>
      <c r="AA4234">
        <v>0.90645279999999995</v>
      </c>
      <c r="AB4234">
        <v>36</v>
      </c>
      <c r="AC4234">
        <v>0.55429999999998303</v>
      </c>
      <c r="AD4234">
        <v>-9.4706000000000096E-2</v>
      </c>
      <c r="AE4234">
        <v>0.47633999999999299</v>
      </c>
      <c r="AF4234">
        <v>-0.42395347691128799</v>
      </c>
      <c r="AG4234">
        <v>-9.4706000000000096E-2</v>
      </c>
      <c r="AH4234">
        <v>0.58044396676103205</v>
      </c>
      <c r="AI4234">
        <v>97.505968228306898</v>
      </c>
      <c r="AJ4234">
        <v>126.144212240625</v>
      </c>
      <c r="AK4234">
        <v>0.72499722452603399</v>
      </c>
      <c r="AL4234">
        <v>87.3715073572493</v>
      </c>
      <c r="AM4234">
        <v>106.782859788365</v>
      </c>
      <c r="AN4234">
        <v>0.99999997813988795</v>
      </c>
    </row>
    <row r="4235" spans="1:40" x14ac:dyDescent="0.3">
      <c r="A4235" t="str">
        <f>"20200111154003175"</f>
        <v>20200111154003175</v>
      </c>
      <c r="B4235" t="str">
        <f>"1578728403164803"</f>
        <v>1578728403164803</v>
      </c>
      <c r="C4235" t="s">
        <v>40</v>
      </c>
      <c r="D4235">
        <v>5.1014710000000001</v>
      </c>
      <c r="E4235">
        <v>0.41131659999999998</v>
      </c>
      <c r="F4235" t="s">
        <v>41</v>
      </c>
      <c r="G4235">
        <v>-213.40629999999999</v>
      </c>
      <c r="H4235">
        <v>1.020081</v>
      </c>
      <c r="I4235">
        <v>-60.932189999999999</v>
      </c>
      <c r="J4235">
        <v>-214.06880000000001</v>
      </c>
      <c r="K4235">
        <v>1.1100080000000001</v>
      </c>
      <c r="L4235">
        <v>-61.47916</v>
      </c>
      <c r="M4235">
        <v>0.99645079999999997</v>
      </c>
      <c r="N4235">
        <v>0</v>
      </c>
      <c r="O4235">
        <v>8.1850010000000001E-2</v>
      </c>
      <c r="P4235">
        <v>0.92986729999999995</v>
      </c>
      <c r="Q4235">
        <v>3.0402189999999999E-2</v>
      </c>
      <c r="R4235">
        <v>0.36663689999999999</v>
      </c>
      <c r="S4235">
        <v>2.5663299999999998</v>
      </c>
      <c r="T4235">
        <v>-0.2710514</v>
      </c>
      <c r="U4235">
        <v>1.703857</v>
      </c>
      <c r="V4235">
        <v>-0.28983819999999999</v>
      </c>
      <c r="W4235">
        <v>4.58188E-2</v>
      </c>
      <c r="X4235">
        <v>0.95597829999999995</v>
      </c>
      <c r="Y4235">
        <v>-0.48153580000000001</v>
      </c>
      <c r="Z4235">
        <v>1.5277199999999999E-2</v>
      </c>
      <c r="AA4235">
        <v>0.876293199999999</v>
      </c>
      <c r="AB4235">
        <v>36</v>
      </c>
      <c r="AC4235">
        <v>0.66250000000002196</v>
      </c>
      <c r="AD4235">
        <v>-8.9926999999999799E-2</v>
      </c>
      <c r="AE4235">
        <v>0.54696999999999396</v>
      </c>
      <c r="AF4235">
        <v>-0.485577633723419</v>
      </c>
      <c r="AG4235">
        <v>-8.9926999999999799E-2</v>
      </c>
      <c r="AH4235">
        <v>0.69741310893522501</v>
      </c>
      <c r="AI4235">
        <v>96.040592615314694</v>
      </c>
      <c r="AJ4235">
        <v>124.847773084465</v>
      </c>
      <c r="AK4235">
        <v>0.85455107993386303</v>
      </c>
      <c r="AL4235">
        <v>87.373856791255506</v>
      </c>
      <c r="AM4235">
        <v>106.866512005934</v>
      </c>
      <c r="AN4235">
        <v>1.00000002734178</v>
      </c>
    </row>
    <row r="4236" spans="1:40" x14ac:dyDescent="0.3">
      <c r="A4236" t="str">
        <f>"20200111154003190"</f>
        <v>20200111154003190</v>
      </c>
      <c r="B4236" t="str">
        <f>"1578728403185299"</f>
        <v>1578728403185299</v>
      </c>
      <c r="C4236" t="s">
        <v>40</v>
      </c>
      <c r="D4236">
        <v>4.9798780000000002</v>
      </c>
      <c r="E4236">
        <v>0.40876679999999999</v>
      </c>
      <c r="F4236" t="s">
        <v>41</v>
      </c>
      <c r="G4236">
        <v>-213.11660000000001</v>
      </c>
      <c r="H4236">
        <v>1.008866</v>
      </c>
      <c r="I4236">
        <v>-60.829859999999996</v>
      </c>
      <c r="J4236">
        <v>-213.83090000000001</v>
      </c>
      <c r="K4236">
        <v>1.1101749999999999</v>
      </c>
      <c r="L4236">
        <v>-61.455840000000002</v>
      </c>
      <c r="M4236">
        <v>0.99612820000000002</v>
      </c>
      <c r="N4236">
        <v>0</v>
      </c>
      <c r="O4236">
        <v>8.5674249999999993E-2</v>
      </c>
      <c r="P4236">
        <v>0.92800190000000005</v>
      </c>
      <c r="Q4236">
        <v>3.0440140000000001E-2</v>
      </c>
      <c r="R4236">
        <v>0.37132999999999999</v>
      </c>
      <c r="S4236">
        <v>2.5495450000000002</v>
      </c>
      <c r="T4236">
        <v>-0.27082909999999999</v>
      </c>
      <c r="U4236">
        <v>1.7386779999999999</v>
      </c>
      <c r="V4236">
        <v>-0.2910179</v>
      </c>
      <c r="W4236">
        <v>4.5772119999999999E-2</v>
      </c>
      <c r="X4236">
        <v>0.95562210000000003</v>
      </c>
      <c r="Y4236">
        <v>-0.4890177</v>
      </c>
      <c r="Z4236">
        <v>1.529384E-2</v>
      </c>
      <c r="AA4236">
        <v>0.87213980000000002</v>
      </c>
      <c r="AB4236">
        <v>36</v>
      </c>
      <c r="AC4236">
        <v>0.71430000000000804</v>
      </c>
      <c r="AD4236">
        <v>-0.101308999999999</v>
      </c>
      <c r="AE4236">
        <v>0.62598000000000498</v>
      </c>
      <c r="AF4236">
        <v>-0.55614090731836596</v>
      </c>
      <c r="AG4236">
        <v>-0.101308999999999</v>
      </c>
      <c r="AH4236">
        <v>0.75670390457893899</v>
      </c>
      <c r="AI4236">
        <v>96.157242317562805</v>
      </c>
      <c r="AJ4236">
        <v>126.31409388137</v>
      </c>
      <c r="AK4236">
        <v>0.94454064045911101</v>
      </c>
      <c r="AL4236">
        <v>87.376534230723706</v>
      </c>
      <c r="AM4236">
        <v>106.937191810756</v>
      </c>
      <c r="AN4236">
        <v>1.0000000515490499</v>
      </c>
    </row>
    <row r="4237" spans="1:40" x14ac:dyDescent="0.3">
      <c r="A4237" t="str">
        <f>"20200111154003206"</f>
        <v>20200111154003206</v>
      </c>
      <c r="B4237" t="str">
        <f>"1578728403195060"</f>
        <v>1578728403195060</v>
      </c>
      <c r="C4237" t="s">
        <v>40</v>
      </c>
      <c r="D4237">
        <v>5.0696070000000004</v>
      </c>
      <c r="E4237">
        <v>0.40808850000000002</v>
      </c>
      <c r="F4237" t="s">
        <v>41</v>
      </c>
      <c r="G4237">
        <v>-213.08439999999999</v>
      </c>
      <c r="H4237">
        <v>1.029153</v>
      </c>
      <c r="I4237">
        <v>-60.934109999999997</v>
      </c>
      <c r="J4237">
        <v>-213.57550000000001</v>
      </c>
      <c r="K4237">
        <v>1.110349</v>
      </c>
      <c r="L4237">
        <v>-61.429780000000001</v>
      </c>
      <c r="M4237">
        <v>0.99575230000000003</v>
      </c>
      <c r="N4237">
        <v>0</v>
      </c>
      <c r="O4237">
        <v>8.992609E-2</v>
      </c>
      <c r="P4237">
        <v>0.92573309999999998</v>
      </c>
      <c r="Q4237">
        <v>3.0305289999999999E-2</v>
      </c>
      <c r="R4237">
        <v>0.37696160000000001</v>
      </c>
      <c r="S4237">
        <v>2.533325</v>
      </c>
      <c r="T4237">
        <v>-0.27493649999999997</v>
      </c>
      <c r="U4237">
        <v>1.7704770000000001</v>
      </c>
      <c r="V4237">
        <v>-0.29276360000000001</v>
      </c>
      <c r="W4237">
        <v>4.553252E-2</v>
      </c>
      <c r="X4237">
        <v>0.95510010000000001</v>
      </c>
      <c r="Y4237">
        <v>-0.49522100000000002</v>
      </c>
      <c r="Z4237">
        <v>1.545213E-2</v>
      </c>
      <c r="AA4237">
        <v>0.8686296</v>
      </c>
      <c r="AB4237">
        <v>36</v>
      </c>
      <c r="AC4237">
        <v>0.49110000000001702</v>
      </c>
      <c r="AD4237">
        <v>-8.1196000000000004E-2</v>
      </c>
      <c r="AE4237">
        <v>0.49567000000001099</v>
      </c>
      <c r="AF4237">
        <v>-0.44348432341043098</v>
      </c>
      <c r="AG4237">
        <v>-8.1196000000000004E-2</v>
      </c>
      <c r="AH4237">
        <v>0.52656158367473005</v>
      </c>
      <c r="AI4237">
        <v>96.72653464183</v>
      </c>
      <c r="AJ4237">
        <v>130.10498451340399</v>
      </c>
      <c r="AK4237">
        <v>0.69320865324146697</v>
      </c>
      <c r="AL4237">
        <v>87.390276409749504</v>
      </c>
      <c r="AM4237">
        <v>107.04169605734999</v>
      </c>
      <c r="AN4237">
        <v>0.99999996844125905</v>
      </c>
    </row>
    <row r="4238" spans="1:40" x14ac:dyDescent="0.3">
      <c r="A4238" t="str">
        <f>"20200111154003222"</f>
        <v>20200111154003222</v>
      </c>
      <c r="B4238" t="str">
        <f>"1578728403215556"</f>
        <v>1578728403215556</v>
      </c>
      <c r="C4238" t="s">
        <v>40</v>
      </c>
      <c r="D4238">
        <v>4.9847169999999998</v>
      </c>
      <c r="E4238">
        <v>0.40806150000000002</v>
      </c>
      <c r="F4238" t="s">
        <v>41</v>
      </c>
      <c r="G4238">
        <v>-212.78460000000001</v>
      </c>
      <c r="H4238">
        <v>1.0251079999999999</v>
      </c>
      <c r="I4238">
        <v>-60.867669999999997</v>
      </c>
      <c r="J4238">
        <v>-213.33779999999999</v>
      </c>
      <c r="K4238">
        <v>1.1105229999999999</v>
      </c>
      <c r="L4238">
        <v>-61.404420000000002</v>
      </c>
      <c r="M4238">
        <v>0.99537149999999996</v>
      </c>
      <c r="N4238">
        <v>0</v>
      </c>
      <c r="O4238">
        <v>9.4037289999999996E-2</v>
      </c>
      <c r="P4238">
        <v>0.92399019999999998</v>
      </c>
      <c r="Q4238">
        <v>3.0599620000000001E-2</v>
      </c>
      <c r="R4238">
        <v>0.38119019999999998</v>
      </c>
      <c r="S4238">
        <v>2.5201259999999999</v>
      </c>
      <c r="T4238">
        <v>-0.2716094</v>
      </c>
      <c r="U4238">
        <v>1.7913209999999999</v>
      </c>
      <c r="V4238">
        <v>-0.29321029999999998</v>
      </c>
      <c r="W4238">
        <v>4.573783E-2</v>
      </c>
      <c r="X4238">
        <v>0.9549533</v>
      </c>
      <c r="Y4238">
        <v>-0.49859429999999999</v>
      </c>
      <c r="Z4238">
        <v>1.507199E-2</v>
      </c>
      <c r="AA4238">
        <v>0.86670440000000004</v>
      </c>
      <c r="AB4238">
        <v>35</v>
      </c>
      <c r="AC4238">
        <v>0.55319999999997505</v>
      </c>
      <c r="AD4238">
        <v>-8.5415000000000005E-2</v>
      </c>
      <c r="AE4238">
        <v>0.53674999999999695</v>
      </c>
      <c r="AF4238">
        <v>-0.47648780122661299</v>
      </c>
      <c r="AG4238">
        <v>-8.5415000000000005E-2</v>
      </c>
      <c r="AH4238">
        <v>0.59393868900772895</v>
      </c>
      <c r="AI4238">
        <v>96.400361738373704</v>
      </c>
      <c r="AJ4238">
        <v>128.73835767834501</v>
      </c>
      <c r="AK4238">
        <v>0.76622419254614504</v>
      </c>
      <c r="AL4238">
        <v>87.3785008724346</v>
      </c>
      <c r="AM4238">
        <v>107.06865950845</v>
      </c>
      <c r="AN4238">
        <v>1.0000000171500401</v>
      </c>
    </row>
    <row r="4239" spans="1:40" x14ac:dyDescent="0.3">
      <c r="A4239" t="str">
        <f>"20200111154003236"</f>
        <v>20200111154003236</v>
      </c>
      <c r="B4239" t="str">
        <f>"1578728403225316"</f>
        <v>1578728403225316</v>
      </c>
      <c r="C4239" t="s">
        <v>40</v>
      </c>
      <c r="D4239">
        <v>4.9719939999999996</v>
      </c>
      <c r="E4239">
        <v>0.40824640000000001</v>
      </c>
      <c r="F4239" t="s">
        <v>41</v>
      </c>
      <c r="G4239">
        <v>-212.48830000000001</v>
      </c>
      <c r="H4239">
        <v>1.0174749999999999</v>
      </c>
      <c r="I4239">
        <v>-60.794739999999997</v>
      </c>
      <c r="J4239">
        <v>-213.12559999999999</v>
      </c>
      <c r="K4239">
        <v>1.110684</v>
      </c>
      <c r="L4239">
        <v>-61.380980000000001</v>
      </c>
      <c r="M4239">
        <v>0.99500580000000005</v>
      </c>
      <c r="N4239">
        <v>0</v>
      </c>
      <c r="O4239">
        <v>9.7824099999999997E-2</v>
      </c>
      <c r="P4239">
        <v>0.92243339999999996</v>
      </c>
      <c r="Q4239">
        <v>3.0955E-2</v>
      </c>
      <c r="R4239">
        <v>0.38491360000000002</v>
      </c>
      <c r="S4239">
        <v>2.5121150000000001</v>
      </c>
      <c r="T4239">
        <v>-0.27515729999999999</v>
      </c>
      <c r="U4239">
        <v>1.8029170000000001</v>
      </c>
      <c r="V4239">
        <v>-0.29345260000000001</v>
      </c>
      <c r="W4239">
        <v>4.6005989999999997E-2</v>
      </c>
      <c r="X4239">
        <v>0.95486599999999999</v>
      </c>
      <c r="Y4239">
        <v>-0.49921939999999998</v>
      </c>
      <c r="Z4239">
        <v>1.495611E-2</v>
      </c>
      <c r="AA4239">
        <v>0.86634650000000002</v>
      </c>
      <c r="AB4239">
        <v>35</v>
      </c>
      <c r="AC4239">
        <v>0.63729999999998199</v>
      </c>
      <c r="AD4239">
        <v>-9.3209000000000097E-2</v>
      </c>
      <c r="AE4239">
        <v>0.58624000000000298</v>
      </c>
      <c r="AF4239">
        <v>-0.515103273787889</v>
      </c>
      <c r="AG4239">
        <v>-9.3209000000000097E-2</v>
      </c>
      <c r="AH4239">
        <v>0.68368033431825004</v>
      </c>
      <c r="AI4239">
        <v>96.214337722528995</v>
      </c>
      <c r="AJ4239">
        <v>126.99535945907</v>
      </c>
      <c r="AK4239">
        <v>0.86106799956885904</v>
      </c>
      <c r="AL4239">
        <v>87.363120276325702</v>
      </c>
      <c r="AM4239">
        <v>107.083414565705</v>
      </c>
      <c r="AN4239">
        <v>1.00000002875931</v>
      </c>
    </row>
    <row r="4240" spans="1:40" x14ac:dyDescent="0.3">
      <c r="A4240" t="str">
        <f>"20200111154003247"</f>
        <v>20200111154003247</v>
      </c>
      <c r="B4240" t="str">
        <f>"1578728403244836"</f>
        <v>1578728403244836</v>
      </c>
      <c r="C4240" t="s">
        <v>40</v>
      </c>
      <c r="D4240">
        <v>5.0111249999999998</v>
      </c>
      <c r="E4240">
        <v>0.40846890000000002</v>
      </c>
      <c r="F4240" t="s">
        <v>41</v>
      </c>
      <c r="G4240">
        <v>-212.19739999999999</v>
      </c>
      <c r="H4240">
        <v>1.0087189999999999</v>
      </c>
      <c r="I4240">
        <v>-60.709800000000001</v>
      </c>
      <c r="J4240">
        <v>-212.9254</v>
      </c>
      <c r="K4240">
        <v>1.110849</v>
      </c>
      <c r="L4240">
        <v>-61.357669999999999</v>
      </c>
      <c r="M4240">
        <v>0.9946294</v>
      </c>
      <c r="N4240">
        <v>0</v>
      </c>
      <c r="O4240">
        <v>0.1015749</v>
      </c>
      <c r="P4240">
        <v>0.92094010000000004</v>
      </c>
      <c r="Q4240">
        <v>3.1486960000000001E-2</v>
      </c>
      <c r="R4240">
        <v>0.38842989999999999</v>
      </c>
      <c r="S4240">
        <v>2.5053860000000001</v>
      </c>
      <c r="T4240">
        <v>-0.27522999999999997</v>
      </c>
      <c r="U4240">
        <v>1.812012</v>
      </c>
      <c r="V4240">
        <v>-0.29352260000000002</v>
      </c>
      <c r="W4240">
        <v>4.644707E-2</v>
      </c>
      <c r="X4240">
        <v>0.95482310000000004</v>
      </c>
      <c r="Y4240">
        <v>-0.49913750000000001</v>
      </c>
      <c r="Z4240">
        <v>1.4613849999999999E-2</v>
      </c>
      <c r="AA4240">
        <v>0.86639949999999999</v>
      </c>
      <c r="AB4240">
        <v>35</v>
      </c>
      <c r="AC4240">
        <v>0.72800000000000797</v>
      </c>
      <c r="AD4240">
        <v>-0.102129999999999</v>
      </c>
      <c r="AE4240">
        <v>0.64786999999999695</v>
      </c>
      <c r="AF4240">
        <v>-0.56435847783834603</v>
      </c>
      <c r="AG4240">
        <v>-0.102129999999999</v>
      </c>
      <c r="AH4240">
        <v>0.78147084098502495</v>
      </c>
      <c r="AI4240">
        <v>96.047903386448496</v>
      </c>
      <c r="AJ4240">
        <v>125.83586384319899</v>
      </c>
      <c r="AK4240">
        <v>0.96934395532125595</v>
      </c>
      <c r="AL4240">
        <v>87.337821131747205</v>
      </c>
      <c r="AM4240">
        <v>107.08797530027201</v>
      </c>
      <c r="AN4240">
        <v>0.99999999965797703</v>
      </c>
    </row>
    <row r="4241" spans="1:40" x14ac:dyDescent="0.3">
      <c r="A4241" t="str">
        <f>"20200111154003263"</f>
        <v>20200111154003263</v>
      </c>
      <c r="B4241" t="str">
        <f>"1578728403255571"</f>
        <v>1578728403255571</v>
      </c>
      <c r="C4241" t="s">
        <v>40</v>
      </c>
      <c r="D4241">
        <v>5.0187119999999998</v>
      </c>
      <c r="E4241">
        <v>0.40868460000000001</v>
      </c>
      <c r="F4241" t="s">
        <v>41</v>
      </c>
      <c r="G4241">
        <v>-212.1662</v>
      </c>
      <c r="H4241">
        <v>1.0269549999999901</v>
      </c>
      <c r="I4241">
        <v>-60.804949999999998</v>
      </c>
      <c r="J4241">
        <v>-212.6953</v>
      </c>
      <c r="K4241">
        <v>1.111043</v>
      </c>
      <c r="L4241">
        <v>-61.32996</v>
      </c>
      <c r="M4241">
        <v>0.99416559999999998</v>
      </c>
      <c r="N4241">
        <v>0</v>
      </c>
      <c r="O4241">
        <v>0.1060131</v>
      </c>
      <c r="P4241">
        <v>0.91921350000000002</v>
      </c>
      <c r="Q4241">
        <v>3.2084580000000001E-2</v>
      </c>
      <c r="R4241">
        <v>0.39245039999999998</v>
      </c>
      <c r="S4241">
        <v>2.4993289999999999</v>
      </c>
      <c r="T4241">
        <v>-0.27621600000000002</v>
      </c>
      <c r="U4241">
        <v>1.82016</v>
      </c>
      <c r="V4241">
        <v>-0.2934659</v>
      </c>
      <c r="W4241">
        <v>4.6934820000000002E-2</v>
      </c>
      <c r="X4241">
        <v>0.95481669999999996</v>
      </c>
      <c r="Y4241">
        <v>-0.4981274</v>
      </c>
      <c r="Z4241">
        <v>1.4204120000000001E-2</v>
      </c>
      <c r="AA4241">
        <v>0.86698750000000002</v>
      </c>
      <c r="AB4241">
        <v>35</v>
      </c>
      <c r="AC4241">
        <v>0.52909999999999902</v>
      </c>
      <c r="AD4241">
        <v>-8.4088000000000093E-2</v>
      </c>
      <c r="AE4241">
        <v>0.52501000000000098</v>
      </c>
      <c r="AF4241">
        <v>-0.46009210724711302</v>
      </c>
      <c r="AG4241">
        <v>-8.4088000000000093E-2</v>
      </c>
      <c r="AH4241">
        <v>0.57447492206793405</v>
      </c>
      <c r="AI4241">
        <v>96.517721112747196</v>
      </c>
      <c r="AJ4241">
        <v>128.690942089445</v>
      </c>
      <c r="AK4241">
        <v>0.74079482650734496</v>
      </c>
      <c r="AL4241">
        <v>87.309844661306897</v>
      </c>
      <c r="AM4241">
        <v>107.084974485096</v>
      </c>
      <c r="AN4241">
        <v>1.0000000211950599</v>
      </c>
    </row>
    <row r="4242" spans="1:40" x14ac:dyDescent="0.3">
      <c r="A4242" t="str">
        <f>"20200111154003278"</f>
        <v>20200111154003278</v>
      </c>
      <c r="B4242" t="str">
        <f>"1578728403265332"</f>
        <v>1578728403265332</v>
      </c>
      <c r="C4242" t="s">
        <v>40</v>
      </c>
      <c r="D4242">
        <v>4.9896459999999996</v>
      </c>
      <c r="E4242">
        <v>0.40880300000000003</v>
      </c>
      <c r="F4242" t="s">
        <v>41</v>
      </c>
      <c r="G4242">
        <v>-211.87389999999999</v>
      </c>
      <c r="H4242">
        <v>1.0203500000000001</v>
      </c>
      <c r="I4242">
        <v>-60.726970000000001</v>
      </c>
      <c r="J4242">
        <v>-212.48169999999999</v>
      </c>
      <c r="K4242">
        <v>1.111224</v>
      </c>
      <c r="L4242">
        <v>-61.303310000000003</v>
      </c>
      <c r="M4242">
        <v>0.99370349999999996</v>
      </c>
      <c r="N4242">
        <v>0</v>
      </c>
      <c r="O4242">
        <v>0.11025790000000001</v>
      </c>
      <c r="P4242">
        <v>0.91749230000000004</v>
      </c>
      <c r="Q4242">
        <v>3.257637E-2</v>
      </c>
      <c r="R4242">
        <v>0.39641739999999998</v>
      </c>
      <c r="S4242">
        <v>2.4920810000000002</v>
      </c>
      <c r="T4242">
        <v>-0.2751654</v>
      </c>
      <c r="U4242">
        <v>1.829742</v>
      </c>
      <c r="V4242">
        <v>-0.29354259999999999</v>
      </c>
      <c r="W4242">
        <v>4.731349E-2</v>
      </c>
      <c r="X4242">
        <v>0.95477440000000002</v>
      </c>
      <c r="Y4242">
        <v>-0.49782389999999999</v>
      </c>
      <c r="Z4242">
        <v>1.3746309999999999E-2</v>
      </c>
      <c r="AA4242">
        <v>0.86716919999999897</v>
      </c>
      <c r="AB4242">
        <v>35</v>
      </c>
      <c r="AC4242">
        <v>0.60779999999999701</v>
      </c>
      <c r="AD4242">
        <v>-9.0873999999999899E-2</v>
      </c>
      <c r="AE4242">
        <v>0.57634000000000096</v>
      </c>
      <c r="AF4242">
        <v>-0.49991237677529399</v>
      </c>
      <c r="AG4242">
        <v>-9.0873999999999899E-2</v>
      </c>
      <c r="AH4242">
        <v>0.65988421700923905</v>
      </c>
      <c r="AI4242">
        <v>96.264231058836003</v>
      </c>
      <c r="AJ4242">
        <v>127.146691727082</v>
      </c>
      <c r="AK4242">
        <v>0.83283710783503195</v>
      </c>
      <c r="AL4242">
        <v>87.288124252713104</v>
      </c>
      <c r="AM4242">
        <v>107.08989267869001</v>
      </c>
      <c r="AN4242">
        <v>0.99999998962305003</v>
      </c>
    </row>
    <row r="4243" spans="1:40" x14ac:dyDescent="0.3">
      <c r="A4243" t="str">
        <f>"20200111154003289"</f>
        <v>20200111154003289</v>
      </c>
      <c r="B4243" t="str">
        <f>"1578728403284852"</f>
        <v>1578728403284852</v>
      </c>
      <c r="C4243" t="s">
        <v>40</v>
      </c>
      <c r="D4243">
        <v>5.1374170000000001</v>
      </c>
      <c r="E4243">
        <v>0.40952300000000003</v>
      </c>
      <c r="F4243" t="s">
        <v>41</v>
      </c>
      <c r="G4243">
        <v>-211.58600000000001</v>
      </c>
      <c r="H4243">
        <v>1.0125090000000001</v>
      </c>
      <c r="I4243">
        <v>-60.640120000000003</v>
      </c>
      <c r="J4243">
        <v>-212.28620000000001</v>
      </c>
      <c r="K4243">
        <v>1.1113980000000001</v>
      </c>
      <c r="L4243">
        <v>-61.277799999999999</v>
      </c>
      <c r="M4243">
        <v>0.99324500000000004</v>
      </c>
      <c r="N4243">
        <v>0</v>
      </c>
      <c r="O4243">
        <v>0.114311999999999</v>
      </c>
      <c r="P4243">
        <v>0.91577399999999998</v>
      </c>
      <c r="Q4243">
        <v>3.3293830000000003E-2</v>
      </c>
      <c r="R4243">
        <v>0.400312</v>
      </c>
      <c r="S4243">
        <v>2.4845429999999999</v>
      </c>
      <c r="T4243">
        <v>-0.27382099999999998</v>
      </c>
      <c r="U4243">
        <v>1.8399350000000001</v>
      </c>
      <c r="V4243">
        <v>-0.29373670000000002</v>
      </c>
      <c r="W4243">
        <v>4.7916479999999997E-2</v>
      </c>
      <c r="X4243">
        <v>0.95468470000000005</v>
      </c>
      <c r="Y4243">
        <v>-0.49787219999999999</v>
      </c>
      <c r="Z4243">
        <v>1.3312630000000001E-2</v>
      </c>
      <c r="AA4243">
        <v>0.86714820000000004</v>
      </c>
      <c r="AB4243">
        <v>35</v>
      </c>
      <c r="AC4243">
        <v>0.70020000000002303</v>
      </c>
      <c r="AD4243">
        <v>-9.8888999999999699E-2</v>
      </c>
      <c r="AE4243">
        <v>0.63768000000000302</v>
      </c>
      <c r="AF4243">
        <v>-0.54747205193952497</v>
      </c>
      <c r="AG4243">
        <v>-9.8888999999999699E-2</v>
      </c>
      <c r="AH4243">
        <v>0.76022850506170603</v>
      </c>
      <c r="AI4243">
        <v>96.025582078575198</v>
      </c>
      <c r="AJ4243">
        <v>125.759224115778</v>
      </c>
      <c r="AK4243">
        <v>0.942046740817158</v>
      </c>
      <c r="AL4243">
        <v>87.253536424479293</v>
      </c>
      <c r="AM4243">
        <v>107.102047029462</v>
      </c>
      <c r="AN4243">
        <v>1.0000000571982799</v>
      </c>
    </row>
    <row r="4244" spans="1:40" x14ac:dyDescent="0.3">
      <c r="A4244" t="str">
        <f>"20200111154003301"</f>
        <v>20200111154003301</v>
      </c>
      <c r="B4244" t="str">
        <f>"1578728403294611"</f>
        <v>1578728403294611</v>
      </c>
      <c r="C4244" t="s">
        <v>40</v>
      </c>
      <c r="D4244">
        <v>5.093852</v>
      </c>
      <c r="E4244">
        <v>0.4099177</v>
      </c>
      <c r="F4244" t="s">
        <v>41</v>
      </c>
      <c r="G4244">
        <v>-211.55420000000001</v>
      </c>
      <c r="H4244">
        <v>1.0307759999999999</v>
      </c>
      <c r="I4244">
        <v>-60.7331199999999</v>
      </c>
      <c r="J4244">
        <v>-212.1113</v>
      </c>
      <c r="K4244">
        <v>1.111556</v>
      </c>
      <c r="L4244">
        <v>-61.254179999999998</v>
      </c>
      <c r="M4244">
        <v>0.99280760000000001</v>
      </c>
      <c r="N4244">
        <v>0</v>
      </c>
      <c r="O4244">
        <v>0.1180498</v>
      </c>
      <c r="P4244">
        <v>0.91426719999999895</v>
      </c>
      <c r="Q4244">
        <v>3.3816180000000001E-2</v>
      </c>
      <c r="R4244">
        <v>0.40369759999999999</v>
      </c>
      <c r="S4244">
        <v>2.4791560000000001</v>
      </c>
      <c r="T4244">
        <v>-0.27309050000000001</v>
      </c>
      <c r="U4244">
        <v>1.8454280000000001</v>
      </c>
      <c r="V4244">
        <v>-0.29370400000000002</v>
      </c>
      <c r="W4244">
        <v>4.8331800000000001E-2</v>
      </c>
      <c r="X4244">
        <v>0.95467380000000002</v>
      </c>
      <c r="Y4244">
        <v>-0.49677290000000002</v>
      </c>
      <c r="Z4244">
        <v>1.2882090000000001E-2</v>
      </c>
      <c r="AA4244">
        <v>0.86778500000000003</v>
      </c>
      <c r="AB4244">
        <v>35</v>
      </c>
      <c r="AC4244">
        <v>0.55709999999999105</v>
      </c>
      <c r="AD4244">
        <v>-8.0780000000000005E-2</v>
      </c>
      <c r="AE4244">
        <v>0.52106000000001196</v>
      </c>
      <c r="AF4244">
        <v>-0.44662773427837599</v>
      </c>
      <c r="AG4244">
        <v>-8.0780000000000005E-2</v>
      </c>
      <c r="AH4244">
        <v>0.60790878197078801</v>
      </c>
      <c r="AI4244">
        <v>96.112335805735995</v>
      </c>
      <c r="AJ4244">
        <v>126.304550624001</v>
      </c>
      <c r="AK4244">
        <v>0.75865329935606496</v>
      </c>
      <c r="AL4244">
        <v>87.229712673683295</v>
      </c>
      <c r="AM4244">
        <v>107.10043807842</v>
      </c>
      <c r="AN4244">
        <v>1.00000003345683</v>
      </c>
    </row>
    <row r="4245" spans="1:40" x14ac:dyDescent="0.3">
      <c r="A4245" t="str">
        <f>"20200111154003319"</f>
        <v>20200111154003319</v>
      </c>
      <c r="B4245" t="str">
        <f>"1578728403315107"</f>
        <v>1578728403315107</v>
      </c>
      <c r="C4245" t="s">
        <v>40</v>
      </c>
      <c r="D4245">
        <v>5.0955320000000004</v>
      </c>
      <c r="E4245">
        <v>0.41033900000000001</v>
      </c>
      <c r="F4245" t="s">
        <v>41</v>
      </c>
      <c r="G4245">
        <v>-211.2739</v>
      </c>
      <c r="H4245">
        <v>1.0195110000000001</v>
      </c>
      <c r="I4245">
        <v>-60.627160000000003</v>
      </c>
      <c r="J4245">
        <v>-211.8503</v>
      </c>
      <c r="K4245">
        <v>1.1117939999999999</v>
      </c>
      <c r="L4245">
        <v>-61.217680000000001</v>
      </c>
      <c r="M4245">
        <v>0.99210520000000002</v>
      </c>
      <c r="N4245">
        <v>0</v>
      </c>
      <c r="O4245">
        <v>0.1238147</v>
      </c>
      <c r="P4245">
        <v>0.91172220000000004</v>
      </c>
      <c r="Q4245">
        <v>3.5109080000000001E-2</v>
      </c>
      <c r="R4245">
        <v>0.4093041</v>
      </c>
      <c r="S4245">
        <v>2.4735719999999999</v>
      </c>
      <c r="T4245">
        <v>-0.27186850000000001</v>
      </c>
      <c r="U4245">
        <v>1.8520810000000001</v>
      </c>
      <c r="V4245">
        <v>-0.29407529999999998</v>
      </c>
      <c r="W4245">
        <v>4.9441510000000001E-2</v>
      </c>
      <c r="X4245">
        <v>0.95450259999999998</v>
      </c>
      <c r="Y4245">
        <v>-0.4942125</v>
      </c>
      <c r="Z4245">
        <v>1.2166120000000001E-2</v>
      </c>
      <c r="AA4245">
        <v>0.86925599999999903</v>
      </c>
      <c r="AB4245">
        <v>35</v>
      </c>
      <c r="AC4245">
        <v>0.57640000000000602</v>
      </c>
      <c r="AD4245">
        <v>-9.2282999999999796E-2</v>
      </c>
      <c r="AE4245">
        <v>0.59052000000000504</v>
      </c>
      <c r="AF4245">
        <v>-0.50823722616534595</v>
      </c>
      <c r="AG4245">
        <v>-9.2282999999999796E-2</v>
      </c>
      <c r="AH4245">
        <v>0.63712457029462599</v>
      </c>
      <c r="AI4245">
        <v>96.460087134826097</v>
      </c>
      <c r="AJ4245">
        <v>128.57952669436</v>
      </c>
      <c r="AK4245">
        <v>0.82021274570830505</v>
      </c>
      <c r="AL4245">
        <v>87.166054705566296</v>
      </c>
      <c r="AM4245">
        <v>107.12368425248501</v>
      </c>
      <c r="AN4245">
        <v>0.99999997919396399</v>
      </c>
    </row>
    <row r="4246" spans="1:40" x14ac:dyDescent="0.3">
      <c r="A4246" t="str">
        <f>"20200111154003330"</f>
        <v>20200111154003330</v>
      </c>
      <c r="B4246" t="str">
        <f>"1578728403324868"</f>
        <v>1578728403324868</v>
      </c>
      <c r="C4246" t="s">
        <v>40</v>
      </c>
      <c r="D4246">
        <v>5.1184900000000004</v>
      </c>
      <c r="E4246">
        <v>0.41050540000000002</v>
      </c>
      <c r="F4246" t="s">
        <v>41</v>
      </c>
      <c r="G4246">
        <v>-210.98140000000001</v>
      </c>
      <c r="H4246">
        <v>1.0168950000000001</v>
      </c>
      <c r="I4246">
        <v>-60.560209999999998</v>
      </c>
      <c r="J4246">
        <v>-211.6585</v>
      </c>
      <c r="K4246">
        <v>1.111977</v>
      </c>
      <c r="L4246">
        <v>-61.1896699999999</v>
      </c>
      <c r="M4246">
        <v>0.99154589999999998</v>
      </c>
      <c r="N4246">
        <v>0</v>
      </c>
      <c r="O4246">
        <v>0.12821769999999999</v>
      </c>
      <c r="P4246">
        <v>0.90971709999999995</v>
      </c>
      <c r="Q4246">
        <v>3.5973209999999999E-2</v>
      </c>
      <c r="R4246">
        <v>0.41366740000000002</v>
      </c>
      <c r="S4246">
        <v>2.4637910000000001</v>
      </c>
      <c r="T4246">
        <v>-0.26909110000000003</v>
      </c>
      <c r="U4246">
        <v>1.8645320000000001</v>
      </c>
      <c r="V4246">
        <v>-0.29445159999999998</v>
      </c>
      <c r="W4246">
        <v>5.015969E-2</v>
      </c>
      <c r="X4246">
        <v>0.95434909999999995</v>
      </c>
      <c r="Y4246">
        <v>-0.4948496</v>
      </c>
      <c r="Z4246">
        <v>1.1681469999999999E-2</v>
      </c>
      <c r="AA4246">
        <v>0.86890009999999995</v>
      </c>
      <c r="AB4246">
        <v>35</v>
      </c>
      <c r="AC4246">
        <v>0.67709999999999504</v>
      </c>
      <c r="AD4246">
        <v>-9.5081999999999806E-2</v>
      </c>
      <c r="AE4246">
        <v>0.62945999999999402</v>
      </c>
      <c r="AF4246">
        <v>-0.53180369886263901</v>
      </c>
      <c r="AG4246">
        <v>-9.5081999999999806E-2</v>
      </c>
      <c r="AH4246">
        <v>0.74435935296483702</v>
      </c>
      <c r="AI4246">
        <v>95.933776889228895</v>
      </c>
      <c r="AJ4246">
        <v>125.543714425159</v>
      </c>
      <c r="AK4246">
        <v>0.91974268531704895</v>
      </c>
      <c r="AL4246">
        <v>87.124854878528694</v>
      </c>
      <c r="AM4246">
        <v>107.146907676767</v>
      </c>
      <c r="AN4246">
        <v>0.99999997195713197</v>
      </c>
    </row>
    <row r="4247" spans="1:40" x14ac:dyDescent="0.3">
      <c r="A4247" t="str">
        <f>"20200111154003342"</f>
        <v>20200111154003342</v>
      </c>
      <c r="B4247" t="str">
        <f>"1578728403334627"</f>
        <v>1578728403334627</v>
      </c>
      <c r="C4247" t="s">
        <v>40</v>
      </c>
      <c r="D4247">
        <v>5.1109030000000004</v>
      </c>
      <c r="E4247">
        <v>0.41070440000000003</v>
      </c>
      <c r="F4247" t="s">
        <v>41</v>
      </c>
      <c r="G4247">
        <v>-210.94980000000001</v>
      </c>
      <c r="H4247">
        <v>1.035059</v>
      </c>
      <c r="I4247">
        <v>-60.648580000000003</v>
      </c>
      <c r="J4247">
        <v>-211.48220000000001</v>
      </c>
      <c r="K4247">
        <v>1.1121430000000001</v>
      </c>
      <c r="L4247">
        <v>-61.1629</v>
      </c>
      <c r="M4247">
        <v>0.99099590000000004</v>
      </c>
      <c r="N4247">
        <v>0</v>
      </c>
      <c r="O4247">
        <v>0.1324033</v>
      </c>
      <c r="P4247">
        <v>0.90781999999999996</v>
      </c>
      <c r="Q4247">
        <v>3.6787519999999997E-2</v>
      </c>
      <c r="R4247">
        <v>0.41774339999999999</v>
      </c>
      <c r="S4247">
        <v>2.4555509999999998</v>
      </c>
      <c r="T4247">
        <v>-0.26653199999999999</v>
      </c>
      <c r="U4247">
        <v>1.875275</v>
      </c>
      <c r="V4247">
        <v>-0.29474050000000002</v>
      </c>
      <c r="W4247">
        <v>5.0836890000000003E-2</v>
      </c>
      <c r="X4247">
        <v>0.95422410000000002</v>
      </c>
      <c r="Y4247">
        <v>-0.4950291</v>
      </c>
      <c r="Z4247">
        <v>1.1207190000000001E-2</v>
      </c>
      <c r="AA4247">
        <v>0.86880419999999903</v>
      </c>
      <c r="AB4247">
        <v>35</v>
      </c>
      <c r="AC4247">
        <v>0.53239999999999499</v>
      </c>
      <c r="AD4247">
        <v>-7.7084000000000097E-2</v>
      </c>
      <c r="AE4247">
        <v>0.514319999999997</v>
      </c>
      <c r="AF4247">
        <v>-0.43457232190727701</v>
      </c>
      <c r="AG4247">
        <v>-7.7084000000000097E-2</v>
      </c>
      <c r="AH4247">
        <v>0.58943054700988096</v>
      </c>
      <c r="AI4247">
        <v>96.008888542782898</v>
      </c>
      <c r="AJ4247">
        <v>126.40041838345699</v>
      </c>
      <c r="AK4247">
        <v>0.73635821158743697</v>
      </c>
      <c r="AL4247">
        <v>87.086004667128407</v>
      </c>
      <c r="AM4247">
        <v>107.164859415067</v>
      </c>
      <c r="AN4247">
        <v>0.999999992372966</v>
      </c>
    </row>
    <row r="4248" spans="1:40" x14ac:dyDescent="0.3">
      <c r="A4248" t="str">
        <f>"20200111154003355"</f>
        <v>20200111154003355</v>
      </c>
      <c r="B4248" t="str">
        <f>"1578728403344900"</f>
        <v>1578728403344900</v>
      </c>
      <c r="C4248" t="s">
        <v>40</v>
      </c>
      <c r="D4248">
        <v>5.0957339999999904</v>
      </c>
      <c r="E4248">
        <v>0.41092990000000001</v>
      </c>
      <c r="F4248" t="s">
        <v>41</v>
      </c>
      <c r="G4248">
        <v>-210.673</v>
      </c>
      <c r="H4248">
        <v>1.0248759999999999</v>
      </c>
      <c r="I4248">
        <v>-60.539720000000003</v>
      </c>
      <c r="J4248">
        <v>-211.29339999999999</v>
      </c>
      <c r="K4248">
        <v>1.1123209999999999</v>
      </c>
      <c r="L4248">
        <v>-61.133670000000002</v>
      </c>
      <c r="M4248">
        <v>0.99038110000000001</v>
      </c>
      <c r="N4248">
        <v>0</v>
      </c>
      <c r="O4248">
        <v>0.13693079999999999</v>
      </c>
      <c r="P4248">
        <v>0.90566389999999997</v>
      </c>
      <c r="Q4248">
        <v>3.7644200000000003E-2</v>
      </c>
      <c r="R4248">
        <v>0.42232209999999998</v>
      </c>
      <c r="S4248">
        <v>2.4478759999999999</v>
      </c>
      <c r="T4248">
        <v>-0.26399489999999998</v>
      </c>
      <c r="U4248">
        <v>1.8850709999999999</v>
      </c>
      <c r="V4248">
        <v>-0.29523949999999999</v>
      </c>
      <c r="W4248">
        <v>5.1527379999999998E-2</v>
      </c>
      <c r="X4248">
        <v>0.95403280000000001</v>
      </c>
      <c r="Y4248">
        <v>-0.49460169999999998</v>
      </c>
      <c r="Z4248">
        <v>1.0678740000000001E-2</v>
      </c>
      <c r="AA4248">
        <v>0.8690542</v>
      </c>
      <c r="AB4248">
        <v>35</v>
      </c>
      <c r="AC4248">
        <v>0.62039999999998896</v>
      </c>
      <c r="AD4248">
        <v>-8.7444999999999704E-2</v>
      </c>
      <c r="AE4248">
        <v>0.59394999999999898</v>
      </c>
      <c r="AF4248">
        <v>-0.49821998384499799</v>
      </c>
      <c r="AG4248">
        <v>-8.7444999999999704E-2</v>
      </c>
      <c r="AH4248">
        <v>0.68876040954023798</v>
      </c>
      <c r="AI4248">
        <v>95.873263764832302</v>
      </c>
      <c r="AJ4248">
        <v>125.880377302262</v>
      </c>
      <c r="AK4248">
        <v>0.85455291356214302</v>
      </c>
      <c r="AL4248">
        <v>87.046390629735299</v>
      </c>
      <c r="AM4248">
        <v>107.195451951585</v>
      </c>
      <c r="AN4248">
        <v>1.00000000836287</v>
      </c>
    </row>
    <row r="4249" spans="1:40" x14ac:dyDescent="0.3">
      <c r="A4249" t="str">
        <f>"20200111154003373"</f>
        <v>20200111154003373</v>
      </c>
      <c r="B4249" t="str">
        <f>"1578728403365395"</f>
        <v>1578728403365395</v>
      </c>
      <c r="C4249" t="s">
        <v>40</v>
      </c>
      <c r="D4249">
        <v>5.0615009999999998</v>
      </c>
      <c r="E4249">
        <v>0.4110702</v>
      </c>
      <c r="F4249" t="s">
        <v>41</v>
      </c>
      <c r="G4249">
        <v>-210.3946</v>
      </c>
      <c r="H4249">
        <v>1.015944</v>
      </c>
      <c r="I4249">
        <v>-60.43526</v>
      </c>
      <c r="J4249">
        <v>-211.01609999999999</v>
      </c>
      <c r="K4249">
        <v>1.112554</v>
      </c>
      <c r="L4249">
        <v>-61.088500000000003</v>
      </c>
      <c r="M4249">
        <v>0.98949500000000001</v>
      </c>
      <c r="N4249">
        <v>0</v>
      </c>
      <c r="O4249">
        <v>0.1432331</v>
      </c>
      <c r="P4249">
        <v>0.90264129999999998</v>
      </c>
      <c r="Q4249">
        <v>3.8770600000000002E-2</v>
      </c>
      <c r="R4249">
        <v>0.42864390000000002</v>
      </c>
      <c r="S4249">
        <v>2.4392550000000002</v>
      </c>
      <c r="T4249">
        <v>-0.26157390000000003</v>
      </c>
      <c r="U4249">
        <v>1.895996</v>
      </c>
      <c r="V4249">
        <v>-0.29589729999999997</v>
      </c>
      <c r="W4249">
        <v>5.2145959999999998E-2</v>
      </c>
      <c r="X4249">
        <v>0.95379539999999996</v>
      </c>
      <c r="Y4249">
        <v>-0.49303649999999999</v>
      </c>
      <c r="Z4249">
        <v>9.9481120000000003E-3</v>
      </c>
      <c r="AA4249">
        <v>0.86995180000000005</v>
      </c>
      <c r="AB4249">
        <v>34</v>
      </c>
      <c r="AC4249">
        <v>0.62149999999999705</v>
      </c>
      <c r="AD4249">
        <v>-9.6610000000000001E-2</v>
      </c>
      <c r="AE4249">
        <v>0.65324000000000304</v>
      </c>
      <c r="AF4249">
        <v>-0.55113801063290102</v>
      </c>
      <c r="AG4249">
        <v>-9.6610000000000001E-2</v>
      </c>
      <c r="AH4249">
        <v>0.70062919277122004</v>
      </c>
      <c r="AI4249">
        <v>96.185421187845904</v>
      </c>
      <c r="AJ4249">
        <v>128.189756560798</v>
      </c>
      <c r="AK4249">
        <v>0.89664255120289904</v>
      </c>
      <c r="AL4249">
        <v>87.010900985107497</v>
      </c>
      <c r="AM4249">
        <v>107.23553220549999</v>
      </c>
      <c r="AN4249">
        <v>1.0000000391763799</v>
      </c>
    </row>
    <row r="4250" spans="1:40" x14ac:dyDescent="0.3">
      <c r="A4250" t="str">
        <f>"20200111154003385"</f>
        <v>20200111154003385</v>
      </c>
      <c r="B4250" t="str">
        <f>"1578728403375156"</f>
        <v>1578728403375156</v>
      </c>
      <c r="C4250" t="s">
        <v>40</v>
      </c>
      <c r="D4250">
        <v>5.0278400000000003</v>
      </c>
      <c r="E4250">
        <v>0.41105619999999998</v>
      </c>
      <c r="F4250" t="s">
        <v>41</v>
      </c>
      <c r="G4250">
        <v>-210.3467</v>
      </c>
      <c r="H4250">
        <v>1.0412319999999999</v>
      </c>
      <c r="I4250">
        <v>-60.560969999999998</v>
      </c>
      <c r="J4250">
        <v>-210.84289999999999</v>
      </c>
      <c r="K4250">
        <v>1.1126049999999901</v>
      </c>
      <c r="L4250">
        <v>-61.058900000000001</v>
      </c>
      <c r="M4250">
        <v>0.98887499999999995</v>
      </c>
      <c r="N4250">
        <v>0</v>
      </c>
      <c r="O4250">
        <v>0.14744370000000001</v>
      </c>
      <c r="P4250">
        <v>0.90036340000000004</v>
      </c>
      <c r="Q4250">
        <v>3.9581379999999999E-2</v>
      </c>
      <c r="R4250">
        <v>0.43333470000000002</v>
      </c>
      <c r="S4250">
        <v>2.4264070000000002</v>
      </c>
      <c r="T4250">
        <v>-0.25850919999999999</v>
      </c>
      <c r="U4250">
        <v>1.9126590000000001</v>
      </c>
      <c r="V4250">
        <v>-0.296826599999999</v>
      </c>
      <c r="W4250">
        <v>5.2972119999999998E-2</v>
      </c>
      <c r="X4250">
        <v>0.953461</v>
      </c>
      <c r="Y4250">
        <v>-0.49529079999999898</v>
      </c>
      <c r="Z4250">
        <v>9.5805260000000007E-3</v>
      </c>
      <c r="AA4250">
        <v>0.86867450000000002</v>
      </c>
      <c r="AB4250">
        <v>34</v>
      </c>
      <c r="AC4250">
        <v>0.49619999999998698</v>
      </c>
      <c r="AD4250">
        <v>-7.1372999999999895E-2</v>
      </c>
      <c r="AE4250">
        <v>0.49793000000000298</v>
      </c>
      <c r="AF4250">
        <v>-0.415031525335123</v>
      </c>
      <c r="AG4250">
        <v>-7.1372999999999895E-2</v>
      </c>
      <c r="AH4250">
        <v>0.558448522990737</v>
      </c>
      <c r="AI4250">
        <v>95.856869086813703</v>
      </c>
      <c r="AJ4250">
        <v>126.619241248959</v>
      </c>
      <c r="AK4250">
        <v>0.69943550451884795</v>
      </c>
      <c r="AL4250">
        <v>86.963499799381694</v>
      </c>
      <c r="AM4250">
        <v>107.292142718855</v>
      </c>
      <c r="AN4250">
        <v>0.999999977242926</v>
      </c>
    </row>
    <row r="4251" spans="1:40" x14ac:dyDescent="0.3">
      <c r="A4251" t="str">
        <f>"20200111154003398"</f>
        <v>20200111154003398</v>
      </c>
      <c r="B4251" t="str">
        <f>"1578728403395652"</f>
        <v>1578728403395652</v>
      </c>
      <c r="C4251" t="s">
        <v>40</v>
      </c>
      <c r="D4251">
        <v>4.9948230000000002</v>
      </c>
      <c r="E4251">
        <v>0.41124929999999899</v>
      </c>
      <c r="F4251" t="s">
        <v>41</v>
      </c>
      <c r="G4251">
        <v>-210.07490000000001</v>
      </c>
      <c r="H4251">
        <v>1.031064</v>
      </c>
      <c r="I4251">
        <v>-60.446829999999999</v>
      </c>
      <c r="J4251">
        <v>-210.6514</v>
      </c>
      <c r="K4251">
        <v>1.1126370000000001</v>
      </c>
      <c r="L4251">
        <v>-61.02563</v>
      </c>
      <c r="M4251">
        <v>0.98813289999999998</v>
      </c>
      <c r="N4251">
        <v>0</v>
      </c>
      <c r="O4251">
        <v>0.15232379999999901</v>
      </c>
      <c r="P4251">
        <v>0.89791569999999898</v>
      </c>
      <c r="Q4251">
        <v>4.014993E-2</v>
      </c>
      <c r="R4251">
        <v>0.43833270000000002</v>
      </c>
      <c r="S4251">
        <v>2.4165190000000001</v>
      </c>
      <c r="T4251">
        <v>-0.25655749999999999</v>
      </c>
      <c r="U4251">
        <v>1.9255679999999999</v>
      </c>
      <c r="V4251">
        <v>-0.29743789999999998</v>
      </c>
      <c r="W4251">
        <v>5.3616379999999998E-2</v>
      </c>
      <c r="X4251">
        <v>0.95323449999999998</v>
      </c>
      <c r="Y4251">
        <v>-0.49560710000000002</v>
      </c>
      <c r="Z4251">
        <v>9.1025120000000001E-3</v>
      </c>
      <c r="AA4251">
        <v>0.86849920000000003</v>
      </c>
      <c r="AB4251">
        <v>34</v>
      </c>
      <c r="AC4251">
        <v>0.57649999999998103</v>
      </c>
      <c r="AD4251">
        <v>-8.1573000000000104E-2</v>
      </c>
      <c r="AE4251">
        <v>0.57880000000000098</v>
      </c>
      <c r="AF4251">
        <v>-0.47943095597524799</v>
      </c>
      <c r="AG4251">
        <v>-8.1573000000000104E-2</v>
      </c>
      <c r="AH4251">
        <v>0.65145665142118603</v>
      </c>
      <c r="AI4251">
        <v>95.758791553392399</v>
      </c>
      <c r="AJ4251">
        <v>126.350721307893</v>
      </c>
      <c r="AK4251">
        <v>0.812960001818814</v>
      </c>
      <c r="AL4251">
        <v>86.926534005015796</v>
      </c>
      <c r="AM4251">
        <v>107.32949576981601</v>
      </c>
      <c r="AN4251">
        <v>1.0000000162754801</v>
      </c>
    </row>
    <row r="4252" spans="1:40" x14ac:dyDescent="0.3">
      <c r="A4252" t="str">
        <f>"20200111154003412"</f>
        <v>20200111154003412</v>
      </c>
      <c r="B4252" t="str">
        <f>"1578728403405412"</f>
        <v>1578728403405412</v>
      </c>
      <c r="C4252" t="s">
        <v>40</v>
      </c>
      <c r="D4252">
        <v>5.0065609999999996</v>
      </c>
      <c r="E4252">
        <v>0.41130119999999998</v>
      </c>
      <c r="F4252" t="s">
        <v>41</v>
      </c>
      <c r="G4252">
        <v>-209.8015</v>
      </c>
      <c r="H4252">
        <v>1.0218609999999999</v>
      </c>
      <c r="I4252">
        <v>-60.341560000000001</v>
      </c>
      <c r="J4252">
        <v>-210.44380000000001</v>
      </c>
      <c r="K4252">
        <v>1.112625</v>
      </c>
      <c r="L4252">
        <v>-60.988370000000003</v>
      </c>
      <c r="M4252">
        <v>0.98720909999999995</v>
      </c>
      <c r="N4252">
        <v>0</v>
      </c>
      <c r="O4252">
        <v>0.15818180000000001</v>
      </c>
      <c r="P4252">
        <v>0.89506569999999996</v>
      </c>
      <c r="Q4252">
        <v>4.0119080000000001E-2</v>
      </c>
      <c r="R4252">
        <v>0.44412600000000002</v>
      </c>
      <c r="S4252">
        <v>2.4066619999999999</v>
      </c>
      <c r="T4252">
        <v>-0.25707329999999901</v>
      </c>
      <c r="U4252">
        <v>1.937683</v>
      </c>
      <c r="V4252">
        <v>-0.29794330000000002</v>
      </c>
      <c r="W4252">
        <v>5.3723989999999999E-2</v>
      </c>
      <c r="X4252">
        <v>0.95307059999999999</v>
      </c>
      <c r="Y4252">
        <v>-0.49486439999999998</v>
      </c>
      <c r="Z4252">
        <v>8.576396E-3</v>
      </c>
      <c r="AA4252">
        <v>0.86892789999999998</v>
      </c>
      <c r="AB4252">
        <v>34</v>
      </c>
      <c r="AC4252">
        <v>0.64230000000000498</v>
      </c>
      <c r="AD4252">
        <v>-9.0763999999999803E-2</v>
      </c>
      <c r="AE4252">
        <v>0.646809999999995</v>
      </c>
      <c r="AF4252">
        <v>-0.53177082786932695</v>
      </c>
      <c r="AG4252">
        <v>-9.0763999999999803E-2</v>
      </c>
      <c r="AH4252">
        <v>0.72931329108169696</v>
      </c>
      <c r="AI4252">
        <v>95.742298181628001</v>
      </c>
      <c r="AJ4252">
        <v>126.097252314141</v>
      </c>
      <c r="AK4252">
        <v>0.90714728331029304</v>
      </c>
      <c r="AL4252">
        <v>86.920359527348793</v>
      </c>
      <c r="AM4252">
        <v>107.359979837488</v>
      </c>
      <c r="AN4252">
        <v>1.00000002285038</v>
      </c>
    </row>
    <row r="4253" spans="1:40" x14ac:dyDescent="0.3">
      <c r="A4253" t="str">
        <f>"20200111154003431"</f>
        <v>20200111154003431</v>
      </c>
      <c r="B4253" t="str">
        <f>"1578728403424932"</f>
        <v>1578728403424932</v>
      </c>
      <c r="C4253" t="s">
        <v>40</v>
      </c>
      <c r="D4253">
        <v>5.0474040000000002</v>
      </c>
      <c r="E4253">
        <v>0.41140680000000002</v>
      </c>
      <c r="F4253" t="s">
        <v>41</v>
      </c>
      <c r="G4253">
        <v>-209.76499999999999</v>
      </c>
      <c r="H4253">
        <v>1.039474</v>
      </c>
      <c r="I4253">
        <v>-60.434899999999999</v>
      </c>
      <c r="J4253">
        <v>-210.1611</v>
      </c>
      <c r="K4253">
        <v>1.1127659999999999</v>
      </c>
      <c r="L4253">
        <v>-60.935389999999998</v>
      </c>
      <c r="M4253">
        <v>0.9858015</v>
      </c>
      <c r="N4253">
        <v>0</v>
      </c>
      <c r="O4253">
        <v>0.1667245</v>
      </c>
      <c r="P4253">
        <v>0.89087689999999997</v>
      </c>
      <c r="Q4253">
        <v>4.0727100000000002E-2</v>
      </c>
      <c r="R4253">
        <v>0.45241559999999997</v>
      </c>
      <c r="S4253">
        <v>2.3942109999999999</v>
      </c>
      <c r="T4253">
        <v>-0.25805119999999998</v>
      </c>
      <c r="U4253">
        <v>1.953003</v>
      </c>
      <c r="V4253">
        <v>-0.29857909999999999</v>
      </c>
      <c r="W4253">
        <v>5.4228220000000001E-2</v>
      </c>
      <c r="X4253">
        <v>0.952843</v>
      </c>
      <c r="Y4253">
        <v>-0.49292019999999998</v>
      </c>
      <c r="Z4253">
        <v>7.7669080000000003E-3</v>
      </c>
      <c r="AA4253">
        <v>0.87003980000000003</v>
      </c>
      <c r="AB4253">
        <v>34</v>
      </c>
      <c r="AC4253">
        <v>0.39610000000001799</v>
      </c>
      <c r="AD4253">
        <v>-7.3291999999999899E-2</v>
      </c>
      <c r="AE4253">
        <v>0.50049000000000599</v>
      </c>
      <c r="AF4253">
        <v>-0.42186669410438699</v>
      </c>
      <c r="AG4253">
        <v>-7.3291999999999899E-2</v>
      </c>
      <c r="AH4253">
        <v>0.46784540660571</v>
      </c>
      <c r="AI4253">
        <v>96.636169046079502</v>
      </c>
      <c r="AJ4253">
        <v>132.041689372756</v>
      </c>
      <c r="AK4253">
        <v>0.63421017757571996</v>
      </c>
      <c r="AL4253">
        <v>86.891426968821904</v>
      </c>
      <c r="AM4253">
        <v>107.39869705929399</v>
      </c>
      <c r="AN4253">
        <v>0.999999980725089</v>
      </c>
    </row>
    <row r="4254" spans="1:40" x14ac:dyDescent="0.3">
      <c r="A4254" t="str">
        <f>"20200111154003444"</f>
        <v>20200111154003444</v>
      </c>
      <c r="B4254" t="str">
        <f>"1578728403434692"</f>
        <v>1578728403434692</v>
      </c>
      <c r="C4254" t="s">
        <v>40</v>
      </c>
      <c r="D4254">
        <v>4.9835919999999998</v>
      </c>
      <c r="E4254">
        <v>0.41148289999999998</v>
      </c>
      <c r="F4254" t="s">
        <v>41</v>
      </c>
      <c r="G4254">
        <v>-209.47730000000001</v>
      </c>
      <c r="H4254">
        <v>1.0386120000000001</v>
      </c>
      <c r="I4254">
        <v>-60.367049999999999</v>
      </c>
      <c r="J4254">
        <v>-209.9743</v>
      </c>
      <c r="K4254">
        <v>1.112976</v>
      </c>
      <c r="L4254">
        <v>-60.898769999999899</v>
      </c>
      <c r="M4254">
        <v>0.98481359999999996</v>
      </c>
      <c r="N4254">
        <v>0</v>
      </c>
      <c r="O4254">
        <v>0.17246589999999901</v>
      </c>
      <c r="P4254">
        <v>0.88770469999999901</v>
      </c>
      <c r="Q4254">
        <v>4.1699729999999997E-2</v>
      </c>
      <c r="R4254">
        <v>0.45852080000000001</v>
      </c>
      <c r="S4254">
        <v>2.3763890000000001</v>
      </c>
      <c r="T4254">
        <v>-0.25770100000000001</v>
      </c>
      <c r="U4254">
        <v>1.9747920000000001</v>
      </c>
      <c r="V4254">
        <v>-0.29962610000000001</v>
      </c>
      <c r="W4254">
        <v>5.497813E-2</v>
      </c>
      <c r="X4254">
        <v>0.95247130000000002</v>
      </c>
      <c r="Y4254">
        <v>-0.49578650000000002</v>
      </c>
      <c r="Z4254">
        <v>7.4009330000000002E-3</v>
      </c>
      <c r="AA4254">
        <v>0.86841290000000004</v>
      </c>
      <c r="AB4254">
        <v>34</v>
      </c>
      <c r="AC4254">
        <v>0.49699999999998501</v>
      </c>
      <c r="AD4254">
        <v>-7.4363999999999805E-2</v>
      </c>
      <c r="AE4254">
        <v>0.53171999999999198</v>
      </c>
      <c r="AF4254">
        <v>-0.43349134313593701</v>
      </c>
      <c r="AG4254">
        <v>-7.4363999999999805E-2</v>
      </c>
      <c r="AH4254">
        <v>0.57526620932581096</v>
      </c>
      <c r="AI4254">
        <v>95.894273622784596</v>
      </c>
      <c r="AJ4254">
        <v>126.999819662885</v>
      </c>
      <c r="AK4254">
        <v>0.72413808121233803</v>
      </c>
      <c r="AL4254">
        <v>86.8483961091368</v>
      </c>
      <c r="AM4254">
        <v>107.462405617615</v>
      </c>
      <c r="AN4254">
        <v>0.999999985951598</v>
      </c>
    </row>
    <row r="4255" spans="1:40" x14ac:dyDescent="0.3">
      <c r="A4255" t="str">
        <f>"20200111154003456"</f>
        <v>20200111154003456</v>
      </c>
      <c r="B4255" t="str">
        <f>"1578728403445428"</f>
        <v>1578728403445428</v>
      </c>
      <c r="C4255" t="s">
        <v>40</v>
      </c>
      <c r="D4255">
        <v>4.9778570000000002</v>
      </c>
      <c r="E4255">
        <v>0.411524</v>
      </c>
      <c r="F4255" t="s">
        <v>41</v>
      </c>
      <c r="G4255">
        <v>-209.20869999999999</v>
      </c>
      <c r="H4255">
        <v>1.030254</v>
      </c>
      <c r="I4255">
        <v>-60.253729999999997</v>
      </c>
      <c r="J4255">
        <v>-209.79660000000001</v>
      </c>
      <c r="K4255">
        <v>1.113199</v>
      </c>
      <c r="L4255">
        <v>-60.863219999999998</v>
      </c>
      <c r="M4255">
        <v>0.98383949999999998</v>
      </c>
      <c r="N4255">
        <v>0</v>
      </c>
      <c r="O4255">
        <v>0.1779425</v>
      </c>
      <c r="P4255">
        <v>0.88478729999999906</v>
      </c>
      <c r="Q4255">
        <v>4.2514400000000001E-2</v>
      </c>
      <c r="R4255">
        <v>0.46405160000000001</v>
      </c>
      <c r="S4255">
        <v>2.3630520000000002</v>
      </c>
      <c r="T4255">
        <v>-0.2553185</v>
      </c>
      <c r="U4255">
        <v>1.991058</v>
      </c>
      <c r="V4255">
        <v>-0.30032829999999999</v>
      </c>
      <c r="W4255">
        <v>5.5546600000000002E-2</v>
      </c>
      <c r="X4255">
        <v>0.95221719999999999</v>
      </c>
      <c r="Y4255">
        <v>-0.49690079999999998</v>
      </c>
      <c r="Z4255">
        <v>6.9146829999999996E-3</v>
      </c>
      <c r="AA4255">
        <v>0.86777979999999999</v>
      </c>
      <c r="AB4255">
        <v>34</v>
      </c>
      <c r="AC4255">
        <v>0.58790000000001896</v>
      </c>
      <c r="AD4255">
        <v>-8.2945000000000005E-2</v>
      </c>
      <c r="AE4255">
        <v>0.60948999999999298</v>
      </c>
      <c r="AF4255">
        <v>-0.49042098102936499</v>
      </c>
      <c r="AG4255">
        <v>-8.2945000000000005E-2</v>
      </c>
      <c r="AH4255">
        <v>0.68046123927894697</v>
      </c>
      <c r="AI4255">
        <v>95.647531879743994</v>
      </c>
      <c r="AJ4255">
        <v>125.780988866418</v>
      </c>
      <c r="AK4255">
        <v>0.84286422976648201</v>
      </c>
      <c r="AL4255">
        <v>86.8157755453378</v>
      </c>
      <c r="AM4255">
        <v>107.50521945709301</v>
      </c>
      <c r="AN4255">
        <v>1.0000000542641401</v>
      </c>
    </row>
    <row r="4256" spans="1:40" x14ac:dyDescent="0.3">
      <c r="A4256" t="str">
        <f>"20200111154003469"</f>
        <v>20200111154003469</v>
      </c>
      <c r="B4256" t="str">
        <f>"1578728403464948"</f>
        <v>1578728403464948</v>
      </c>
      <c r="C4256" t="s">
        <v>40</v>
      </c>
      <c r="D4256">
        <v>4.9431200000000004</v>
      </c>
      <c r="E4256">
        <v>0.41159659999999898</v>
      </c>
      <c r="F4256" t="s">
        <v>41</v>
      </c>
      <c r="G4256">
        <v>-208.9436</v>
      </c>
      <c r="H4256">
        <v>1.021153</v>
      </c>
      <c r="I4256">
        <v>-60.135509999999996</v>
      </c>
      <c r="J4256">
        <v>-209.5942</v>
      </c>
      <c r="K4256">
        <v>1.1134919999999999</v>
      </c>
      <c r="L4256">
        <v>-60.820799999999998</v>
      </c>
      <c r="M4256">
        <v>0.98268820000000001</v>
      </c>
      <c r="N4256">
        <v>0</v>
      </c>
      <c r="O4256">
        <v>0.1841999</v>
      </c>
      <c r="P4256">
        <v>0.88145049999999903</v>
      </c>
      <c r="Q4256">
        <v>4.324969E-2</v>
      </c>
      <c r="R4256">
        <v>0.47029179999999998</v>
      </c>
      <c r="S4256">
        <v>2.3509669999999998</v>
      </c>
      <c r="T4256">
        <v>-0.25368400000000002</v>
      </c>
      <c r="U4256">
        <v>2.0055540000000001</v>
      </c>
      <c r="V4256">
        <v>-0.30106280000000002</v>
      </c>
      <c r="W4256">
        <v>5.598127E-2</v>
      </c>
      <c r="X4256">
        <v>0.95195969999999996</v>
      </c>
      <c r="Y4256">
        <v>-0.49671409999999999</v>
      </c>
      <c r="Z4256">
        <v>6.322701E-3</v>
      </c>
      <c r="AA4256">
        <v>0.86789130000000003</v>
      </c>
      <c r="AB4256">
        <v>34</v>
      </c>
      <c r="AC4256">
        <v>0.65059999999999696</v>
      </c>
      <c r="AD4256">
        <v>-9.2338999999999893E-2</v>
      </c>
      <c r="AE4256">
        <v>0.68529000000000195</v>
      </c>
      <c r="AF4256">
        <v>-0.54845778963521596</v>
      </c>
      <c r="AG4256">
        <v>-9.2338999999999893E-2</v>
      </c>
      <c r="AH4256">
        <v>0.75847544783994802</v>
      </c>
      <c r="AI4256">
        <v>95.634173226118406</v>
      </c>
      <c r="AJ4256">
        <v>125.87089976528</v>
      </c>
      <c r="AK4256">
        <v>0.94054103733359595</v>
      </c>
      <c r="AL4256">
        <v>86.790831775012407</v>
      </c>
      <c r="AM4256">
        <v>107.549862096406</v>
      </c>
      <c r="AN4256">
        <v>0.999999991279371</v>
      </c>
    </row>
    <row r="4257" spans="1:40" x14ac:dyDescent="0.3">
      <c r="A4257" t="str">
        <f>"20200111154003482"</f>
        <v>20200111154003482</v>
      </c>
      <c r="B4257" t="str">
        <f>"1578728403474708"</f>
        <v>1578728403474708</v>
      </c>
      <c r="C4257" t="s">
        <v>40</v>
      </c>
      <c r="D4257">
        <v>4.9265889999999999</v>
      </c>
      <c r="E4257">
        <v>0.41164630000000002</v>
      </c>
      <c r="F4257" t="s">
        <v>41</v>
      </c>
      <c r="G4257">
        <v>-208.9057</v>
      </c>
      <c r="H4257">
        <v>1.03894</v>
      </c>
      <c r="I4257">
        <v>-60.225090000000002</v>
      </c>
      <c r="J4257">
        <v>-209.40450000000001</v>
      </c>
      <c r="K4257">
        <v>1.1137490000000001</v>
      </c>
      <c r="L4257">
        <v>-60.779629999999997</v>
      </c>
      <c r="M4257">
        <v>0.98155590000000004</v>
      </c>
      <c r="N4257">
        <v>0</v>
      </c>
      <c r="O4257">
        <v>0.1901455</v>
      </c>
      <c r="P4257">
        <v>0.87818490000000005</v>
      </c>
      <c r="Q4257">
        <v>4.3857970000000003E-2</v>
      </c>
      <c r="R4257">
        <v>0.47630640000000002</v>
      </c>
      <c r="S4257">
        <v>2.337097</v>
      </c>
      <c r="T4257">
        <v>-0.25305640000000001</v>
      </c>
      <c r="U4257">
        <v>2.0220030000000002</v>
      </c>
      <c r="V4257">
        <v>-0.30186550000000001</v>
      </c>
      <c r="W4257">
        <v>5.631357E-2</v>
      </c>
      <c r="X4257">
        <v>0.95168589999999997</v>
      </c>
      <c r="Y4257">
        <v>-0.49752469999999999</v>
      </c>
      <c r="Z4257">
        <v>5.8359419999999898E-3</v>
      </c>
      <c r="AA4257">
        <v>0.86743019999999904</v>
      </c>
      <c r="AB4257">
        <v>34</v>
      </c>
      <c r="AC4257">
        <v>0.49880000000001701</v>
      </c>
      <c r="AD4257">
        <v>-7.4808999999999903E-2</v>
      </c>
      <c r="AE4257">
        <v>0.55454000000000203</v>
      </c>
      <c r="AF4257">
        <v>-0.44507834744848301</v>
      </c>
      <c r="AG4257">
        <v>-7.4808999999999903E-2</v>
      </c>
      <c r="AH4257">
        <v>0.58923272174042496</v>
      </c>
      <c r="AI4257">
        <v>95.784736291205306</v>
      </c>
      <c r="AJ4257">
        <v>127.065662496822</v>
      </c>
      <c r="AK4257">
        <v>0.74221716648033798</v>
      </c>
      <c r="AL4257">
        <v>86.771762414738703</v>
      </c>
      <c r="AM4257">
        <v>107.598520332861</v>
      </c>
      <c r="AN4257">
        <v>1.0000000252576</v>
      </c>
    </row>
    <row r="4258" spans="1:40" x14ac:dyDescent="0.3">
      <c r="A4258" t="str">
        <f>"20200111154003497"</f>
        <v>20200111154003497</v>
      </c>
      <c r="B4258" t="str">
        <f>"1578728403485444"</f>
        <v>1578728403485444</v>
      </c>
      <c r="C4258" t="s">
        <v>40</v>
      </c>
      <c r="D4258">
        <v>5.1480509999999997</v>
      </c>
      <c r="E4258">
        <v>0.4118115</v>
      </c>
      <c r="F4258" t="s">
        <v>41</v>
      </c>
      <c r="G4258">
        <v>-208.64019999999999</v>
      </c>
      <c r="H4258">
        <v>1.0310509999999999</v>
      </c>
      <c r="I4258">
        <v>-60.109380000000002</v>
      </c>
      <c r="J4258">
        <v>-209.20509999999999</v>
      </c>
      <c r="K4258">
        <v>1.114009</v>
      </c>
      <c r="L4258">
        <v>-60.735259999999997</v>
      </c>
      <c r="M4258">
        <v>0.98030930000000005</v>
      </c>
      <c r="N4258">
        <v>0</v>
      </c>
      <c r="O4258">
        <v>0.19647629999999999</v>
      </c>
      <c r="P4258">
        <v>0.87427299999999997</v>
      </c>
      <c r="Q4258">
        <v>4.4314729999999997E-2</v>
      </c>
      <c r="R4258">
        <v>0.48340739999999999</v>
      </c>
      <c r="S4258">
        <v>2.32341</v>
      </c>
      <c r="T4258">
        <v>-0.25139080000000003</v>
      </c>
      <c r="U4258">
        <v>2.0378720000000001</v>
      </c>
      <c r="V4258">
        <v>-0.30348930000000002</v>
      </c>
      <c r="W4258">
        <v>5.6467349999999999E-2</v>
      </c>
      <c r="X4258">
        <v>0.95116020000000001</v>
      </c>
      <c r="Y4258">
        <v>-0.4978416</v>
      </c>
      <c r="Z4258">
        <v>5.271675E-3</v>
      </c>
      <c r="AA4258">
        <v>0.86725200000000002</v>
      </c>
      <c r="AB4258">
        <v>34</v>
      </c>
      <c r="AC4258">
        <v>0.56489999999999396</v>
      </c>
      <c r="AD4258">
        <v>-8.2958000000000004E-2</v>
      </c>
      <c r="AE4258">
        <v>0.625879999999995</v>
      </c>
      <c r="AF4258">
        <v>-0.497844815755418</v>
      </c>
      <c r="AG4258">
        <v>-8.2958000000000004E-2</v>
      </c>
      <c r="AH4258">
        <v>0.670389141879144</v>
      </c>
      <c r="AI4258">
        <v>95.673582021628704</v>
      </c>
      <c r="AJ4258">
        <v>126.598341957901</v>
      </c>
      <c r="AK4258">
        <v>0.83913830319441496</v>
      </c>
      <c r="AL4258">
        <v>86.762937415242405</v>
      </c>
      <c r="AM4258">
        <v>107.696466032682</v>
      </c>
      <c r="AN4258">
        <v>1.00000002144727</v>
      </c>
    </row>
    <row r="4259" spans="1:40" x14ac:dyDescent="0.3">
      <c r="A4259" t="str">
        <f>"20200111154003508"</f>
        <v>20200111154003508</v>
      </c>
      <c r="B4259" t="str">
        <f>"1578728403504964"</f>
        <v>1578728403504964</v>
      </c>
      <c r="C4259" t="s">
        <v>40</v>
      </c>
      <c r="D4259">
        <v>4.9844809999999997</v>
      </c>
      <c r="E4259">
        <v>0.41189409999999999</v>
      </c>
      <c r="F4259" t="s">
        <v>41</v>
      </c>
      <c r="G4259">
        <v>-208.37530000000001</v>
      </c>
      <c r="H4259">
        <v>1.024367</v>
      </c>
      <c r="I4259">
        <v>-59.995730000000002</v>
      </c>
      <c r="J4259">
        <v>-209.0334</v>
      </c>
      <c r="K4259">
        <v>1.1142069999999999</v>
      </c>
      <c r="L4259">
        <v>-60.695340000000002</v>
      </c>
      <c r="M4259">
        <v>0.97916440000000005</v>
      </c>
      <c r="N4259">
        <v>0</v>
      </c>
      <c r="O4259">
        <v>0.20211009999999999</v>
      </c>
      <c r="P4259">
        <v>0.87108369999999902</v>
      </c>
      <c r="Q4259">
        <v>4.4507709999999999E-2</v>
      </c>
      <c r="R4259">
        <v>0.48911379999999999</v>
      </c>
      <c r="S4259">
        <v>2.3071440000000001</v>
      </c>
      <c r="T4259">
        <v>-0.2492366</v>
      </c>
      <c r="U4259">
        <v>2.0562130000000001</v>
      </c>
      <c r="V4259">
        <v>-0.30427480000000001</v>
      </c>
      <c r="W4259">
        <v>5.6436399999999998E-2</v>
      </c>
      <c r="X4259">
        <v>0.95091099999999995</v>
      </c>
      <c r="Y4259">
        <v>-0.4997607</v>
      </c>
      <c r="Z4259">
        <v>4.8418339999999997E-3</v>
      </c>
      <c r="AA4259">
        <v>0.86614999999999998</v>
      </c>
      <c r="AB4259">
        <v>34</v>
      </c>
      <c r="AC4259">
        <v>0.65809999999999003</v>
      </c>
      <c r="AD4259">
        <v>-8.9839999999999906E-2</v>
      </c>
      <c r="AE4259">
        <v>0.69960999999999895</v>
      </c>
      <c r="AF4259">
        <v>-0.54734322503821597</v>
      </c>
      <c r="AG4259">
        <v>-8.9839999999999906E-2</v>
      </c>
      <c r="AH4259">
        <v>0.77912264868842995</v>
      </c>
      <c r="AI4259">
        <v>95.390098247313801</v>
      </c>
      <c r="AJ4259">
        <v>125.08851212659999</v>
      </c>
      <c r="AK4259">
        <v>0.95639318969475695</v>
      </c>
      <c r="AL4259">
        <v>86.764713403267905</v>
      </c>
      <c r="AM4259">
        <v>107.743757760053</v>
      </c>
      <c r="AN4259">
        <v>0.99999997554049902</v>
      </c>
    </row>
    <row r="4260" spans="1:40" x14ac:dyDescent="0.3">
      <c r="A4260" t="str">
        <f>"20200111154003521"</f>
        <v>20200111154003521</v>
      </c>
      <c r="B4260" t="str">
        <f>"1578728403514724"</f>
        <v>1578728403514724</v>
      </c>
      <c r="C4260" t="s">
        <v>40</v>
      </c>
      <c r="D4260">
        <v>5.0350789999999996</v>
      </c>
      <c r="E4260">
        <v>0.41218949999999999</v>
      </c>
      <c r="F4260" t="s">
        <v>41</v>
      </c>
      <c r="G4260">
        <v>-208.34180000000001</v>
      </c>
      <c r="H4260">
        <v>1.0391109999999999</v>
      </c>
      <c r="I4260">
        <v>-60.070990000000002</v>
      </c>
      <c r="J4260">
        <v>-208.84989999999999</v>
      </c>
      <c r="K4260">
        <v>1.1143959999999999</v>
      </c>
      <c r="L4260">
        <v>-60.651580000000003</v>
      </c>
      <c r="M4260">
        <v>0.9778751</v>
      </c>
      <c r="N4260">
        <v>0</v>
      </c>
      <c r="O4260">
        <v>0.20826339999999999</v>
      </c>
      <c r="P4260">
        <v>0.8674634</v>
      </c>
      <c r="Q4260">
        <v>4.4579290000000001E-2</v>
      </c>
      <c r="R4260">
        <v>0.49549989999999999</v>
      </c>
      <c r="S4260">
        <v>2.2938390000000002</v>
      </c>
      <c r="T4260">
        <v>-0.249088</v>
      </c>
      <c r="U4260">
        <v>2.0710139999999999</v>
      </c>
      <c r="V4260">
        <v>-0.30531069999999999</v>
      </c>
      <c r="W4260">
        <v>5.6276449999999999E-2</v>
      </c>
      <c r="X4260">
        <v>0.9505884</v>
      </c>
      <c r="Y4260">
        <v>-0.49991289999999999</v>
      </c>
      <c r="Z4260">
        <v>4.3232269999999998E-3</v>
      </c>
      <c r="AA4260">
        <v>0.86606489999999903</v>
      </c>
      <c r="AB4260">
        <v>34</v>
      </c>
      <c r="AC4260">
        <v>0.50809999999998401</v>
      </c>
      <c r="AD4260">
        <v>-7.5284999999999797E-2</v>
      </c>
      <c r="AE4260">
        <v>0.58059000000000005</v>
      </c>
      <c r="AF4260">
        <v>-0.45765749240236098</v>
      </c>
      <c r="AG4260">
        <v>-7.5284999999999797E-2</v>
      </c>
      <c r="AH4260">
        <v>0.61206550891706701</v>
      </c>
      <c r="AI4260">
        <v>95.625977883454993</v>
      </c>
      <c r="AJ4260">
        <v>126.786432471445</v>
      </c>
      <c r="AK4260">
        <v>0.767946872370039</v>
      </c>
      <c r="AL4260">
        <v>86.773892479817306</v>
      </c>
      <c r="AM4260">
        <v>107.806018751702</v>
      </c>
      <c r="AN4260">
        <v>0.99999998428682602</v>
      </c>
    </row>
    <row r="4261" spans="1:40" x14ac:dyDescent="0.3">
      <c r="A4261" t="str">
        <f>"20200111154003533"</f>
        <v>20200111154003533</v>
      </c>
      <c r="B4261" t="str">
        <f>"1578728403525460"</f>
        <v>1578728403525460</v>
      </c>
      <c r="C4261" t="s">
        <v>40</v>
      </c>
      <c r="D4261">
        <v>5.049823</v>
      </c>
      <c r="E4261">
        <v>0.41251009999999999</v>
      </c>
      <c r="F4261" t="s">
        <v>41</v>
      </c>
      <c r="G4261">
        <v>-208.08160000000001</v>
      </c>
      <c r="H4261">
        <v>1.0302579999999999</v>
      </c>
      <c r="I4261">
        <v>-59.948749999999997</v>
      </c>
      <c r="J4261">
        <v>-208.67320000000001</v>
      </c>
      <c r="K4261">
        <v>1.114554</v>
      </c>
      <c r="L4261">
        <v>-60.608550000000001</v>
      </c>
      <c r="M4261">
        <v>0.97657070000000001</v>
      </c>
      <c r="N4261">
        <v>0</v>
      </c>
      <c r="O4261">
        <v>0.21430099999999999</v>
      </c>
      <c r="P4261">
        <v>0.86391070000000003</v>
      </c>
      <c r="Q4261">
        <v>4.4462809999999998E-2</v>
      </c>
      <c r="R4261">
        <v>0.50167859999999997</v>
      </c>
      <c r="S4261">
        <v>2.2796630000000002</v>
      </c>
      <c r="T4261">
        <v>-0.2496717</v>
      </c>
      <c r="U4261">
        <v>2.0859679999999998</v>
      </c>
      <c r="V4261">
        <v>-0.30624230000000002</v>
      </c>
      <c r="W4261">
        <v>5.5950319999999998E-2</v>
      </c>
      <c r="X4261">
        <v>0.95030800000000004</v>
      </c>
      <c r="Y4261">
        <v>-0.50034899999999904</v>
      </c>
      <c r="Z4261">
        <v>3.8397349999999999E-3</v>
      </c>
      <c r="AA4261">
        <v>0.86581529999999995</v>
      </c>
      <c r="AB4261">
        <v>34</v>
      </c>
      <c r="AC4261">
        <v>0.59159999999999902</v>
      </c>
      <c r="AD4261">
        <v>-8.4296000000000093E-2</v>
      </c>
      <c r="AE4261">
        <v>0.65980000000000405</v>
      </c>
      <c r="AF4261">
        <v>-0.51301856071710805</v>
      </c>
      <c r="AG4261">
        <v>-8.4296000000000093E-2</v>
      </c>
      <c r="AH4261">
        <v>0.71282361724227705</v>
      </c>
      <c r="AI4261">
        <v>95.482618008198102</v>
      </c>
      <c r="AJ4261">
        <v>125.74253375885699</v>
      </c>
      <c r="AK4261">
        <v>0.88227624276901995</v>
      </c>
      <c r="AL4261">
        <v>86.792608018687503</v>
      </c>
      <c r="AM4261">
        <v>107.86183888111</v>
      </c>
      <c r="AN4261">
        <v>1.0000000397406901</v>
      </c>
    </row>
    <row r="4262" spans="1:40" x14ac:dyDescent="0.3">
      <c r="A4262" t="str">
        <f>"20200111154003544"</f>
        <v>20200111154003544</v>
      </c>
      <c r="B4262" t="str">
        <f>"1578728403535220"</f>
        <v>1578728403535220</v>
      </c>
      <c r="C4262" t="s">
        <v>40</v>
      </c>
      <c r="D4262">
        <v>5.0208309999999896</v>
      </c>
      <c r="E4262">
        <v>0.41283710000000001</v>
      </c>
      <c r="F4262" t="s">
        <v>41</v>
      </c>
      <c r="G4262">
        <v>-208.04570000000001</v>
      </c>
      <c r="H4262">
        <v>1.0451319999999999</v>
      </c>
      <c r="I4262">
        <v>-60.027149999999999</v>
      </c>
      <c r="J4262">
        <v>-208.5153</v>
      </c>
      <c r="K4262">
        <v>1.11469</v>
      </c>
      <c r="L4262">
        <v>-60.568330000000003</v>
      </c>
      <c r="M4262">
        <v>0.97532419999999997</v>
      </c>
      <c r="N4262">
        <v>0</v>
      </c>
      <c r="O4262">
        <v>0.21990789999999999</v>
      </c>
      <c r="P4262">
        <v>0.86050360000000004</v>
      </c>
      <c r="Q4262">
        <v>4.4785739999999997E-2</v>
      </c>
      <c r="R4262">
        <v>0.50747189999999998</v>
      </c>
      <c r="S4262">
        <v>2.2659150000000001</v>
      </c>
      <c r="T4262">
        <v>-0.25069960000000002</v>
      </c>
      <c r="U4262">
        <v>2.1001280000000002</v>
      </c>
      <c r="V4262">
        <v>-0.30719839999999998</v>
      </c>
      <c r="W4262">
        <v>5.6098389999999998E-2</v>
      </c>
      <c r="X4262">
        <v>0.94999060000000002</v>
      </c>
      <c r="Y4262">
        <v>-0.50091209999999997</v>
      </c>
      <c r="Z4262">
        <v>3.402188E-3</v>
      </c>
      <c r="AA4262">
        <v>0.86549140000000002</v>
      </c>
      <c r="AB4262">
        <v>34</v>
      </c>
      <c r="AC4262">
        <v>0.46959999999998497</v>
      </c>
      <c r="AD4262">
        <v>-6.9557999999999995E-2</v>
      </c>
      <c r="AE4262">
        <v>0.54118000000000399</v>
      </c>
      <c r="AF4262">
        <v>-0.42067411272551503</v>
      </c>
      <c r="AG4262">
        <v>-6.9557999999999995E-2</v>
      </c>
      <c r="AH4262">
        <v>0.57174443904018202</v>
      </c>
      <c r="AI4262">
        <v>95.596688086648399</v>
      </c>
      <c r="AJ4262">
        <v>126.34463057444199</v>
      </c>
      <c r="AK4262">
        <v>0.71322978629244904</v>
      </c>
      <c r="AL4262">
        <v>86.784110801948501</v>
      </c>
      <c r="AM4262">
        <v>107.919647902002</v>
      </c>
      <c r="AN4262">
        <v>1.00000001320575</v>
      </c>
    </row>
    <row r="4263" spans="1:40" x14ac:dyDescent="0.3">
      <c r="A4263" t="str">
        <f>"20200111154003558"</f>
        <v>20200111154003558</v>
      </c>
      <c r="B4263" t="str">
        <f>"1578728403555715"</f>
        <v>1578728403555715</v>
      </c>
      <c r="C4263" t="s">
        <v>40</v>
      </c>
      <c r="D4263">
        <v>5.0586479999999998</v>
      </c>
      <c r="E4263">
        <v>0.41350979999999998</v>
      </c>
      <c r="F4263" t="s">
        <v>41</v>
      </c>
      <c r="G4263">
        <v>-207.79300000000001</v>
      </c>
      <c r="H4263">
        <v>1.034324</v>
      </c>
      <c r="I4263">
        <v>-59.890819999999998</v>
      </c>
      <c r="J4263">
        <v>-208.31979999999999</v>
      </c>
      <c r="K4263">
        <v>1.1148559999999901</v>
      </c>
      <c r="L4263">
        <v>-60.51773</v>
      </c>
      <c r="M4263">
        <v>0.97371359999999996</v>
      </c>
      <c r="N4263">
        <v>0</v>
      </c>
      <c r="O4263">
        <v>0.22693769999999999</v>
      </c>
      <c r="P4263">
        <v>0.85631849999999998</v>
      </c>
      <c r="Q4263">
        <v>4.5401700000000003E-2</v>
      </c>
      <c r="R4263">
        <v>0.51444860000000003</v>
      </c>
      <c r="S4263">
        <v>2.253082</v>
      </c>
      <c r="T4263">
        <v>-0.25068400000000002</v>
      </c>
      <c r="U4263">
        <v>2.1132810000000002</v>
      </c>
      <c r="V4263">
        <v>-0.30811159999999999</v>
      </c>
      <c r="W4263">
        <v>5.6508299999999997E-2</v>
      </c>
      <c r="X4263">
        <v>0.94967049999999997</v>
      </c>
      <c r="Y4263">
        <v>-0.49984230000000002</v>
      </c>
      <c r="Z4263">
        <v>2.7453270000000001E-3</v>
      </c>
      <c r="AA4263">
        <v>0.86611209999999905</v>
      </c>
      <c r="AB4263">
        <v>34</v>
      </c>
      <c r="AC4263">
        <v>0.52679999999997995</v>
      </c>
      <c r="AD4263">
        <v>-8.0531999999999798E-2</v>
      </c>
      <c r="AE4263">
        <v>0.62691000000000896</v>
      </c>
      <c r="AF4263">
        <v>-0.48627037487448899</v>
      </c>
      <c r="AG4263">
        <v>-8.0531999999999798E-2</v>
      </c>
      <c r="AH4263">
        <v>0.64906893863106896</v>
      </c>
      <c r="AI4263">
        <v>95.670737979213001</v>
      </c>
      <c r="AJ4263">
        <v>126.83986828961601</v>
      </c>
      <c r="AK4263">
        <v>0.81500599237075499</v>
      </c>
      <c r="AL4263">
        <v>86.760587338723298</v>
      </c>
      <c r="AM4263">
        <v>107.97516392546</v>
      </c>
      <c r="AN4263">
        <v>1.00000000229685</v>
      </c>
    </row>
    <row r="4264" spans="1:40" x14ac:dyDescent="0.3">
      <c r="A4264" t="str">
        <f>"20200111154003573"</f>
        <v>20200111154003573</v>
      </c>
      <c r="B4264" t="str">
        <f>"1578728403565475"</f>
        <v>1578728403565475</v>
      </c>
      <c r="C4264" t="s">
        <v>40</v>
      </c>
      <c r="D4264">
        <v>5.0500059999999998</v>
      </c>
      <c r="E4264">
        <v>0.41381649999999998</v>
      </c>
      <c r="F4264" t="s">
        <v>41</v>
      </c>
      <c r="G4264">
        <v>-207.5341</v>
      </c>
      <c r="H4264">
        <v>1.0269280000000001</v>
      </c>
      <c r="I4264">
        <v>-59.771389999999997</v>
      </c>
      <c r="J4264">
        <v>-208.10480000000001</v>
      </c>
      <c r="K4264">
        <v>1.11504</v>
      </c>
      <c r="L4264">
        <v>-60.460239999999999</v>
      </c>
      <c r="M4264">
        <v>0.971831</v>
      </c>
      <c r="N4264">
        <v>0</v>
      </c>
      <c r="O4264">
        <v>0.23487350000000001</v>
      </c>
      <c r="P4264">
        <v>0.85141219999999995</v>
      </c>
      <c r="Q4264">
        <v>4.626972E-2</v>
      </c>
      <c r="R4264">
        <v>0.52245220000000003</v>
      </c>
      <c r="S4264">
        <v>2.2387389999999998</v>
      </c>
      <c r="T4264">
        <v>-0.25056590000000001</v>
      </c>
      <c r="U4264">
        <v>2.1271360000000001</v>
      </c>
      <c r="V4264">
        <v>-0.30932310000000002</v>
      </c>
      <c r="W4264">
        <v>5.7152420000000002E-2</v>
      </c>
      <c r="X4264">
        <v>0.94923800000000003</v>
      </c>
      <c r="Y4264">
        <v>-0.4983937</v>
      </c>
      <c r="Z4264">
        <v>1.9903690000000001E-3</v>
      </c>
      <c r="AA4264">
        <v>0.86694850000000001</v>
      </c>
      <c r="AB4264">
        <v>33</v>
      </c>
      <c r="AC4264">
        <v>0.57070000000001597</v>
      </c>
      <c r="AD4264">
        <v>-8.8111999999999899E-2</v>
      </c>
      <c r="AE4264">
        <v>0.68884999999999497</v>
      </c>
      <c r="AF4264">
        <v>-0.530359365141714</v>
      </c>
      <c r="AG4264">
        <v>-8.8111999999999899E-2</v>
      </c>
      <c r="AH4264">
        <v>0.70966709925467297</v>
      </c>
      <c r="AI4264">
        <v>95.6796606147944</v>
      </c>
      <c r="AJ4264">
        <v>126.772064614568</v>
      </c>
      <c r="AK4264">
        <v>0.89032138719793996</v>
      </c>
      <c r="AL4264">
        <v>86.723622166268896</v>
      </c>
      <c r="AM4264">
        <v>108.04895769525599</v>
      </c>
      <c r="AN4264">
        <v>0.999999979974733</v>
      </c>
    </row>
    <row r="4265" spans="1:40" x14ac:dyDescent="0.3">
      <c r="A4265" t="str">
        <f>"20200111154003586"</f>
        <v>20200111154003586</v>
      </c>
      <c r="B4265" t="str">
        <f>"1578728403575236"</f>
        <v>1578728403575236</v>
      </c>
      <c r="C4265" t="s">
        <v>40</v>
      </c>
      <c r="D4265">
        <v>5.0409670000000002</v>
      </c>
      <c r="E4265">
        <v>0.41416249999999999</v>
      </c>
      <c r="F4265" t="s">
        <v>41</v>
      </c>
      <c r="G4265">
        <v>-207.4889</v>
      </c>
      <c r="H4265">
        <v>1.046184</v>
      </c>
      <c r="I4265">
        <v>-59.864930000000001</v>
      </c>
      <c r="J4265">
        <v>-207.91470000000001</v>
      </c>
      <c r="K4265">
        <v>1.11521</v>
      </c>
      <c r="L4265">
        <v>-60.407200000000003</v>
      </c>
      <c r="M4265">
        <v>0.97005799999999998</v>
      </c>
      <c r="N4265">
        <v>0</v>
      </c>
      <c r="O4265">
        <v>0.24209510000000001</v>
      </c>
      <c r="P4265">
        <v>0.84622359999999897</v>
      </c>
      <c r="Q4265">
        <v>4.7565490000000002E-2</v>
      </c>
      <c r="R4265">
        <v>0.53070069999999903</v>
      </c>
      <c r="S4265">
        <v>2.2199550000000001</v>
      </c>
      <c r="T4265">
        <v>-0.24821760000000001</v>
      </c>
      <c r="U4265">
        <v>2.1463930000000002</v>
      </c>
      <c r="V4265">
        <v>-0.31155890000000003</v>
      </c>
      <c r="W4265">
        <v>5.8220170000000002E-2</v>
      </c>
      <c r="X4265">
        <v>0.9484416</v>
      </c>
      <c r="Y4265">
        <v>-0.49953140000000001</v>
      </c>
      <c r="Z4265">
        <v>1.4089230000000001E-3</v>
      </c>
      <c r="AA4265">
        <v>0.86629460000000003</v>
      </c>
      <c r="AB4265">
        <v>33</v>
      </c>
      <c r="AC4265">
        <v>0.425800000000009</v>
      </c>
      <c r="AD4265">
        <v>-6.9026000000000004E-2</v>
      </c>
      <c r="AE4265">
        <v>0.54226999999999403</v>
      </c>
      <c r="AF4265">
        <v>-0.418831127428681</v>
      </c>
      <c r="AG4265">
        <v>-6.9026000000000004E-2</v>
      </c>
      <c r="AH4265">
        <v>0.53903161194089499</v>
      </c>
      <c r="AI4265">
        <v>95.774049717660205</v>
      </c>
      <c r="AJ4265">
        <v>127.847443048701</v>
      </c>
      <c r="AK4265">
        <v>0.686104351138207</v>
      </c>
      <c r="AL4265">
        <v>86.662342623421907</v>
      </c>
      <c r="AM4265">
        <v>108.18512470764099</v>
      </c>
      <c r="AN4265">
        <v>1.0000000024872899</v>
      </c>
    </row>
    <row r="4266" spans="1:40" x14ac:dyDescent="0.3">
      <c r="A4266" t="str">
        <f>"20200111154003599"</f>
        <v>20200111154003599</v>
      </c>
      <c r="B4266" t="str">
        <f>"1578728403594755"</f>
        <v>1578728403594755</v>
      </c>
      <c r="C4266" t="s">
        <v>40</v>
      </c>
      <c r="D4266">
        <v>5.0930869999999997</v>
      </c>
      <c r="E4266">
        <v>0.4148384</v>
      </c>
      <c r="F4266" t="s">
        <v>41</v>
      </c>
      <c r="G4266">
        <v>-207.23439999999999</v>
      </c>
      <c r="H4266">
        <v>1.039533</v>
      </c>
      <c r="I4266">
        <v>-59.737479999999998</v>
      </c>
      <c r="J4266">
        <v>-207.74039999999999</v>
      </c>
      <c r="K4266">
        <v>1.1153679999999999</v>
      </c>
      <c r="L4266">
        <v>-60.35754</v>
      </c>
      <c r="M4266">
        <v>0.96835990000000005</v>
      </c>
      <c r="N4266">
        <v>0</v>
      </c>
      <c r="O4266">
        <v>0.24880279999999999</v>
      </c>
      <c r="P4266">
        <v>0.84184439999999905</v>
      </c>
      <c r="Q4266">
        <v>4.771272E-2</v>
      </c>
      <c r="R4266">
        <v>0.5376071</v>
      </c>
      <c r="S4266">
        <v>2.2003629999999998</v>
      </c>
      <c r="T4266">
        <v>-0.2447821</v>
      </c>
      <c r="U4266">
        <v>2.16629</v>
      </c>
      <c r="V4266">
        <v>-0.31278260000000002</v>
      </c>
      <c r="W4266">
        <v>5.8184E-2</v>
      </c>
      <c r="X4266">
        <v>0.94804100000000002</v>
      </c>
      <c r="Y4266">
        <v>-0.50140509999999905</v>
      </c>
      <c r="Z4266">
        <v>9.1138670000000005E-4</v>
      </c>
      <c r="AA4266">
        <v>0.86521209999999904</v>
      </c>
      <c r="AB4266">
        <v>33</v>
      </c>
      <c r="AC4266">
        <v>0.50600000000000001</v>
      </c>
      <c r="AD4266">
        <v>-7.5835000000000097E-2</v>
      </c>
      <c r="AE4266">
        <v>0.62005999999999495</v>
      </c>
      <c r="AF4266">
        <v>-0.47041263575111902</v>
      </c>
      <c r="AG4266">
        <v>-7.5835000000000097E-2</v>
      </c>
      <c r="AH4266">
        <v>0.63864977520260202</v>
      </c>
      <c r="AI4266">
        <v>95.461264268427698</v>
      </c>
      <c r="AJ4266">
        <v>126.374383965628</v>
      </c>
      <c r="AK4266">
        <v>0.79681398736822495</v>
      </c>
      <c r="AL4266">
        <v>86.664418640033603</v>
      </c>
      <c r="AM4266">
        <v>108.259024112139</v>
      </c>
      <c r="AN4266">
        <v>1.0000000351998699</v>
      </c>
    </row>
    <row r="4267" spans="1:40" x14ac:dyDescent="0.3">
      <c r="A4267" t="str">
        <f>"20200111154003612"</f>
        <v>20200111154003612</v>
      </c>
      <c r="B4267" t="str">
        <f>"1578728403605492"</f>
        <v>1578728403605492</v>
      </c>
      <c r="C4267" t="s">
        <v>40</v>
      </c>
      <c r="D4267">
        <v>5.095288</v>
      </c>
      <c r="E4267">
        <v>0.4148384</v>
      </c>
      <c r="F4267" t="s">
        <v>41</v>
      </c>
      <c r="G4267">
        <v>-206.9847</v>
      </c>
      <c r="H4267">
        <v>1.0300990000000001</v>
      </c>
      <c r="I4267">
        <v>-59.604030000000002</v>
      </c>
      <c r="J4267">
        <v>-207.5496</v>
      </c>
      <c r="K4267">
        <v>1.115542</v>
      </c>
      <c r="L4267">
        <v>-60.301699999999997</v>
      </c>
      <c r="M4267">
        <v>0.96641120000000003</v>
      </c>
      <c r="N4267">
        <v>0</v>
      </c>
      <c r="O4267">
        <v>0.25627</v>
      </c>
      <c r="P4267">
        <v>0.837194199999999</v>
      </c>
      <c r="Q4267">
        <v>4.7915060000000002E-2</v>
      </c>
      <c r="R4267">
        <v>0.54480280000000003</v>
      </c>
      <c r="S4267">
        <v>2.185486</v>
      </c>
      <c r="T4267">
        <v>-0.24662629999999999</v>
      </c>
      <c r="U4267">
        <v>2.1799010000000001</v>
      </c>
      <c r="V4267">
        <v>-0.31362259999999997</v>
      </c>
      <c r="W4267">
        <v>5.8200660000000001E-2</v>
      </c>
      <c r="X4267">
        <v>0.9477624</v>
      </c>
      <c r="Y4267">
        <v>-0.50038499999999997</v>
      </c>
      <c r="Z4267">
        <v>2.3215080000000001E-4</v>
      </c>
      <c r="AA4267">
        <v>0.86580299999999999</v>
      </c>
      <c r="AB4267">
        <v>33</v>
      </c>
      <c r="AC4267">
        <v>0.56489999999999396</v>
      </c>
      <c r="AD4267">
        <v>-8.5443000000000102E-2</v>
      </c>
      <c r="AE4267">
        <v>0.69766999999999502</v>
      </c>
      <c r="AF4267">
        <v>-0.52481404246716401</v>
      </c>
      <c r="AG4267">
        <v>-8.5443000000000102E-2</v>
      </c>
      <c r="AH4267">
        <v>0.71834580141008197</v>
      </c>
      <c r="AI4267">
        <v>95.486017853616602</v>
      </c>
      <c r="AJ4267">
        <v>126.151375329546</v>
      </c>
      <c r="AK4267">
        <v>0.89372869251424403</v>
      </c>
      <c r="AL4267">
        <v>86.663462386051606</v>
      </c>
      <c r="AM4267">
        <v>108.30981669106001</v>
      </c>
      <c r="AN4267">
        <v>1.0000000094544701</v>
      </c>
    </row>
    <row r="4268" spans="1:40" x14ac:dyDescent="0.3">
      <c r="A4268" t="str">
        <f>"20200111154003625"</f>
        <v>20200111154003625</v>
      </c>
      <c r="B4268" t="str">
        <f>"1578728403615252"</f>
        <v>1578728403615252</v>
      </c>
      <c r="C4268" t="s">
        <v>40</v>
      </c>
      <c r="D4268">
        <v>5.06494</v>
      </c>
      <c r="E4268">
        <v>0.43195939999999999</v>
      </c>
      <c r="F4268" t="s">
        <v>41</v>
      </c>
      <c r="G4268">
        <v>-206.9427</v>
      </c>
      <c r="H4268">
        <v>1.046775</v>
      </c>
      <c r="I4268">
        <v>-59.686129999999999</v>
      </c>
      <c r="J4268">
        <v>-207.38050000000001</v>
      </c>
      <c r="K4268">
        <v>1.1156999999999999</v>
      </c>
      <c r="L4268">
        <v>-60.250269999999901</v>
      </c>
      <c r="M4268">
        <v>0.96459130000000004</v>
      </c>
      <c r="N4268">
        <v>0</v>
      </c>
      <c r="O4268">
        <v>0.26303910000000003</v>
      </c>
      <c r="P4268">
        <v>0.83284720000000001</v>
      </c>
      <c r="Q4268">
        <v>4.7714260000000001E-2</v>
      </c>
      <c r="R4268">
        <v>0.55144249999999995</v>
      </c>
      <c r="S4268">
        <v>2.1667019999999999</v>
      </c>
      <c r="T4268">
        <v>-0.24555299999999999</v>
      </c>
      <c r="U4268">
        <v>2.198639</v>
      </c>
      <c r="V4268">
        <v>-0.314527099999999</v>
      </c>
      <c r="W4268">
        <v>5.7834589999999998E-2</v>
      </c>
      <c r="X4268">
        <v>0.94748500000000002</v>
      </c>
      <c r="Y4268">
        <v>-0.50177850000000002</v>
      </c>
      <c r="Z4268">
        <v>-2.7926079999999998E-4</v>
      </c>
      <c r="AA4268">
        <v>0.86499609999999905</v>
      </c>
      <c r="AB4268">
        <v>33</v>
      </c>
      <c r="AC4268">
        <v>0.43780000000001001</v>
      </c>
      <c r="AD4268">
        <v>-6.8924999999999903E-2</v>
      </c>
      <c r="AE4268">
        <v>0.56413999999998699</v>
      </c>
      <c r="AF4268">
        <v>-0.425125627024173</v>
      </c>
      <c r="AG4268">
        <v>-6.8924999999999903E-2</v>
      </c>
      <c r="AH4268">
        <v>0.56552702550718703</v>
      </c>
      <c r="AI4268">
        <v>95.564244696355999</v>
      </c>
      <c r="AJ4268">
        <v>126.933412088433</v>
      </c>
      <c r="AK4268">
        <v>0.71084686885200699</v>
      </c>
      <c r="AL4268">
        <v>86.684471946492707</v>
      </c>
      <c r="AM4268">
        <v>108.36410096461699</v>
      </c>
      <c r="AN4268">
        <v>0.99999998082993802</v>
      </c>
    </row>
    <row r="4269" spans="1:40" x14ac:dyDescent="0.3">
      <c r="A4269" t="str">
        <f>"20200111154003637"</f>
        <v>20200111154003637</v>
      </c>
      <c r="B4269" t="str">
        <f>"1578728403634772"</f>
        <v>1578728403634772</v>
      </c>
      <c r="C4269" t="s">
        <v>40</v>
      </c>
      <c r="D4269">
        <v>5.1287789999999998</v>
      </c>
      <c r="E4269">
        <v>0.4324306</v>
      </c>
      <c r="F4269" t="s">
        <v>41</v>
      </c>
      <c r="G4269">
        <v>-206.6764</v>
      </c>
      <c r="H4269">
        <v>1.017844</v>
      </c>
      <c r="I4269">
        <v>-59.586269999999899</v>
      </c>
      <c r="J4269">
        <v>-207.2039</v>
      </c>
      <c r="K4269">
        <v>1.115864</v>
      </c>
      <c r="L4269">
        <v>-60.195650000000001</v>
      </c>
      <c r="M4269">
        <v>0.96261680000000005</v>
      </c>
      <c r="N4269">
        <v>0</v>
      </c>
      <c r="O4269">
        <v>0.2701769</v>
      </c>
      <c r="P4269">
        <v>0.8283507</v>
      </c>
      <c r="Q4269">
        <v>4.785064E-2</v>
      </c>
      <c r="R4269">
        <v>0.55816259999999995</v>
      </c>
      <c r="S4269">
        <v>2.228424</v>
      </c>
      <c r="T4269">
        <v>-0.309695099999999</v>
      </c>
      <c r="U4269">
        <v>2.1014710000000001</v>
      </c>
      <c r="V4269">
        <v>-0.3152025</v>
      </c>
      <c r="W4269">
        <v>5.7806980000000001E-2</v>
      </c>
      <c r="X4269">
        <v>0.94726220000000005</v>
      </c>
      <c r="Y4269">
        <v>-0.46300330000000001</v>
      </c>
      <c r="Z4269">
        <v>-3.4201779999999998E-3</v>
      </c>
      <c r="AA4269">
        <v>0.88634990000000002</v>
      </c>
      <c r="AB4269">
        <v>33</v>
      </c>
      <c r="AC4269">
        <v>0.52750000000000297</v>
      </c>
      <c r="AD4269">
        <v>-9.8019999999999996E-2</v>
      </c>
      <c r="AE4269">
        <v>0.60938000000000803</v>
      </c>
      <c r="AF4269">
        <v>-0.43769036563289299</v>
      </c>
      <c r="AG4269">
        <v>-9.8019999999999996E-2</v>
      </c>
      <c r="AH4269">
        <v>0.66274399361288705</v>
      </c>
      <c r="AI4269">
        <v>97.035583301018406</v>
      </c>
      <c r="AJ4269">
        <v>123.44162926869301</v>
      </c>
      <c r="AK4269">
        <v>0.80025644492113601</v>
      </c>
      <c r="AL4269">
        <v>86.686056495612306</v>
      </c>
      <c r="AM4269">
        <v>108.404917893237</v>
      </c>
      <c r="AN4269">
        <v>0.99999996924590395</v>
      </c>
    </row>
    <row r="4270" spans="1:40" x14ac:dyDescent="0.3">
      <c r="A4270" t="str">
        <f>"20200111154003653"</f>
        <v>20200111154003653</v>
      </c>
      <c r="B4270" t="str">
        <f>"1578728403644914"</f>
        <v>1578728403644914</v>
      </c>
      <c r="C4270" t="s">
        <v>40</v>
      </c>
      <c r="D4270">
        <v>5.0755509999999999</v>
      </c>
      <c r="E4270">
        <v>0.43298560000000003</v>
      </c>
      <c r="F4270" t="s">
        <v>41</v>
      </c>
      <c r="G4270">
        <v>-206.4281</v>
      </c>
      <c r="H4270">
        <v>1.008173</v>
      </c>
      <c r="I4270">
        <v>-59.453690000000002</v>
      </c>
      <c r="J4270">
        <v>-206.9753</v>
      </c>
      <c r="K4270">
        <v>1.1160760000000001</v>
      </c>
      <c r="L4270">
        <v>-60.122619999999998</v>
      </c>
      <c r="M4270">
        <v>0.95992820000000001</v>
      </c>
      <c r="N4270">
        <v>0</v>
      </c>
      <c r="O4270">
        <v>0.27958060000000001</v>
      </c>
      <c r="P4270">
        <v>0.82252569999999903</v>
      </c>
      <c r="Q4270">
        <v>4.7763390000000003E-2</v>
      </c>
      <c r="R4270">
        <v>0.56671850000000001</v>
      </c>
      <c r="S4270">
        <v>2.2131810000000001</v>
      </c>
      <c r="T4270">
        <v>-0.3072278</v>
      </c>
      <c r="U4270">
        <v>2.1166079999999998</v>
      </c>
      <c r="V4270">
        <v>-0.31577909999999998</v>
      </c>
      <c r="W4270">
        <v>5.7522289999999997E-2</v>
      </c>
      <c r="X4270">
        <v>0.94708749999999997</v>
      </c>
      <c r="Y4270">
        <v>-0.46061659999999999</v>
      </c>
      <c r="Z4270">
        <v>-4.5380159999999998E-3</v>
      </c>
      <c r="AA4270">
        <v>0.88758760000000003</v>
      </c>
      <c r="AB4270">
        <v>33</v>
      </c>
      <c r="AC4270">
        <v>0.54720000000000302</v>
      </c>
      <c r="AD4270">
        <v>-0.107903</v>
      </c>
      <c r="AE4270">
        <v>0.66892999999999603</v>
      </c>
      <c r="AF4270">
        <v>-0.48172005761012199</v>
      </c>
      <c r="AG4270">
        <v>-0.107903</v>
      </c>
      <c r="AH4270">
        <v>0.70149002316994102</v>
      </c>
      <c r="AI4270">
        <v>97.226576667928896</v>
      </c>
      <c r="AJ4270">
        <v>124.477766910932</v>
      </c>
      <c r="AK4270">
        <v>0.85777941448828399</v>
      </c>
      <c r="AL4270">
        <v>86.702395298348605</v>
      </c>
      <c r="AM4270">
        <v>108.439482334831</v>
      </c>
      <c r="AN4270">
        <v>0.99999999324995104</v>
      </c>
    </row>
    <row r="4271" spans="1:40" x14ac:dyDescent="0.3">
      <c r="A4271" t="str">
        <f>"20200111154003667"</f>
        <v>20200111154003667</v>
      </c>
      <c r="B4271" t="str">
        <f>"1578728403655647"</f>
        <v>1578728403655647</v>
      </c>
      <c r="C4271" t="s">
        <v>40</v>
      </c>
      <c r="D4271">
        <v>5.1100659999999998</v>
      </c>
      <c r="E4271">
        <v>0.4331779</v>
      </c>
      <c r="F4271" t="s">
        <v>66</v>
      </c>
      <c r="G4271">
        <v>-198.99279999999999</v>
      </c>
      <c r="H4271" s="1">
        <v>-9.9998659999999992E-6</v>
      </c>
      <c r="I4271">
        <v>-52.345370000000003</v>
      </c>
      <c r="J4271">
        <v>-206.81049999999999</v>
      </c>
      <c r="K4271">
        <v>1.116225</v>
      </c>
      <c r="L4271">
        <v>-60.067659999999997</v>
      </c>
      <c r="M4271">
        <v>0.95787849999999997</v>
      </c>
      <c r="N4271">
        <v>0</v>
      </c>
      <c r="O4271">
        <v>0.28652549999999999</v>
      </c>
      <c r="P4271">
        <v>0.81841229999999998</v>
      </c>
      <c r="Q4271">
        <v>4.7630779999999998E-2</v>
      </c>
      <c r="R4271">
        <v>0.57265410000000005</v>
      </c>
      <c r="S4271">
        <v>2.192993</v>
      </c>
      <c r="T4271">
        <v>-0.30661569999999999</v>
      </c>
      <c r="U4271">
        <v>2.1365970000000001</v>
      </c>
      <c r="V4271">
        <v>-0.31578499999999998</v>
      </c>
      <c r="W4271">
        <v>5.7270000000000001E-2</v>
      </c>
      <c r="X4271">
        <v>0.94710079999999996</v>
      </c>
      <c r="Y4271">
        <v>-0.46244629999999998</v>
      </c>
      <c r="Z4271">
        <v>-5.169196E-3</v>
      </c>
      <c r="AA4271">
        <v>0.88663230000000004</v>
      </c>
      <c r="AB4271">
        <v>33</v>
      </c>
      <c r="AC4271">
        <v>7.8177000000000003</v>
      </c>
      <c r="AD4271">
        <v>-1.1162349998659999</v>
      </c>
      <c r="AE4271">
        <v>7.7222899999999903</v>
      </c>
      <c r="AF4271">
        <v>-5.1053243038697804</v>
      </c>
      <c r="AG4271">
        <v>-1.1162349998659999</v>
      </c>
      <c r="AH4271">
        <v>9.6037464250208195</v>
      </c>
      <c r="AI4271">
        <v>95.859693091072998</v>
      </c>
      <c r="AJ4271">
        <v>117.99498476464601</v>
      </c>
      <c r="AK4271">
        <v>10.933538412550099</v>
      </c>
      <c r="AL4271">
        <v>86.716874250574506</v>
      </c>
      <c r="AM4271">
        <v>108.43956212159701</v>
      </c>
      <c r="AN4271">
        <v>0.999999972242819</v>
      </c>
    </row>
    <row r="4272" spans="1:40" x14ac:dyDescent="0.3">
      <c r="A4272" t="str">
        <f>"20200111154003681"</f>
        <v>20200111154003681</v>
      </c>
      <c r="B4272" t="str">
        <f>"1578728403675167"</f>
        <v>1578728403675167</v>
      </c>
      <c r="C4272" t="s">
        <v>40</v>
      </c>
      <c r="D4272">
        <v>5.1154830000000002</v>
      </c>
      <c r="E4272">
        <v>0.43376049999999999</v>
      </c>
      <c r="F4272" t="s">
        <v>41</v>
      </c>
      <c r="G4272">
        <v>-206.13650000000001</v>
      </c>
      <c r="H4272">
        <v>1.021134</v>
      </c>
      <c r="I4272">
        <v>-59.401919999999997</v>
      </c>
      <c r="J4272">
        <v>-206.62309999999999</v>
      </c>
      <c r="K4272">
        <v>1.1163920000000001</v>
      </c>
      <c r="L4272">
        <v>-60.004060000000003</v>
      </c>
      <c r="M4272">
        <v>0.95545899999999995</v>
      </c>
      <c r="N4272">
        <v>0</v>
      </c>
      <c r="O4272">
        <v>0.29449379999999997</v>
      </c>
      <c r="P4272">
        <v>0.81347709999999995</v>
      </c>
      <c r="Q4272">
        <v>4.7913329999999997E-2</v>
      </c>
      <c r="R4272">
        <v>0.57962000000000002</v>
      </c>
      <c r="S4272">
        <v>2.1780849999999998</v>
      </c>
      <c r="T4272">
        <v>-0.30729000000000001</v>
      </c>
      <c r="U4272">
        <v>2.1515200000000001</v>
      </c>
      <c r="V4272">
        <v>-0.31601679999999999</v>
      </c>
      <c r="W4272">
        <v>5.741139E-2</v>
      </c>
      <c r="X4272">
        <v>0.94701489999999999</v>
      </c>
      <c r="Y4272">
        <v>-0.46120859999999902</v>
      </c>
      <c r="Z4272">
        <v>-6.1088019999999896E-3</v>
      </c>
      <c r="AA4272">
        <v>0.88727069999999997</v>
      </c>
      <c r="AB4272">
        <v>33</v>
      </c>
      <c r="AC4272">
        <v>0.48659999999998099</v>
      </c>
      <c r="AD4272">
        <v>-9.5257999999999995E-2</v>
      </c>
      <c r="AE4272">
        <v>0.60213999999999801</v>
      </c>
      <c r="AF4272">
        <v>-0.425655322253087</v>
      </c>
      <c r="AG4272">
        <v>-9.5257999999999995E-2</v>
      </c>
      <c r="AH4272">
        <v>0.63279182070795403</v>
      </c>
      <c r="AI4272">
        <v>97.119761926273398</v>
      </c>
      <c r="AJ4272">
        <v>123.927242044434</v>
      </c>
      <c r="AK4272">
        <v>0.76855840915396001</v>
      </c>
      <c r="AL4272">
        <v>86.708759786465293</v>
      </c>
      <c r="AM4272">
        <v>108.453741544431</v>
      </c>
      <c r="AN4272">
        <v>0.99999995320298896</v>
      </c>
    </row>
    <row r="4273" spans="1:40" x14ac:dyDescent="0.3">
      <c r="A4273" t="str">
        <f>"20200111154003692"</f>
        <v>20200111154003692</v>
      </c>
      <c r="B4273" t="str">
        <f>"1578728403684927"</f>
        <v>1578728403684927</v>
      </c>
      <c r="C4273" t="s">
        <v>40</v>
      </c>
      <c r="D4273">
        <v>5.2346830000000004</v>
      </c>
      <c r="E4273">
        <v>0.43376049999999999</v>
      </c>
      <c r="F4273" t="s">
        <v>41</v>
      </c>
      <c r="G4273">
        <v>-205.89</v>
      </c>
      <c r="H4273">
        <v>1.0122880000000001</v>
      </c>
      <c r="I4273">
        <v>-59.269680000000001</v>
      </c>
      <c r="J4273">
        <v>-206.44220000000001</v>
      </c>
      <c r="K4273">
        <v>1.116549</v>
      </c>
      <c r="L4273">
        <v>-59.941160000000004</v>
      </c>
      <c r="M4273">
        <v>0.95302299999999995</v>
      </c>
      <c r="N4273">
        <v>0</v>
      </c>
      <c r="O4273">
        <v>0.30228490000000002</v>
      </c>
      <c r="P4273">
        <v>0.80870819999999999</v>
      </c>
      <c r="Q4273">
        <v>4.797328E-2</v>
      </c>
      <c r="R4273">
        <v>0.58625050000000001</v>
      </c>
      <c r="S4273">
        <v>2.1623079999999999</v>
      </c>
      <c r="T4273">
        <v>-0.30709449999999999</v>
      </c>
      <c r="U4273">
        <v>2.1664430000000001</v>
      </c>
      <c r="V4273">
        <v>-0.31604959999999999</v>
      </c>
      <c r="W4273">
        <v>5.7346170000000002E-2</v>
      </c>
      <c r="X4273">
        <v>0.94700799999999996</v>
      </c>
      <c r="Y4273">
        <v>-0.4602967</v>
      </c>
      <c r="Z4273">
        <v>-6.9974939999999999E-3</v>
      </c>
      <c r="AA4273">
        <v>0.88773760000000002</v>
      </c>
      <c r="AB4273">
        <v>33</v>
      </c>
      <c r="AC4273">
        <v>0.552200000000027</v>
      </c>
      <c r="AD4273">
        <v>-0.10426100000000001</v>
      </c>
      <c r="AE4273">
        <v>0.67147999999998798</v>
      </c>
      <c r="AF4273">
        <v>-0.46639407041213898</v>
      </c>
      <c r="AG4273">
        <v>-0.10426100000000001</v>
      </c>
      <c r="AH4273">
        <v>0.719031486774797</v>
      </c>
      <c r="AI4273">
        <v>96.936031657202307</v>
      </c>
      <c r="AJ4273">
        <v>122.96913851129401</v>
      </c>
      <c r="AK4273">
        <v>0.86336554483612504</v>
      </c>
      <c r="AL4273">
        <v>86.712503077826099</v>
      </c>
      <c r="AM4273">
        <v>108.455652496863</v>
      </c>
      <c r="AN4273">
        <v>1.0000000424689099</v>
      </c>
    </row>
    <row r="4274" spans="1:40" x14ac:dyDescent="0.3">
      <c r="A4274" t="str">
        <f>"20200111154003705"</f>
        <v>20200111154003705</v>
      </c>
      <c r="B4274" t="str">
        <f>"1578728403695663"</f>
        <v>1578728403695663</v>
      </c>
      <c r="C4274" t="s">
        <v>40</v>
      </c>
      <c r="D4274">
        <v>5.0334149999999998</v>
      </c>
      <c r="E4274">
        <v>0.4332046</v>
      </c>
      <c r="F4274" t="s">
        <v>41</v>
      </c>
      <c r="G4274">
        <v>-205.77799999999999</v>
      </c>
      <c r="H4274">
        <v>1.0216430000000001</v>
      </c>
      <c r="I4274">
        <v>-59.264650000000003</v>
      </c>
      <c r="J4274">
        <v>-206.28380000000001</v>
      </c>
      <c r="K4274">
        <v>1.1166799999999999</v>
      </c>
      <c r="L4274">
        <v>-59.883940000000003</v>
      </c>
      <c r="M4274">
        <v>0.95078640000000003</v>
      </c>
      <c r="N4274">
        <v>0</v>
      </c>
      <c r="O4274">
        <v>0.30924800000000002</v>
      </c>
      <c r="P4274">
        <v>0.804361199999999</v>
      </c>
      <c r="Q4274">
        <v>4.8467440000000001E-2</v>
      </c>
      <c r="R4274">
        <v>0.59216029999999997</v>
      </c>
      <c r="S4274">
        <v>2.1442869999999998</v>
      </c>
      <c r="T4274">
        <v>-0.3064249</v>
      </c>
      <c r="U4274">
        <v>2.184418</v>
      </c>
      <c r="V4274">
        <v>-0.31610199999999999</v>
      </c>
      <c r="W4274">
        <v>5.7740329999999999E-2</v>
      </c>
      <c r="X4274">
        <v>0.94696650000000004</v>
      </c>
      <c r="Y4274">
        <v>-0.46121489999999998</v>
      </c>
      <c r="Z4274">
        <v>-7.6798350000000003E-3</v>
      </c>
      <c r="AA4274">
        <v>0.88725529999999997</v>
      </c>
      <c r="AB4274">
        <v>33</v>
      </c>
      <c r="AC4274">
        <v>0.50580000000002201</v>
      </c>
      <c r="AD4274">
        <v>-9.5036999999999802E-2</v>
      </c>
      <c r="AE4274">
        <v>0.61928999999999901</v>
      </c>
      <c r="AF4274">
        <v>-0.426450690795107</v>
      </c>
      <c r="AG4274">
        <v>-9.5036999999999802E-2</v>
      </c>
      <c r="AH4274">
        <v>0.66317809552103701</v>
      </c>
      <c r="AI4274">
        <v>96.873008499028401</v>
      </c>
      <c r="AJ4274">
        <v>122.742678565665</v>
      </c>
      <c r="AK4274">
        <v>0.79416459844766096</v>
      </c>
      <c r="AL4274">
        <v>86.689881704468604</v>
      </c>
      <c r="AM4274">
        <v>108.45925913511201</v>
      </c>
      <c r="AN4274">
        <v>0.99999998611737895</v>
      </c>
    </row>
    <row r="4275" spans="1:40" x14ac:dyDescent="0.3">
      <c r="A4275" t="str">
        <f>"20200111154003722"</f>
        <v>20200111154003722</v>
      </c>
      <c r="B4275" t="str">
        <f>"1578728403715182"</f>
        <v>1578728403715182</v>
      </c>
      <c r="C4275" t="s">
        <v>40</v>
      </c>
      <c r="D4275">
        <v>4.9664799999999998</v>
      </c>
      <c r="E4275">
        <v>0.39816010000000002</v>
      </c>
      <c r="F4275" t="s">
        <v>41</v>
      </c>
      <c r="G4275">
        <v>-205.61429999999999</v>
      </c>
      <c r="H4275">
        <v>1.020743</v>
      </c>
      <c r="I4275">
        <v>-59.189619999999998</v>
      </c>
      <c r="J4275">
        <v>-206.0598</v>
      </c>
      <c r="K4275">
        <v>1.1168629999999999</v>
      </c>
      <c r="L4275">
        <v>-59.80124</v>
      </c>
      <c r="M4275">
        <v>0.94749309999999998</v>
      </c>
      <c r="N4275">
        <v>0</v>
      </c>
      <c r="O4275">
        <v>0.31919619999999999</v>
      </c>
      <c r="P4275">
        <v>0.79841519999999899</v>
      </c>
      <c r="Q4275">
        <v>4.9119679999999999E-2</v>
      </c>
      <c r="R4275">
        <v>0.60010050000000004</v>
      </c>
      <c r="S4275">
        <v>2.1254430000000002</v>
      </c>
      <c r="T4275">
        <v>-0.30454779999999998</v>
      </c>
      <c r="U4275">
        <v>2.2040099999999998</v>
      </c>
      <c r="V4275">
        <v>-0.31561349999999999</v>
      </c>
      <c r="W4275">
        <v>5.8276359999999999E-2</v>
      </c>
      <c r="X4275">
        <v>0.94709659999999996</v>
      </c>
      <c r="Y4275">
        <v>-0.45984920000000001</v>
      </c>
      <c r="Z4275">
        <v>-8.7742810000000001E-3</v>
      </c>
      <c r="AA4275">
        <v>0.88795360000000001</v>
      </c>
      <c r="AB4275">
        <v>33</v>
      </c>
      <c r="AC4275">
        <v>0.445500000000009</v>
      </c>
      <c r="AD4275">
        <v>-9.61199999999999E-2</v>
      </c>
      <c r="AE4275">
        <v>0.61162000000000205</v>
      </c>
      <c r="AF4275">
        <v>-0.43043901597578998</v>
      </c>
      <c r="AG4275">
        <v>-9.61199999999999E-2</v>
      </c>
      <c r="AH4275">
        <v>0.60764401575195304</v>
      </c>
      <c r="AI4275">
        <v>97.355078452671904</v>
      </c>
      <c r="AJ4275">
        <v>125.31275202998999</v>
      </c>
      <c r="AK4275">
        <v>0.75083157282666702</v>
      </c>
      <c r="AL4275">
        <v>86.659117665081197</v>
      </c>
      <c r="AM4275">
        <v>108.430300771427</v>
      </c>
      <c r="AN4275">
        <v>0.99999999262432904</v>
      </c>
    </row>
    <row r="4276" spans="1:40" x14ac:dyDescent="0.3">
      <c r="A4276" t="str">
        <f>"20200111154003734"</f>
        <v>20200111154003734</v>
      </c>
      <c r="B4276" t="str">
        <f>"1578728403724943"</f>
        <v>1578728403724943</v>
      </c>
      <c r="C4276" t="s">
        <v>40</v>
      </c>
      <c r="D4276">
        <v>5.1079889999999999</v>
      </c>
      <c r="E4276">
        <v>0.39062960000000002</v>
      </c>
      <c r="F4276" t="s">
        <v>41</v>
      </c>
      <c r="G4276">
        <v>-205.4145</v>
      </c>
      <c r="H4276">
        <v>1.0375219999999901</v>
      </c>
      <c r="I4276">
        <v>-58.982880000000002</v>
      </c>
      <c r="J4276">
        <v>-205.88460000000001</v>
      </c>
      <c r="K4276">
        <v>1.1169929999999999</v>
      </c>
      <c r="L4276">
        <v>-59.734990000000003</v>
      </c>
      <c r="M4276">
        <v>0.94480419999999998</v>
      </c>
      <c r="N4276">
        <v>0</v>
      </c>
      <c r="O4276">
        <v>0.327069</v>
      </c>
      <c r="P4276">
        <v>0.79364369999999995</v>
      </c>
      <c r="Q4276">
        <v>4.9205550000000001E-2</v>
      </c>
      <c r="R4276">
        <v>0.60638959999999997</v>
      </c>
      <c r="S4276">
        <v>1.931046</v>
      </c>
      <c r="T4276">
        <v>-0.23743600000000001</v>
      </c>
      <c r="U4276">
        <v>2.4494319999999998</v>
      </c>
      <c r="V4276">
        <v>-0.31523770000000001</v>
      </c>
      <c r="W4276">
        <v>5.8277309999999999E-2</v>
      </c>
      <c r="X4276">
        <v>0.94722169999999895</v>
      </c>
      <c r="Y4276">
        <v>-0.53898140000000005</v>
      </c>
      <c r="Z4276">
        <v>-3.8518160000000001E-3</v>
      </c>
      <c r="AA4276">
        <v>0.84230890000000003</v>
      </c>
      <c r="AB4276">
        <v>33</v>
      </c>
      <c r="AC4276">
        <v>0.47010000000000202</v>
      </c>
      <c r="AD4276">
        <v>-7.9471000000000194E-2</v>
      </c>
      <c r="AE4276">
        <v>0.75211000000000106</v>
      </c>
      <c r="AF4276">
        <v>-0.55250908543343402</v>
      </c>
      <c r="AG4276">
        <v>-7.9471000000000194E-2</v>
      </c>
      <c r="AH4276">
        <v>0.68477470313022903</v>
      </c>
      <c r="AI4276">
        <v>95.160987093033498</v>
      </c>
      <c r="AJ4276">
        <v>128.898254438262</v>
      </c>
      <c r="AK4276">
        <v>0.88345816164353996</v>
      </c>
      <c r="AL4276">
        <v>86.659063168290601</v>
      </c>
      <c r="AM4276">
        <v>108.407568693767</v>
      </c>
      <c r="AN4276">
        <v>1.0000000006565</v>
      </c>
    </row>
    <row r="4277" spans="1:40" x14ac:dyDescent="0.3">
      <c r="A4277" t="str">
        <f>"20200111154003747"</f>
        <v>20200111154003747</v>
      </c>
      <c r="B4277" t="str">
        <f>"1578728403735679"</f>
        <v>1578728403735679</v>
      </c>
      <c r="C4277" t="s">
        <v>40</v>
      </c>
      <c r="D4277">
        <v>5.1266860000000003</v>
      </c>
      <c r="E4277">
        <v>0.38745049999999998</v>
      </c>
      <c r="F4277" t="s">
        <v>66</v>
      </c>
      <c r="G4277">
        <v>-197.0249</v>
      </c>
      <c r="H4277" s="1">
        <v>-3.8424419999999997E-6</v>
      </c>
      <c r="I4277">
        <v>-47.864339999999999</v>
      </c>
      <c r="J4277">
        <v>-205.7253</v>
      </c>
      <c r="K4277">
        <v>1.117105</v>
      </c>
      <c r="L4277">
        <v>-59.672420000000002</v>
      </c>
      <c r="M4277">
        <v>0.94224859999999999</v>
      </c>
      <c r="N4277">
        <v>0</v>
      </c>
      <c r="O4277">
        <v>0.3343602</v>
      </c>
      <c r="P4277">
        <v>0.78922740000000002</v>
      </c>
      <c r="Q4277">
        <v>4.9652750000000002E-2</v>
      </c>
      <c r="R4277">
        <v>0.61209049999999998</v>
      </c>
      <c r="S4277">
        <v>1.8751070000000001</v>
      </c>
      <c r="T4277">
        <v>-0.23640649999999999</v>
      </c>
      <c r="U4277">
        <v>2.5123600000000001</v>
      </c>
      <c r="V4277">
        <v>-0.31477840000000001</v>
      </c>
      <c r="W4277">
        <v>5.8662400000000003E-2</v>
      </c>
      <c r="X4277">
        <v>0.94735069999999999</v>
      </c>
      <c r="Y4277">
        <v>-0.55463390000000001</v>
      </c>
      <c r="Z4277">
        <v>-3.6991110000000002E-3</v>
      </c>
      <c r="AA4277">
        <v>0.83208629999999995</v>
      </c>
      <c r="AB4277">
        <v>33</v>
      </c>
      <c r="AC4277">
        <v>8.7004000000000001</v>
      </c>
      <c r="AD4277">
        <v>-1.1171088424419999</v>
      </c>
      <c r="AE4277">
        <v>11.808079999999901</v>
      </c>
      <c r="AF4277">
        <v>-8.1712031192335193</v>
      </c>
      <c r="AG4277">
        <v>-1.1171088424419999</v>
      </c>
      <c r="AH4277">
        <v>12.078279649281001</v>
      </c>
      <c r="AI4277">
        <v>94.380609831735597</v>
      </c>
      <c r="AJ4277">
        <v>124.079154989952</v>
      </c>
      <c r="AK4277">
        <v>14.625366042184</v>
      </c>
      <c r="AL4277">
        <v>86.636961434737103</v>
      </c>
      <c r="AM4277">
        <v>108.380218177557</v>
      </c>
      <c r="AN4277">
        <v>1.0000000335354</v>
      </c>
    </row>
    <row r="4278" spans="1:40" x14ac:dyDescent="0.3">
      <c r="A4278" t="str">
        <f>"20200111154003761"</f>
        <v>20200111154003761</v>
      </c>
      <c r="B4278" t="str">
        <f>"1578728403755166"</f>
        <v>1578728403755166</v>
      </c>
      <c r="C4278" t="s">
        <v>40</v>
      </c>
      <c r="D4278">
        <v>5.0469650000000001</v>
      </c>
      <c r="E4278">
        <v>0.3842158</v>
      </c>
      <c r="F4278" t="s">
        <v>41</v>
      </c>
      <c r="G4278">
        <v>-205.1534</v>
      </c>
      <c r="H4278">
        <v>1.043944</v>
      </c>
      <c r="I4278">
        <v>-58.881599999999999</v>
      </c>
      <c r="J4278">
        <v>-205.5402</v>
      </c>
      <c r="K4278">
        <v>1.1172260000000001</v>
      </c>
      <c r="L4278">
        <v>-59.598329999999997</v>
      </c>
      <c r="M4278">
        <v>0.93917609999999996</v>
      </c>
      <c r="N4278">
        <v>0</v>
      </c>
      <c r="O4278">
        <v>0.34289550000000002</v>
      </c>
      <c r="P4278">
        <v>0.78393669999999904</v>
      </c>
      <c r="Q4278">
        <v>5.0245430000000001E-2</v>
      </c>
      <c r="R4278">
        <v>0.61880419999999903</v>
      </c>
      <c r="S4278">
        <v>1.841461</v>
      </c>
      <c r="T4278">
        <v>-0.23554449999999999</v>
      </c>
      <c r="U4278">
        <v>2.5459589999999999</v>
      </c>
      <c r="V4278">
        <v>-0.31431599999999998</v>
      </c>
      <c r="W4278">
        <v>5.9185050000000003E-2</v>
      </c>
      <c r="X4278">
        <v>0.94747170000000003</v>
      </c>
      <c r="Y4278">
        <v>-0.55955149999999998</v>
      </c>
      <c r="Z4278">
        <v>-4.1585040000000004E-3</v>
      </c>
      <c r="AA4278">
        <v>0.82878510000000005</v>
      </c>
      <c r="AB4278">
        <v>33</v>
      </c>
      <c r="AC4278">
        <v>0.38679999999999298</v>
      </c>
      <c r="AD4278">
        <v>-7.3282E-2</v>
      </c>
      <c r="AE4278">
        <v>0.71673000000000497</v>
      </c>
      <c r="AF4278">
        <v>-0.53626236321631504</v>
      </c>
      <c r="AG4278">
        <v>-7.3282E-2</v>
      </c>
      <c r="AH4278">
        <v>0.604257683030757</v>
      </c>
      <c r="AI4278">
        <v>95.182922694855904</v>
      </c>
      <c r="AJ4278">
        <v>131.58818883893099</v>
      </c>
      <c r="AK4278">
        <v>0.81121817116485095</v>
      </c>
      <c r="AL4278">
        <v>86.606963629294398</v>
      </c>
      <c r="AM4278">
        <v>108.35284213339</v>
      </c>
      <c r="AN4278">
        <v>1.00000002015019</v>
      </c>
    </row>
    <row r="4279" spans="1:40" x14ac:dyDescent="0.3">
      <c r="A4279" t="str">
        <f>"20200111154003780"</f>
        <v>20200111154003780</v>
      </c>
      <c r="B4279" t="str">
        <f>"1578728403775662"</f>
        <v>1578728403775662</v>
      </c>
      <c r="C4279" t="s">
        <v>40</v>
      </c>
      <c r="D4279">
        <v>5.0737399999999999</v>
      </c>
      <c r="E4279">
        <v>0.38389010000000001</v>
      </c>
      <c r="F4279" t="s">
        <v>41</v>
      </c>
      <c r="G4279">
        <v>-204.929</v>
      </c>
      <c r="H4279">
        <v>1.03817</v>
      </c>
      <c r="I4279">
        <v>-58.723460000000003</v>
      </c>
      <c r="J4279">
        <v>-205.30029999999999</v>
      </c>
      <c r="K4279">
        <v>1.11737999999999</v>
      </c>
      <c r="L4279">
        <v>-59.49933</v>
      </c>
      <c r="M4279">
        <v>0.93501000000000001</v>
      </c>
      <c r="N4279">
        <v>0</v>
      </c>
      <c r="O4279">
        <v>0.3540973</v>
      </c>
      <c r="P4279">
        <v>0.77690239999999999</v>
      </c>
      <c r="Q4279">
        <v>5.1179790000000003E-2</v>
      </c>
      <c r="R4279">
        <v>0.62753749999999997</v>
      </c>
      <c r="S4279">
        <v>1.8036799999999999</v>
      </c>
      <c r="T4279">
        <v>-0.2332864</v>
      </c>
      <c r="U4279">
        <v>2.5819700000000001</v>
      </c>
      <c r="V4279">
        <v>-0.313662</v>
      </c>
      <c r="W4279">
        <v>6.0042310000000002E-2</v>
      </c>
      <c r="X4279">
        <v>0.94763450000000005</v>
      </c>
      <c r="Y4279">
        <v>-0.56327869999999902</v>
      </c>
      <c r="Z4279">
        <v>-4.8615300000000002E-3</v>
      </c>
      <c r="AA4279">
        <v>0.82625269999999995</v>
      </c>
      <c r="AB4279">
        <v>32</v>
      </c>
      <c r="AC4279">
        <v>0.37129999999999003</v>
      </c>
      <c r="AD4279">
        <v>-7.9209999999999697E-2</v>
      </c>
      <c r="AE4279">
        <v>0.77587000000001105</v>
      </c>
      <c r="AF4279">
        <v>-0.58908445939060505</v>
      </c>
      <c r="AG4279">
        <v>-7.9209999999999697E-2</v>
      </c>
      <c r="AH4279">
        <v>0.616787515099955</v>
      </c>
      <c r="AI4279">
        <v>95.305885981679396</v>
      </c>
      <c r="AJ4279">
        <v>133.68394900045999</v>
      </c>
      <c r="AK4279">
        <v>0.85657548597814803</v>
      </c>
      <c r="AL4279">
        <v>86.557758798547098</v>
      </c>
      <c r="AM4279">
        <v>108.314270057729</v>
      </c>
      <c r="AN4279">
        <v>1.00000003741219</v>
      </c>
    </row>
    <row r="4280" spans="1:40" x14ac:dyDescent="0.3">
      <c r="A4280" t="str">
        <f>"20200111154003794"</f>
        <v>20200111154003794</v>
      </c>
      <c r="B4280" t="str">
        <f>"1578728403785422"</f>
        <v>1578728403785422</v>
      </c>
      <c r="C4280" t="s">
        <v>40</v>
      </c>
      <c r="D4280">
        <v>5.0375379999999996</v>
      </c>
      <c r="E4280">
        <v>0.38418839999999999</v>
      </c>
      <c r="F4280" t="s">
        <v>66</v>
      </c>
      <c r="G4280">
        <v>-196.94280000000001</v>
      </c>
      <c r="H4280" s="1">
        <v>-4.1458619999999998E-6</v>
      </c>
      <c r="I4280">
        <v>-47.232349999999997</v>
      </c>
      <c r="J4280">
        <v>-205.1061</v>
      </c>
      <c r="K4280">
        <v>1.117491</v>
      </c>
      <c r="L4280">
        <v>-59.416840000000001</v>
      </c>
      <c r="M4280">
        <v>0.93148569999999997</v>
      </c>
      <c r="N4280">
        <v>0</v>
      </c>
      <c r="O4280">
        <v>0.3632668</v>
      </c>
      <c r="P4280">
        <v>0.77082119999999998</v>
      </c>
      <c r="Q4280">
        <v>5.153742E-2</v>
      </c>
      <c r="R4280">
        <v>0.63496350000000001</v>
      </c>
      <c r="S4280">
        <v>1.7739560000000001</v>
      </c>
      <c r="T4280">
        <v>-0.2371733</v>
      </c>
      <c r="U4280">
        <v>2.6037599999999999</v>
      </c>
      <c r="V4280">
        <v>-0.31347979999999998</v>
      </c>
      <c r="W4280">
        <v>6.0333129999999999E-2</v>
      </c>
      <c r="X4280">
        <v>0.94767630000000003</v>
      </c>
      <c r="Y4280">
        <v>-0.56482259999999995</v>
      </c>
      <c r="Z4280">
        <v>-5.6400169999999998E-3</v>
      </c>
      <c r="AA4280">
        <v>0.82519310000000001</v>
      </c>
      <c r="AB4280">
        <v>32</v>
      </c>
      <c r="AC4280">
        <v>8.1632999999999907</v>
      </c>
      <c r="AD4280">
        <v>-1.1174951458619999</v>
      </c>
      <c r="AE4280">
        <v>12.18449</v>
      </c>
      <c r="AF4280">
        <v>-8.3373770344193296</v>
      </c>
      <c r="AG4280">
        <v>-1.1174951458619999</v>
      </c>
      <c r="AH4280">
        <v>11.963001285825101</v>
      </c>
      <c r="AI4280">
        <v>94.382407655304803</v>
      </c>
      <c r="AJ4280">
        <v>124.873805692478</v>
      </c>
      <c r="AK4280">
        <v>14.624433355851499</v>
      </c>
      <c r="AL4280">
        <v>86.541065719050593</v>
      </c>
      <c r="AM4280">
        <v>108.303587518502</v>
      </c>
      <c r="AN4280">
        <v>1.00000002058266</v>
      </c>
    </row>
    <row r="4281" spans="1:40" x14ac:dyDescent="0.3">
      <c r="A4281" t="str">
        <f>"20200111154003811"</f>
        <v>20200111154003811</v>
      </c>
      <c r="B4281" t="str">
        <f>"1578728403804941"</f>
        <v>1578728403804941</v>
      </c>
      <c r="C4281" t="s">
        <v>40</v>
      </c>
      <c r="D4281">
        <v>5.0239760000000002</v>
      </c>
      <c r="E4281">
        <v>0.38478990000000002</v>
      </c>
      <c r="F4281" t="s">
        <v>41</v>
      </c>
      <c r="G4281">
        <v>-204.6223</v>
      </c>
      <c r="H4281">
        <v>1.0516239999999999</v>
      </c>
      <c r="I4281">
        <v>-58.693170000000002</v>
      </c>
      <c r="J4281">
        <v>-204.88239999999999</v>
      </c>
      <c r="K4281">
        <v>1.117605</v>
      </c>
      <c r="L4281">
        <v>-59.318269999999998</v>
      </c>
      <c r="M4281">
        <v>0.92723580000000005</v>
      </c>
      <c r="N4281">
        <v>0</v>
      </c>
      <c r="O4281">
        <v>0.37398110000000001</v>
      </c>
      <c r="P4281">
        <v>0.76339199999999996</v>
      </c>
      <c r="Q4281">
        <v>5.210476E-2</v>
      </c>
      <c r="R4281">
        <v>0.64383049999999997</v>
      </c>
      <c r="S4281">
        <v>1.750793</v>
      </c>
      <c r="T4281">
        <v>-0.23834089999999999</v>
      </c>
      <c r="U4281">
        <v>2.618652</v>
      </c>
      <c r="V4281">
        <v>-0.31355630000000001</v>
      </c>
      <c r="W4281">
        <v>6.0825280000000002E-2</v>
      </c>
      <c r="X4281">
        <v>0.94761949999999995</v>
      </c>
      <c r="Y4281">
        <v>-0.56254559999999998</v>
      </c>
      <c r="Z4281">
        <v>-6.6835150000000001E-3</v>
      </c>
      <c r="AA4281">
        <v>0.82673929999999995</v>
      </c>
      <c r="AB4281">
        <v>32</v>
      </c>
      <c r="AC4281">
        <v>0.260099999999994</v>
      </c>
      <c r="AD4281">
        <v>-6.5980999999999998E-2</v>
      </c>
      <c r="AE4281">
        <v>0.62510000000000299</v>
      </c>
      <c r="AF4281">
        <v>-0.47789372589559997</v>
      </c>
      <c r="AG4281">
        <v>-6.5980999999999998E-2</v>
      </c>
      <c r="AH4281">
        <v>0.47056891794853101</v>
      </c>
      <c r="AI4281">
        <v>95.618599794353798</v>
      </c>
      <c r="AJ4281">
        <v>135.44247629635899</v>
      </c>
      <c r="AK4281">
        <v>0.67392211133826896</v>
      </c>
      <c r="AL4281">
        <v>86.512815618807707</v>
      </c>
      <c r="AM4281">
        <v>108.308780550808</v>
      </c>
      <c r="AN4281">
        <v>0.99999999236850901</v>
      </c>
    </row>
    <row r="4282" spans="1:40" x14ac:dyDescent="0.3">
      <c r="A4282" t="str">
        <f>"20200111154003825"</f>
        <v>20200111154003825</v>
      </c>
      <c r="B4282" t="str">
        <f>"1578728403815677"</f>
        <v>1578728403815677</v>
      </c>
      <c r="C4282" t="s">
        <v>40</v>
      </c>
      <c r="D4282">
        <v>4.9928819999999998</v>
      </c>
      <c r="E4282">
        <v>0.38546999999999998</v>
      </c>
      <c r="F4282" t="s">
        <v>41</v>
      </c>
      <c r="G4282">
        <v>-204.3845</v>
      </c>
      <c r="H4282">
        <v>1.0483659999999999</v>
      </c>
      <c r="I4282">
        <v>-58.557290000000002</v>
      </c>
      <c r="J4282">
        <v>-204.70060000000001</v>
      </c>
      <c r="K4282">
        <v>1.117686</v>
      </c>
      <c r="L4282">
        <v>-59.235689999999998</v>
      </c>
      <c r="M4282">
        <v>0.92363669999999998</v>
      </c>
      <c r="N4282">
        <v>0</v>
      </c>
      <c r="O4282">
        <v>0.38278269999999998</v>
      </c>
      <c r="P4282">
        <v>0.75747940000000002</v>
      </c>
      <c r="Q4282">
        <v>5.2364639999999997E-2</v>
      </c>
      <c r="R4282">
        <v>0.65075569999999905</v>
      </c>
      <c r="S4282">
        <v>1.723816</v>
      </c>
      <c r="T4282">
        <v>-0.2397282</v>
      </c>
      <c r="U4282">
        <v>2.6351010000000001</v>
      </c>
      <c r="V4282">
        <v>-0.31320029999999999</v>
      </c>
      <c r="W4282">
        <v>6.1051359999999999E-2</v>
      </c>
      <c r="X4282">
        <v>0.94772270000000003</v>
      </c>
      <c r="Y4282">
        <v>-0.56298510000000002</v>
      </c>
      <c r="Z4282">
        <v>-7.4577330000000002E-3</v>
      </c>
      <c r="AA4282">
        <v>0.82643349999999904</v>
      </c>
      <c r="AB4282">
        <v>32</v>
      </c>
      <c r="AC4282">
        <v>0.31610000000000499</v>
      </c>
      <c r="AD4282">
        <v>-6.9320000000000007E-2</v>
      </c>
      <c r="AE4282">
        <v>0.678400000000003</v>
      </c>
      <c r="AF4282">
        <v>-0.50139053270612599</v>
      </c>
      <c r="AG4282">
        <v>-6.9320000000000007E-2</v>
      </c>
      <c r="AH4282">
        <v>0.54705122847177501</v>
      </c>
      <c r="AI4282">
        <v>95.336811661362503</v>
      </c>
      <c r="AJ4282">
        <v>132.50628683901201</v>
      </c>
      <c r="AK4282">
        <v>0.74529375098669104</v>
      </c>
      <c r="AL4282">
        <v>86.499838119287404</v>
      </c>
      <c r="AM4282">
        <v>108.287518682947</v>
      </c>
      <c r="AN4282">
        <v>1.0000000062866099</v>
      </c>
    </row>
    <row r="4283" spans="1:40" x14ac:dyDescent="0.3">
      <c r="A4283" t="str">
        <f>"20200111154003840"</f>
        <v>20200111154003840</v>
      </c>
      <c r="B4283" t="str">
        <f>"1578728403835197"</f>
        <v>1578728403835197</v>
      </c>
      <c r="C4283" t="s">
        <v>40</v>
      </c>
      <c r="D4283">
        <v>5.0512899999999998</v>
      </c>
      <c r="E4283">
        <v>0.38621220000000001</v>
      </c>
      <c r="F4283" t="s">
        <v>41</v>
      </c>
      <c r="G4283">
        <v>-204.1628</v>
      </c>
      <c r="H4283">
        <v>1.0421499999999999</v>
      </c>
      <c r="I4283">
        <v>-58.4000699999999</v>
      </c>
      <c r="J4283">
        <v>-204.52610000000001</v>
      </c>
      <c r="K4283">
        <v>1.117761</v>
      </c>
      <c r="L4283">
        <v>-59.154789999999998</v>
      </c>
      <c r="M4283">
        <v>0.92006929999999998</v>
      </c>
      <c r="N4283">
        <v>0</v>
      </c>
      <c r="O4283">
        <v>0.39127899999999999</v>
      </c>
      <c r="P4283">
        <v>0.75181589999999998</v>
      </c>
      <c r="Q4283">
        <v>5.2530970000000003E-2</v>
      </c>
      <c r="R4283">
        <v>0.65727720000000001</v>
      </c>
      <c r="S4283">
        <v>1.7033229999999999</v>
      </c>
      <c r="T4283">
        <v>-0.23924239999999999</v>
      </c>
      <c r="U4283">
        <v>2.6466059999999998</v>
      </c>
      <c r="V4283">
        <v>-0.3126755</v>
      </c>
      <c r="W4283">
        <v>6.1198900000000001E-2</v>
      </c>
      <c r="X4283">
        <v>0.94788649999999997</v>
      </c>
      <c r="Y4283">
        <v>-0.56155010000000005</v>
      </c>
      <c r="Z4283">
        <v>-8.2408929999999991E-3</v>
      </c>
      <c r="AA4283">
        <v>0.82740170000000002</v>
      </c>
      <c r="AB4283">
        <v>32</v>
      </c>
      <c r="AC4283">
        <v>0.363300000000009</v>
      </c>
      <c r="AD4283">
        <v>-7.5611000000000095E-2</v>
      </c>
      <c r="AE4283">
        <v>0.75472000000001305</v>
      </c>
      <c r="AF4283">
        <v>-0.547881616188583</v>
      </c>
      <c r="AG4283">
        <v>-7.5611000000000095E-2</v>
      </c>
      <c r="AH4283">
        <v>0.62459515830606505</v>
      </c>
      <c r="AI4283">
        <v>95.199913233297195</v>
      </c>
      <c r="AJ4283">
        <v>131.25655167865301</v>
      </c>
      <c r="AK4283">
        <v>0.83427237785857</v>
      </c>
      <c r="AL4283">
        <v>86.491369000411296</v>
      </c>
      <c r="AM4283">
        <v>108.255964479261</v>
      </c>
      <c r="AN4283">
        <v>1.00000004527185</v>
      </c>
    </row>
    <row r="4284" spans="1:40" x14ac:dyDescent="0.3">
      <c r="A4284" t="str">
        <f>"20200111154003856"</f>
        <v>20200111154003856</v>
      </c>
      <c r="B4284" t="str">
        <f>"1578728403844957"</f>
        <v>1578728403844957</v>
      </c>
      <c r="C4284" t="s">
        <v>40</v>
      </c>
      <c r="D4284">
        <v>5.0526410000000004</v>
      </c>
      <c r="E4284">
        <v>0.3866387</v>
      </c>
      <c r="F4284" t="s">
        <v>41</v>
      </c>
      <c r="G4284">
        <v>-203.94569999999999</v>
      </c>
      <c r="H4284">
        <v>1.035126</v>
      </c>
      <c r="I4284">
        <v>-58.239089999999997</v>
      </c>
      <c r="J4284">
        <v>-204.31280000000001</v>
      </c>
      <c r="K4284">
        <v>1.1178380000000001</v>
      </c>
      <c r="L4284">
        <v>-59.053220000000003</v>
      </c>
      <c r="M4284">
        <v>0.91554449999999998</v>
      </c>
      <c r="N4284">
        <v>0</v>
      </c>
      <c r="O4284">
        <v>0.40175129999999998</v>
      </c>
      <c r="P4284">
        <v>0.74543110000000001</v>
      </c>
      <c r="Q4284">
        <v>5.2380719999999999E-2</v>
      </c>
      <c r="R4284">
        <v>0.66452159999999905</v>
      </c>
      <c r="S4284">
        <v>1.684021</v>
      </c>
      <c r="T4284">
        <v>-0.23978389999999999</v>
      </c>
      <c r="U4284">
        <v>2.657257</v>
      </c>
      <c r="V4284">
        <v>-0.31103449999999999</v>
      </c>
      <c r="W4284">
        <v>6.1074679999999999E-2</v>
      </c>
      <c r="X4284">
        <v>0.94843420000000001</v>
      </c>
      <c r="Y4284">
        <v>-0.55792120000000001</v>
      </c>
      <c r="Z4284">
        <v>-9.3328669999999999E-3</v>
      </c>
      <c r="AA4284">
        <v>0.82984139999999995</v>
      </c>
      <c r="AB4284">
        <v>32</v>
      </c>
      <c r="AC4284">
        <v>0.36710000000002202</v>
      </c>
      <c r="AD4284">
        <v>-8.2711999999999897E-2</v>
      </c>
      <c r="AE4284">
        <v>0.81412999999999103</v>
      </c>
      <c r="AF4284">
        <v>-0.59291540713061697</v>
      </c>
      <c r="AG4284">
        <v>-8.2711999999999897E-2</v>
      </c>
      <c r="AH4284">
        <v>0.65765712273768895</v>
      </c>
      <c r="AI4284">
        <v>95.336514398877995</v>
      </c>
      <c r="AJ4284">
        <v>132.036462566388</v>
      </c>
      <c r="AK4284">
        <v>0.88932718728513005</v>
      </c>
      <c r="AL4284">
        <v>86.498499476491105</v>
      </c>
      <c r="AM4284">
        <v>108.156658680977</v>
      </c>
      <c r="AN4284">
        <v>1.00000000422849</v>
      </c>
    </row>
    <row r="4285" spans="1:40" x14ac:dyDescent="0.3">
      <c r="A4285" t="str">
        <f>"20200111154003870"</f>
        <v>20200111154003870</v>
      </c>
      <c r="B4285" t="str">
        <f>"1578728403865453"</f>
        <v>1578728403865453</v>
      </c>
      <c r="C4285" t="s">
        <v>40</v>
      </c>
      <c r="D4285">
        <v>5.0326570000000004</v>
      </c>
      <c r="E4285">
        <v>0.38748060000000001</v>
      </c>
      <c r="F4285" t="s">
        <v>66</v>
      </c>
      <c r="G4285">
        <v>-196.5625</v>
      </c>
      <c r="H4285" s="1">
        <v>-4.4050229999999998E-6</v>
      </c>
      <c r="I4285">
        <v>-46.582819999999998</v>
      </c>
      <c r="J4285">
        <v>-204.14089999999999</v>
      </c>
      <c r="K4285">
        <v>1.117893</v>
      </c>
      <c r="L4285">
        <v>-58.968629999999997</v>
      </c>
      <c r="M4285">
        <v>0.91175249999999997</v>
      </c>
      <c r="N4285">
        <v>0</v>
      </c>
      <c r="O4285">
        <v>0.41028310000000001</v>
      </c>
      <c r="P4285">
        <v>0.73975400000000002</v>
      </c>
      <c r="Q4285">
        <v>5.210828E-2</v>
      </c>
      <c r="R4285">
        <v>0.67085680000000003</v>
      </c>
      <c r="S4285">
        <v>1.66010999999999</v>
      </c>
      <c r="T4285">
        <v>-0.2394404</v>
      </c>
      <c r="U4285">
        <v>2.6711429999999998</v>
      </c>
      <c r="V4285">
        <v>-0.3102606</v>
      </c>
      <c r="W4285">
        <v>6.0810999999999997E-2</v>
      </c>
      <c r="X4285">
        <v>0.94870460000000001</v>
      </c>
      <c r="Y4285">
        <v>-0.55748419999999999</v>
      </c>
      <c r="Z4285">
        <v>-1.0078719999999999E-2</v>
      </c>
      <c r="AA4285">
        <v>0.83012629999999998</v>
      </c>
      <c r="AB4285">
        <v>32</v>
      </c>
      <c r="AC4285">
        <v>7.5783999999999798</v>
      </c>
      <c r="AD4285">
        <v>-1.1178974050229999</v>
      </c>
      <c r="AE4285">
        <v>12.385809999999999</v>
      </c>
      <c r="AF4285">
        <v>-8.1368107168725299</v>
      </c>
      <c r="AG4285">
        <v>-1.1178974050229999</v>
      </c>
      <c r="AH4285">
        <v>11.922894167280401</v>
      </c>
      <c r="AI4285">
        <v>94.428413614042398</v>
      </c>
      <c r="AJ4285">
        <v>124.311685628787</v>
      </c>
      <c r="AK4285">
        <v>14.478010518525601</v>
      </c>
      <c r="AL4285">
        <v>86.513635408862001</v>
      </c>
      <c r="AM4285">
        <v>108.10961043451501</v>
      </c>
      <c r="AN4285">
        <v>1.0000000178472499</v>
      </c>
    </row>
    <row r="4286" spans="1:40" x14ac:dyDescent="0.3">
      <c r="A4286" t="str">
        <f>"20200111154003883"</f>
        <v>20200111154003883</v>
      </c>
      <c r="B4286" t="str">
        <f>"1578728403875213"</f>
        <v>1578728403875213</v>
      </c>
      <c r="C4286" t="s">
        <v>40</v>
      </c>
      <c r="D4286">
        <v>5.0703709999999997</v>
      </c>
      <c r="E4286">
        <v>0.38794990000000001</v>
      </c>
      <c r="F4286" t="s">
        <v>41</v>
      </c>
      <c r="G4286">
        <v>-203.6566</v>
      </c>
      <c r="H4286">
        <v>1.046643</v>
      </c>
      <c r="I4286">
        <v>-58.17794</v>
      </c>
      <c r="J4286">
        <v>-203.97559999999999</v>
      </c>
      <c r="K4286">
        <v>1.1179380000000001</v>
      </c>
      <c r="L4286">
        <v>-58.885469999999998</v>
      </c>
      <c r="M4286">
        <v>0.90799560000000001</v>
      </c>
      <c r="N4286">
        <v>0</v>
      </c>
      <c r="O4286">
        <v>0.41853099999999999</v>
      </c>
      <c r="P4286">
        <v>0.73426139999999995</v>
      </c>
      <c r="Q4286">
        <v>5.142207E-2</v>
      </c>
      <c r="R4286">
        <v>0.67691650000000003</v>
      </c>
      <c r="S4286">
        <v>1.641586</v>
      </c>
      <c r="T4286">
        <v>-0.24153230000000001</v>
      </c>
      <c r="U4286">
        <v>2.6804809999999999</v>
      </c>
      <c r="V4286">
        <v>-0.30942709999999901</v>
      </c>
      <c r="W4286">
        <v>6.0141790000000001E-2</v>
      </c>
      <c r="X4286">
        <v>0.94901939999999996</v>
      </c>
      <c r="Y4286">
        <v>-0.55543129999999996</v>
      </c>
      <c r="Z4286">
        <v>-1.09868E-2</v>
      </c>
      <c r="AA4286">
        <v>0.831489899999999</v>
      </c>
      <c r="AB4286">
        <v>32</v>
      </c>
      <c r="AC4286">
        <v>0.31899999999998802</v>
      </c>
      <c r="AD4286">
        <v>-7.1294999999999803E-2</v>
      </c>
      <c r="AE4286">
        <v>0.70752999999999799</v>
      </c>
      <c r="AF4286">
        <v>-0.50475901016355795</v>
      </c>
      <c r="AG4286">
        <v>-7.1294999999999803E-2</v>
      </c>
      <c r="AH4286">
        <v>0.58098135345091195</v>
      </c>
      <c r="AI4286">
        <v>95.292555807331098</v>
      </c>
      <c r="AJ4286">
        <v>130.984246984317</v>
      </c>
      <c r="AK4286">
        <v>0.77291912152821596</v>
      </c>
      <c r="AL4286">
        <v>86.552048543425897</v>
      </c>
      <c r="AM4286">
        <v>108.058521120465</v>
      </c>
      <c r="AN4286">
        <v>0.99999999334758705</v>
      </c>
    </row>
    <row r="4287" spans="1:40" x14ac:dyDescent="0.3">
      <c r="A4287" t="str">
        <f>"20200111154003895"</f>
        <v>20200111154003895</v>
      </c>
      <c r="B4287" t="str">
        <f>"1578728403884974"</f>
        <v>1578728403884974</v>
      </c>
      <c r="C4287" t="s">
        <v>40</v>
      </c>
      <c r="D4287">
        <v>5.0328689999999998</v>
      </c>
      <c r="E4287">
        <v>0.3886037</v>
      </c>
      <c r="F4287" t="s">
        <v>41</v>
      </c>
      <c r="G4287">
        <v>-203.44720000000001</v>
      </c>
      <c r="H4287">
        <v>1.0382209999999901</v>
      </c>
      <c r="I4287">
        <v>-58.0090199999999</v>
      </c>
      <c r="J4287">
        <v>-203.81729999999999</v>
      </c>
      <c r="K4287">
        <v>1.117977</v>
      </c>
      <c r="L4287">
        <v>-58.804470000000002</v>
      </c>
      <c r="M4287">
        <v>0.90430169999999999</v>
      </c>
      <c r="N4287">
        <v>0</v>
      </c>
      <c r="O4287">
        <v>0.42645260000000001</v>
      </c>
      <c r="P4287">
        <v>0.728765199999999</v>
      </c>
      <c r="Q4287">
        <v>5.0752699999999998E-2</v>
      </c>
      <c r="R4287">
        <v>0.68288019999999905</v>
      </c>
      <c r="S4287">
        <v>1.6219790000000001</v>
      </c>
      <c r="T4287">
        <v>-0.2447337</v>
      </c>
      <c r="U4287">
        <v>2.691071</v>
      </c>
      <c r="V4287">
        <v>-0.3088323</v>
      </c>
      <c r="W4287">
        <v>5.9483510000000003E-2</v>
      </c>
      <c r="X4287">
        <v>0.94925459999999995</v>
      </c>
      <c r="Y4287">
        <v>-0.55406109999999997</v>
      </c>
      <c r="Z4287">
        <v>-1.190221E-2</v>
      </c>
      <c r="AA4287">
        <v>0.83239089999999905</v>
      </c>
      <c r="AB4287">
        <v>32</v>
      </c>
      <c r="AC4287">
        <v>0.370099999999979</v>
      </c>
      <c r="AD4287">
        <v>-7.9756000000000105E-2</v>
      </c>
      <c r="AE4287">
        <v>0.79545000000000199</v>
      </c>
      <c r="AF4287">
        <v>-0.55699933123234202</v>
      </c>
      <c r="AG4287">
        <v>-7.9756000000000105E-2</v>
      </c>
      <c r="AH4287">
        <v>0.66850609817046103</v>
      </c>
      <c r="AI4287">
        <v>95.237012535051505</v>
      </c>
      <c r="AJ4287">
        <v>129.80106481762999</v>
      </c>
      <c r="AK4287">
        <v>0.87379040840488198</v>
      </c>
      <c r="AL4287">
        <v>86.589832835163506</v>
      </c>
      <c r="AM4287">
        <v>108.02187805645499</v>
      </c>
      <c r="AN4287">
        <v>0.99999998655318401</v>
      </c>
    </row>
    <row r="4288" spans="1:40" x14ac:dyDescent="0.3">
      <c r="A4288" t="str">
        <f>"20200111154003912"</f>
        <v>20200111154003912</v>
      </c>
      <c r="B4288" t="str">
        <f>"1578728403905470"</f>
        <v>1578728403905470</v>
      </c>
      <c r="C4288" t="s">
        <v>40</v>
      </c>
      <c r="D4288">
        <v>5.0821389999999997</v>
      </c>
      <c r="E4288">
        <v>0.38958500000000001</v>
      </c>
      <c r="F4288" t="s">
        <v>66</v>
      </c>
      <c r="G4288">
        <v>-196.595</v>
      </c>
      <c r="H4288" s="1">
        <v>-4.3804740000000004E-6</v>
      </c>
      <c r="I4288">
        <v>-46.64311</v>
      </c>
      <c r="J4288">
        <v>-203.6155</v>
      </c>
      <c r="K4288">
        <v>1.1180110000000001</v>
      </c>
      <c r="L4288">
        <v>-58.698120000000003</v>
      </c>
      <c r="M4288">
        <v>0.89943150000000005</v>
      </c>
      <c r="N4288">
        <v>0</v>
      </c>
      <c r="O4288">
        <v>0.43662960000000001</v>
      </c>
      <c r="P4288">
        <v>0.72244900000000001</v>
      </c>
      <c r="Q4288">
        <v>4.9632259999999997E-2</v>
      </c>
      <c r="R4288">
        <v>0.68964049999999999</v>
      </c>
      <c r="S4288">
        <v>1.6035919999999999</v>
      </c>
      <c r="T4288">
        <v>-0.2482288</v>
      </c>
      <c r="U4288">
        <v>2.7002259999999998</v>
      </c>
      <c r="V4288">
        <v>-0.30690089999999998</v>
      </c>
      <c r="W4288">
        <v>5.8428670000000002E-2</v>
      </c>
      <c r="X4288">
        <v>0.94994630000000002</v>
      </c>
      <c r="Y4288">
        <v>-0.55011169999999998</v>
      </c>
      <c r="Z4288">
        <v>-1.318013E-2</v>
      </c>
      <c r="AA4288">
        <v>0.83498709999999898</v>
      </c>
      <c r="AB4288">
        <v>32</v>
      </c>
      <c r="AC4288">
        <v>7.0204999999999904</v>
      </c>
      <c r="AD4288">
        <v>-1.1180153804740001</v>
      </c>
      <c r="AE4288">
        <v>12.0550099999999</v>
      </c>
      <c r="AF4288">
        <v>-7.7291231465070398</v>
      </c>
      <c r="AG4288">
        <v>-1.1180153804740001</v>
      </c>
      <c r="AH4288">
        <v>11.506315886709</v>
      </c>
      <c r="AI4288">
        <v>94.611353552525998</v>
      </c>
      <c r="AJ4288">
        <v>123.89039269836501</v>
      </c>
      <c r="AK4288">
        <v>13.9062794553244</v>
      </c>
      <c r="AL4288">
        <v>86.650376149291006</v>
      </c>
      <c r="AM4288">
        <v>107.904183845315</v>
      </c>
      <c r="AN4288">
        <v>1.00000002239123</v>
      </c>
    </row>
    <row r="4289" spans="1:40" x14ac:dyDescent="0.3">
      <c r="A4289" t="str">
        <f>"20200111154003925"</f>
        <v>20200111154003925</v>
      </c>
      <c r="B4289" t="str">
        <f>"1578728403915230"</f>
        <v>1578728403915230</v>
      </c>
      <c r="C4289" t="s">
        <v>40</v>
      </c>
      <c r="D4289">
        <v>5.1076829999999998</v>
      </c>
      <c r="E4289">
        <v>0.39011649999999998</v>
      </c>
      <c r="F4289" t="s">
        <v>41</v>
      </c>
      <c r="G4289">
        <v>-203.1678</v>
      </c>
      <c r="H4289">
        <v>1.0462119999999999</v>
      </c>
      <c r="I4289">
        <v>-57.932189999999999</v>
      </c>
      <c r="J4289">
        <v>-203.45930000000001</v>
      </c>
      <c r="K4289">
        <v>1.118034</v>
      </c>
      <c r="L4289">
        <v>-58.613340000000001</v>
      </c>
      <c r="M4289">
        <v>0.8955379</v>
      </c>
      <c r="N4289">
        <v>0</v>
      </c>
      <c r="O4289">
        <v>0.44456020000000002</v>
      </c>
      <c r="P4289">
        <v>0.71709880000000004</v>
      </c>
      <c r="Q4289">
        <v>4.918173E-2</v>
      </c>
      <c r="R4289">
        <v>0.69523419999999903</v>
      </c>
      <c r="S4289">
        <v>1.5838620000000001</v>
      </c>
      <c r="T4289">
        <v>-0.25396609999999997</v>
      </c>
      <c r="U4289">
        <v>2.7091669999999999</v>
      </c>
      <c r="V4289">
        <v>-0.30586400000000002</v>
      </c>
      <c r="W4289">
        <v>5.8016909999999998E-2</v>
      </c>
      <c r="X4289">
        <v>0.95030590000000004</v>
      </c>
      <c r="Y4289">
        <v>-0.54846640000000002</v>
      </c>
      <c r="Z4289">
        <v>-1.4305989999999999E-2</v>
      </c>
      <c r="AA4289">
        <v>0.83605019999999997</v>
      </c>
      <c r="AB4289">
        <v>32</v>
      </c>
      <c r="AC4289">
        <v>0.29150000000001303</v>
      </c>
      <c r="AD4289">
        <v>-7.1821999999999803E-2</v>
      </c>
      <c r="AE4289">
        <v>0.68114999999999504</v>
      </c>
      <c r="AF4289">
        <v>-0.47602396237898398</v>
      </c>
      <c r="AG4289">
        <v>-7.1821999999999803E-2</v>
      </c>
      <c r="AH4289">
        <v>0.55871780075144895</v>
      </c>
      <c r="AI4289">
        <v>95.588565563600696</v>
      </c>
      <c r="AJ4289">
        <v>130.430783122268</v>
      </c>
      <c r="AK4289">
        <v>0.73751121572456402</v>
      </c>
      <c r="AL4289">
        <v>86.674008360299794</v>
      </c>
      <c r="AM4289">
        <v>107.841210805564</v>
      </c>
      <c r="AN4289">
        <v>1.0000000259583699</v>
      </c>
    </row>
    <row r="4290" spans="1:40" x14ac:dyDescent="0.3">
      <c r="A4290" t="str">
        <f>"20200111154003938"</f>
        <v>20200111154003938</v>
      </c>
      <c r="B4290" t="str">
        <f>"1578728403934750"</f>
        <v>1578728403934750</v>
      </c>
      <c r="C4290" t="s">
        <v>40</v>
      </c>
      <c r="D4290">
        <v>5.15381</v>
      </c>
      <c r="E4290">
        <v>0.39071260000000002</v>
      </c>
      <c r="F4290" t="s">
        <v>41</v>
      </c>
      <c r="G4290">
        <v>-202.9658</v>
      </c>
      <c r="H4290">
        <v>1.037334</v>
      </c>
      <c r="I4290">
        <v>-57.756619999999998</v>
      </c>
      <c r="J4290">
        <v>-203.30539999999999</v>
      </c>
      <c r="K4290">
        <v>1.118047</v>
      </c>
      <c r="L4290">
        <v>-58.52863</v>
      </c>
      <c r="M4290">
        <v>0.89161119999999905</v>
      </c>
      <c r="N4290">
        <v>0</v>
      </c>
      <c r="O4290">
        <v>0.45238329999999999</v>
      </c>
      <c r="P4290">
        <v>0.711897</v>
      </c>
      <c r="Q4290">
        <v>4.8630939999999998E-2</v>
      </c>
      <c r="R4290">
        <v>0.7005981</v>
      </c>
      <c r="S4290">
        <v>1.5656890000000001</v>
      </c>
      <c r="T4290">
        <v>-0.25603219999999999</v>
      </c>
      <c r="U4290">
        <v>2.7182620000000002</v>
      </c>
      <c r="V4290">
        <v>-0.30464639999999998</v>
      </c>
      <c r="W4290">
        <v>5.7513740000000001E-2</v>
      </c>
      <c r="X4290">
        <v>0.95072749999999995</v>
      </c>
      <c r="Y4290">
        <v>-0.5465681</v>
      </c>
      <c r="Z4290">
        <v>-1.525016E-2</v>
      </c>
      <c r="AA4290">
        <v>0.83727580000000001</v>
      </c>
      <c r="AB4290">
        <v>32</v>
      </c>
      <c r="AC4290">
        <v>0.33959999999999002</v>
      </c>
      <c r="AD4290">
        <v>-8.0712999999999993E-2</v>
      </c>
      <c r="AE4290">
        <v>0.77201000000000797</v>
      </c>
      <c r="AF4290">
        <v>-0.52995122054158195</v>
      </c>
      <c r="AG4290">
        <v>-8.0712999999999993E-2</v>
      </c>
      <c r="AH4290">
        <v>0.646240632410231</v>
      </c>
      <c r="AI4290">
        <v>95.516274053255202</v>
      </c>
      <c r="AJ4290">
        <v>129.353549849047</v>
      </c>
      <c r="AK4290">
        <v>0.83963673067612299</v>
      </c>
      <c r="AL4290">
        <v>86.702886075570206</v>
      </c>
      <c r="AM4290">
        <v>107.767279151105</v>
      </c>
      <c r="AN4290">
        <v>1.00000001928899</v>
      </c>
    </row>
    <row r="4291" spans="1:40" x14ac:dyDescent="0.3">
      <c r="A4291" t="str">
        <f>"20200111154003957"</f>
        <v>20200111154003957</v>
      </c>
      <c r="B4291" t="str">
        <f>"1578728403945484"</f>
        <v>1578728403945484</v>
      </c>
      <c r="C4291" t="s">
        <v>40</v>
      </c>
      <c r="D4291">
        <v>5.1547190000000001</v>
      </c>
      <c r="E4291">
        <v>0.40386040000000001</v>
      </c>
      <c r="F4291" t="s">
        <v>41</v>
      </c>
      <c r="G4291">
        <v>-202.76679999999999</v>
      </c>
      <c r="H4291">
        <v>1.028267</v>
      </c>
      <c r="I4291">
        <v>-57.58005</v>
      </c>
      <c r="J4291">
        <v>-203.08250000000001</v>
      </c>
      <c r="K4291">
        <v>1.1180559999999999</v>
      </c>
      <c r="L4291">
        <v>-58.402500000000003</v>
      </c>
      <c r="M4291">
        <v>0.88574240000000004</v>
      </c>
      <c r="N4291">
        <v>0</v>
      </c>
      <c r="O4291">
        <v>0.46376780000000001</v>
      </c>
      <c r="P4291">
        <v>0.70468489999999995</v>
      </c>
      <c r="Q4291">
        <v>4.8914979999999997E-2</v>
      </c>
      <c r="R4291">
        <v>0.70783219999999902</v>
      </c>
      <c r="S4291">
        <v>1.5483089999999999</v>
      </c>
      <c r="T4291">
        <v>-0.25808300000000001</v>
      </c>
      <c r="U4291">
        <v>2.7266849999999998</v>
      </c>
      <c r="V4291">
        <v>-0.30219559999999901</v>
      </c>
      <c r="W4291">
        <v>5.7898860000000003E-2</v>
      </c>
      <c r="X4291">
        <v>0.95148600000000005</v>
      </c>
      <c r="Y4291">
        <v>-0.54101169999999899</v>
      </c>
      <c r="Z4291">
        <v>-1.6718589999999998E-2</v>
      </c>
      <c r="AA4291">
        <v>0.84084890000000001</v>
      </c>
      <c r="AB4291">
        <v>32</v>
      </c>
      <c r="AC4291">
        <v>0.31570000000002002</v>
      </c>
      <c r="AD4291">
        <v>-8.9788999999999897E-2</v>
      </c>
      <c r="AE4291">
        <v>0.82245000000000301</v>
      </c>
      <c r="AF4291">
        <v>-0.57619240304039498</v>
      </c>
      <c r="AG4291">
        <v>-8.9788999999999897E-2</v>
      </c>
      <c r="AH4291">
        <v>0.65438252583993906</v>
      </c>
      <c r="AI4291">
        <v>95.879624153965196</v>
      </c>
      <c r="AJ4291">
        <v>131.364341939979</v>
      </c>
      <c r="AK4291">
        <v>0.87651368498564997</v>
      </c>
      <c r="AL4291">
        <v>86.680783540541498</v>
      </c>
      <c r="AM4291">
        <v>107.620047498617</v>
      </c>
      <c r="AN4291">
        <v>1.00000003342232</v>
      </c>
    </row>
    <row r="4292" spans="1:40" x14ac:dyDescent="0.3">
      <c r="A4292" t="str">
        <f>"20200111154003970"</f>
        <v>20200111154003970</v>
      </c>
      <c r="B4292" t="str">
        <f>"1578728403965006"</f>
        <v>1578728403965006</v>
      </c>
      <c r="C4292" t="s">
        <v>40</v>
      </c>
      <c r="D4292">
        <v>5.0921960000000004</v>
      </c>
      <c r="E4292">
        <v>0.4026208</v>
      </c>
      <c r="F4292" t="s">
        <v>41</v>
      </c>
      <c r="G4292">
        <v>-202.52010000000001</v>
      </c>
      <c r="H4292">
        <v>1.0234129999999999</v>
      </c>
      <c r="I4292">
        <v>-57.462020000000003</v>
      </c>
      <c r="J4292">
        <v>-202.91370000000001</v>
      </c>
      <c r="K4292">
        <v>1.1180540000000001</v>
      </c>
      <c r="L4292">
        <v>-58.304229999999997</v>
      </c>
      <c r="M4292">
        <v>0.88115529999999997</v>
      </c>
      <c r="N4292">
        <v>0</v>
      </c>
      <c r="O4292">
        <v>0.47242469999999998</v>
      </c>
      <c r="P4292">
        <v>0.69863409999999904</v>
      </c>
      <c r="Q4292">
        <v>4.8866880000000001E-2</v>
      </c>
      <c r="R4292">
        <v>0.71380829999999995</v>
      </c>
      <c r="S4292">
        <v>1.595459</v>
      </c>
      <c r="T4292">
        <v>-0.2685302</v>
      </c>
      <c r="U4292">
        <v>2.668488</v>
      </c>
      <c r="V4292">
        <v>-0.30097279999999998</v>
      </c>
      <c r="W4292">
        <v>5.7907899999999998E-2</v>
      </c>
      <c r="X4292">
        <v>0.95187290000000002</v>
      </c>
      <c r="Y4292">
        <v>-0.51371109999999998</v>
      </c>
      <c r="Z4292">
        <v>-1.9721639999999999E-2</v>
      </c>
      <c r="AA4292">
        <v>0.85773650000000001</v>
      </c>
      <c r="AB4292">
        <v>31</v>
      </c>
      <c r="AC4292">
        <v>0.39359999999999201</v>
      </c>
      <c r="AD4292">
        <v>-9.4641000000000197E-2</v>
      </c>
      <c r="AE4292">
        <v>0.84221000000000801</v>
      </c>
      <c r="AF4292">
        <v>-0.55057112578026501</v>
      </c>
      <c r="AG4292">
        <v>-9.4641000000000197E-2</v>
      </c>
      <c r="AH4292">
        <v>0.73720480851261405</v>
      </c>
      <c r="AI4292">
        <v>95.872706991451807</v>
      </c>
      <c r="AJ4292">
        <v>126.753701437716</v>
      </c>
      <c r="AK4292">
        <v>0.92496292526677504</v>
      </c>
      <c r="AL4292">
        <v>86.680264553594398</v>
      </c>
      <c r="AM4292">
        <v>107.54643936740599</v>
      </c>
      <c r="AN4292">
        <v>0.99999998448832905</v>
      </c>
    </row>
    <row r="4293" spans="1:40" x14ac:dyDescent="0.3">
      <c r="A4293" t="str">
        <f>"20200111154003991"</f>
        <v>20200111154003991</v>
      </c>
      <c r="B4293" t="str">
        <f>"1578728403985501"</f>
        <v>1578728403985501</v>
      </c>
      <c r="C4293" t="s">
        <v>40</v>
      </c>
      <c r="D4293">
        <v>5.1025510000000001</v>
      </c>
      <c r="E4293">
        <v>0.40318100000000001</v>
      </c>
      <c r="F4293" t="s">
        <v>41</v>
      </c>
      <c r="G4293">
        <v>-202.46250000000001</v>
      </c>
      <c r="H4293">
        <v>1.0402690000000001</v>
      </c>
      <c r="I4293">
        <v>-57.529470000000003</v>
      </c>
      <c r="J4293">
        <v>-202.68539999999999</v>
      </c>
      <c r="K4293">
        <v>1.1180410000000001</v>
      </c>
      <c r="L4293">
        <v>-58.167760000000001</v>
      </c>
      <c r="M4293">
        <v>0.87475480000000005</v>
      </c>
      <c r="N4293">
        <v>0</v>
      </c>
      <c r="O4293">
        <v>0.48417250000000001</v>
      </c>
      <c r="P4293">
        <v>0.69015059999999995</v>
      </c>
      <c r="Q4293">
        <v>4.8403559999999998E-2</v>
      </c>
      <c r="R4293">
        <v>0.72204519999999905</v>
      </c>
      <c r="S4293">
        <v>1.5658110000000001</v>
      </c>
      <c r="T4293">
        <v>-0.26994190000000001</v>
      </c>
      <c r="U4293">
        <v>2.688812</v>
      </c>
      <c r="V4293">
        <v>-0.29949550000000003</v>
      </c>
      <c r="W4293">
        <v>5.7521349999999999E-2</v>
      </c>
      <c r="X4293">
        <v>0.95236220000000005</v>
      </c>
      <c r="Y4293">
        <v>-0.51215509999999997</v>
      </c>
      <c r="Z4293">
        <v>-2.1052959999999999E-2</v>
      </c>
      <c r="AA4293">
        <v>0.85863489999999998</v>
      </c>
      <c r="AB4293">
        <v>31</v>
      </c>
      <c r="AC4293">
        <v>0.222899999999981</v>
      </c>
      <c r="AD4293">
        <v>-7.7771999999999897E-2</v>
      </c>
      <c r="AE4293">
        <v>0.63828999999999703</v>
      </c>
      <c r="AF4293">
        <v>-0.44462756450197799</v>
      </c>
      <c r="AG4293">
        <v>-7.7771999999999897E-2</v>
      </c>
      <c r="AH4293">
        <v>0.49753777200994098</v>
      </c>
      <c r="AI4293">
        <v>96.648059575170393</v>
      </c>
      <c r="AJ4293">
        <v>131.785754469907</v>
      </c>
      <c r="AK4293">
        <v>0.67177822953380795</v>
      </c>
      <c r="AL4293">
        <v>86.702449301355003</v>
      </c>
      <c r="AM4293">
        <v>107.457134705616</v>
      </c>
      <c r="AN4293">
        <v>1.00000001010745</v>
      </c>
    </row>
    <row r="4294" spans="1:40" x14ac:dyDescent="0.3">
      <c r="A4294" t="str">
        <f>"20200111154004005"</f>
        <v>20200111154004005</v>
      </c>
      <c r="B4294" t="str">
        <f>"1578728403995261"</f>
        <v>1578728403995261</v>
      </c>
      <c r="C4294" t="s">
        <v>40</v>
      </c>
      <c r="D4294">
        <v>5.1263759999999996</v>
      </c>
      <c r="E4294">
        <v>0.40376430000000002</v>
      </c>
      <c r="F4294" t="s">
        <v>41</v>
      </c>
      <c r="G4294">
        <v>-202.2389</v>
      </c>
      <c r="H4294">
        <v>1.039399</v>
      </c>
      <c r="I4294">
        <v>-57.382240000000003</v>
      </c>
      <c r="J4294">
        <v>-202.51660000000001</v>
      </c>
      <c r="K4294">
        <v>1.118025</v>
      </c>
      <c r="L4294">
        <v>-58.063899999999997</v>
      </c>
      <c r="M4294">
        <v>0.86987409999999998</v>
      </c>
      <c r="N4294">
        <v>0</v>
      </c>
      <c r="O4294">
        <v>0.49288720000000003</v>
      </c>
      <c r="P4294">
        <v>0.68353769999999903</v>
      </c>
      <c r="Q4294">
        <v>4.8140679999999998E-2</v>
      </c>
      <c r="R4294">
        <v>0.72832600000000003</v>
      </c>
      <c r="S4294">
        <v>1.53714</v>
      </c>
      <c r="T4294">
        <v>-0.2706945</v>
      </c>
      <c r="U4294">
        <v>2.7037659999999999</v>
      </c>
      <c r="V4294">
        <v>-0.29867070000000001</v>
      </c>
      <c r="W4294">
        <v>5.7309039999999999E-2</v>
      </c>
      <c r="X4294">
        <v>0.95263399999999998</v>
      </c>
      <c r="Y4294">
        <v>-0.51251359999999901</v>
      </c>
      <c r="Z4294">
        <v>-2.197669E-2</v>
      </c>
      <c r="AA4294">
        <v>0.85839779999999999</v>
      </c>
      <c r="AB4294">
        <v>31</v>
      </c>
      <c r="AC4294">
        <v>0.27770000000000999</v>
      </c>
      <c r="AD4294">
        <v>-7.8626000000000001E-2</v>
      </c>
      <c r="AE4294">
        <v>0.68165999999999305</v>
      </c>
      <c r="AF4294">
        <v>-0.45102408265579602</v>
      </c>
      <c r="AG4294">
        <v>-7.8626000000000001E-2</v>
      </c>
      <c r="AH4294">
        <v>0.57113857890234898</v>
      </c>
      <c r="AI4294">
        <v>96.166298091311006</v>
      </c>
      <c r="AJ4294">
        <v>128.297900050078</v>
      </c>
      <c r="AK4294">
        <v>0.73198637099477304</v>
      </c>
      <c r="AL4294">
        <v>86.7146339187465</v>
      </c>
      <c r="AM4294">
        <v>107.407300066358</v>
      </c>
      <c r="AN4294">
        <v>1.0000000255301</v>
      </c>
    </row>
    <row r="4295" spans="1:40" x14ac:dyDescent="0.3">
      <c r="A4295" t="str">
        <f>"20200111154004026"</f>
        <v>20200111154004026</v>
      </c>
      <c r="B4295" t="str">
        <f>"1578728404014780"</f>
        <v>1578728404014780</v>
      </c>
      <c r="C4295" t="s">
        <v>40</v>
      </c>
      <c r="D4295">
        <v>5.1318519999999896</v>
      </c>
      <c r="E4295">
        <v>0.40526450000000003</v>
      </c>
      <c r="F4295" t="s">
        <v>41</v>
      </c>
      <c r="G4295">
        <v>-202.03919999999999</v>
      </c>
      <c r="H4295">
        <v>1.0315730000000001</v>
      </c>
      <c r="I4295">
        <v>-57.209090000000003</v>
      </c>
      <c r="J4295">
        <v>-202.2766</v>
      </c>
      <c r="K4295">
        <v>1.1179889999999999</v>
      </c>
      <c r="L4295">
        <v>-57.91245</v>
      </c>
      <c r="M4295">
        <v>0.86272959999999999</v>
      </c>
      <c r="N4295">
        <v>0</v>
      </c>
      <c r="O4295">
        <v>0.50528779999999995</v>
      </c>
      <c r="P4295">
        <v>0.67381009999999997</v>
      </c>
      <c r="Q4295">
        <v>4.7480550000000003E-2</v>
      </c>
      <c r="R4295">
        <v>0.73737750000000002</v>
      </c>
      <c r="S4295">
        <v>1.5159609999999999</v>
      </c>
      <c r="T4295">
        <v>-0.27451049999999999</v>
      </c>
      <c r="U4295">
        <v>2.7144170000000001</v>
      </c>
      <c r="V4295">
        <v>-0.29769040000000002</v>
      </c>
      <c r="W4295">
        <v>5.6720149999999997E-2</v>
      </c>
      <c r="X4295">
        <v>0.95297600000000005</v>
      </c>
      <c r="Y4295">
        <v>-0.50679359999999996</v>
      </c>
      <c r="Z4295">
        <v>-2.382987E-2</v>
      </c>
      <c r="AA4295">
        <v>0.861737999999999</v>
      </c>
      <c r="AB4295">
        <v>31</v>
      </c>
      <c r="AC4295">
        <v>0.23740000000000799</v>
      </c>
      <c r="AD4295">
        <v>-8.6416000000000007E-2</v>
      </c>
      <c r="AE4295">
        <v>0.70335999999999599</v>
      </c>
      <c r="AF4295">
        <v>-0.48043665122971502</v>
      </c>
      <c r="AG4295">
        <v>-8.6416000000000007E-2</v>
      </c>
      <c r="AH4295">
        <v>0.55282675409536597</v>
      </c>
      <c r="AI4295">
        <v>96.729058418009799</v>
      </c>
      <c r="AJ4295">
        <v>130.99242437155101</v>
      </c>
      <c r="AK4295">
        <v>0.73749882775801101</v>
      </c>
      <c r="AL4295">
        <v>86.748429731281007</v>
      </c>
      <c r="AM4295">
        <v>107.347747323042</v>
      </c>
      <c r="AN4295">
        <v>1.0000000031220899</v>
      </c>
    </row>
    <row r="4296" spans="1:40" x14ac:dyDescent="0.3">
      <c r="A4296" t="str">
        <f>"20200111154004047"</f>
        <v>20200111154004047</v>
      </c>
      <c r="B4296" t="str">
        <f>"1578728404035279"</f>
        <v>1578728404035279</v>
      </c>
      <c r="C4296" t="s">
        <v>40</v>
      </c>
      <c r="D4296">
        <v>5.1372939999999998</v>
      </c>
      <c r="E4296">
        <v>0.40606880000000001</v>
      </c>
      <c r="F4296" t="s">
        <v>41</v>
      </c>
      <c r="G4296">
        <v>-201.81379999999999</v>
      </c>
      <c r="H4296">
        <v>1.0304519999999999</v>
      </c>
      <c r="I4296">
        <v>-57.065289999999997</v>
      </c>
      <c r="J4296">
        <v>-202.04130000000001</v>
      </c>
      <c r="K4296">
        <v>1.1179509999999999</v>
      </c>
      <c r="L4296">
        <v>-57.7592199999999</v>
      </c>
      <c r="M4296">
        <v>0.85548579999999996</v>
      </c>
      <c r="N4296">
        <v>0</v>
      </c>
      <c r="O4296">
        <v>0.51745730000000001</v>
      </c>
      <c r="P4296">
        <v>0.66420009999999996</v>
      </c>
      <c r="Q4296">
        <v>4.7122070000000002E-2</v>
      </c>
      <c r="R4296">
        <v>0.74606819999999996</v>
      </c>
      <c r="S4296">
        <v>1.4888459999999999</v>
      </c>
      <c r="T4296">
        <v>-0.28167579999999998</v>
      </c>
      <c r="U4296">
        <v>2.726105</v>
      </c>
      <c r="V4296">
        <v>-0.29654009999999997</v>
      </c>
      <c r="W4296">
        <v>5.6444019999999998E-2</v>
      </c>
      <c r="X4296">
        <v>0.95335099999999995</v>
      </c>
      <c r="Y4296">
        <v>-0.50276480000000001</v>
      </c>
      <c r="Z4296">
        <v>-2.5943589999999999E-2</v>
      </c>
      <c r="AA4296">
        <v>0.86403390000000002</v>
      </c>
      <c r="AB4296">
        <v>31</v>
      </c>
      <c r="AC4296">
        <v>0.22750000000001999</v>
      </c>
      <c r="AD4296">
        <v>-8.7498999999999702E-2</v>
      </c>
      <c r="AE4296">
        <v>0.69392999999998695</v>
      </c>
      <c r="AF4296">
        <v>-0.46927959303417699</v>
      </c>
      <c r="AG4296">
        <v>-8.7498999999999702E-2</v>
      </c>
      <c r="AH4296">
        <v>0.54596991115729898</v>
      </c>
      <c r="AI4296">
        <v>96.929590942823694</v>
      </c>
      <c r="AJ4296">
        <v>130.68017268973401</v>
      </c>
      <c r="AK4296">
        <v>0.72523275941481802</v>
      </c>
      <c r="AL4296">
        <v>86.764276333313703</v>
      </c>
      <c r="AM4296">
        <v>107.27832077673</v>
      </c>
      <c r="AN4296">
        <v>1.0000000437513801</v>
      </c>
    </row>
    <row r="4297" spans="1:40" x14ac:dyDescent="0.3">
      <c r="A4297" t="str">
        <f>"20200111154004060"</f>
        <v>20200111154004060</v>
      </c>
      <c r="B4297" t="str">
        <f>"1578728404054896"</f>
        <v>1578728404054896</v>
      </c>
      <c r="C4297" t="s">
        <v>40</v>
      </c>
      <c r="D4297">
        <v>5.1438480000000002</v>
      </c>
      <c r="E4297">
        <v>0.40663899999999997</v>
      </c>
      <c r="F4297" t="s">
        <v>41</v>
      </c>
      <c r="G4297">
        <v>-201.59299999999999</v>
      </c>
      <c r="H4297">
        <v>1.0308310000000001</v>
      </c>
      <c r="I4297">
        <v>-56.916789999999999</v>
      </c>
      <c r="J4297">
        <v>-201.88579999999999</v>
      </c>
      <c r="K4297">
        <v>1.117917</v>
      </c>
      <c r="L4297">
        <v>-57.655360000000002</v>
      </c>
      <c r="M4297">
        <v>0.85057070000000001</v>
      </c>
      <c r="N4297">
        <v>0</v>
      </c>
      <c r="O4297">
        <v>0.52549729999999995</v>
      </c>
      <c r="P4297">
        <v>0.65738149999999995</v>
      </c>
      <c r="Q4297">
        <v>4.7330650000000002E-2</v>
      </c>
      <c r="R4297">
        <v>0.75207009999999996</v>
      </c>
      <c r="S4297">
        <v>1.458099</v>
      </c>
      <c r="T4297">
        <v>-0.28342499999999998</v>
      </c>
      <c r="U4297">
        <v>2.7409059999999998</v>
      </c>
      <c r="V4297">
        <v>-0.296222599999999</v>
      </c>
      <c r="W4297">
        <v>5.6693479999999997E-2</v>
      </c>
      <c r="X4297">
        <v>0.95343480000000003</v>
      </c>
      <c r="Y4297">
        <v>-0.50411830000000002</v>
      </c>
      <c r="Z4297">
        <v>-2.690414E-2</v>
      </c>
      <c r="AA4297">
        <v>0.86321539999999997</v>
      </c>
      <c r="AB4297">
        <v>31</v>
      </c>
      <c r="AC4297">
        <v>0.29279999999999901</v>
      </c>
      <c r="AD4297">
        <v>-8.7085999999999997E-2</v>
      </c>
      <c r="AE4297">
        <v>0.73856999999999495</v>
      </c>
      <c r="AF4297">
        <v>-0.468798499782492</v>
      </c>
      <c r="AG4297">
        <v>-8.7085999999999997E-2</v>
      </c>
      <c r="AH4297">
        <v>0.62971942543867099</v>
      </c>
      <c r="AI4297">
        <v>96.329893437256004</v>
      </c>
      <c r="AJ4297">
        <v>126.666067051026</v>
      </c>
      <c r="AK4297">
        <v>0.78987502781713903</v>
      </c>
      <c r="AL4297">
        <v>86.749960095284607</v>
      </c>
      <c r="AM4297">
        <v>107.25949392710299</v>
      </c>
      <c r="AN4297">
        <v>0.999999948638153</v>
      </c>
    </row>
    <row r="4298" spans="1:40" x14ac:dyDescent="0.3">
      <c r="A4298" t="str">
        <f>"20200111154004079"</f>
        <v>20200111154004079</v>
      </c>
      <c r="B4298" t="str">
        <f>"1578728404075391"</f>
        <v>1578728404075391</v>
      </c>
      <c r="C4298" t="s">
        <v>40</v>
      </c>
      <c r="D4298">
        <v>5.1991719999999999</v>
      </c>
      <c r="E4298">
        <v>0.40729880000000002</v>
      </c>
      <c r="F4298" t="s">
        <v>41</v>
      </c>
      <c r="G4298">
        <v>-201.40520000000001</v>
      </c>
      <c r="H4298">
        <v>1.024027</v>
      </c>
      <c r="I4298">
        <v>-56.73471</v>
      </c>
      <c r="J4298">
        <v>-201.6738</v>
      </c>
      <c r="K4298">
        <v>1.1178669999999999</v>
      </c>
      <c r="L4298">
        <v>-57.510129999999997</v>
      </c>
      <c r="M4298">
        <v>0.84369899999999998</v>
      </c>
      <c r="N4298">
        <v>0</v>
      </c>
      <c r="O4298">
        <v>0.53646050000000001</v>
      </c>
      <c r="P4298">
        <v>0.64823769999999903</v>
      </c>
      <c r="Q4298">
        <v>4.8525730000000003E-2</v>
      </c>
      <c r="R4298">
        <v>0.75989030000000002</v>
      </c>
      <c r="S4298">
        <v>1.4362490000000001</v>
      </c>
      <c r="T4298">
        <v>-0.28056569999999997</v>
      </c>
      <c r="U4298">
        <v>2.7511899999999998</v>
      </c>
      <c r="V4298">
        <v>-0.29537989999999997</v>
      </c>
      <c r="W4298">
        <v>5.7964069999999999E-2</v>
      </c>
      <c r="X4298">
        <v>0.95361989999999996</v>
      </c>
      <c r="Y4298">
        <v>-0.49968960000000001</v>
      </c>
      <c r="Z4298">
        <v>-2.800772E-2</v>
      </c>
      <c r="AA4298">
        <v>0.86575159999999995</v>
      </c>
      <c r="AB4298">
        <v>31</v>
      </c>
      <c r="AC4298">
        <v>0.26859999999999201</v>
      </c>
      <c r="AD4298">
        <v>-9.3839999999999896E-2</v>
      </c>
      <c r="AE4298">
        <v>0.77542000000000399</v>
      </c>
      <c r="AF4298">
        <v>-0.50363948598155195</v>
      </c>
      <c r="AG4298">
        <v>-9.3839999999999896E-2</v>
      </c>
      <c r="AH4298">
        <v>0.63442654248749697</v>
      </c>
      <c r="AI4298">
        <v>96.6081137801892</v>
      </c>
      <c r="AJ4298">
        <v>128.444302207758</v>
      </c>
      <c r="AK4298">
        <v>0.81544816834204903</v>
      </c>
      <c r="AL4298">
        <v>86.677040940241596</v>
      </c>
      <c r="AM4298">
        <v>107.21015533127201</v>
      </c>
      <c r="AN4298">
        <v>1.0000000162054901</v>
      </c>
    </row>
    <row r="4299" spans="1:40" x14ac:dyDescent="0.3">
      <c r="A4299" t="str">
        <f>"20200111154004103"</f>
        <v>20200111154004103</v>
      </c>
      <c r="B4299" t="str">
        <f>"1578728404094911"</f>
        <v>1578728404094911</v>
      </c>
      <c r="C4299" t="s">
        <v>40</v>
      </c>
      <c r="D4299">
        <v>5.2909620000000004</v>
      </c>
      <c r="E4299">
        <v>0.42559900000000001</v>
      </c>
      <c r="F4299" t="s">
        <v>41</v>
      </c>
      <c r="G4299">
        <v>-201.19730000000001</v>
      </c>
      <c r="H4299">
        <v>1.0248549999999901</v>
      </c>
      <c r="I4299">
        <v>-56.574210000000001</v>
      </c>
      <c r="J4299">
        <v>-201.40379999999999</v>
      </c>
      <c r="K4299">
        <v>1.117783</v>
      </c>
      <c r="L4299">
        <v>-57.319090000000003</v>
      </c>
      <c r="M4299">
        <v>0.83467329999999995</v>
      </c>
      <c r="N4299">
        <v>0</v>
      </c>
      <c r="O4299">
        <v>0.55039859999999996</v>
      </c>
      <c r="P4299">
        <v>0.63598140000000003</v>
      </c>
      <c r="Q4299">
        <v>5.0716940000000002E-2</v>
      </c>
      <c r="R4299">
        <v>0.77003599999999905</v>
      </c>
      <c r="S4299">
        <v>1.4071659999999999</v>
      </c>
      <c r="T4299">
        <v>-0.27476070000000002</v>
      </c>
      <c r="U4299">
        <v>2.7650760000000001</v>
      </c>
      <c r="V4299">
        <v>-0.29475519999999999</v>
      </c>
      <c r="W4299">
        <v>6.0240309999999998E-2</v>
      </c>
      <c r="X4299">
        <v>0.95367210000000002</v>
      </c>
      <c r="Y4299">
        <v>-0.49433470000000002</v>
      </c>
      <c r="Z4299">
        <v>-2.9127210000000001E-2</v>
      </c>
      <c r="AA4299">
        <v>0.86878349999999904</v>
      </c>
      <c r="AB4299">
        <v>31</v>
      </c>
      <c r="AC4299">
        <v>0.20649999999997701</v>
      </c>
      <c r="AD4299">
        <v>-9.2928000000000094E-2</v>
      </c>
      <c r="AE4299">
        <v>0.74488000000000198</v>
      </c>
      <c r="AF4299">
        <v>-0.500931120326089</v>
      </c>
      <c r="AG4299">
        <v>-9.2928000000000094E-2</v>
      </c>
      <c r="AH4299">
        <v>0.574153811755026</v>
      </c>
      <c r="AI4299">
        <v>96.95339647918</v>
      </c>
      <c r="AJ4299">
        <v>131.10367337497399</v>
      </c>
      <c r="AK4299">
        <v>0.76760680041801099</v>
      </c>
      <c r="AL4299">
        <v>86.546393528057806</v>
      </c>
      <c r="AM4299">
        <v>107.175016501795</v>
      </c>
      <c r="AN4299">
        <v>0.99999999859717204</v>
      </c>
    </row>
    <row r="4300" spans="1:40" x14ac:dyDescent="0.3">
      <c r="A4300" t="str">
        <f>"20200111154004126"</f>
        <v>20200111154004126</v>
      </c>
      <c r="B4300" t="str">
        <f>"1578728404115406"</f>
        <v>1578728404115406</v>
      </c>
      <c r="C4300" t="s">
        <v>40</v>
      </c>
      <c r="D4300">
        <v>5.3228540000000004</v>
      </c>
      <c r="E4300">
        <v>0.42614059999999998</v>
      </c>
      <c r="F4300" t="s">
        <v>41</v>
      </c>
      <c r="G4300">
        <v>-200.93610000000001</v>
      </c>
      <c r="H4300">
        <v>1.0244139999999999</v>
      </c>
      <c r="I4300">
        <v>-56.46611</v>
      </c>
      <c r="J4300">
        <v>-201.1609</v>
      </c>
      <c r="K4300">
        <v>1.117696</v>
      </c>
      <c r="L4300">
        <v>-57.141449999999999</v>
      </c>
      <c r="M4300">
        <v>0.82628889999999999</v>
      </c>
      <c r="N4300">
        <v>0</v>
      </c>
      <c r="O4300">
        <v>0.56290759999999995</v>
      </c>
      <c r="P4300">
        <v>0.62471219999999905</v>
      </c>
      <c r="Q4300">
        <v>5.2191469999999997E-2</v>
      </c>
      <c r="R4300">
        <v>0.77910889999999999</v>
      </c>
      <c r="S4300">
        <v>1.4775700000000001</v>
      </c>
      <c r="T4300">
        <v>-0.29498059999999998</v>
      </c>
      <c r="U4300">
        <v>2.6950069999999999</v>
      </c>
      <c r="V4300">
        <v>-0.294214799999999</v>
      </c>
      <c r="W4300">
        <v>6.1795719999999998E-2</v>
      </c>
      <c r="X4300">
        <v>0.95373949999999996</v>
      </c>
      <c r="Y4300">
        <v>-0.45418259999999999</v>
      </c>
      <c r="Z4300">
        <v>-3.487821E-2</v>
      </c>
      <c r="AA4300">
        <v>0.89022559999999995</v>
      </c>
      <c r="AB4300">
        <v>31</v>
      </c>
      <c r="AC4300">
        <v>0.22479999999998701</v>
      </c>
      <c r="AD4300">
        <v>-9.3282000000000004E-2</v>
      </c>
      <c r="AE4300">
        <v>0.67533999999999805</v>
      </c>
      <c r="AF4300">
        <v>-0.424279397241484</v>
      </c>
      <c r="AG4300">
        <v>-9.3282000000000004E-2</v>
      </c>
      <c r="AH4300">
        <v>0.55645430898572701</v>
      </c>
      <c r="AI4300">
        <v>97.593161984659801</v>
      </c>
      <c r="AJ4300">
        <v>127.32441272185601</v>
      </c>
      <c r="AK4300">
        <v>0.70594329548227897</v>
      </c>
      <c r="AL4300">
        <v>86.457108893549204</v>
      </c>
      <c r="AM4300">
        <v>107.14423540701701</v>
      </c>
      <c r="AN4300">
        <v>1.0000000467048</v>
      </c>
    </row>
    <row r="4301" spans="1:40" x14ac:dyDescent="0.3">
      <c r="A4301" t="str">
        <f>"20200111154004147"</f>
        <v>20200111154004147</v>
      </c>
      <c r="B4301" t="str">
        <f>"1578728404134927"</f>
        <v>1578728404134927</v>
      </c>
      <c r="C4301" t="s">
        <v>40</v>
      </c>
      <c r="D4301">
        <v>5.2925509999999996</v>
      </c>
      <c r="E4301">
        <v>0.42685990000000001</v>
      </c>
      <c r="F4301" t="s">
        <v>41</v>
      </c>
      <c r="G4301">
        <v>-200.72020000000001</v>
      </c>
      <c r="H4301">
        <v>1.028661</v>
      </c>
      <c r="I4301">
        <v>-56.312550000000002</v>
      </c>
      <c r="J4301">
        <v>-200.94030000000001</v>
      </c>
      <c r="K4301">
        <v>1.1175919999999999</v>
      </c>
      <c r="L4301">
        <v>-56.975160000000002</v>
      </c>
      <c r="M4301">
        <v>0.81845909999999999</v>
      </c>
      <c r="N4301">
        <v>0</v>
      </c>
      <c r="O4301">
        <v>0.57423310000000005</v>
      </c>
      <c r="P4301">
        <v>0.61451979999999995</v>
      </c>
      <c r="Q4301">
        <v>5.1710109999999997E-2</v>
      </c>
      <c r="R4301">
        <v>0.78720489999999999</v>
      </c>
      <c r="S4301">
        <v>1.4421539999999999</v>
      </c>
      <c r="T4301">
        <v>-0.29144949999999997</v>
      </c>
      <c r="U4301">
        <v>2.7137150000000001</v>
      </c>
      <c r="V4301">
        <v>-0.29348819999999998</v>
      </c>
      <c r="W4301">
        <v>6.1401650000000002E-2</v>
      </c>
      <c r="X4301">
        <v>0.95398870000000002</v>
      </c>
      <c r="Y4301">
        <v>-0.45354519999999998</v>
      </c>
      <c r="Z4301">
        <v>-3.5744100000000001E-2</v>
      </c>
      <c r="AA4301">
        <v>0.89051619999999998</v>
      </c>
      <c r="AB4301">
        <v>31</v>
      </c>
      <c r="AC4301">
        <v>0.22010000000000199</v>
      </c>
      <c r="AD4301">
        <v>-8.8930999999999802E-2</v>
      </c>
      <c r="AE4301">
        <v>0.66260999999999304</v>
      </c>
      <c r="AF4301">
        <v>-0.40936849847758799</v>
      </c>
      <c r="AG4301">
        <v>-8.8930999999999802E-2</v>
      </c>
      <c r="AH4301">
        <v>0.55179050545280495</v>
      </c>
      <c r="AI4301">
        <v>97.375159607712007</v>
      </c>
      <c r="AJ4301">
        <v>126.57139302664901</v>
      </c>
      <c r="AK4301">
        <v>0.69279437946237499</v>
      </c>
      <c r="AL4301">
        <v>86.479730103528397</v>
      </c>
      <c r="AM4301">
        <v>107.10016210169</v>
      </c>
      <c r="AN4301">
        <v>0.99999996294482496</v>
      </c>
    </row>
    <row r="4302" spans="1:40" x14ac:dyDescent="0.3">
      <c r="A4302" t="str">
        <f>"20200111154004172"</f>
        <v>20200111154004172</v>
      </c>
      <c r="B4302" t="str">
        <f>"1578728404165183"</f>
        <v>1578728404165183</v>
      </c>
      <c r="C4302" t="s">
        <v>40</v>
      </c>
      <c r="D4302">
        <v>5.3024950000000004</v>
      </c>
      <c r="E4302">
        <v>0.42860999999999999</v>
      </c>
      <c r="F4302" t="s">
        <v>41</v>
      </c>
      <c r="G4302">
        <v>-200.51329999999999</v>
      </c>
      <c r="H4302">
        <v>1.0275700000000001</v>
      </c>
      <c r="I4302">
        <v>-56.149439999999998</v>
      </c>
      <c r="J4302">
        <v>-200.6806</v>
      </c>
      <c r="K4302">
        <v>1.1174649999999999</v>
      </c>
      <c r="L4302">
        <v>-56.773380000000003</v>
      </c>
      <c r="M4302">
        <v>0.80898149999999902</v>
      </c>
      <c r="N4302">
        <v>0</v>
      </c>
      <c r="O4302">
        <v>0.58751070000000005</v>
      </c>
      <c r="P4302">
        <v>0.60267280000000001</v>
      </c>
      <c r="Q4302">
        <v>5.1140079999999997E-2</v>
      </c>
      <c r="R4302">
        <v>0.7963481</v>
      </c>
      <c r="S4302">
        <v>1.411316</v>
      </c>
      <c r="T4302">
        <v>-0.29750710000000002</v>
      </c>
      <c r="U4302">
        <v>2.72879</v>
      </c>
      <c r="V4302">
        <v>-0.2921878</v>
      </c>
      <c r="W4302">
        <v>6.094712E-2</v>
      </c>
      <c r="X4302">
        <v>0.95441699999999996</v>
      </c>
      <c r="Y4302">
        <v>-0.44900240000000002</v>
      </c>
      <c r="Z4302">
        <v>-3.8203620000000001E-2</v>
      </c>
      <c r="AA4302">
        <v>0.89271350000000005</v>
      </c>
      <c r="AB4302">
        <v>31</v>
      </c>
      <c r="AC4302">
        <v>0.167300000000011</v>
      </c>
      <c r="AD4302">
        <v>-8.9894999999999795E-2</v>
      </c>
      <c r="AE4302">
        <v>0.62393999999999705</v>
      </c>
      <c r="AF4302">
        <v>-0.39881924545195502</v>
      </c>
      <c r="AG4302">
        <v>-8.9894999999999795E-2</v>
      </c>
      <c r="AH4302">
        <v>0.49247238878171201</v>
      </c>
      <c r="AI4302">
        <v>98.073855310307707</v>
      </c>
      <c r="AJ4302">
        <v>129.00161385125</v>
      </c>
      <c r="AK4302">
        <v>0.64005230667519097</v>
      </c>
      <c r="AL4302">
        <v>86.505821877588602</v>
      </c>
      <c r="AM4302">
        <v>107.02158663513799</v>
      </c>
      <c r="AN4302">
        <v>1.00000003589706</v>
      </c>
    </row>
    <row r="4303" spans="1:40" x14ac:dyDescent="0.3">
      <c r="A4303" t="str">
        <f>"20200111154004194"</f>
        <v>20200111154004194</v>
      </c>
      <c r="B4303" t="str">
        <f>"1578728404185679"</f>
        <v>1578728404185679</v>
      </c>
      <c r="C4303" t="s">
        <v>40</v>
      </c>
      <c r="D4303">
        <v>5.3316619999999997</v>
      </c>
      <c r="E4303">
        <v>0.42963129999999999</v>
      </c>
      <c r="F4303" t="s">
        <v>66</v>
      </c>
      <c r="G4303">
        <v>-195.63669999999999</v>
      </c>
      <c r="H4303" s="1">
        <v>-4.1478719999999998E-6</v>
      </c>
      <c r="I4303">
        <v>-46.766330000000004</v>
      </c>
      <c r="J4303">
        <v>-200.45160000000001</v>
      </c>
      <c r="K4303">
        <v>1.1173379999999999</v>
      </c>
      <c r="L4303">
        <v>-56.58963</v>
      </c>
      <c r="M4303">
        <v>0.80038920000000002</v>
      </c>
      <c r="N4303">
        <v>0</v>
      </c>
      <c r="O4303">
        <v>0.59916459999999905</v>
      </c>
      <c r="P4303">
        <v>0.59271529999999994</v>
      </c>
      <c r="Q4303">
        <v>5.0802220000000002E-2</v>
      </c>
      <c r="R4303">
        <v>0.80380819999999997</v>
      </c>
      <c r="S4303">
        <v>1.3816679999999999</v>
      </c>
      <c r="T4303">
        <v>-0.3061063</v>
      </c>
      <c r="U4303">
        <v>2.7412109999999998</v>
      </c>
      <c r="V4303">
        <v>-0.29022949999999997</v>
      </c>
      <c r="W4303">
        <v>6.07339E-2</v>
      </c>
      <c r="X4303">
        <v>0.95502790000000004</v>
      </c>
      <c r="Y4303">
        <v>-0.44543719999999998</v>
      </c>
      <c r="Z4303">
        <v>-4.0857839999999999E-2</v>
      </c>
      <c r="AA4303">
        <v>0.89438039999999996</v>
      </c>
      <c r="AB4303">
        <v>30</v>
      </c>
      <c r="AC4303">
        <v>4.8149000000000202</v>
      </c>
      <c r="AD4303">
        <v>-1.117342147872</v>
      </c>
      <c r="AE4303">
        <v>9.8233000000000104</v>
      </c>
      <c r="AF4303">
        <v>-4.9270916622100902</v>
      </c>
      <c r="AG4303">
        <v>-1.117342147872</v>
      </c>
      <c r="AH4303">
        <v>9.6408443207365302</v>
      </c>
      <c r="AI4303">
        <v>95.892089308508503</v>
      </c>
      <c r="AJ4303">
        <v>117.069955098558</v>
      </c>
      <c r="AK4303">
        <v>10.884418447483</v>
      </c>
      <c r="AL4303">
        <v>86.518061134339504</v>
      </c>
      <c r="AM4303">
        <v>106.903835734596</v>
      </c>
      <c r="AN4303">
        <v>1.00000002952893</v>
      </c>
    </row>
    <row r="4304" spans="1:40" x14ac:dyDescent="0.3">
      <c r="A4304" t="str">
        <f>"20200111154004217"</f>
        <v>20200111154004217</v>
      </c>
      <c r="B4304" t="str">
        <f>"1578728404205201"</f>
        <v>1578728404205201</v>
      </c>
      <c r="C4304" t="s">
        <v>40</v>
      </c>
      <c r="D4304">
        <v>5.2623509999999998</v>
      </c>
      <c r="E4304">
        <v>0.4556808</v>
      </c>
      <c r="F4304" t="s">
        <v>66</v>
      </c>
      <c r="G4304">
        <v>-195.553</v>
      </c>
      <c r="H4304" s="1">
        <v>-4.2028410000000003E-6</v>
      </c>
      <c r="I4304">
        <v>-46.627490000000002</v>
      </c>
      <c r="J4304">
        <v>-200.22579999999999</v>
      </c>
      <c r="K4304">
        <v>1.1171990000000001</v>
      </c>
      <c r="L4304">
        <v>-56.402799999999999</v>
      </c>
      <c r="M4304">
        <v>0.7917151</v>
      </c>
      <c r="N4304">
        <v>0</v>
      </c>
      <c r="O4304">
        <v>0.61058190000000001</v>
      </c>
      <c r="P4304">
        <v>0.58321199999999995</v>
      </c>
      <c r="Q4304">
        <v>4.9914229999999997E-2</v>
      </c>
      <c r="R4304">
        <v>0.81078509999999904</v>
      </c>
      <c r="S4304">
        <v>1.3538969999999999</v>
      </c>
      <c r="T4304">
        <v>-0.30882009999999899</v>
      </c>
      <c r="U4304">
        <v>2.7534179999999999</v>
      </c>
      <c r="V4304">
        <v>-0.28776869999999999</v>
      </c>
      <c r="W4304">
        <v>5.9989960000000002E-2</v>
      </c>
      <c r="X4304">
        <v>0.95581919999999998</v>
      </c>
      <c r="Y4304">
        <v>-0.44147520000000001</v>
      </c>
      <c r="Z4304">
        <v>-4.2769979999999999E-2</v>
      </c>
      <c r="AA4304">
        <v>0.89625359999999998</v>
      </c>
      <c r="AB4304">
        <v>30</v>
      </c>
      <c r="AC4304">
        <v>4.6727999999999899</v>
      </c>
      <c r="AD4304">
        <v>-1.1172032028409999</v>
      </c>
      <c r="AE4304">
        <v>9.7753099999999904</v>
      </c>
      <c r="AF4304">
        <v>-4.8356406608441098</v>
      </c>
      <c r="AG4304">
        <v>-1.1172032028409999</v>
      </c>
      <c r="AH4304">
        <v>9.5682440245237501</v>
      </c>
      <c r="AI4304">
        <v>95.949280663168196</v>
      </c>
      <c r="AJ4304">
        <v>116.811319081617</v>
      </c>
      <c r="AK4304">
        <v>10.7788152090144</v>
      </c>
      <c r="AL4304">
        <v>86.560763456641396</v>
      </c>
      <c r="AM4304">
        <v>106.75548386989701</v>
      </c>
      <c r="AN4304">
        <v>0.99999998154456504</v>
      </c>
    </row>
    <row r="4305" spans="1:40" x14ac:dyDescent="0.3">
      <c r="A4305" t="str">
        <f>"20200111154004261"</f>
        <v>20200111154004261</v>
      </c>
      <c r="B4305" t="str">
        <f>"1578728404254975"</f>
        <v>1578728404254975</v>
      </c>
      <c r="C4305" t="s">
        <v>40</v>
      </c>
      <c r="D4305">
        <v>5.5116300000000003</v>
      </c>
      <c r="E4305">
        <v>0.46459610000000001</v>
      </c>
      <c r="F4305" t="s">
        <v>66</v>
      </c>
      <c r="G4305">
        <v>-194.4528</v>
      </c>
      <c r="H4305" s="1">
        <v>-4.2543540000000003E-6</v>
      </c>
      <c r="I4305">
        <v>-46.135910000000003</v>
      </c>
      <c r="J4305">
        <v>-199.77670000000001</v>
      </c>
      <c r="K4305">
        <v>1.116889</v>
      </c>
      <c r="L4305">
        <v>-56.014400000000002</v>
      </c>
      <c r="M4305">
        <v>0.77382419999999996</v>
      </c>
      <c r="N4305">
        <v>0</v>
      </c>
      <c r="O4305">
        <v>0.633108</v>
      </c>
      <c r="P4305">
        <v>0.564666</v>
      </c>
      <c r="Q4305">
        <v>4.880172E-2</v>
      </c>
      <c r="R4305">
        <v>0.82387540000000004</v>
      </c>
      <c r="S4305">
        <v>1.4884949999999999</v>
      </c>
      <c r="T4305">
        <v>-0.28805649999999999</v>
      </c>
      <c r="U4305">
        <v>2.647186</v>
      </c>
      <c r="V4305">
        <v>-0.28191850000000002</v>
      </c>
      <c r="W4305">
        <v>5.91227E-2</v>
      </c>
      <c r="X4305">
        <v>0.95761499999999999</v>
      </c>
      <c r="Y4305">
        <v>-0.36491170000000001</v>
      </c>
      <c r="Z4305">
        <v>-4.6040379999999999E-2</v>
      </c>
      <c r="AA4305">
        <v>0.92990309999999998</v>
      </c>
      <c r="AB4305">
        <v>30</v>
      </c>
      <c r="AC4305">
        <v>5.3239000000000001</v>
      </c>
      <c r="AD4305">
        <v>-1.116893254354</v>
      </c>
      <c r="AE4305">
        <v>9.8784899999999993</v>
      </c>
      <c r="AF4305">
        <v>-4.2324755584539098</v>
      </c>
      <c r="AG4305">
        <v>-1.116893254354</v>
      </c>
      <c r="AH4305">
        <v>10.2740602307943</v>
      </c>
      <c r="AI4305">
        <v>95.739803935323394</v>
      </c>
      <c r="AJ4305">
        <v>112.389576411112</v>
      </c>
      <c r="AK4305">
        <v>11.167704039798</v>
      </c>
      <c r="AL4305">
        <v>86.610542257585195</v>
      </c>
      <c r="AM4305">
        <v>106.404244019204</v>
      </c>
      <c r="AN4305">
        <v>1.0000000112612699</v>
      </c>
    </row>
    <row r="4306" spans="1:40" x14ac:dyDescent="0.3">
      <c r="A4306" t="str">
        <f>"20200111154004284"</f>
        <v>20200111154004284</v>
      </c>
      <c r="B4306" t="str">
        <f>"1578728404275471"</f>
        <v>1578728404275471</v>
      </c>
      <c r="C4306" t="s">
        <v>40</v>
      </c>
      <c r="D4306">
        <v>5.2494239999999897</v>
      </c>
      <c r="E4306">
        <v>0.46535840000000001</v>
      </c>
      <c r="F4306" t="s">
        <v>66</v>
      </c>
      <c r="G4306">
        <v>-193.45079999999999</v>
      </c>
      <c r="H4306" s="1">
        <v>-4.7392920000000003E-6</v>
      </c>
      <c r="I4306">
        <v>-44.772350000000003</v>
      </c>
      <c r="J4306">
        <v>-199.55799999999999</v>
      </c>
      <c r="K4306">
        <v>1.116727</v>
      </c>
      <c r="L4306">
        <v>-55.8170199999999</v>
      </c>
      <c r="M4306">
        <v>0.76481779999999999</v>
      </c>
      <c r="N4306">
        <v>0</v>
      </c>
      <c r="O4306">
        <v>0.64396239999999905</v>
      </c>
      <c r="P4306">
        <v>0.55521369999999903</v>
      </c>
      <c r="Q4306">
        <v>4.9219939999999997E-2</v>
      </c>
      <c r="R4306">
        <v>0.83025000000000004</v>
      </c>
      <c r="S4306">
        <v>1.485001</v>
      </c>
      <c r="T4306">
        <v>-0.26219049999999999</v>
      </c>
      <c r="U4306">
        <v>2.6390690000000001</v>
      </c>
      <c r="V4306">
        <v>-0.2793177</v>
      </c>
      <c r="W4306">
        <v>5.9631549999999998E-2</v>
      </c>
      <c r="X4306">
        <v>0.95834529999999996</v>
      </c>
      <c r="Y4306">
        <v>-0.3513985</v>
      </c>
      <c r="Z4306">
        <v>-4.362775E-2</v>
      </c>
      <c r="AA4306">
        <v>0.93520890000000001</v>
      </c>
      <c r="AB4306">
        <v>30</v>
      </c>
      <c r="AC4306">
        <v>6.1071999999999997</v>
      </c>
      <c r="AD4306">
        <v>-1.116731739292</v>
      </c>
      <c r="AE4306">
        <v>11.044669999999901</v>
      </c>
      <c r="AF4306">
        <v>-4.4801031704826002</v>
      </c>
      <c r="AG4306">
        <v>-1.116731739292</v>
      </c>
      <c r="AH4306">
        <v>11.6938493407963</v>
      </c>
      <c r="AI4306">
        <v>95.095971882944397</v>
      </c>
      <c r="AJ4306">
        <v>110.962645910061</v>
      </c>
      <c r="AK4306">
        <v>12.5723715583398</v>
      </c>
      <c r="AL4306">
        <v>86.581335753156694</v>
      </c>
      <c r="AM4306">
        <v>106.249201985919</v>
      </c>
      <c r="AN4306">
        <v>1.00000000666039</v>
      </c>
    </row>
    <row r="4307" spans="1:40" x14ac:dyDescent="0.3">
      <c r="A4307" t="str">
        <f>"20200111154004306"</f>
        <v>20200111154004306</v>
      </c>
      <c r="B4307" t="str">
        <f>"1578728404294992"</f>
        <v>1578728404294992</v>
      </c>
      <c r="C4307" t="s">
        <v>40</v>
      </c>
      <c r="D4307">
        <v>5.2858960000000002</v>
      </c>
      <c r="E4307">
        <v>0.46596460000000001</v>
      </c>
      <c r="F4307" t="s">
        <v>66</v>
      </c>
      <c r="G4307">
        <v>-193.16470000000001</v>
      </c>
      <c r="H4307" s="1">
        <v>-4.9554479999999997E-6</v>
      </c>
      <c r="I4307">
        <v>-44.198990000000002</v>
      </c>
      <c r="J4307">
        <v>-199.33799999999999</v>
      </c>
      <c r="K4307">
        <v>1.1165419999999999</v>
      </c>
      <c r="L4307">
        <v>-55.612920000000003</v>
      </c>
      <c r="M4307">
        <v>0.75558110000000001</v>
      </c>
      <c r="N4307">
        <v>0</v>
      </c>
      <c r="O4307">
        <v>0.65477929999999995</v>
      </c>
      <c r="P4307">
        <v>0.54535509999999998</v>
      </c>
      <c r="Q4307">
        <v>4.9510579999999998E-2</v>
      </c>
      <c r="R4307">
        <v>0.83674159999999997</v>
      </c>
      <c r="S4307">
        <v>1.459579</v>
      </c>
      <c r="T4307">
        <v>-0.25495079999999998</v>
      </c>
      <c r="U4307">
        <v>2.6524049999999999</v>
      </c>
      <c r="V4307">
        <v>-0.27698339999999999</v>
      </c>
      <c r="W4307">
        <v>5.999376E-2</v>
      </c>
      <c r="X4307">
        <v>0.95899999999999996</v>
      </c>
      <c r="Y4307">
        <v>-0.34693859999999999</v>
      </c>
      <c r="Z4307">
        <v>-4.3643399999999999E-2</v>
      </c>
      <c r="AA4307">
        <v>0.93687189999999998</v>
      </c>
      <c r="AB4307">
        <v>30</v>
      </c>
      <c r="AC4307">
        <v>6.1732999999999798</v>
      </c>
      <c r="AD4307">
        <v>-1.1165469554480001</v>
      </c>
      <c r="AE4307">
        <v>11.413929999999899</v>
      </c>
      <c r="AF4307">
        <v>-4.5491484438549596</v>
      </c>
      <c r="AG4307">
        <v>-1.1165469554480001</v>
      </c>
      <c r="AH4307">
        <v>12.051005937839101</v>
      </c>
      <c r="AI4307">
        <v>94.954092477211503</v>
      </c>
      <c r="AJ4307">
        <v>110.68107932844001</v>
      </c>
      <c r="AK4307">
        <v>12.9293531463017</v>
      </c>
      <c r="AL4307">
        <v>86.560545498266606</v>
      </c>
      <c r="AM4307">
        <v>106.11005198634901</v>
      </c>
      <c r="AN4307">
        <v>1.00000002755724</v>
      </c>
    </row>
    <row r="4308" spans="1:40" x14ac:dyDescent="0.3">
      <c r="A4308" t="str">
        <f>"20200111154004328"</f>
        <v>20200111154004328</v>
      </c>
      <c r="B4308" t="str">
        <f>"1578728404325246"</f>
        <v>1578728404325246</v>
      </c>
      <c r="C4308" t="s">
        <v>40</v>
      </c>
      <c r="D4308">
        <v>5.2879230000000002</v>
      </c>
      <c r="E4308">
        <v>0.46679399999999999</v>
      </c>
      <c r="F4308" t="s">
        <v>66</v>
      </c>
      <c r="G4308">
        <v>-192.97460000000001</v>
      </c>
      <c r="H4308" s="1">
        <v>-5.1225770000000003E-6</v>
      </c>
      <c r="I4308">
        <v>-43.767530000000001</v>
      </c>
      <c r="J4308">
        <v>-199.13579999999999</v>
      </c>
      <c r="K4308">
        <v>1.1163449999999999</v>
      </c>
      <c r="L4308">
        <v>-55.420259999999999</v>
      </c>
      <c r="M4308">
        <v>0.74695440000000002</v>
      </c>
      <c r="N4308">
        <v>0</v>
      </c>
      <c r="O4308">
        <v>0.66460769999999902</v>
      </c>
      <c r="P4308">
        <v>0.53595689999999996</v>
      </c>
      <c r="Q4308">
        <v>4.955027E-2</v>
      </c>
      <c r="R4308">
        <v>0.84279009999999999</v>
      </c>
      <c r="S4308">
        <v>1.4324950000000001</v>
      </c>
      <c r="T4308">
        <v>-0.25135059999999998</v>
      </c>
      <c r="U4308">
        <v>2.6665649999999999</v>
      </c>
      <c r="V4308">
        <v>-0.27513959999999998</v>
      </c>
      <c r="W4308">
        <v>6.0078960000000001E-2</v>
      </c>
      <c r="X4308">
        <v>0.95952530000000003</v>
      </c>
      <c r="Y4308">
        <v>-0.34413519999999997</v>
      </c>
      <c r="Z4308">
        <v>-4.4073580000000001E-2</v>
      </c>
      <c r="AA4308">
        <v>0.93788510000000003</v>
      </c>
      <c r="AB4308">
        <v>30</v>
      </c>
      <c r="AC4308">
        <v>6.1611999999999796</v>
      </c>
      <c r="AD4308">
        <v>-1.1163501225770001</v>
      </c>
      <c r="AE4308">
        <v>11.652729999999901</v>
      </c>
      <c r="AF4308">
        <v>-4.5772655186940696</v>
      </c>
      <c r="AG4308">
        <v>-1.1163501225770001</v>
      </c>
      <c r="AH4308">
        <v>12.2608820922907</v>
      </c>
      <c r="AI4308">
        <v>94.875497969648507</v>
      </c>
      <c r="AJ4308">
        <v>110.47174443798799</v>
      </c>
      <c r="AK4308">
        <v>13.134946779711701</v>
      </c>
      <c r="AL4308">
        <v>86.555655123408997</v>
      </c>
      <c r="AM4308">
        <v>106.000008149821</v>
      </c>
      <c r="AN4308">
        <v>1.00000004113146</v>
      </c>
    </row>
    <row r="4309" spans="1:40" x14ac:dyDescent="0.3">
      <c r="A4309" t="str">
        <f>"20200111154004351"</f>
        <v>20200111154004351</v>
      </c>
      <c r="B4309" t="str">
        <f>"1578728404345274"</f>
        <v>1578728404345274</v>
      </c>
      <c r="C4309" t="s">
        <v>40</v>
      </c>
      <c r="D4309">
        <v>5.3226789999999999</v>
      </c>
      <c r="E4309">
        <v>0.46746260000000001</v>
      </c>
      <c r="F4309" t="s">
        <v>66</v>
      </c>
      <c r="G4309">
        <v>-192.78229999999999</v>
      </c>
      <c r="H4309" s="1">
        <v>-5.289295E-6</v>
      </c>
      <c r="I4309">
        <v>-43.33616</v>
      </c>
      <c r="J4309">
        <v>-198.92869999999999</v>
      </c>
      <c r="K4309">
        <v>1.1161080000000001</v>
      </c>
      <c r="L4309">
        <v>-55.217829999999999</v>
      </c>
      <c r="M4309">
        <v>0.73801019999999995</v>
      </c>
      <c r="N4309">
        <v>0</v>
      </c>
      <c r="O4309">
        <v>0.67453059999999998</v>
      </c>
      <c r="P4309">
        <v>0.52644349999999995</v>
      </c>
      <c r="Q4309">
        <v>4.8904669999999997E-2</v>
      </c>
      <c r="R4309">
        <v>0.84880239999999996</v>
      </c>
      <c r="S4309">
        <v>1.40831</v>
      </c>
      <c r="T4309">
        <v>-0.2474499</v>
      </c>
      <c r="U4309">
        <v>2.6785580000000002</v>
      </c>
      <c r="V4309">
        <v>-0.27308349999999998</v>
      </c>
      <c r="W4309">
        <v>5.9479700000000003E-2</v>
      </c>
      <c r="X4309">
        <v>0.96014980000000005</v>
      </c>
      <c r="Y4309">
        <v>-0.339956799999999</v>
      </c>
      <c r="Z4309">
        <v>-4.4479650000000003E-2</v>
      </c>
      <c r="AA4309">
        <v>0.93938860000000002</v>
      </c>
      <c r="AB4309">
        <v>30</v>
      </c>
      <c r="AC4309">
        <v>6.1463999999999999</v>
      </c>
      <c r="AD4309">
        <v>-1.1161132892950001</v>
      </c>
      <c r="AE4309">
        <v>11.88167</v>
      </c>
      <c r="AF4309">
        <v>-4.5917032257493</v>
      </c>
      <c r="AG4309">
        <v>-1.1161132892950001</v>
      </c>
      <c r="AH4309">
        <v>12.466071310144001</v>
      </c>
      <c r="AI4309">
        <v>94.802377126883101</v>
      </c>
      <c r="AJ4309">
        <v>110.22057011031499</v>
      </c>
      <c r="AK4309">
        <v>13.3316308566316</v>
      </c>
      <c r="AL4309">
        <v>86.5900516866038</v>
      </c>
      <c r="AM4309">
        <v>105.876684824199</v>
      </c>
      <c r="AN4309">
        <v>1.0000000355621801</v>
      </c>
    </row>
    <row r="4310" spans="1:40" x14ac:dyDescent="0.3">
      <c r="A4310" t="str">
        <f>"20200111154004374"</f>
        <v>20200111154004374</v>
      </c>
      <c r="B4310" t="str">
        <f>"1578728404364794"</f>
        <v>1578728404364794</v>
      </c>
      <c r="C4310" t="s">
        <v>40</v>
      </c>
      <c r="D4310">
        <v>5.1527129999999897</v>
      </c>
      <c r="E4310">
        <v>0.46771099999999999</v>
      </c>
      <c r="F4310" t="s">
        <v>66</v>
      </c>
      <c r="G4310">
        <v>-192.7106</v>
      </c>
      <c r="H4310" s="1">
        <v>-5.3812630000000001E-6</v>
      </c>
      <c r="I4310">
        <v>-43.111319999999999</v>
      </c>
      <c r="J4310">
        <v>-198.71209999999999</v>
      </c>
      <c r="K4310">
        <v>1.11582</v>
      </c>
      <c r="L4310">
        <v>-55.000639999999997</v>
      </c>
      <c r="M4310">
        <v>0.72856189999999998</v>
      </c>
      <c r="N4310">
        <v>0</v>
      </c>
      <c r="O4310">
        <v>0.68473059999999997</v>
      </c>
      <c r="P4310">
        <v>0.51768239999999999</v>
      </c>
      <c r="Q4310">
        <v>4.7885759999999999E-2</v>
      </c>
      <c r="R4310">
        <v>0.85423179999999999</v>
      </c>
      <c r="S4310">
        <v>1.3823240000000001</v>
      </c>
      <c r="T4310">
        <v>-0.24811820000000001</v>
      </c>
      <c r="U4310">
        <v>2.6913450000000001</v>
      </c>
      <c r="V4310">
        <v>-0.26957910000000002</v>
      </c>
      <c r="W4310">
        <v>5.8536249999999998E-2</v>
      </c>
      <c r="X4310">
        <v>0.96119750000000004</v>
      </c>
      <c r="Y4310">
        <v>-0.335893099999999</v>
      </c>
      <c r="Z4310">
        <v>-4.5709680000000003E-2</v>
      </c>
      <c r="AA4310">
        <v>0.94079040000000003</v>
      </c>
      <c r="AB4310">
        <v>30</v>
      </c>
      <c r="AC4310">
        <v>6.0014999999999903</v>
      </c>
      <c r="AD4310">
        <v>-1.1158253812629999</v>
      </c>
      <c r="AE4310">
        <v>11.88932</v>
      </c>
      <c r="AF4310">
        <v>-4.5217325432344699</v>
      </c>
      <c r="AG4310">
        <v>-1.1158253812629999</v>
      </c>
      <c r="AH4310">
        <v>12.4283430238488</v>
      </c>
      <c r="AI4310">
        <v>94.822636264067597</v>
      </c>
      <c r="AJ4310">
        <v>109.992613659113</v>
      </c>
      <c r="AK4310">
        <v>13.272333698052799</v>
      </c>
      <c r="AL4310">
        <v>86.644201656057106</v>
      </c>
      <c r="AM4310">
        <v>105.666774637581</v>
      </c>
      <c r="AN4310">
        <v>1.0000000088635601</v>
      </c>
    </row>
    <row r="4311" spans="1:40" x14ac:dyDescent="0.3">
      <c r="A4311" t="str">
        <f>"20200111154004396"</f>
        <v>20200111154004396</v>
      </c>
      <c r="B4311" t="str">
        <f>"1578728404385290"</f>
        <v>1578728404385290</v>
      </c>
      <c r="C4311" t="s">
        <v>40</v>
      </c>
      <c r="D4311">
        <v>5.2977239999999997</v>
      </c>
      <c r="E4311">
        <v>0.46776289999999998</v>
      </c>
      <c r="F4311" t="s">
        <v>66</v>
      </c>
      <c r="G4311">
        <v>-192.6902</v>
      </c>
      <c r="H4311" s="1">
        <v>-5.4350480000000001E-6</v>
      </c>
      <c r="I4311">
        <v>-42.988050000000001</v>
      </c>
      <c r="J4311">
        <v>-198.51499999999999</v>
      </c>
      <c r="K4311">
        <v>1.1155379999999999</v>
      </c>
      <c r="L4311">
        <v>-54.797759999999997</v>
      </c>
      <c r="M4311">
        <v>0.71993019999999996</v>
      </c>
      <c r="N4311">
        <v>0</v>
      </c>
      <c r="O4311">
        <v>0.69380640000000005</v>
      </c>
      <c r="P4311">
        <v>0.50827529999999999</v>
      </c>
      <c r="Q4311">
        <v>4.7442940000000003E-2</v>
      </c>
      <c r="R4311">
        <v>0.85988679999999995</v>
      </c>
      <c r="S4311">
        <v>1.3557129999999999</v>
      </c>
      <c r="T4311">
        <v>-0.25120700000000001</v>
      </c>
      <c r="U4311">
        <v>2.7044069999999998</v>
      </c>
      <c r="V4311">
        <v>-0.26805030000000002</v>
      </c>
      <c r="W4311">
        <v>5.8093560000000002E-2</v>
      </c>
      <c r="X4311">
        <v>0.96165179999999995</v>
      </c>
      <c r="Y4311">
        <v>-0.33334550000000002</v>
      </c>
      <c r="Z4311">
        <v>-4.7238990000000002E-2</v>
      </c>
      <c r="AA4311">
        <v>0.94162049999999997</v>
      </c>
      <c r="AB4311">
        <v>30</v>
      </c>
      <c r="AC4311">
        <v>5.8247999999999802</v>
      </c>
      <c r="AD4311">
        <v>-1.115543435048</v>
      </c>
      <c r="AE4311">
        <v>11.8097099999999</v>
      </c>
      <c r="AF4311">
        <v>-4.4298347243493996</v>
      </c>
      <c r="AG4311">
        <v>-1.115543435048</v>
      </c>
      <c r="AH4311">
        <v>12.300885106463801</v>
      </c>
      <c r="AI4311">
        <v>94.876887639275793</v>
      </c>
      <c r="AJ4311">
        <v>109.80512762615299</v>
      </c>
      <c r="AK4311">
        <v>13.1217242480915</v>
      </c>
      <c r="AL4311">
        <v>86.669609148467202</v>
      </c>
      <c r="AM4311">
        <v>105.57525142754</v>
      </c>
      <c r="AN4311">
        <v>1.0000000047433999</v>
      </c>
    </row>
    <row r="4312" spans="1:40" x14ac:dyDescent="0.3">
      <c r="A4312" t="str">
        <f>"20200111154004419"</f>
        <v>20200111154004419</v>
      </c>
      <c r="B4312" t="str">
        <f>"1578728404415546"</f>
        <v>1578728404415546</v>
      </c>
      <c r="C4312" t="s">
        <v>40</v>
      </c>
      <c r="D4312">
        <v>5.3084769999999999</v>
      </c>
      <c r="E4312">
        <v>0.47271200000000002</v>
      </c>
      <c r="F4312" t="s">
        <v>66</v>
      </c>
      <c r="G4312">
        <v>-192.68709999999999</v>
      </c>
      <c r="H4312" s="1">
        <v>-5.497467E-6</v>
      </c>
      <c r="I4312">
        <v>-42.852890000000002</v>
      </c>
      <c r="J4312">
        <v>-198.31120000000001</v>
      </c>
      <c r="K4312">
        <v>1.115227</v>
      </c>
      <c r="L4312">
        <v>-54.582729999999998</v>
      </c>
      <c r="M4312">
        <v>0.7109953</v>
      </c>
      <c r="N4312">
        <v>0</v>
      </c>
      <c r="O4312">
        <v>0.7029666</v>
      </c>
      <c r="P4312">
        <v>0.49816359999999899</v>
      </c>
      <c r="Q4312">
        <v>4.74486E-2</v>
      </c>
      <c r="R4312">
        <v>0.86578379999999999</v>
      </c>
      <c r="S4312">
        <v>1.3264769999999999</v>
      </c>
      <c r="T4312">
        <v>-0.25390949999999901</v>
      </c>
      <c r="U4312">
        <v>2.7187809999999999</v>
      </c>
      <c r="V4312">
        <v>-0.26696379999999997</v>
      </c>
      <c r="W4312">
        <v>5.8067840000000003E-2</v>
      </c>
      <c r="X4312">
        <v>0.96195549999999996</v>
      </c>
      <c r="Y4312">
        <v>-0.33145190000000002</v>
      </c>
      <c r="Z4312">
        <v>-4.8701059999999997E-2</v>
      </c>
      <c r="AA4312">
        <v>0.94221440000000001</v>
      </c>
      <c r="AB4312">
        <v>30</v>
      </c>
      <c r="AC4312">
        <v>5.6241000000000199</v>
      </c>
      <c r="AD4312">
        <v>-1.115232497467</v>
      </c>
      <c r="AE4312">
        <v>11.729839999999999</v>
      </c>
      <c r="AF4312">
        <v>-4.3550078547398696</v>
      </c>
      <c r="AG4312">
        <v>-1.115232497467</v>
      </c>
      <c r="AH4312">
        <v>12.157023671695301</v>
      </c>
      <c r="AI4312">
        <v>94.935904693468203</v>
      </c>
      <c r="AJ4312">
        <v>109.70903606510799</v>
      </c>
      <c r="AK4312">
        <v>12.9615994959115</v>
      </c>
      <c r="AL4312">
        <v>86.671085152896893</v>
      </c>
      <c r="AM4312">
        <v>105.51050410735201</v>
      </c>
      <c r="AN4312">
        <v>0.99999996426647697</v>
      </c>
    </row>
    <row r="4313" spans="1:40" x14ac:dyDescent="0.3">
      <c r="A4313" t="str">
        <f>"20200111154004440"</f>
        <v>20200111154004440</v>
      </c>
      <c r="B4313" t="str">
        <f>"1578728404435066"</f>
        <v>1578728404435066</v>
      </c>
      <c r="C4313" t="s">
        <v>40</v>
      </c>
      <c r="D4313">
        <v>5.2616639999999997</v>
      </c>
      <c r="E4313">
        <v>0.47249970000000002</v>
      </c>
      <c r="F4313" t="s">
        <v>66</v>
      </c>
      <c r="G4313">
        <v>-193.2963</v>
      </c>
      <c r="H4313" s="1">
        <v>-4.9053640000000004E-6</v>
      </c>
      <c r="I4313">
        <v>-44.356769999999997</v>
      </c>
      <c r="J4313">
        <v>-198.12209999999999</v>
      </c>
      <c r="K4313">
        <v>1.1149530000000001</v>
      </c>
      <c r="L4313">
        <v>-54.378779999999999</v>
      </c>
      <c r="M4313">
        <v>0.70267579999999996</v>
      </c>
      <c r="N4313">
        <v>0</v>
      </c>
      <c r="O4313">
        <v>0.71128990000000003</v>
      </c>
      <c r="P4313">
        <v>0.48959249999999999</v>
      </c>
      <c r="Q4313">
        <v>4.7107830000000003E-2</v>
      </c>
      <c r="R4313">
        <v>0.8706779</v>
      </c>
      <c r="S4313">
        <v>1.331528</v>
      </c>
      <c r="T4313">
        <v>-0.29611110000000002</v>
      </c>
      <c r="U4313">
        <v>2.7151489999999998</v>
      </c>
      <c r="V4313">
        <v>-0.26509739999999998</v>
      </c>
      <c r="W4313">
        <v>5.7671300000000002E-2</v>
      </c>
      <c r="X4313">
        <v>0.9624954</v>
      </c>
      <c r="Y4313">
        <v>-0.31868679999999999</v>
      </c>
      <c r="Z4313">
        <v>-5.8184140000000002E-2</v>
      </c>
      <c r="AA4313">
        <v>0.94607260000000004</v>
      </c>
      <c r="AB4313">
        <v>29</v>
      </c>
      <c r="AC4313">
        <v>4.8257999999999797</v>
      </c>
      <c r="AD4313">
        <v>-1.114957905364</v>
      </c>
      <c r="AE4313">
        <v>10.02201</v>
      </c>
      <c r="AF4313">
        <v>-3.5743347816986999</v>
      </c>
      <c r="AG4313">
        <v>-1.114957905364</v>
      </c>
      <c r="AH4313">
        <v>10.4165192335869</v>
      </c>
      <c r="AI4313">
        <v>95.781089128360804</v>
      </c>
      <c r="AJ4313">
        <v>108.939196014986</v>
      </c>
      <c r="AK4313">
        <v>11.069005068481999</v>
      </c>
      <c r="AL4313">
        <v>86.693843488692707</v>
      </c>
      <c r="AM4313">
        <v>105.399003887414</v>
      </c>
      <c r="AN4313">
        <v>1.0000000026758</v>
      </c>
    </row>
    <row r="4314" spans="1:40" x14ac:dyDescent="0.3">
      <c r="A4314" t="str">
        <f>"20200111154004463"</f>
        <v>20200111154004463</v>
      </c>
      <c r="B4314" t="str">
        <f>"1578728404455094"</f>
        <v>1578728404455094</v>
      </c>
      <c r="C4314" t="s">
        <v>40</v>
      </c>
      <c r="D4314">
        <v>5.350625</v>
      </c>
      <c r="E4314">
        <v>0.47263090000000002</v>
      </c>
      <c r="F4314" t="s">
        <v>66</v>
      </c>
      <c r="G4314">
        <v>-193.15629999999999</v>
      </c>
      <c r="H4314" s="1">
        <v>-5.0576660000000002E-6</v>
      </c>
      <c r="I4314">
        <v>-43.97634</v>
      </c>
      <c r="J4314">
        <v>-197.92189999999999</v>
      </c>
      <c r="K4314">
        <v>1.114681</v>
      </c>
      <c r="L4314">
        <v>-54.157870000000003</v>
      </c>
      <c r="M4314">
        <v>0.69386639999999999</v>
      </c>
      <c r="N4314">
        <v>0</v>
      </c>
      <c r="O4314">
        <v>0.71989380000000003</v>
      </c>
      <c r="P4314">
        <v>0.48110439999999999</v>
      </c>
      <c r="Q4314">
        <v>4.8415310000000003E-2</v>
      </c>
      <c r="R4314">
        <v>0.87532540000000003</v>
      </c>
      <c r="S4314">
        <v>1.302689</v>
      </c>
      <c r="T4314">
        <v>-0.29249140000000001</v>
      </c>
      <c r="U4314">
        <v>2.7289119999999998</v>
      </c>
      <c r="V4314">
        <v>-0.26253720000000003</v>
      </c>
      <c r="W4314">
        <v>5.8913260000000002E-2</v>
      </c>
      <c r="X4314">
        <v>0.96312169999999997</v>
      </c>
      <c r="Y4314">
        <v>-0.3170115</v>
      </c>
      <c r="Z4314">
        <v>-5.8508110000000002E-2</v>
      </c>
      <c r="AA4314">
        <v>0.94661530000000005</v>
      </c>
      <c r="AB4314">
        <v>29</v>
      </c>
      <c r="AC4314">
        <v>4.7656000000000001</v>
      </c>
      <c r="AD4314">
        <v>-1.114686057666</v>
      </c>
      <c r="AE4314">
        <v>10.181529999999899</v>
      </c>
      <c r="AF4314">
        <v>-3.5990588681951001</v>
      </c>
      <c r="AG4314">
        <v>-1.114686057666</v>
      </c>
      <c r="AH4314">
        <v>10.5343436894509</v>
      </c>
      <c r="AI4314">
        <v>95.718069759433803</v>
      </c>
      <c r="AJ4314">
        <v>108.86273413211001</v>
      </c>
      <c r="AK4314">
        <v>11.187857109892001</v>
      </c>
      <c r="AL4314">
        <v>86.622563137755094</v>
      </c>
      <c r="AM4314">
        <v>105.247789825076</v>
      </c>
      <c r="AN4314">
        <v>0.99999998129927803</v>
      </c>
    </row>
    <row r="4315" spans="1:40" x14ac:dyDescent="0.3">
      <c r="A4315" t="str">
        <f>"20200111154004486"</f>
        <v>20200111154004486</v>
      </c>
      <c r="B4315" t="str">
        <f>"1578728404475589"</f>
        <v>1578728404475589</v>
      </c>
      <c r="C4315" t="s">
        <v>40</v>
      </c>
      <c r="D4315">
        <v>5.647716</v>
      </c>
      <c r="E4315">
        <v>0.47300429999999999</v>
      </c>
      <c r="F4315" t="s">
        <v>66</v>
      </c>
      <c r="G4315">
        <v>-192.9683</v>
      </c>
      <c r="H4315" s="1">
        <v>-5.2352630000000001E-6</v>
      </c>
      <c r="I4315">
        <v>-43.523209999999999</v>
      </c>
      <c r="J4315">
        <v>-197.72229999999999</v>
      </c>
      <c r="K4315">
        <v>1.1144259999999999</v>
      </c>
      <c r="L4315">
        <v>-53.932619999999901</v>
      </c>
      <c r="M4315">
        <v>0.68509449999999905</v>
      </c>
      <c r="N4315">
        <v>0</v>
      </c>
      <c r="O4315">
        <v>0.72825410000000002</v>
      </c>
      <c r="P4315">
        <v>0.47276319999999999</v>
      </c>
      <c r="Q4315">
        <v>5.0539210000000001E-2</v>
      </c>
      <c r="R4315">
        <v>0.87973899999999905</v>
      </c>
      <c r="S4315">
        <v>1.276932</v>
      </c>
      <c r="T4315">
        <v>-0.28733989999999998</v>
      </c>
      <c r="U4315">
        <v>2.7413639999999999</v>
      </c>
      <c r="V4315">
        <v>-0.25993959999999999</v>
      </c>
      <c r="W4315">
        <v>6.0970429999999999E-2</v>
      </c>
      <c r="X4315">
        <v>0.9636981</v>
      </c>
      <c r="Y4315">
        <v>-0.31446279999999999</v>
      </c>
      <c r="Z4315">
        <v>-5.8493980000000001E-2</v>
      </c>
      <c r="AA4315">
        <v>0.94746589999999997</v>
      </c>
      <c r="AB4315">
        <v>29</v>
      </c>
      <c r="AC4315">
        <v>4.7539999999999898</v>
      </c>
      <c r="AD4315">
        <v>-1.1144312352629999</v>
      </c>
      <c r="AE4315">
        <v>10.4094099999999</v>
      </c>
      <c r="AF4315">
        <v>-3.6353675388081998</v>
      </c>
      <c r="AG4315">
        <v>-1.1144312352629999</v>
      </c>
      <c r="AH4315">
        <v>10.7373839969261</v>
      </c>
      <c r="AI4315">
        <v>95.614598890831402</v>
      </c>
      <c r="AJ4315">
        <v>108.704613044353</v>
      </c>
      <c r="AK4315">
        <v>11.390753672070799</v>
      </c>
      <c r="AL4315">
        <v>86.504483728603404</v>
      </c>
      <c r="AM4315">
        <v>105.09522809323499</v>
      </c>
      <c r="AN4315">
        <v>1.00000000846307</v>
      </c>
    </row>
    <row r="4316" spans="1:40" x14ac:dyDescent="0.3">
      <c r="A4316" t="str">
        <f>"20200111154004509"</f>
        <v>20200111154004509</v>
      </c>
      <c r="B4316" t="str">
        <f>"1578728404504872"</f>
        <v>1578728404504872</v>
      </c>
      <c r="C4316" t="s">
        <v>40</v>
      </c>
      <c r="D4316">
        <v>5.3736969999999999</v>
      </c>
      <c r="E4316">
        <v>0.4775413</v>
      </c>
      <c r="F4316" t="s">
        <v>66</v>
      </c>
      <c r="G4316">
        <v>-192.6994</v>
      </c>
      <c r="H4316" s="1">
        <v>-5.4756149999999999E-6</v>
      </c>
      <c r="I4316">
        <v>-42.90448</v>
      </c>
      <c r="J4316">
        <v>-197.5308</v>
      </c>
      <c r="K4316">
        <v>1.114182</v>
      </c>
      <c r="L4316">
        <v>-53.711640000000003</v>
      </c>
      <c r="M4316">
        <v>0.67668289999999998</v>
      </c>
      <c r="N4316">
        <v>0</v>
      </c>
      <c r="O4316">
        <v>0.7360833</v>
      </c>
      <c r="P4316">
        <v>0.4644392</v>
      </c>
      <c r="Q4316">
        <v>5.2787269999999997E-2</v>
      </c>
      <c r="R4316">
        <v>0.88403039999999999</v>
      </c>
      <c r="S4316">
        <v>1.2536320000000001</v>
      </c>
      <c r="T4316">
        <v>-0.27814080000000002</v>
      </c>
      <c r="U4316">
        <v>2.7524109999999999</v>
      </c>
      <c r="V4316">
        <v>-0.2578762</v>
      </c>
      <c r="W4316">
        <v>6.3145870000000007E-2</v>
      </c>
      <c r="X4316">
        <v>0.96411230000000003</v>
      </c>
      <c r="Y4316">
        <v>-0.31159540000000002</v>
      </c>
      <c r="Z4316">
        <v>-5.7565030000000003E-2</v>
      </c>
      <c r="AA4316">
        <v>0.94846960000000002</v>
      </c>
      <c r="AB4316">
        <v>29</v>
      </c>
      <c r="AC4316">
        <v>4.8314000000000004</v>
      </c>
      <c r="AD4316">
        <v>-1.1141874756150001</v>
      </c>
      <c r="AE4316">
        <v>10.80716</v>
      </c>
      <c r="AF4316">
        <v>-3.7242451600627402</v>
      </c>
      <c r="AG4316">
        <v>-1.1141874756150001</v>
      </c>
      <c r="AH4316">
        <v>11.1273046949294</v>
      </c>
      <c r="AI4316">
        <v>95.424184046491206</v>
      </c>
      <c r="AJ4316">
        <v>108.50509865808699</v>
      </c>
      <c r="AK4316">
        <v>11.7867860554465</v>
      </c>
      <c r="AL4316">
        <v>86.379599546617499</v>
      </c>
      <c r="AM4316">
        <v>104.97466232581201</v>
      </c>
      <c r="AN4316">
        <v>1.0000000312178901</v>
      </c>
    </row>
    <row r="4317" spans="1:40" x14ac:dyDescent="0.3">
      <c r="A4317" t="str">
        <f>"20200111154004532"</f>
        <v>20200111154004532</v>
      </c>
      <c r="B4317" t="str">
        <f>"1578728404525366"</f>
        <v>1578728404525366</v>
      </c>
      <c r="C4317" t="s">
        <v>40</v>
      </c>
      <c r="D4317">
        <v>5.4511339999999997</v>
      </c>
      <c r="E4317">
        <v>0.47778199999999998</v>
      </c>
      <c r="F4317" t="s">
        <v>66</v>
      </c>
      <c r="G4317">
        <v>-191.85220000000001</v>
      </c>
      <c r="H4317" s="1">
        <v>-6.0610000000000001E-6</v>
      </c>
      <c r="I4317">
        <v>-41.32141</v>
      </c>
      <c r="J4317">
        <v>-197.3434</v>
      </c>
      <c r="K4317">
        <v>1.113945</v>
      </c>
      <c r="L4317">
        <v>-53.490749999999998</v>
      </c>
      <c r="M4317">
        <v>0.66846179999999999</v>
      </c>
      <c r="N4317">
        <v>0</v>
      </c>
      <c r="O4317">
        <v>0.74356319999999998</v>
      </c>
      <c r="P4317">
        <v>0.4567273</v>
      </c>
      <c r="Q4317">
        <v>5.3985249999999999E-2</v>
      </c>
      <c r="R4317">
        <v>0.88796719999999896</v>
      </c>
      <c r="S4317">
        <v>1.258926</v>
      </c>
      <c r="T4317">
        <v>-0.24701310000000001</v>
      </c>
      <c r="U4317">
        <v>2.7468870000000001</v>
      </c>
      <c r="V4317">
        <v>-0.25548359999999998</v>
      </c>
      <c r="W4317">
        <v>6.429269E-2</v>
      </c>
      <c r="X4317">
        <v>0.96467329999999996</v>
      </c>
      <c r="Y4317">
        <v>-0.29862559999999999</v>
      </c>
      <c r="Z4317">
        <v>-5.2302519999999998E-2</v>
      </c>
      <c r="AA4317">
        <v>0.95293609999999895</v>
      </c>
      <c r="AB4317">
        <v>29</v>
      </c>
      <c r="AC4317">
        <v>5.4911999999999903</v>
      </c>
      <c r="AD4317">
        <v>-1.1139510610000001</v>
      </c>
      <c r="AE4317">
        <v>12.169339999999901</v>
      </c>
      <c r="AF4317">
        <v>-4.0242217921229999</v>
      </c>
      <c r="AG4317">
        <v>-1.1139510610000001</v>
      </c>
      <c r="AH4317">
        <v>12.6331174256783</v>
      </c>
      <c r="AI4317">
        <v>94.802560775676099</v>
      </c>
      <c r="AJ4317">
        <v>107.669040261256</v>
      </c>
      <c r="AK4317">
        <v>13.305296084247001</v>
      </c>
      <c r="AL4317">
        <v>86.313757676256202</v>
      </c>
      <c r="AM4317">
        <v>104.83363446524299</v>
      </c>
      <c r="AN4317">
        <v>0.99999999779464299</v>
      </c>
    </row>
    <row r="4318" spans="1:40" x14ac:dyDescent="0.3">
      <c r="A4318" t="str">
        <f>"20200111154004552"</f>
        <v>20200111154004552</v>
      </c>
      <c r="B4318" t="str">
        <f>"1578728404544885"</f>
        <v>1578728404544885</v>
      </c>
      <c r="C4318" t="s">
        <v>40</v>
      </c>
      <c r="D4318">
        <v>5.3523329999999998</v>
      </c>
      <c r="E4318">
        <v>0.47873759999999999</v>
      </c>
      <c r="F4318" t="s">
        <v>66</v>
      </c>
      <c r="G4318">
        <v>-191.7567</v>
      </c>
      <c r="H4318" s="1">
        <v>-6.1451590000000004E-6</v>
      </c>
      <c r="I4318">
        <v>-41.037880000000001</v>
      </c>
      <c r="J4318">
        <v>-197.1737</v>
      </c>
      <c r="K4318">
        <v>1.113729</v>
      </c>
      <c r="L4318">
        <v>-53.286679999999997</v>
      </c>
      <c r="M4318">
        <v>0.66102899999999998</v>
      </c>
      <c r="N4318">
        <v>0</v>
      </c>
      <c r="O4318">
        <v>0.75018379999999996</v>
      </c>
      <c r="P4318">
        <v>0.4501908</v>
      </c>
      <c r="Q4318">
        <v>5.497821E-2</v>
      </c>
      <c r="R4318">
        <v>0.89123829999999904</v>
      </c>
      <c r="S4318">
        <v>1.2369840000000001</v>
      </c>
      <c r="T4318">
        <v>-0.24664649999999999</v>
      </c>
      <c r="U4318">
        <v>2.757263</v>
      </c>
      <c r="V4318">
        <v>-0.25290869999999999</v>
      </c>
      <c r="W4318">
        <v>6.5259129999999999E-2</v>
      </c>
      <c r="X4318">
        <v>0.96528670000000005</v>
      </c>
      <c r="Y4318">
        <v>-0.29678789999999999</v>
      </c>
      <c r="Z4318">
        <v>-5.2901980000000001E-2</v>
      </c>
      <c r="AA4318">
        <v>0.95347700000000002</v>
      </c>
      <c r="AB4318">
        <v>29</v>
      </c>
      <c r="AC4318">
        <v>5.4169999999999998</v>
      </c>
      <c r="AD4318">
        <v>-1.1137351451590001</v>
      </c>
      <c r="AE4318">
        <v>12.248799999999999</v>
      </c>
      <c r="AF4318">
        <v>-4.0058996013338399</v>
      </c>
      <c r="AG4318">
        <v>-1.1137351451590001</v>
      </c>
      <c r="AH4318">
        <v>12.683628982608701</v>
      </c>
      <c r="AI4318">
        <v>94.786324643559297</v>
      </c>
      <c r="AJ4318">
        <v>107.527799143105</v>
      </c>
      <c r="AK4318">
        <v>13.3477369526823</v>
      </c>
      <c r="AL4318">
        <v>86.258268170399106</v>
      </c>
      <c r="AM4318">
        <v>104.681698586651</v>
      </c>
      <c r="AN4318">
        <v>0.99999998889046804</v>
      </c>
    </row>
    <row r="4319" spans="1:40" x14ac:dyDescent="0.3">
      <c r="A4319" t="str">
        <f>"20200111154004578"</f>
        <v>20200111154004578</v>
      </c>
      <c r="B4319" t="str">
        <f>"1578728404575142"</f>
        <v>1578728404575142</v>
      </c>
      <c r="C4319" t="s">
        <v>40</v>
      </c>
      <c r="D4319">
        <v>5.4266670000000001</v>
      </c>
      <c r="E4319">
        <v>0.47992119999999999</v>
      </c>
      <c r="F4319" t="s">
        <v>66</v>
      </c>
      <c r="G4319">
        <v>-191.55770000000001</v>
      </c>
      <c r="H4319" s="1">
        <v>-6.2673969999999996E-6</v>
      </c>
      <c r="I4319">
        <v>-40.605870000000003</v>
      </c>
      <c r="J4319">
        <v>-196.9674</v>
      </c>
      <c r="K4319">
        <v>1.11348</v>
      </c>
      <c r="L4319">
        <v>-53.033360000000002</v>
      </c>
      <c r="M4319">
        <v>0.65200419999999903</v>
      </c>
      <c r="N4319">
        <v>0</v>
      </c>
      <c r="O4319">
        <v>0.75804609999999994</v>
      </c>
      <c r="P4319">
        <v>0.44188050000000001</v>
      </c>
      <c r="Q4319">
        <v>5.457538E-2</v>
      </c>
      <c r="R4319">
        <v>0.89541229999999905</v>
      </c>
      <c r="S4319">
        <v>1.223633</v>
      </c>
      <c r="T4319">
        <v>-0.2426671</v>
      </c>
      <c r="U4319">
        <v>2.7629700000000001</v>
      </c>
      <c r="V4319">
        <v>-0.2502936</v>
      </c>
      <c r="W4319">
        <v>6.4822309999999994E-2</v>
      </c>
      <c r="X4319">
        <v>0.96599749999999995</v>
      </c>
      <c r="Y4319">
        <v>-0.28992780000000001</v>
      </c>
      <c r="Z4319">
        <v>-5.2986730000000003E-2</v>
      </c>
      <c r="AA4319">
        <v>0.95558069999999895</v>
      </c>
      <c r="AB4319">
        <v>29</v>
      </c>
      <c r="AC4319">
        <v>5.4096999999999804</v>
      </c>
      <c r="AD4319">
        <v>-1.1134862673970001</v>
      </c>
      <c r="AE4319">
        <v>12.427489999999899</v>
      </c>
      <c r="AF4319">
        <v>-3.9756553779819899</v>
      </c>
      <c r="AG4319">
        <v>-1.1134862673970001</v>
      </c>
      <c r="AH4319">
        <v>12.8626086877356</v>
      </c>
      <c r="AI4319">
        <v>94.728007032013195</v>
      </c>
      <c r="AJ4319">
        <v>107.17565951529799</v>
      </c>
      <c r="AK4319">
        <v>13.5089744098496</v>
      </c>
      <c r="AL4319">
        <v>86.283349238800497</v>
      </c>
      <c r="AM4319">
        <v>104.52610731609001</v>
      </c>
      <c r="AN4319">
        <v>0.99999999404047302</v>
      </c>
    </row>
    <row r="4320" spans="1:40" x14ac:dyDescent="0.3">
      <c r="A4320" t="str">
        <f>"20200111154004620"</f>
        <v>20200111154004620</v>
      </c>
      <c r="B4320" t="str">
        <f>"1578728404615159"</f>
        <v>1578728404615159</v>
      </c>
      <c r="C4320" t="s">
        <v>40</v>
      </c>
      <c r="D4320">
        <v>5.4791749999999997</v>
      </c>
      <c r="E4320">
        <v>0.48142170000000001</v>
      </c>
      <c r="F4320" t="s">
        <v>66</v>
      </c>
      <c r="G4320">
        <v>-191.66749999999999</v>
      </c>
      <c r="H4320" s="1">
        <v>-6.192286E-6</v>
      </c>
      <c r="I4320">
        <v>-40.867159999999998</v>
      </c>
      <c r="J4320">
        <v>-196.6283</v>
      </c>
      <c r="K4320">
        <v>1.113143</v>
      </c>
      <c r="L4320">
        <v>-52.603760000000001</v>
      </c>
      <c r="M4320">
        <v>0.6371291</v>
      </c>
      <c r="N4320">
        <v>0</v>
      </c>
      <c r="O4320">
        <v>0.77059840000000002</v>
      </c>
      <c r="P4320">
        <v>0.42924220000000002</v>
      </c>
      <c r="Q4320">
        <v>5.2275500000000003E-2</v>
      </c>
      <c r="R4320">
        <v>0.90167529999999996</v>
      </c>
      <c r="S4320">
        <v>1.2068179999999999</v>
      </c>
      <c r="T4320">
        <v>-0.2535481</v>
      </c>
      <c r="U4320">
        <v>2.7703250000000001</v>
      </c>
      <c r="V4320">
        <v>-0.2450475</v>
      </c>
      <c r="W4320">
        <v>6.2501500000000002E-2</v>
      </c>
      <c r="X4320">
        <v>0.96749430000000003</v>
      </c>
      <c r="Y4320">
        <v>-0.27717509999999901</v>
      </c>
      <c r="Z4320">
        <v>-5.6944460000000002E-2</v>
      </c>
      <c r="AA4320">
        <v>0.9591305</v>
      </c>
      <c r="AB4320">
        <v>29</v>
      </c>
      <c r="AC4320">
        <v>4.9607999999999999</v>
      </c>
      <c r="AD4320">
        <v>-1.113149192286</v>
      </c>
      <c r="AE4320">
        <v>11.736599999999999</v>
      </c>
      <c r="AF4320">
        <v>-3.6277055359358199</v>
      </c>
      <c r="AG4320">
        <v>-1.113149192286</v>
      </c>
      <c r="AH4320">
        <v>12.113915583504699</v>
      </c>
      <c r="AI4320">
        <v>95.030648634619695</v>
      </c>
      <c r="AJ4320">
        <v>106.671169096982</v>
      </c>
      <c r="AK4320">
        <v>12.6943412331646</v>
      </c>
      <c r="AL4320">
        <v>86.416592073411806</v>
      </c>
      <c r="AM4320">
        <v>104.21301220519</v>
      </c>
      <c r="AN4320">
        <v>0.99999996764549404</v>
      </c>
    </row>
    <row r="4321" spans="1:40" x14ac:dyDescent="0.3">
      <c r="A4321" t="str">
        <f>"20200111154004642"</f>
        <v>20200111154004642</v>
      </c>
      <c r="B4321" t="str">
        <f>"1578728404635654"</f>
        <v>1578728404635654</v>
      </c>
      <c r="C4321" t="s">
        <v>40</v>
      </c>
      <c r="D4321">
        <v>5.4298190000000002</v>
      </c>
      <c r="E4321">
        <v>0.48164099999999999</v>
      </c>
      <c r="F4321" t="s">
        <v>66</v>
      </c>
      <c r="G4321">
        <v>-191.8674</v>
      </c>
      <c r="H4321" s="1">
        <v>-6.0402960000000003E-6</v>
      </c>
      <c r="I4321">
        <v>-41.374290000000002</v>
      </c>
      <c r="J4321">
        <v>-196.45650000000001</v>
      </c>
      <c r="K4321">
        <v>1.1130139999999999</v>
      </c>
      <c r="L4321">
        <v>-52.379730000000002</v>
      </c>
      <c r="M4321">
        <v>0.62954429999999995</v>
      </c>
      <c r="N4321">
        <v>0</v>
      </c>
      <c r="O4321">
        <v>0.77681029999999995</v>
      </c>
      <c r="P4321">
        <v>0.42299629999999999</v>
      </c>
      <c r="Q4321">
        <v>5.1842039999999999E-2</v>
      </c>
      <c r="R4321">
        <v>0.90464719999999998</v>
      </c>
      <c r="S4321">
        <v>1.1793370000000001</v>
      </c>
      <c r="T4321">
        <v>-0.2757406</v>
      </c>
      <c r="U4321">
        <v>2.7816770000000002</v>
      </c>
      <c r="V4321">
        <v>-0.24223059999999999</v>
      </c>
      <c r="W4321">
        <v>6.2065559999999999E-2</v>
      </c>
      <c r="X4321">
        <v>0.96823150000000002</v>
      </c>
      <c r="Y4321">
        <v>-0.2773427</v>
      </c>
      <c r="Z4321">
        <v>-6.2560820000000003E-2</v>
      </c>
      <c r="AA4321">
        <v>0.95873209999999998</v>
      </c>
      <c r="AB4321">
        <v>29</v>
      </c>
      <c r="AC4321">
        <v>4.5891000000000002</v>
      </c>
      <c r="AD4321">
        <v>-1.113020040296</v>
      </c>
      <c r="AE4321">
        <v>11.00544</v>
      </c>
      <c r="AF4321">
        <v>-3.3348980793931502</v>
      </c>
      <c r="AG4321">
        <v>-1.113020040296</v>
      </c>
      <c r="AH4321">
        <v>11.3407400677408</v>
      </c>
      <c r="AI4321">
        <v>95.378933407112001</v>
      </c>
      <c r="AJ4321">
        <v>106.386686586027</v>
      </c>
      <c r="AK4321">
        <v>11.873194350894099</v>
      </c>
      <c r="AL4321">
        <v>86.4416183622982</v>
      </c>
      <c r="AM4321">
        <v>104.045862944787</v>
      </c>
      <c r="AN4321">
        <v>1.0000000174533601</v>
      </c>
    </row>
    <row r="4322" spans="1:40" x14ac:dyDescent="0.3">
      <c r="A4322" t="str">
        <f>"20200111154004664"</f>
        <v>20200111154004664</v>
      </c>
      <c r="B4322" t="str">
        <f>"1578728404655174"</f>
        <v>1578728404655174</v>
      </c>
      <c r="C4322" t="s">
        <v>40</v>
      </c>
      <c r="D4322">
        <v>5.4926300000000001</v>
      </c>
      <c r="E4322">
        <v>0.48248940000000001</v>
      </c>
      <c r="F4322" t="s">
        <v>66</v>
      </c>
      <c r="G4322">
        <v>-191.87370000000001</v>
      </c>
      <c r="H4322" s="1">
        <v>-6.0391829999999999E-6</v>
      </c>
      <c r="I4322">
        <v>-41.379089999999998</v>
      </c>
      <c r="J4322">
        <v>-196.27930000000001</v>
      </c>
      <c r="K4322">
        <v>1.112897</v>
      </c>
      <c r="L4322">
        <v>-52.144170000000003</v>
      </c>
      <c r="M4322">
        <v>0.62168519999999905</v>
      </c>
      <c r="N4322">
        <v>0</v>
      </c>
      <c r="O4322">
        <v>0.78311719999999996</v>
      </c>
      <c r="P4322">
        <v>0.41613889999999998</v>
      </c>
      <c r="Q4322">
        <v>5.2263200000000003E-2</v>
      </c>
      <c r="R4322">
        <v>0.90779790000000005</v>
      </c>
      <c r="S4322">
        <v>1.1619109999999999</v>
      </c>
      <c r="T4322">
        <v>-0.28219440000000001</v>
      </c>
      <c r="U4322">
        <v>2.7890929999999998</v>
      </c>
      <c r="V4322">
        <v>-0.23976520000000001</v>
      </c>
      <c r="W4322">
        <v>6.248008E-2</v>
      </c>
      <c r="X4322">
        <v>0.96881830000000002</v>
      </c>
      <c r="Y4322">
        <v>-0.2737272</v>
      </c>
      <c r="Z4322">
        <v>-6.4812850000000005E-2</v>
      </c>
      <c r="AA4322">
        <v>0.9596211</v>
      </c>
      <c r="AB4322">
        <v>29</v>
      </c>
      <c r="AC4322">
        <v>4.40559999999999</v>
      </c>
      <c r="AD4322">
        <v>-1.1129030391829999</v>
      </c>
      <c r="AE4322">
        <v>10.7650799999999</v>
      </c>
      <c r="AF4322">
        <v>-3.2133545010699698</v>
      </c>
      <c r="AG4322">
        <v>-1.1129030391829999</v>
      </c>
      <c r="AH4322">
        <v>11.0691964181992</v>
      </c>
      <c r="AI4322">
        <v>95.515063163596395</v>
      </c>
      <c r="AJ4322">
        <v>106.187854463151</v>
      </c>
      <c r="AK4322">
        <v>11.5797802081405</v>
      </c>
      <c r="AL4322">
        <v>86.417821886288905</v>
      </c>
      <c r="AM4322">
        <v>103.900385070876</v>
      </c>
      <c r="AN4322">
        <v>1.00000000497136</v>
      </c>
    </row>
    <row r="4323" spans="1:40" x14ac:dyDescent="0.3">
      <c r="A4323" t="str">
        <f>"20200111154004689"</f>
        <v>20200111154004689</v>
      </c>
      <c r="B4323" t="str">
        <f>"1578728404685433"</f>
        <v>1578728404685433</v>
      </c>
      <c r="C4323" t="s">
        <v>40</v>
      </c>
      <c r="D4323">
        <v>5.4500830000000002</v>
      </c>
      <c r="E4323">
        <v>0.48390630000000001</v>
      </c>
      <c r="F4323" t="s">
        <v>66</v>
      </c>
      <c r="G4323">
        <v>-191.88480000000001</v>
      </c>
      <c r="H4323" s="1">
        <v>-6.0127379999999998E-6</v>
      </c>
      <c r="I4323">
        <v>-41.440089999999998</v>
      </c>
      <c r="J4323">
        <v>-196.09289999999999</v>
      </c>
      <c r="K4323">
        <v>1.1127739999999999</v>
      </c>
      <c r="L4323">
        <v>-51.89114</v>
      </c>
      <c r="M4323">
        <v>0.61336400000000002</v>
      </c>
      <c r="N4323">
        <v>0</v>
      </c>
      <c r="O4323">
        <v>0.78965439999999998</v>
      </c>
      <c r="P4323">
        <v>0.40891420000000001</v>
      </c>
      <c r="Q4323">
        <v>5.3421870000000003E-2</v>
      </c>
      <c r="R4323">
        <v>0.91100780000000003</v>
      </c>
      <c r="S4323">
        <v>1.147629</v>
      </c>
      <c r="T4323">
        <v>-0.29063270000000002</v>
      </c>
      <c r="U4323">
        <v>2.7953489999999999</v>
      </c>
      <c r="V4323">
        <v>-0.2371608</v>
      </c>
      <c r="W4323">
        <v>6.3643149999999996E-2</v>
      </c>
      <c r="X4323">
        <v>0.96938349999999995</v>
      </c>
      <c r="Y4323">
        <v>-0.26857370000000003</v>
      </c>
      <c r="Z4323">
        <v>-6.7625630000000006E-2</v>
      </c>
      <c r="AA4323">
        <v>0.96088240000000003</v>
      </c>
      <c r="AB4323">
        <v>29</v>
      </c>
      <c r="AC4323">
        <v>4.2080999999999698</v>
      </c>
      <c r="AD4323">
        <v>-1.1127800127380001</v>
      </c>
      <c r="AE4323">
        <v>10.451049999999899</v>
      </c>
      <c r="AF4323">
        <v>-3.0578782177414898</v>
      </c>
      <c r="AG4323">
        <v>-1.1127800127380001</v>
      </c>
      <c r="AH4323">
        <v>10.730384330669199</v>
      </c>
      <c r="AI4323">
        <v>95.695447763357393</v>
      </c>
      <c r="AJ4323">
        <v>105.906162651492</v>
      </c>
      <c r="AK4323">
        <v>11.2129410252243</v>
      </c>
      <c r="AL4323">
        <v>86.351050081912902</v>
      </c>
      <c r="AM4323">
        <v>103.74744401869999</v>
      </c>
      <c r="AN4323">
        <v>1.0000000328354</v>
      </c>
    </row>
    <row r="4324" spans="1:40" x14ac:dyDescent="0.3">
      <c r="A4324" t="str">
        <f>"20200111154004710"</f>
        <v>20200111154004710</v>
      </c>
      <c r="B4324" t="str">
        <f>"1578728404704950"</f>
        <v>1578728404704950</v>
      </c>
      <c r="C4324" t="s">
        <v>40</v>
      </c>
      <c r="D4324">
        <v>5.4776179999999997</v>
      </c>
      <c r="E4324">
        <v>0.48427189999999998</v>
      </c>
      <c r="F4324" t="s">
        <v>66</v>
      </c>
      <c r="G4324">
        <v>-191.75720000000001</v>
      </c>
      <c r="H4324" s="1">
        <v>-6.0895769999999997E-6</v>
      </c>
      <c r="I4324">
        <v>-41.20411</v>
      </c>
      <c r="J4324">
        <v>-195.9323</v>
      </c>
      <c r="K4324">
        <v>1.1126590000000001</v>
      </c>
      <c r="L4324">
        <v>-51.668819999999997</v>
      </c>
      <c r="M4324">
        <v>0.60615799999999997</v>
      </c>
      <c r="N4324">
        <v>0</v>
      </c>
      <c r="O4324">
        <v>0.79520150000000001</v>
      </c>
      <c r="P4324">
        <v>0.40269670000000002</v>
      </c>
      <c r="Q4324">
        <v>5.4422909999999998E-2</v>
      </c>
      <c r="R4324">
        <v>0.91371420000000003</v>
      </c>
      <c r="S4324">
        <v>1.1360319999999999</v>
      </c>
      <c r="T4324">
        <v>-0.2915722</v>
      </c>
      <c r="U4324">
        <v>2.8002319999999998</v>
      </c>
      <c r="V4324">
        <v>-0.23490839999999999</v>
      </c>
      <c r="W4324">
        <v>6.466007E-2</v>
      </c>
      <c r="X4324">
        <v>0.96986450000000002</v>
      </c>
      <c r="Y4324">
        <v>-0.26383519999999999</v>
      </c>
      <c r="Z4324">
        <v>-6.8611820000000004E-2</v>
      </c>
      <c r="AA4324">
        <v>0.96212439999999999</v>
      </c>
      <c r="AB4324">
        <v>29</v>
      </c>
      <c r="AC4324">
        <v>4.17509999999998</v>
      </c>
      <c r="AD4324">
        <v>-1.1126650895770001</v>
      </c>
      <c r="AE4324">
        <v>10.46471</v>
      </c>
      <c r="AF4324">
        <v>-2.9943620590175799</v>
      </c>
      <c r="AG4324">
        <v>-1.1126650895770001</v>
      </c>
      <c r="AH4324">
        <v>10.748726479373699</v>
      </c>
      <c r="AI4324">
        <v>95.694646263134302</v>
      </c>
      <c r="AJ4324">
        <v>105.56668371632701</v>
      </c>
      <c r="AK4324">
        <v>11.213355816633801</v>
      </c>
      <c r="AL4324">
        <v>86.292664525324895</v>
      </c>
      <c r="AM4324">
        <v>103.615262047545</v>
      </c>
      <c r="AN4324">
        <v>1.0000000147015999</v>
      </c>
    </row>
    <row r="4325" spans="1:40" x14ac:dyDescent="0.3">
      <c r="A4325" t="str">
        <f>"20200111154004732"</f>
        <v>20200111154004732</v>
      </c>
      <c r="B4325" t="str">
        <f>"1578728404725446"</f>
        <v>1578728404725446</v>
      </c>
      <c r="C4325" t="s">
        <v>40</v>
      </c>
      <c r="D4325">
        <v>5.6407319999999999</v>
      </c>
      <c r="E4325">
        <v>0.48509540000000001</v>
      </c>
      <c r="F4325" t="s">
        <v>66</v>
      </c>
      <c r="G4325">
        <v>-191.6242</v>
      </c>
      <c r="H4325" s="1">
        <v>-6.1876309999999996E-6</v>
      </c>
      <c r="I4325">
        <v>-40.866489999999999</v>
      </c>
      <c r="J4325">
        <v>-195.77019999999999</v>
      </c>
      <c r="K4325">
        <v>1.112528</v>
      </c>
      <c r="L4325">
        <v>-51.440399999999997</v>
      </c>
      <c r="M4325">
        <v>0.59886049999999902</v>
      </c>
      <c r="N4325">
        <v>0</v>
      </c>
      <c r="O4325">
        <v>0.80071359999999903</v>
      </c>
      <c r="P4325">
        <v>0.39546490000000001</v>
      </c>
      <c r="Q4325">
        <v>5.5698329999999997E-2</v>
      </c>
      <c r="R4325">
        <v>0.91679069999999996</v>
      </c>
      <c r="S4325">
        <v>1.119507</v>
      </c>
      <c r="T4325">
        <v>-0.28914079999999998</v>
      </c>
      <c r="U4325">
        <v>2.8071290000000002</v>
      </c>
      <c r="V4325">
        <v>-0.23365240000000001</v>
      </c>
      <c r="W4325">
        <v>6.5940960000000007E-2</v>
      </c>
      <c r="X4325">
        <v>0.97008159999999999</v>
      </c>
      <c r="Y4325">
        <v>-0.26070969999999999</v>
      </c>
      <c r="Z4325">
        <v>-6.8750359999999996E-2</v>
      </c>
      <c r="AA4325">
        <v>0.96296619999999999</v>
      </c>
      <c r="AB4325">
        <v>29</v>
      </c>
      <c r="AC4325">
        <v>4.1459999999999804</v>
      </c>
      <c r="AD4325">
        <v>-1.112534187631</v>
      </c>
      <c r="AE4325">
        <v>10.5739099999999</v>
      </c>
      <c r="AF4325">
        <v>-2.9842416873894901</v>
      </c>
      <c r="AG4325">
        <v>-1.112534187631</v>
      </c>
      <c r="AH4325">
        <v>10.8467001217029</v>
      </c>
      <c r="AI4325">
        <v>95.647857747759303</v>
      </c>
      <c r="AJ4325">
        <v>105.383122174977</v>
      </c>
      <c r="AK4325">
        <v>11.304615619186301</v>
      </c>
      <c r="AL4325">
        <v>86.219117833559807</v>
      </c>
      <c r="AM4325">
        <v>103.542233744905</v>
      </c>
      <c r="AN4325">
        <v>0.99999998244501997</v>
      </c>
    </row>
    <row r="4326" spans="1:40" x14ac:dyDescent="0.3">
      <c r="A4326" t="str">
        <f>"20200111154004755"</f>
        <v>20200111154004755</v>
      </c>
      <c r="B4326" t="str">
        <f>"1578728404744966"</f>
        <v>1578728404744966</v>
      </c>
      <c r="C4326" t="s">
        <v>40</v>
      </c>
      <c r="D4326">
        <v>5.4927479999999997</v>
      </c>
      <c r="E4326">
        <v>0.48586770000000001</v>
      </c>
      <c r="F4326" t="s">
        <v>66</v>
      </c>
      <c r="G4326">
        <v>-191.50479999999999</v>
      </c>
      <c r="H4326" s="1">
        <v>-6.2734330000000002E-6</v>
      </c>
      <c r="I4326">
        <v>-40.570050000000002</v>
      </c>
      <c r="J4326">
        <v>-195.60509999999999</v>
      </c>
      <c r="K4326">
        <v>1.1123769999999999</v>
      </c>
      <c r="L4326">
        <v>-51.20337</v>
      </c>
      <c r="M4326">
        <v>0.59141239999999995</v>
      </c>
      <c r="N4326">
        <v>0</v>
      </c>
      <c r="O4326">
        <v>0.80623230000000001</v>
      </c>
      <c r="P4326">
        <v>0.38799879999999998</v>
      </c>
      <c r="Q4326">
        <v>5.6984760000000002E-2</v>
      </c>
      <c r="R4326">
        <v>0.91989659999999995</v>
      </c>
      <c r="S4326">
        <v>1.1040190000000001</v>
      </c>
      <c r="T4326">
        <v>-0.28795680000000001</v>
      </c>
      <c r="U4326">
        <v>2.8135680000000001</v>
      </c>
      <c r="V4326">
        <v>-0.23249449999999999</v>
      </c>
      <c r="W4326">
        <v>6.7242689999999994E-2</v>
      </c>
      <c r="X4326">
        <v>0.97027050000000004</v>
      </c>
      <c r="Y4326">
        <v>-0.25710769999999999</v>
      </c>
      <c r="Z4326">
        <v>-6.9187139999999994E-2</v>
      </c>
      <c r="AA4326">
        <v>0.96390290000000001</v>
      </c>
      <c r="AB4326">
        <v>29</v>
      </c>
      <c r="AC4326">
        <v>4.1002999999999998</v>
      </c>
      <c r="AD4326">
        <v>-1.1123832734329999</v>
      </c>
      <c r="AE4326">
        <v>10.6333199999999</v>
      </c>
      <c r="AF4326">
        <v>-2.9550589093797899</v>
      </c>
      <c r="AG4326">
        <v>-1.1123832734329999</v>
      </c>
      <c r="AH4326">
        <v>10.8953068327585</v>
      </c>
      <c r="AI4326">
        <v>95.627614283462606</v>
      </c>
      <c r="AJ4326">
        <v>105.174871936294</v>
      </c>
      <c r="AK4326">
        <v>11.3436096849668</v>
      </c>
      <c r="AL4326">
        <v>86.144368560215696</v>
      </c>
      <c r="AM4326">
        <v>103.47504900127601</v>
      </c>
      <c r="AN4326">
        <v>1.0000000575294601</v>
      </c>
    </row>
    <row r="4327" spans="1:40" x14ac:dyDescent="0.3">
      <c r="A4327" t="str">
        <f>"20200111154004778"</f>
        <v>20200111154004778</v>
      </c>
      <c r="B4327" t="str">
        <f>"1578728404765462"</f>
        <v>1578728404765462</v>
      </c>
      <c r="C4327" t="s">
        <v>40</v>
      </c>
      <c r="D4327">
        <v>5.4653609999999997</v>
      </c>
      <c r="E4327">
        <v>0.49559829999999999</v>
      </c>
      <c r="F4327" t="s">
        <v>42</v>
      </c>
      <c r="G4327">
        <v>-191.38399999999999</v>
      </c>
      <c r="H4327" s="1">
        <v>-4.354513E-7</v>
      </c>
      <c r="I4327">
        <v>-40.254199999999997</v>
      </c>
      <c r="J4327">
        <v>-195.44130000000001</v>
      </c>
      <c r="K4327">
        <v>1.112214</v>
      </c>
      <c r="L4327">
        <v>-50.963259999999998</v>
      </c>
      <c r="M4327">
        <v>0.58402189999999998</v>
      </c>
      <c r="N4327">
        <v>0</v>
      </c>
      <c r="O4327">
        <v>0.81160350000000003</v>
      </c>
      <c r="P4327">
        <v>0.3805325</v>
      </c>
      <c r="Q4327">
        <v>5.6693340000000002E-2</v>
      </c>
      <c r="R4327">
        <v>0.92302810000000002</v>
      </c>
      <c r="S4327">
        <v>1.087326</v>
      </c>
      <c r="T4327">
        <v>-0.28653509999999999</v>
      </c>
      <c r="U4327">
        <v>2.8203740000000002</v>
      </c>
      <c r="V4327">
        <v>-0.2314669</v>
      </c>
      <c r="W4327">
        <v>6.6974839999999994E-2</v>
      </c>
      <c r="X4327">
        <v>0.97053460000000003</v>
      </c>
      <c r="Y4327">
        <v>-0.25402809999999998</v>
      </c>
      <c r="Z4327">
        <v>-6.9528039999999999E-2</v>
      </c>
      <c r="AA4327">
        <v>0.96469459999999996</v>
      </c>
      <c r="AB4327">
        <v>29</v>
      </c>
      <c r="AC4327">
        <v>4.0572999999999899</v>
      </c>
      <c r="AD4327">
        <v>-1.1122144354512999</v>
      </c>
      <c r="AE4327">
        <v>10.709059999999999</v>
      </c>
      <c r="AF4327">
        <v>-2.9340545620054899</v>
      </c>
      <c r="AG4327">
        <v>-1.1122144354512999</v>
      </c>
      <c r="AH4327">
        <v>10.958900515335101</v>
      </c>
      <c r="AI4327">
        <v>95.599198475208595</v>
      </c>
      <c r="AJ4327">
        <v>104.988419056051</v>
      </c>
      <c r="AK4327">
        <v>11.399263030049999</v>
      </c>
      <c r="AL4327">
        <v>86.159749619641502</v>
      </c>
      <c r="AM4327">
        <v>103.414129817523</v>
      </c>
      <c r="AN4327">
        <v>0.999999982392897</v>
      </c>
    </row>
    <row r="4328" spans="1:40" x14ac:dyDescent="0.3">
      <c r="A4328" t="str">
        <f>"20200111154004802"</f>
        <v>20200111154004802</v>
      </c>
      <c r="B4328" t="str">
        <f>"1578728404795718"</f>
        <v>1578728404795718</v>
      </c>
      <c r="C4328" t="s">
        <v>40</v>
      </c>
      <c r="D4328">
        <v>5.4408760000000003</v>
      </c>
      <c r="E4328">
        <v>0.49798150000000002</v>
      </c>
      <c r="F4328" t="s">
        <v>66</v>
      </c>
      <c r="G4328">
        <v>-191.3621</v>
      </c>
      <c r="H4328" s="1">
        <v>-6.13924499999999E-6</v>
      </c>
      <c r="I4328">
        <v>-40.92295</v>
      </c>
      <c r="J4328">
        <v>-195.26609999999999</v>
      </c>
      <c r="K4328">
        <v>1.1120559999999999</v>
      </c>
      <c r="L4328">
        <v>-50.701569999999997</v>
      </c>
      <c r="M4328">
        <v>0.57610609999999995</v>
      </c>
      <c r="N4328">
        <v>0</v>
      </c>
      <c r="O4328">
        <v>0.81724300000000005</v>
      </c>
      <c r="P4328">
        <v>0.37227470000000001</v>
      </c>
      <c r="Q4328">
        <v>5.5575140000000002E-2</v>
      </c>
      <c r="R4328">
        <v>0.92645719999999998</v>
      </c>
      <c r="S4328">
        <v>1.13768</v>
      </c>
      <c r="T4328">
        <v>-0.31019390000000002</v>
      </c>
      <c r="U4328">
        <v>2.8002009999999999</v>
      </c>
      <c r="V4328">
        <v>-0.23069139999999999</v>
      </c>
      <c r="W4328">
        <v>6.5878619999999999E-2</v>
      </c>
      <c r="X4328">
        <v>0.9707943</v>
      </c>
      <c r="Y4328">
        <v>-0.22745770000000001</v>
      </c>
      <c r="Z4328">
        <v>-7.6722639999999995E-2</v>
      </c>
      <c r="AA4328">
        <v>0.97076079999999998</v>
      </c>
      <c r="AB4328">
        <v>29</v>
      </c>
      <c r="AC4328">
        <v>3.9039999999999901</v>
      </c>
      <c r="AD4328">
        <v>-1.1120621392450001</v>
      </c>
      <c r="AE4328">
        <v>9.7786200000000001</v>
      </c>
      <c r="AF4328">
        <v>-2.4163152019771599</v>
      </c>
      <c r="AG4328">
        <v>-1.1120621392450001</v>
      </c>
      <c r="AH4328">
        <v>10.128744263557801</v>
      </c>
      <c r="AI4328">
        <v>96.095844643272002</v>
      </c>
      <c r="AJ4328">
        <v>103.41770596642201</v>
      </c>
      <c r="AK4328">
        <v>10.472188009838399</v>
      </c>
      <c r="AL4328">
        <v>86.222697667997394</v>
      </c>
      <c r="AM4328">
        <v>103.367355601905</v>
      </c>
      <c r="AN4328">
        <v>1.00000004375977</v>
      </c>
    </row>
    <row r="4329" spans="1:40" x14ac:dyDescent="0.3">
      <c r="A4329" t="str">
        <f>"20200111154004823"</f>
        <v>20200111154004823</v>
      </c>
      <c r="B4329" t="str">
        <f>"1578728404815238"</f>
        <v>1578728404815238</v>
      </c>
      <c r="C4329" t="s">
        <v>40</v>
      </c>
      <c r="D4329">
        <v>5.4767890000000001</v>
      </c>
      <c r="E4329">
        <v>0.49953429999999999</v>
      </c>
      <c r="F4329" t="s">
        <v>42</v>
      </c>
      <c r="G4329">
        <v>-190.99019999999999</v>
      </c>
      <c r="H4329" s="1">
        <v>-3.9855020000000002E-7</v>
      </c>
      <c r="I4329">
        <v>-40.095999999999997</v>
      </c>
      <c r="J4329">
        <v>-195.11709999999999</v>
      </c>
      <c r="K4329">
        <v>1.111923</v>
      </c>
      <c r="L4329">
        <v>-50.47504</v>
      </c>
      <c r="M4329">
        <v>0.56937689999999996</v>
      </c>
      <c r="N4329">
        <v>0</v>
      </c>
      <c r="O4329">
        <v>0.82194659999999997</v>
      </c>
      <c r="P4329">
        <v>0.3645137</v>
      </c>
      <c r="Q4329">
        <v>5.5035760000000003E-2</v>
      </c>
      <c r="R4329">
        <v>0.92957029999999996</v>
      </c>
      <c r="S4329">
        <v>1.129623</v>
      </c>
      <c r="T4329">
        <v>-0.29379040000000001</v>
      </c>
      <c r="U4329">
        <v>2.8018489999999998</v>
      </c>
      <c r="V4329">
        <v>-0.23082539999999999</v>
      </c>
      <c r="W4329">
        <v>6.5345730000000005E-2</v>
      </c>
      <c r="X4329">
        <v>0.97079839999999995</v>
      </c>
      <c r="Y4329">
        <v>-0.22194040000000001</v>
      </c>
      <c r="Z4329">
        <v>-7.3422180000000004E-2</v>
      </c>
      <c r="AA4329">
        <v>0.97229189999999999</v>
      </c>
      <c r="AB4329">
        <v>29</v>
      </c>
      <c r="AC4329">
        <v>4.1269</v>
      </c>
      <c r="AD4329">
        <v>-1.1119233985501999</v>
      </c>
      <c r="AE4329">
        <v>10.37904</v>
      </c>
      <c r="AF4329">
        <v>-2.49305621031476</v>
      </c>
      <c r="AG4329">
        <v>-1.1119233985501999</v>
      </c>
      <c r="AH4329">
        <v>10.775155557745901</v>
      </c>
      <c r="AI4329">
        <v>95.741073655430995</v>
      </c>
      <c r="AJ4329">
        <v>103.027336357919</v>
      </c>
      <c r="AK4329">
        <v>11.1155602740328</v>
      </c>
      <c r="AL4329">
        <v>86.253295714844597</v>
      </c>
      <c r="AM4329">
        <v>103.374786804709</v>
      </c>
      <c r="AN4329">
        <v>0.99999998157847603</v>
      </c>
    </row>
    <row r="4330" spans="1:40" x14ac:dyDescent="0.3">
      <c r="A4330" t="str">
        <f>"20200111154004845"</f>
        <v>20200111154004845</v>
      </c>
      <c r="B4330" t="str">
        <f>"1578728404835734"</f>
        <v>1578728404835734</v>
      </c>
      <c r="C4330" t="s">
        <v>40</v>
      </c>
      <c r="D4330">
        <v>5.3829840000000004</v>
      </c>
      <c r="E4330">
        <v>0.50057629999999997</v>
      </c>
      <c r="F4330" t="s">
        <v>42</v>
      </c>
      <c r="G4330">
        <v>-190.76650000000001</v>
      </c>
      <c r="H4330" s="1">
        <v>-5.7080719999999997E-7</v>
      </c>
      <c r="I4330">
        <v>-39.555689999999998</v>
      </c>
      <c r="J4330">
        <v>-194.96340000000001</v>
      </c>
      <c r="K4330">
        <v>1.11178</v>
      </c>
      <c r="L4330">
        <v>-50.237459999999999</v>
      </c>
      <c r="M4330">
        <v>0.56246160000000001</v>
      </c>
      <c r="N4330">
        <v>0</v>
      </c>
      <c r="O4330">
        <v>0.82669539999999997</v>
      </c>
      <c r="P4330">
        <v>0.35648370000000001</v>
      </c>
      <c r="Q4330">
        <v>5.5149589999999998E-2</v>
      </c>
      <c r="R4330">
        <v>0.93267239999999996</v>
      </c>
      <c r="S4330">
        <v>1.11792</v>
      </c>
      <c r="T4330">
        <v>-0.28571809999999997</v>
      </c>
      <c r="U4330">
        <v>2.8058169999999998</v>
      </c>
      <c r="V4330">
        <v>-0.2310267</v>
      </c>
      <c r="W4330">
        <v>6.547277E-2</v>
      </c>
      <c r="X4330">
        <v>0.97074199999999999</v>
      </c>
      <c r="Y4330">
        <v>-0.2176804</v>
      </c>
      <c r="Z4330">
        <v>-7.2072890000000001E-2</v>
      </c>
      <c r="AA4330">
        <v>0.97335539999999998</v>
      </c>
      <c r="AB4330">
        <v>29</v>
      </c>
      <c r="AC4330">
        <v>4.1968999999999896</v>
      </c>
      <c r="AD4330">
        <v>-1.1117805708071999</v>
      </c>
      <c r="AE4330">
        <v>10.681769999999901</v>
      </c>
      <c r="AF4330">
        <v>-2.5151926947126602</v>
      </c>
      <c r="AG4330">
        <v>-1.1117805708071999</v>
      </c>
      <c r="AH4330">
        <v>11.088293018674101</v>
      </c>
      <c r="AI4330">
        <v>95.584748013368696</v>
      </c>
      <c r="AJ4330">
        <v>102.780316181942</v>
      </c>
      <c r="AK4330">
        <v>11.4242064230798</v>
      </c>
      <c r="AL4330">
        <v>86.246001401694102</v>
      </c>
      <c r="AM4330">
        <v>103.386780867582</v>
      </c>
      <c r="AN4330">
        <v>1.0000000251441801</v>
      </c>
    </row>
    <row r="4331" spans="1:40" x14ac:dyDescent="0.3">
      <c r="A4331" t="str">
        <f>"20200111154004866"</f>
        <v>20200111154004866</v>
      </c>
      <c r="B4331" t="str">
        <f>"1578728404855254"</f>
        <v>1578728404855254</v>
      </c>
      <c r="C4331" t="s">
        <v>40</v>
      </c>
      <c r="D4331">
        <v>5.4822839999999999</v>
      </c>
      <c r="E4331">
        <v>0.50155709999999998</v>
      </c>
      <c r="F4331" t="s">
        <v>42</v>
      </c>
      <c r="G4331">
        <v>-190.57669999999999</v>
      </c>
      <c r="H4331" s="1">
        <v>-7.395449E-7</v>
      </c>
      <c r="I4331">
        <v>-39.044640000000001</v>
      </c>
      <c r="J4331">
        <v>-194.81870000000001</v>
      </c>
      <c r="K4331">
        <v>1.111631</v>
      </c>
      <c r="L4331">
        <v>-50.009889999999999</v>
      </c>
      <c r="M4331">
        <v>0.55598590000000003</v>
      </c>
      <c r="N4331">
        <v>0</v>
      </c>
      <c r="O4331">
        <v>0.83106550000000001</v>
      </c>
      <c r="P4331">
        <v>0.3481899</v>
      </c>
      <c r="Q4331">
        <v>5.4945019999999997E-2</v>
      </c>
      <c r="R4331">
        <v>0.93581239999999999</v>
      </c>
      <c r="S4331">
        <v>1.102036</v>
      </c>
      <c r="T4331">
        <v>-0.27930159999999998</v>
      </c>
      <c r="U4331">
        <v>2.8118590000000001</v>
      </c>
      <c r="V4331">
        <v>-0.2320391</v>
      </c>
      <c r="W4331">
        <v>6.5274360000000003E-2</v>
      </c>
      <c r="X4331">
        <v>0.97051379999999998</v>
      </c>
      <c r="Y4331">
        <v>-0.2154915</v>
      </c>
      <c r="Z4331">
        <v>-7.0996840000000005E-2</v>
      </c>
      <c r="AA4331">
        <v>0.97392140000000005</v>
      </c>
      <c r="AB4331">
        <v>29</v>
      </c>
      <c r="AC4331">
        <v>4.2420000000000098</v>
      </c>
      <c r="AD4331">
        <v>-1.1116317395449</v>
      </c>
      <c r="AE4331">
        <v>10.965249999999999</v>
      </c>
      <c r="AF4331">
        <v>-2.5486307049104502</v>
      </c>
      <c r="AG4331">
        <v>-1.1116317395449</v>
      </c>
      <c r="AH4331">
        <v>11.3708861866465</v>
      </c>
      <c r="AI4331">
        <v>95.449207649893594</v>
      </c>
      <c r="AJ4331">
        <v>102.633284215985</v>
      </c>
      <c r="AK4331">
        <v>11.7059086048049</v>
      </c>
      <c r="AL4331">
        <v>86.257393586603499</v>
      </c>
      <c r="AM4331">
        <v>103.44636527644001</v>
      </c>
      <c r="AN4331">
        <v>0.99999996099632904</v>
      </c>
    </row>
    <row r="4332" spans="1:40" x14ac:dyDescent="0.3">
      <c r="A4332" t="str">
        <f>"20200111154004891"</f>
        <v>20200111154004891</v>
      </c>
      <c r="B4332" t="str">
        <f>"1578728404885510"</f>
        <v>1578728404885510</v>
      </c>
      <c r="C4332" t="s">
        <v>40</v>
      </c>
      <c r="D4332">
        <v>5.4521459999999999</v>
      </c>
      <c r="E4332">
        <v>0.50258150000000001</v>
      </c>
      <c r="F4332" t="s">
        <v>42</v>
      </c>
      <c r="G4332">
        <v>-190.45869999999999</v>
      </c>
      <c r="H4332" s="1">
        <v>-8.6416329999999998E-7</v>
      </c>
      <c r="I4332">
        <v>-38.680970000000002</v>
      </c>
      <c r="J4332">
        <v>-194.65260000000001</v>
      </c>
      <c r="K4332">
        <v>1.111435</v>
      </c>
      <c r="L4332">
        <v>-49.744349999999997</v>
      </c>
      <c r="M4332">
        <v>0.54861409999999999</v>
      </c>
      <c r="N4332">
        <v>0</v>
      </c>
      <c r="O4332">
        <v>0.83595129999999995</v>
      </c>
      <c r="P4332">
        <v>0.3390743</v>
      </c>
      <c r="Q4332">
        <v>5.457617E-2</v>
      </c>
      <c r="R4332">
        <v>0.93917519999999999</v>
      </c>
      <c r="S4332">
        <v>1.084686</v>
      </c>
      <c r="T4332">
        <v>-0.27655299999999999</v>
      </c>
      <c r="U4332">
        <v>2.8184200000000001</v>
      </c>
      <c r="V4332">
        <v>-0.23286660000000001</v>
      </c>
      <c r="W4332">
        <v>6.4933669999999999E-2</v>
      </c>
      <c r="X4332">
        <v>0.97033849999999999</v>
      </c>
      <c r="Y4332">
        <v>-0.2128255</v>
      </c>
      <c r="Z4332">
        <v>-7.0894139999999994E-2</v>
      </c>
      <c r="AA4332">
        <v>0.97451489999999996</v>
      </c>
      <c r="AB4332">
        <v>29</v>
      </c>
      <c r="AC4332">
        <v>4.19390000000001</v>
      </c>
      <c r="AD4332">
        <v>-1.1114358641633</v>
      </c>
      <c r="AE4332">
        <v>11.063379999999899</v>
      </c>
      <c r="AF4332">
        <v>-2.5414700454308199</v>
      </c>
      <c r="AG4332">
        <v>-1.1114358641633</v>
      </c>
      <c r="AH4332">
        <v>11.4494474121999</v>
      </c>
      <c r="AI4332">
        <v>95.413565439361705</v>
      </c>
      <c r="AJ4332">
        <v>102.515208427587</v>
      </c>
      <c r="AK4332">
        <v>11.7806708517258</v>
      </c>
      <c r="AL4332">
        <v>86.276955405858999</v>
      </c>
      <c r="AM4332">
        <v>103.494915907413</v>
      </c>
      <c r="AN4332">
        <v>1.00000001973873</v>
      </c>
    </row>
    <row r="4333" spans="1:40" x14ac:dyDescent="0.3">
      <c r="A4333" t="str">
        <f>"20200111154004912"</f>
        <v>20200111154004912</v>
      </c>
      <c r="B4333" t="str">
        <f>"1578728404905030"</f>
        <v>1578728404905030</v>
      </c>
      <c r="C4333" t="s">
        <v>40</v>
      </c>
      <c r="D4333">
        <v>5.494421</v>
      </c>
      <c r="E4333">
        <v>0.50321269999999996</v>
      </c>
      <c r="F4333" t="s">
        <v>42</v>
      </c>
      <c r="G4333">
        <v>-190.3613</v>
      </c>
      <c r="H4333" s="1">
        <v>-9.7413400000000001E-7</v>
      </c>
      <c r="I4333">
        <v>-38.364240000000002</v>
      </c>
      <c r="J4333">
        <v>-194.5102</v>
      </c>
      <c r="K4333">
        <v>1.1112550000000001</v>
      </c>
      <c r="L4333">
        <v>-49.512909999999998</v>
      </c>
      <c r="M4333">
        <v>0.54236569999999995</v>
      </c>
      <c r="N4333">
        <v>0</v>
      </c>
      <c r="O4333">
        <v>0.84001959999999998</v>
      </c>
      <c r="P4333">
        <v>0.33063110000000001</v>
      </c>
      <c r="Q4333">
        <v>5.4561209999999999E-2</v>
      </c>
      <c r="R4333">
        <v>0.94218159999999895</v>
      </c>
      <c r="S4333">
        <v>1.0655059999999901</v>
      </c>
      <c r="T4333">
        <v>-0.27596690000000001</v>
      </c>
      <c r="U4333">
        <v>2.825653</v>
      </c>
      <c r="V4333">
        <v>-0.23431260000000001</v>
      </c>
      <c r="W4333">
        <v>6.4939860000000002E-2</v>
      </c>
      <c r="X4333">
        <v>0.96998989999999996</v>
      </c>
      <c r="Y4333">
        <v>-0.21215709999999999</v>
      </c>
      <c r="Z4333">
        <v>-7.1194380000000002E-2</v>
      </c>
      <c r="AA4333">
        <v>0.97463880000000003</v>
      </c>
      <c r="AB4333">
        <v>29</v>
      </c>
      <c r="AC4333">
        <v>4.1488999999999896</v>
      </c>
      <c r="AD4333">
        <v>-1.11125597413399</v>
      </c>
      <c r="AE4333">
        <v>11.1486699999999</v>
      </c>
      <c r="AF4333">
        <v>-2.5396009589381201</v>
      </c>
      <c r="AG4333">
        <v>-1.11125597413399</v>
      </c>
      <c r="AH4333">
        <v>11.516024439381599</v>
      </c>
      <c r="AI4333">
        <v>95.383218052544507</v>
      </c>
      <c r="AJ4333">
        <v>102.436247743564</v>
      </c>
      <c r="AK4333">
        <v>11.844968626346001</v>
      </c>
      <c r="AL4333">
        <v>86.276599895224194</v>
      </c>
      <c r="AM4333">
        <v>103.580319433371</v>
      </c>
      <c r="AN4333">
        <v>0.99999999301879405</v>
      </c>
    </row>
    <row r="4334" spans="1:40" x14ac:dyDescent="0.3">
      <c r="A4334" t="str">
        <f>"20200111154004934"</f>
        <v>20200111154004934</v>
      </c>
      <c r="B4334" t="str">
        <f>"1578728404925526"</f>
        <v>1578728404925526</v>
      </c>
      <c r="C4334" t="s">
        <v>40</v>
      </c>
      <c r="D4334">
        <v>5.452744</v>
      </c>
      <c r="E4334">
        <v>0.50346449999999998</v>
      </c>
      <c r="F4334" t="s">
        <v>42</v>
      </c>
      <c r="G4334">
        <v>-190.2595</v>
      </c>
      <c r="H4334" s="1">
        <v>-1.106083E-6</v>
      </c>
      <c r="I4334">
        <v>-37.993519999999997</v>
      </c>
      <c r="J4334">
        <v>-194.36750000000001</v>
      </c>
      <c r="K4334">
        <v>1.1110690000000001</v>
      </c>
      <c r="L4334">
        <v>-49.277500000000003</v>
      </c>
      <c r="M4334">
        <v>0.53618440000000001</v>
      </c>
      <c r="N4334">
        <v>0</v>
      </c>
      <c r="O4334">
        <v>0.84397939999999905</v>
      </c>
      <c r="P4334">
        <v>0.32243070000000001</v>
      </c>
      <c r="Q4334">
        <v>5.4319329999999999E-2</v>
      </c>
      <c r="R4334">
        <v>0.94503329999999997</v>
      </c>
      <c r="S4334">
        <v>1.04541</v>
      </c>
      <c r="T4334">
        <v>-0.27330130000000002</v>
      </c>
      <c r="U4334">
        <v>2.8330690000000001</v>
      </c>
      <c r="V4334">
        <v>-0.23559540000000001</v>
      </c>
      <c r="W4334">
        <v>6.4729529999999993E-2</v>
      </c>
      <c r="X4334">
        <v>0.96969320000000003</v>
      </c>
      <c r="Y4334">
        <v>-0.21188280000000001</v>
      </c>
      <c r="Z4334">
        <v>-7.0936180000000001E-2</v>
      </c>
      <c r="AA4334">
        <v>0.97471730000000001</v>
      </c>
      <c r="AB4334">
        <v>29</v>
      </c>
      <c r="AC4334">
        <v>4.1079999999999997</v>
      </c>
      <c r="AD4334">
        <v>-1.1110701060829999</v>
      </c>
      <c r="AE4334">
        <v>11.28398</v>
      </c>
      <c r="AF4334">
        <v>-2.5615629644481999</v>
      </c>
      <c r="AG4334">
        <v>-1.1110701060829999</v>
      </c>
      <c r="AH4334">
        <v>11.627753692658199</v>
      </c>
      <c r="AI4334">
        <v>95.331160979411806</v>
      </c>
      <c r="AJ4334">
        <v>102.423666200491</v>
      </c>
      <c r="AK4334">
        <v>11.958291581099299</v>
      </c>
      <c r="AL4334">
        <v>86.288676363591804</v>
      </c>
      <c r="AM4334">
        <v>103.655913766811</v>
      </c>
      <c r="AN4334">
        <v>1.0000000033407099</v>
      </c>
    </row>
    <row r="4335" spans="1:40" x14ac:dyDescent="0.3">
      <c r="A4335" t="str">
        <f>"20200111154004956"</f>
        <v>20200111154004956</v>
      </c>
      <c r="B4335" t="str">
        <f>"1578728404945046"</f>
        <v>1578728404945046</v>
      </c>
      <c r="C4335" t="s">
        <v>40</v>
      </c>
      <c r="D4335">
        <v>5.7118599999999997</v>
      </c>
      <c r="E4335">
        <v>0.51027990000000001</v>
      </c>
      <c r="F4335" t="s">
        <v>42</v>
      </c>
      <c r="G4335">
        <v>-190.21369999999999</v>
      </c>
      <c r="H4335" s="1">
        <v>-1.2035950000000001E-6</v>
      </c>
      <c r="I4335">
        <v>-37.7378</v>
      </c>
      <c r="J4335">
        <v>-194.21940000000001</v>
      </c>
      <c r="K4335">
        <v>1.1108690000000001</v>
      </c>
      <c r="L4335">
        <v>-49.029170000000001</v>
      </c>
      <c r="M4335">
        <v>0.52987169999999995</v>
      </c>
      <c r="N4335">
        <v>0</v>
      </c>
      <c r="O4335">
        <v>0.84795779999999998</v>
      </c>
      <c r="P4335">
        <v>0.31443969999999999</v>
      </c>
      <c r="Q4335">
        <v>5.4282450000000003E-2</v>
      </c>
      <c r="R4335">
        <v>0.94772420000000002</v>
      </c>
      <c r="S4335">
        <v>1.022751</v>
      </c>
      <c r="T4335">
        <v>-0.27356510000000001</v>
      </c>
      <c r="U4335">
        <v>2.841278</v>
      </c>
      <c r="V4335">
        <v>-0.2365167</v>
      </c>
      <c r="W4335">
        <v>6.4738569999999995E-2</v>
      </c>
      <c r="X4335">
        <v>0.96946829999999995</v>
      </c>
      <c r="Y4335">
        <v>-0.21237619999999999</v>
      </c>
      <c r="Z4335">
        <v>-7.1412219999999998E-2</v>
      </c>
      <c r="AA4335">
        <v>0.97457510000000003</v>
      </c>
      <c r="AB4335">
        <v>29</v>
      </c>
      <c r="AC4335">
        <v>4.0057000000000098</v>
      </c>
      <c r="AD4335">
        <v>-1.110870203595</v>
      </c>
      <c r="AE4335">
        <v>11.291370000000001</v>
      </c>
      <c r="AF4335">
        <v>-2.5645286277744899</v>
      </c>
      <c r="AG4335">
        <v>-1.110870203595</v>
      </c>
      <c r="AH4335">
        <v>11.5985888365537</v>
      </c>
      <c r="AI4335">
        <v>95.342627613071301</v>
      </c>
      <c r="AJ4335">
        <v>102.46790015470199</v>
      </c>
      <c r="AK4335">
        <v>11.9305533271235</v>
      </c>
      <c r="AL4335">
        <v>86.288157339384696</v>
      </c>
      <c r="AM4335">
        <v>103.71036459920001</v>
      </c>
      <c r="AN4335">
        <v>1.00000000826471</v>
      </c>
    </row>
    <row r="4336" spans="1:40" x14ac:dyDescent="0.3">
      <c r="A4336" t="str">
        <f>"20200111154004980"</f>
        <v>20200111154004980</v>
      </c>
      <c r="B4336" t="str">
        <f>"1578728404975302"</f>
        <v>1578728404975302</v>
      </c>
      <c r="C4336" t="s">
        <v>40</v>
      </c>
      <c r="D4336">
        <v>5.5553350000000004</v>
      </c>
      <c r="E4336">
        <v>0.48626799999999998</v>
      </c>
      <c r="F4336" t="s">
        <v>42</v>
      </c>
      <c r="G4336">
        <v>-190.14930000000001</v>
      </c>
      <c r="H4336" s="1">
        <v>-1.047994E-6</v>
      </c>
      <c r="I4336">
        <v>-38.060600000000001</v>
      </c>
      <c r="J4336">
        <v>-194.07130000000001</v>
      </c>
      <c r="K4336">
        <v>1.1106769999999999</v>
      </c>
      <c r="L4336">
        <v>-48.776919999999997</v>
      </c>
      <c r="M4336">
        <v>0.52366259999999998</v>
      </c>
      <c r="N4336">
        <v>0</v>
      </c>
      <c r="O4336">
        <v>0.85180710000000004</v>
      </c>
      <c r="P4336">
        <v>0.30647000000000002</v>
      </c>
      <c r="Q4336">
        <v>5.3733660000000003E-2</v>
      </c>
      <c r="R4336">
        <v>0.9503625</v>
      </c>
      <c r="S4336">
        <v>1.051285</v>
      </c>
      <c r="T4336">
        <v>-0.28693229999999997</v>
      </c>
      <c r="U4336">
        <v>2.8331300000000001</v>
      </c>
      <c r="V4336">
        <v>-0.2375533</v>
      </c>
      <c r="W4336">
        <v>6.4235130000000001E-2</v>
      </c>
      <c r="X4336">
        <v>0.96924829999999995</v>
      </c>
      <c r="Y4336">
        <v>-0.1957825</v>
      </c>
      <c r="Z4336">
        <v>-7.5672909999999996E-2</v>
      </c>
      <c r="AA4336">
        <v>0.97772329999999996</v>
      </c>
      <c r="AB4336">
        <v>29</v>
      </c>
      <c r="AC4336">
        <v>3.9219999999999899</v>
      </c>
      <c r="AD4336">
        <v>-1.1106780479939999</v>
      </c>
      <c r="AE4336">
        <v>10.71632</v>
      </c>
      <c r="AF4336">
        <v>-2.2498648582254002</v>
      </c>
      <c r="AG4336">
        <v>-1.1106780479939999</v>
      </c>
      <c r="AH4336">
        <v>11.0782271004497</v>
      </c>
      <c r="AI4336">
        <v>95.6114151781412</v>
      </c>
      <c r="AJ4336">
        <v>101.48000443771799</v>
      </c>
      <c r="AK4336">
        <v>11.3588121428128</v>
      </c>
      <c r="AL4336">
        <v>86.317062440947495</v>
      </c>
      <c r="AM4336">
        <v>103.771178262822</v>
      </c>
      <c r="AN4336">
        <v>0.99999999465994804</v>
      </c>
    </row>
    <row r="4337" spans="1:40" x14ac:dyDescent="0.3">
      <c r="A4337" t="str">
        <f>"20200111154005002"</f>
        <v>20200111154005002</v>
      </c>
      <c r="B4337" t="str">
        <f>"1578728404994822"</f>
        <v>1578728404994822</v>
      </c>
      <c r="C4337" t="s">
        <v>40</v>
      </c>
      <c r="D4337">
        <v>5.7435980000000004</v>
      </c>
      <c r="E4337">
        <v>0.48303849999999998</v>
      </c>
      <c r="F4337" t="s">
        <v>42</v>
      </c>
      <c r="G4337">
        <v>-191.42599999999999</v>
      </c>
      <c r="H4337" s="1">
        <v>-6.7069169999999995E-7</v>
      </c>
      <c r="I4337">
        <v>-39.731929999999998</v>
      </c>
      <c r="J4337">
        <v>-193.92519999999999</v>
      </c>
      <c r="K4337">
        <v>1.1105</v>
      </c>
      <c r="L4337">
        <v>-48.524439999999998</v>
      </c>
      <c r="M4337">
        <v>0.51760890000000004</v>
      </c>
      <c r="N4337">
        <v>0</v>
      </c>
      <c r="O4337">
        <v>0.85549989999999998</v>
      </c>
      <c r="P4337">
        <v>0.29889110000000002</v>
      </c>
      <c r="Q4337">
        <v>5.2324339999999997E-2</v>
      </c>
      <c r="R4337">
        <v>0.95285169999999997</v>
      </c>
      <c r="S4337">
        <v>0.8490143</v>
      </c>
      <c r="T4337">
        <v>-0.35647899999999999</v>
      </c>
      <c r="U4337">
        <v>2.9030459999999998</v>
      </c>
      <c r="V4337">
        <v>-0.23839450000000001</v>
      </c>
      <c r="W4337">
        <v>6.2866519999999995E-2</v>
      </c>
      <c r="X4337">
        <v>0.96913150000000003</v>
      </c>
      <c r="Y4337">
        <v>-0.2580189</v>
      </c>
      <c r="Z4337">
        <v>-9.2263269999999994E-2</v>
      </c>
      <c r="AA4337">
        <v>0.96172429999999998</v>
      </c>
      <c r="AB4337">
        <v>29</v>
      </c>
      <c r="AC4337">
        <v>2.4992000000000001</v>
      </c>
      <c r="AD4337">
        <v>-1.1105006706917</v>
      </c>
      <c r="AE4337">
        <v>8.79251</v>
      </c>
      <c r="AF4337">
        <v>-2.3781583310386099</v>
      </c>
      <c r="AG4337">
        <v>-1.1105006706917</v>
      </c>
      <c r="AH4337">
        <v>8.6882519287797599</v>
      </c>
      <c r="AI4337">
        <v>97.02804438471</v>
      </c>
      <c r="AJ4337">
        <v>105.308108080514</v>
      </c>
      <c r="AK4337">
        <v>9.0760437617411398</v>
      </c>
      <c r="AL4337">
        <v>86.395636875992807</v>
      </c>
      <c r="AM4337">
        <v>103.81967897711399</v>
      </c>
      <c r="AN4337">
        <v>1.0000000006297001</v>
      </c>
    </row>
    <row r="4338" spans="1:40" x14ac:dyDescent="0.3">
      <c r="A4338" t="str">
        <f>"20200111154005024"</f>
        <v>20200111154005024</v>
      </c>
      <c r="B4338" t="str">
        <f>"1578728405015318"</f>
        <v>1578728405015318</v>
      </c>
      <c r="C4338" t="s">
        <v>40</v>
      </c>
      <c r="D4338">
        <v>5.4694629999999904</v>
      </c>
      <c r="E4338">
        <v>0.48302820000000002</v>
      </c>
      <c r="F4338" t="s">
        <v>42</v>
      </c>
      <c r="G4338">
        <v>-191.292</v>
      </c>
      <c r="H4338" s="1">
        <v>-9.8396809999999993E-7</v>
      </c>
      <c r="I4338">
        <v>-38.91854</v>
      </c>
      <c r="J4338">
        <v>-193.78550000000001</v>
      </c>
      <c r="K4338">
        <v>1.1103430000000001</v>
      </c>
      <c r="L4338">
        <v>-48.27948</v>
      </c>
      <c r="M4338">
        <v>0.51188279999999997</v>
      </c>
      <c r="N4338">
        <v>0</v>
      </c>
      <c r="O4338">
        <v>0.85893899999999901</v>
      </c>
      <c r="P4338">
        <v>0.29257610000000001</v>
      </c>
      <c r="Q4338">
        <v>4.9709299999999998E-2</v>
      </c>
      <c r="R4338">
        <v>0.9549493</v>
      </c>
      <c r="S4338">
        <v>0.79940800000000001</v>
      </c>
      <c r="T4338">
        <v>-0.33713019999999999</v>
      </c>
      <c r="U4338">
        <v>2.9161990000000002</v>
      </c>
      <c r="V4338">
        <v>-0.23835139999999999</v>
      </c>
      <c r="W4338">
        <v>6.0301239999999999E-2</v>
      </c>
      <c r="X4338">
        <v>0.96930510000000003</v>
      </c>
      <c r="Y4338">
        <v>-0.26773219999999998</v>
      </c>
      <c r="Z4338">
        <v>-8.750819E-2</v>
      </c>
      <c r="AA4338">
        <v>0.95951120000000001</v>
      </c>
      <c r="AB4338">
        <v>29</v>
      </c>
      <c r="AC4338">
        <v>2.4935000000000098</v>
      </c>
      <c r="AD4338">
        <v>-1.1103439839681</v>
      </c>
      <c r="AE4338">
        <v>9.3609399999999994</v>
      </c>
      <c r="AF4338">
        <v>-2.61583954862021</v>
      </c>
      <c r="AG4338">
        <v>-1.1103439839681</v>
      </c>
      <c r="AH4338">
        <v>9.1969640593809299</v>
      </c>
      <c r="AI4338">
        <v>96.623731235462003</v>
      </c>
      <c r="AJ4338">
        <v>105.877037098242</v>
      </c>
      <c r="AK4338">
        <v>9.62598712945349</v>
      </c>
      <c r="AL4338">
        <v>86.542896153959106</v>
      </c>
      <c r="AM4338">
        <v>103.814896408839</v>
      </c>
      <c r="AN4338">
        <v>1.00000000315675</v>
      </c>
    </row>
    <row r="4339" spans="1:40" x14ac:dyDescent="0.3">
      <c r="A4339" t="str">
        <f>"20200111154005045"</f>
        <v>20200111154005045</v>
      </c>
      <c r="B4339" t="str">
        <f>"1578728405034838"</f>
        <v>1578728405034838</v>
      </c>
      <c r="C4339" t="s">
        <v>40</v>
      </c>
      <c r="D4339">
        <v>5.4722730000000004</v>
      </c>
      <c r="E4339">
        <v>0.48362949999999999</v>
      </c>
      <c r="F4339" t="s">
        <v>42</v>
      </c>
      <c r="G4339">
        <v>-191.16829999999999</v>
      </c>
      <c r="H4339" s="1">
        <v>-1.149548E-6</v>
      </c>
      <c r="I4339">
        <v>-38.455889999999997</v>
      </c>
      <c r="J4339">
        <v>-193.65100000000001</v>
      </c>
      <c r="K4339">
        <v>1.110188</v>
      </c>
      <c r="L4339">
        <v>-48.040309999999998</v>
      </c>
      <c r="M4339">
        <v>0.50643059999999995</v>
      </c>
      <c r="N4339">
        <v>0</v>
      </c>
      <c r="O4339">
        <v>0.86216550000000003</v>
      </c>
      <c r="P4339">
        <v>0.28662080000000001</v>
      </c>
      <c r="Q4339">
        <v>4.7867340000000001E-2</v>
      </c>
      <c r="R4339">
        <v>0.95684749999999996</v>
      </c>
      <c r="S4339">
        <v>0.77803040000000001</v>
      </c>
      <c r="T4339">
        <v>-0.3300824</v>
      </c>
      <c r="U4339">
        <v>2.9203489999999999</v>
      </c>
      <c r="V4339">
        <v>-0.23825250000000001</v>
      </c>
      <c r="W4339">
        <v>5.8506269999999999E-2</v>
      </c>
      <c r="X4339">
        <v>0.96943939999999995</v>
      </c>
      <c r="Y4339">
        <v>-0.26848290000000002</v>
      </c>
      <c r="Z4339">
        <v>-8.6150389999999993E-2</v>
      </c>
      <c r="AA4339">
        <v>0.95942430000000001</v>
      </c>
      <c r="AB4339">
        <v>29</v>
      </c>
      <c r="AC4339">
        <v>2.4826999999999901</v>
      </c>
      <c r="AD4339">
        <v>-1.1101891495480001</v>
      </c>
      <c r="AE4339">
        <v>9.5844199999999908</v>
      </c>
      <c r="AF4339">
        <v>-2.6799188296417902</v>
      </c>
      <c r="AG4339">
        <v>-1.1101891495480001</v>
      </c>
      <c r="AH4339">
        <v>9.4033837134054998</v>
      </c>
      <c r="AI4339">
        <v>96.477718106732496</v>
      </c>
      <c r="AJ4339">
        <v>105.907295359271</v>
      </c>
      <c r="AK4339">
        <v>9.8406356574553904</v>
      </c>
      <c r="AL4339">
        <v>86.645922281986699</v>
      </c>
      <c r="AM4339">
        <v>103.80754376657499</v>
      </c>
      <c r="AN4339">
        <v>0.99999999382896099</v>
      </c>
    </row>
    <row r="4340" spans="1:40" x14ac:dyDescent="0.3">
      <c r="A4340" t="str">
        <f>"20200111154005069"</f>
        <v>20200111154005069</v>
      </c>
      <c r="B4340" t="str">
        <f>"1578728405065094"</f>
        <v>1578728405065094</v>
      </c>
      <c r="C4340" t="s">
        <v>40</v>
      </c>
      <c r="D4340">
        <v>5.4501489999999997</v>
      </c>
      <c r="E4340">
        <v>0.48491099999999998</v>
      </c>
      <c r="F4340" t="s">
        <v>42</v>
      </c>
      <c r="G4340">
        <v>-191.0609</v>
      </c>
      <c r="H4340" s="1">
        <v>-1.261994E-6</v>
      </c>
      <c r="I4340">
        <v>-38.127130000000001</v>
      </c>
      <c r="J4340">
        <v>-193.511</v>
      </c>
      <c r="K4340">
        <v>1.1100300000000001</v>
      </c>
      <c r="L4340">
        <v>-47.787869999999998</v>
      </c>
      <c r="M4340">
        <v>0.50081239999999905</v>
      </c>
      <c r="N4340">
        <v>0</v>
      </c>
      <c r="O4340">
        <v>0.86544159999999903</v>
      </c>
      <c r="P4340">
        <v>0.28149150000000001</v>
      </c>
      <c r="Q4340">
        <v>4.7387350000000002E-2</v>
      </c>
      <c r="R4340">
        <v>0.95839289999999999</v>
      </c>
      <c r="S4340">
        <v>0.7637024</v>
      </c>
      <c r="T4340">
        <v>-0.32734039999999998</v>
      </c>
      <c r="U4340">
        <v>2.9229129999999999</v>
      </c>
      <c r="V4340">
        <v>-0.23712469999999999</v>
      </c>
      <c r="W4340">
        <v>5.8091660000000003E-2</v>
      </c>
      <c r="X4340">
        <v>0.96974079999999996</v>
      </c>
      <c r="Y4340">
        <v>-0.26681510000000003</v>
      </c>
      <c r="Z4340">
        <v>-8.5957350000000002E-2</v>
      </c>
      <c r="AA4340">
        <v>0.95990679999999995</v>
      </c>
      <c r="AB4340">
        <v>29</v>
      </c>
      <c r="AC4340">
        <v>2.4500999999999902</v>
      </c>
      <c r="AD4340">
        <v>-1.11003126199399</v>
      </c>
      <c r="AE4340">
        <v>9.6607399999999899</v>
      </c>
      <c r="AF4340">
        <v>-2.6847656899527501</v>
      </c>
      <c r="AG4340">
        <v>-1.11003126199399</v>
      </c>
      <c r="AH4340">
        <v>9.47130867869698</v>
      </c>
      <c r="AI4340">
        <v>96.433315710636194</v>
      </c>
      <c r="AJ4340">
        <v>105.82607163559599</v>
      </c>
      <c r="AK4340">
        <v>9.9068574381441596</v>
      </c>
      <c r="AL4340">
        <v>86.669718151278303</v>
      </c>
      <c r="AM4340">
        <v>103.740558299553</v>
      </c>
      <c r="AN4340">
        <v>0.99999999174814203</v>
      </c>
    </row>
    <row r="4341" spans="1:40" x14ac:dyDescent="0.3">
      <c r="A4341" t="str">
        <f>"20200111154005092"</f>
        <v>20200111154005092</v>
      </c>
      <c r="B4341" t="str">
        <f>"1578728405085590"</f>
        <v>1578728405085590</v>
      </c>
      <c r="C4341" t="s">
        <v>40</v>
      </c>
      <c r="D4341">
        <v>5.7532620000000003</v>
      </c>
      <c r="E4341">
        <v>0.48554839999999999</v>
      </c>
      <c r="F4341" t="s">
        <v>42</v>
      </c>
      <c r="G4341">
        <v>-190.8639</v>
      </c>
      <c r="H4341" s="1">
        <v>-1.452842E-6</v>
      </c>
      <c r="I4341">
        <v>-37.560099999999998</v>
      </c>
      <c r="J4341">
        <v>-193.369</v>
      </c>
      <c r="K4341">
        <v>1.109872</v>
      </c>
      <c r="L4341">
        <v>-47.528379999999999</v>
      </c>
      <c r="M4341">
        <v>0.49517260000000002</v>
      </c>
      <c r="N4341">
        <v>0</v>
      </c>
      <c r="O4341">
        <v>0.86868129999999999</v>
      </c>
      <c r="P4341">
        <v>0.27732440000000003</v>
      </c>
      <c r="Q4341">
        <v>4.697954E-2</v>
      </c>
      <c r="R4341">
        <v>0.95962709999999996</v>
      </c>
      <c r="S4341">
        <v>0.75668329999999995</v>
      </c>
      <c r="T4341">
        <v>-0.31730989999999998</v>
      </c>
      <c r="U4341">
        <v>2.9236759999999999</v>
      </c>
      <c r="V4341">
        <v>-0.2350121</v>
      </c>
      <c r="W4341">
        <v>5.7767949999999998E-2</v>
      </c>
      <c r="X4341">
        <v>0.97027430000000003</v>
      </c>
      <c r="Y4341">
        <v>-0.26271349999999999</v>
      </c>
      <c r="Z4341">
        <v>-8.3907579999999996E-2</v>
      </c>
      <c r="AA4341">
        <v>0.96121860000000003</v>
      </c>
      <c r="AB4341">
        <v>29</v>
      </c>
      <c r="AC4341">
        <v>2.5051000000000201</v>
      </c>
      <c r="AD4341">
        <v>-1.109873452842</v>
      </c>
      <c r="AE4341">
        <v>9.96828</v>
      </c>
      <c r="AF4341">
        <v>-2.7283440315887502</v>
      </c>
      <c r="AG4341">
        <v>-1.109873452842</v>
      </c>
      <c r="AH4341">
        <v>9.7865756370558596</v>
      </c>
      <c r="AI4341">
        <v>96.234383273439605</v>
      </c>
      <c r="AJ4341">
        <v>105.577637648421</v>
      </c>
      <c r="AK4341">
        <v>10.2202124701908</v>
      </c>
      <c r="AL4341">
        <v>86.688296662187</v>
      </c>
      <c r="AM4341">
        <v>103.615509894602</v>
      </c>
      <c r="AN4341">
        <v>1.00000002021705</v>
      </c>
    </row>
    <row r="4342" spans="1:40" x14ac:dyDescent="0.3">
      <c r="A4342" t="str">
        <f>"20200111154005112"</f>
        <v>20200111154005112</v>
      </c>
      <c r="B4342" t="str">
        <f>"1578728405105110"</f>
        <v>1578728405105110</v>
      </c>
      <c r="C4342" t="s">
        <v>40</v>
      </c>
      <c r="D4342">
        <v>5.630382</v>
      </c>
      <c r="E4342">
        <v>0.48603350000000001</v>
      </c>
      <c r="F4342" t="s">
        <v>42</v>
      </c>
      <c r="G4342">
        <v>-190.75020000000001</v>
      </c>
      <c r="H4342" s="1">
        <v>-1.5401070000000001E-6</v>
      </c>
      <c r="I4342">
        <v>-37.286140000000003</v>
      </c>
      <c r="J4342">
        <v>-193.245</v>
      </c>
      <c r="K4342">
        <v>1.109737</v>
      </c>
      <c r="L4342">
        <v>-47.298490000000001</v>
      </c>
      <c r="M4342">
        <v>0.49029089999999997</v>
      </c>
      <c r="N4342">
        <v>0</v>
      </c>
      <c r="O4342">
        <v>0.87144630000000001</v>
      </c>
      <c r="P4342">
        <v>0.27492</v>
      </c>
      <c r="Q4342">
        <v>4.5238050000000002E-2</v>
      </c>
      <c r="R4342">
        <v>0.96040230000000004</v>
      </c>
      <c r="S4342">
        <v>0.74803160000000002</v>
      </c>
      <c r="T4342">
        <v>-0.31701800000000002</v>
      </c>
      <c r="U4342">
        <v>2.9255369999999998</v>
      </c>
      <c r="V4342">
        <v>-0.2319977</v>
      </c>
      <c r="W4342">
        <v>5.6117430000000003E-2</v>
      </c>
      <c r="X4342">
        <v>0.97109619999999996</v>
      </c>
      <c r="Y4342">
        <v>-0.26011899999999999</v>
      </c>
      <c r="Z4342">
        <v>-8.426699E-2</v>
      </c>
      <c r="AA4342">
        <v>0.96189250000000004</v>
      </c>
      <c r="AB4342">
        <v>29</v>
      </c>
      <c r="AC4342">
        <v>2.4947999999999899</v>
      </c>
      <c r="AD4342">
        <v>-1.1097385401069999</v>
      </c>
      <c r="AE4342">
        <v>10.0123499999999</v>
      </c>
      <c r="AF4342">
        <v>-2.7038732898353999</v>
      </c>
      <c r="AG4342">
        <v>-1.1097385401069999</v>
      </c>
      <c r="AH4342">
        <v>9.8356135406418304</v>
      </c>
      <c r="AI4342">
        <v>96.208934878831201</v>
      </c>
      <c r="AJ4342">
        <v>105.37126627071</v>
      </c>
      <c r="AK4342">
        <v>10.260689261240699</v>
      </c>
      <c r="AL4342">
        <v>86.783018011306694</v>
      </c>
      <c r="AM4342">
        <v>103.436282889509</v>
      </c>
      <c r="AN4342">
        <v>0.999999964204766</v>
      </c>
    </row>
    <row r="4343" spans="1:40" x14ac:dyDescent="0.3">
      <c r="A4343" t="str">
        <f>"20200111154005158"</f>
        <v>20200111154005158</v>
      </c>
      <c r="B4343" t="str">
        <f>"1578728405154885"</f>
        <v>1578728405154885</v>
      </c>
      <c r="C4343" t="s">
        <v>40</v>
      </c>
      <c r="D4343">
        <v>5.4213300000000002</v>
      </c>
      <c r="E4343">
        <v>0.48701329999999998</v>
      </c>
      <c r="F4343" t="s">
        <v>42</v>
      </c>
      <c r="G4343">
        <v>-190.67660000000001</v>
      </c>
      <c r="H4343" s="1">
        <v>-1.561408E-6</v>
      </c>
      <c r="I4343">
        <v>-37.190860000000001</v>
      </c>
      <c r="J4343">
        <v>-192.97710000000001</v>
      </c>
      <c r="K4343">
        <v>1.1094619999999999</v>
      </c>
      <c r="L4343">
        <v>-46.792020000000001</v>
      </c>
      <c r="M4343">
        <v>0.47988629999999999</v>
      </c>
      <c r="N4343">
        <v>0</v>
      </c>
      <c r="O4343">
        <v>0.87721979999999999</v>
      </c>
      <c r="P4343">
        <v>0.26696449999999999</v>
      </c>
      <c r="Q4343">
        <v>4.1900609999999998E-2</v>
      </c>
      <c r="R4343">
        <v>0.96279510000000001</v>
      </c>
      <c r="S4343">
        <v>0.74349980000000004</v>
      </c>
      <c r="T4343">
        <v>-0.32125140000000002</v>
      </c>
      <c r="U4343">
        <v>2.9259949999999999</v>
      </c>
      <c r="V4343">
        <v>-0.22847290000000001</v>
      </c>
      <c r="W4343">
        <v>5.292024E-2</v>
      </c>
      <c r="X4343">
        <v>0.9721109</v>
      </c>
      <c r="Y4343">
        <v>-0.25009559999999997</v>
      </c>
      <c r="Z4343">
        <v>-8.642271E-2</v>
      </c>
      <c r="AA4343">
        <v>0.9643564</v>
      </c>
      <c r="AB4343">
        <v>29</v>
      </c>
      <c r="AC4343">
        <v>2.3004999999999902</v>
      </c>
      <c r="AD4343">
        <v>-1.109463561408</v>
      </c>
      <c r="AE4343">
        <v>9.6011600000000001</v>
      </c>
      <c r="AF4343">
        <v>-2.5573783495087801</v>
      </c>
      <c r="AG4343">
        <v>-1.109463561408</v>
      </c>
      <c r="AH4343">
        <v>9.4084233337902994</v>
      </c>
      <c r="AI4343">
        <v>96.491959778148797</v>
      </c>
      <c r="AJ4343">
        <v>105.20661414662899</v>
      </c>
      <c r="AK4343">
        <v>9.8127225092956891</v>
      </c>
      <c r="AL4343">
        <v>86.966476578739901</v>
      </c>
      <c r="AM4343">
        <v>103.226050246349</v>
      </c>
      <c r="AN4343">
        <v>1.00000000986743</v>
      </c>
    </row>
    <row r="4344" spans="1:40" x14ac:dyDescent="0.3">
      <c r="A4344" t="str">
        <f>"20200111154005181"</f>
        <v>20200111154005181</v>
      </c>
      <c r="B4344" t="str">
        <f>"1578728405175381"</f>
        <v>1578728405175381</v>
      </c>
      <c r="C4344" t="s">
        <v>40</v>
      </c>
      <c r="D4344">
        <v>5.4523869999999999</v>
      </c>
      <c r="E4344">
        <v>0.48725580000000002</v>
      </c>
      <c r="F4344" t="s">
        <v>42</v>
      </c>
      <c r="G4344">
        <v>-190.5343</v>
      </c>
      <c r="H4344" s="1">
        <v>-1.6248150000000001E-6</v>
      </c>
      <c r="I4344">
        <v>-36.954810000000002</v>
      </c>
      <c r="J4344">
        <v>-192.8449</v>
      </c>
      <c r="K4344">
        <v>1.1093440000000001</v>
      </c>
      <c r="L4344">
        <v>-46.537109999999998</v>
      </c>
      <c r="M4344">
        <v>0.47479490000000002</v>
      </c>
      <c r="N4344">
        <v>0</v>
      </c>
      <c r="O4344">
        <v>0.8799863</v>
      </c>
      <c r="P4344">
        <v>0.26312449999999998</v>
      </c>
      <c r="Q4344">
        <v>4.1099589999999998E-2</v>
      </c>
      <c r="R4344">
        <v>0.96388609999999997</v>
      </c>
      <c r="S4344">
        <v>0.72721859999999905</v>
      </c>
      <c r="T4344">
        <v>-0.33030009999999999</v>
      </c>
      <c r="U4344">
        <v>2.9286500000000002</v>
      </c>
      <c r="V4344">
        <v>-0.22670750000000001</v>
      </c>
      <c r="W4344">
        <v>5.2174539999999998E-2</v>
      </c>
      <c r="X4344">
        <v>0.9725644</v>
      </c>
      <c r="Y4344">
        <v>-0.2497981</v>
      </c>
      <c r="Z4344">
        <v>-8.9250209999999996E-2</v>
      </c>
      <c r="AA4344">
        <v>0.96417589999999997</v>
      </c>
      <c r="AB4344">
        <v>29</v>
      </c>
      <c r="AC4344">
        <v>2.3105999999999902</v>
      </c>
      <c r="AD4344">
        <v>-1.109345624815</v>
      </c>
      <c r="AE4344">
        <v>9.5823</v>
      </c>
      <c r="AF4344">
        <v>-2.4850978860487198</v>
      </c>
      <c r="AG4344">
        <v>-1.109345624815</v>
      </c>
      <c r="AH4344">
        <v>9.4110745652766994</v>
      </c>
      <c r="AI4344">
        <v>96.501950969427</v>
      </c>
      <c r="AJ4344">
        <v>104.791945601097</v>
      </c>
      <c r="AK4344">
        <v>9.7966669685020005</v>
      </c>
      <c r="AL4344">
        <v>87.009261100419906</v>
      </c>
      <c r="AM4344">
        <v>103.121495931591</v>
      </c>
      <c r="AN4344">
        <v>0.99999999266391004</v>
      </c>
    </row>
    <row r="4345" spans="1:40" x14ac:dyDescent="0.3">
      <c r="A4345" t="str">
        <f>"20200111154005204"</f>
        <v>20200111154005204</v>
      </c>
      <c r="B4345" t="str">
        <f>"1578728405194901"</f>
        <v>1578728405194901</v>
      </c>
      <c r="C4345" t="s">
        <v>40</v>
      </c>
      <c r="D4345">
        <v>5.4902179999999996</v>
      </c>
      <c r="E4345">
        <v>0.48751879999999997</v>
      </c>
      <c r="F4345" t="s">
        <v>42</v>
      </c>
      <c r="G4345">
        <v>-190.44900000000001</v>
      </c>
      <c r="H4345" s="1">
        <v>-1.6903590000000001E-6</v>
      </c>
      <c r="I4345">
        <v>-36.749099999999999</v>
      </c>
      <c r="J4345">
        <v>-192.70660000000001</v>
      </c>
      <c r="K4345">
        <v>1.1092329999999999</v>
      </c>
      <c r="L4345">
        <v>-46.266449999999999</v>
      </c>
      <c r="M4345">
        <v>0.4694584</v>
      </c>
      <c r="N4345">
        <v>0</v>
      </c>
      <c r="O4345">
        <v>0.882845199999999</v>
      </c>
      <c r="P4345">
        <v>0.25819989999999998</v>
      </c>
      <c r="Q4345">
        <v>3.9679850000000003E-2</v>
      </c>
      <c r="R4345">
        <v>0.96527629999999998</v>
      </c>
      <c r="S4345">
        <v>0.71739200000000003</v>
      </c>
      <c r="T4345">
        <v>-0.33215990000000001</v>
      </c>
      <c r="U4345">
        <v>2.9307249999999998</v>
      </c>
      <c r="V4345">
        <v>-0.2257863</v>
      </c>
      <c r="W4345">
        <v>5.0790210000000002E-2</v>
      </c>
      <c r="X4345">
        <v>0.97285189999999999</v>
      </c>
      <c r="Y4345">
        <v>-0.2471614</v>
      </c>
      <c r="Z4345">
        <v>-9.0214240000000001E-2</v>
      </c>
      <c r="AA4345">
        <v>0.96476550000000005</v>
      </c>
      <c r="AB4345">
        <v>29</v>
      </c>
      <c r="AC4345">
        <v>2.2575999999999898</v>
      </c>
      <c r="AD4345">
        <v>-1.109234690359</v>
      </c>
      <c r="AE4345">
        <v>9.5173500000000004</v>
      </c>
      <c r="AF4345">
        <v>-2.4437016624439698</v>
      </c>
      <c r="AG4345">
        <v>-1.109234690359</v>
      </c>
      <c r="AH4345">
        <v>9.3429596800802397</v>
      </c>
      <c r="AI4345">
        <v>96.552293532536595</v>
      </c>
      <c r="AJ4345">
        <v>104.65766008904799</v>
      </c>
      <c r="AK4345">
        <v>9.7207497137274501</v>
      </c>
      <c r="AL4345">
        <v>87.088682596531598</v>
      </c>
      <c r="AM4345">
        <v>103.066282308906</v>
      </c>
      <c r="AN4345">
        <v>0.99999995901657102</v>
      </c>
    </row>
    <row r="4346" spans="1:40" x14ac:dyDescent="0.3">
      <c r="A4346" t="str">
        <f>"20200111154005225"</f>
        <v>20200111154005225</v>
      </c>
      <c r="B4346" t="str">
        <f>"1578728405215397"</f>
        <v>1578728405215397</v>
      </c>
      <c r="C4346" t="s">
        <v>40</v>
      </c>
      <c r="D4346">
        <v>5.263083</v>
      </c>
      <c r="E4346">
        <v>0.48782609999999899</v>
      </c>
      <c r="F4346" t="s">
        <v>42</v>
      </c>
      <c r="G4346">
        <v>-190.37860000000001</v>
      </c>
      <c r="H4346" s="1">
        <v>-1.7517519999999901E-6</v>
      </c>
      <c r="I4346">
        <v>-36.56232</v>
      </c>
      <c r="J4346">
        <v>-192.5908</v>
      </c>
      <c r="K4346">
        <v>1.1091420000000001</v>
      </c>
      <c r="L4346">
        <v>-46.037019999999998</v>
      </c>
      <c r="M4346">
        <v>0.46499230000000003</v>
      </c>
      <c r="N4346">
        <v>0</v>
      </c>
      <c r="O4346">
        <v>0.88520580000000004</v>
      </c>
      <c r="P4346">
        <v>0.25437700000000002</v>
      </c>
      <c r="Q4346">
        <v>3.7523580000000001E-2</v>
      </c>
      <c r="R4346">
        <v>0.96637689999999998</v>
      </c>
      <c r="S4346">
        <v>0.70372009999999996</v>
      </c>
      <c r="T4346">
        <v>-0.3353119</v>
      </c>
      <c r="U4346">
        <v>2.9334720000000001</v>
      </c>
      <c r="V4346">
        <v>-0.2247314</v>
      </c>
      <c r="W4346">
        <v>4.8665670000000001E-2</v>
      </c>
      <c r="X4346">
        <v>0.97320469999999903</v>
      </c>
      <c r="Y4346">
        <v>-0.2467462</v>
      </c>
      <c r="Z4346">
        <v>-9.1410249999999998E-2</v>
      </c>
      <c r="AA4346">
        <v>0.96475929999999999</v>
      </c>
      <c r="AB4346">
        <v>29</v>
      </c>
      <c r="AC4346">
        <v>2.21219999999999</v>
      </c>
      <c r="AD4346">
        <v>-1.109143751752</v>
      </c>
      <c r="AE4346">
        <v>9.4747000000000003</v>
      </c>
      <c r="AF4346">
        <v>-2.41624605757751</v>
      </c>
      <c r="AG4346">
        <v>-1.109143751752</v>
      </c>
      <c r="AH4346">
        <v>9.2958198947906308</v>
      </c>
      <c r="AI4346">
        <v>96.5872878317127</v>
      </c>
      <c r="AJ4346">
        <v>104.570364655432</v>
      </c>
      <c r="AK4346">
        <v>9.6685424128559703</v>
      </c>
      <c r="AL4346">
        <v>87.210560614859901</v>
      </c>
      <c r="AM4346">
        <v>103.00276065456499</v>
      </c>
      <c r="AN4346">
        <v>0.99999996884229803</v>
      </c>
    </row>
    <row r="4347" spans="1:40" x14ac:dyDescent="0.3">
      <c r="A4347" t="str">
        <f>"20200111154005247"</f>
        <v>20200111154005247</v>
      </c>
      <c r="B4347" t="str">
        <f>"1578728405234918"</f>
        <v>1578728405234918</v>
      </c>
      <c r="C4347" t="s">
        <v>40</v>
      </c>
      <c r="D4347">
        <v>5.4393140000000004</v>
      </c>
      <c r="E4347">
        <v>0.48809140000000001</v>
      </c>
      <c r="F4347" t="s">
        <v>42</v>
      </c>
      <c r="G4347">
        <v>-190.34059999999999</v>
      </c>
      <c r="H4347" s="1">
        <v>-1.7632360000000001E-6</v>
      </c>
      <c r="I4347">
        <v>-36.512</v>
      </c>
      <c r="J4347">
        <v>-192.46299999999999</v>
      </c>
      <c r="K4347">
        <v>1.109051</v>
      </c>
      <c r="L4347">
        <v>-45.780670000000001</v>
      </c>
      <c r="M4347">
        <v>0.46005439999999997</v>
      </c>
      <c r="N4347">
        <v>0</v>
      </c>
      <c r="O4347">
        <v>0.88778250000000003</v>
      </c>
      <c r="P4347">
        <v>0.2502161</v>
      </c>
      <c r="Q4347">
        <v>3.4369789999999997E-2</v>
      </c>
      <c r="R4347">
        <v>0.96757979999999999</v>
      </c>
      <c r="S4347">
        <v>0.69337459999999995</v>
      </c>
      <c r="T4347">
        <v>-0.341781</v>
      </c>
      <c r="U4347">
        <v>2.93512</v>
      </c>
      <c r="V4347">
        <v>-0.22351109999999999</v>
      </c>
      <c r="W4347">
        <v>4.5546330000000003E-2</v>
      </c>
      <c r="X4347">
        <v>0.97363659999999996</v>
      </c>
      <c r="Y4347">
        <v>-0.24473610000000001</v>
      </c>
      <c r="Z4347">
        <v>-9.3591179999999996E-2</v>
      </c>
      <c r="AA4347">
        <v>0.96506210000000003</v>
      </c>
      <c r="AB4347">
        <v>29</v>
      </c>
      <c r="AC4347">
        <v>2.1223999999999901</v>
      </c>
      <c r="AD4347">
        <v>-1.1090527632359899</v>
      </c>
      <c r="AE4347">
        <v>9.2686700000000002</v>
      </c>
      <c r="AF4347">
        <v>-2.3481467944821501</v>
      </c>
      <c r="AG4347">
        <v>-1.1090527632359899</v>
      </c>
      <c r="AH4347">
        <v>9.08230918538775</v>
      </c>
      <c r="AI4347">
        <v>96.742438995428699</v>
      </c>
      <c r="AJ4347">
        <v>104.495872234752</v>
      </c>
      <c r="AK4347">
        <v>9.4462760672688901</v>
      </c>
      <c r="AL4347">
        <v>87.389484296660498</v>
      </c>
      <c r="AM4347">
        <v>102.928990976517</v>
      </c>
      <c r="AN4347">
        <v>0.99999995442961798</v>
      </c>
    </row>
    <row r="4348" spans="1:40" x14ac:dyDescent="0.3">
      <c r="A4348" t="str">
        <f>"20200111154005272"</f>
        <v>20200111154005272</v>
      </c>
      <c r="B4348" t="str">
        <f>"1578728405265174"</f>
        <v>1578728405265174</v>
      </c>
      <c r="C4348" t="s">
        <v>40</v>
      </c>
      <c r="D4348">
        <v>5.4071189999999998</v>
      </c>
      <c r="E4348">
        <v>0.48861520000000003</v>
      </c>
      <c r="F4348" t="s">
        <v>42</v>
      </c>
      <c r="G4348">
        <v>-190.31489999999999</v>
      </c>
      <c r="H4348" s="1">
        <v>-1.748435E-6</v>
      </c>
      <c r="I4348">
        <v>-36.530520000000003</v>
      </c>
      <c r="J4348">
        <v>-192.33109999999999</v>
      </c>
      <c r="K4348">
        <v>1.1089690000000001</v>
      </c>
      <c r="L4348">
        <v>-45.512479999999996</v>
      </c>
      <c r="M4348">
        <v>0.45493220000000001</v>
      </c>
      <c r="N4348">
        <v>0</v>
      </c>
      <c r="O4348">
        <v>0.89041840000000005</v>
      </c>
      <c r="P4348">
        <v>0.2456467</v>
      </c>
      <c r="Q4348">
        <v>3.1576939999999998E-2</v>
      </c>
      <c r="R4348">
        <v>0.96884499999999996</v>
      </c>
      <c r="S4348">
        <v>0.68197629999999998</v>
      </c>
      <c r="T4348">
        <v>-0.35209469999999998</v>
      </c>
      <c r="U4348">
        <v>2.9366759999999998</v>
      </c>
      <c r="V4348">
        <v>-0.22250429999999999</v>
      </c>
      <c r="W4348">
        <v>4.2783849999999998E-2</v>
      </c>
      <c r="X4348">
        <v>0.97399250000000004</v>
      </c>
      <c r="Y4348">
        <v>-0.24288789999999999</v>
      </c>
      <c r="Z4348">
        <v>-9.6844929999999996E-2</v>
      </c>
      <c r="AA4348">
        <v>0.96520810000000001</v>
      </c>
      <c r="AB4348">
        <v>28</v>
      </c>
      <c r="AC4348">
        <v>2.0161999999999898</v>
      </c>
      <c r="AD4348">
        <v>-1.108970748435</v>
      </c>
      <c r="AE4348">
        <v>8.9819599999999902</v>
      </c>
      <c r="AF4348">
        <v>-2.2583659438599599</v>
      </c>
      <c r="AG4348">
        <v>-1.108970748435</v>
      </c>
      <c r="AH4348">
        <v>8.7882504035835591</v>
      </c>
      <c r="AI4348">
        <v>96.967962245840596</v>
      </c>
      <c r="AJ4348">
        <v>104.411784139394</v>
      </c>
      <c r="AK4348">
        <v>9.1413006740483898</v>
      </c>
      <c r="AL4348">
        <v>87.547917517057201</v>
      </c>
      <c r="AM4348">
        <v>102.868149822563</v>
      </c>
      <c r="AN4348">
        <v>1.00000000569778</v>
      </c>
    </row>
    <row r="4349" spans="1:40" x14ac:dyDescent="0.3">
      <c r="A4349" t="str">
        <f>"20200111154005293"</f>
        <v>20200111154005293</v>
      </c>
      <c r="B4349" t="str">
        <f>"1578728405285670"</f>
        <v>1578728405285670</v>
      </c>
      <c r="C4349" t="s">
        <v>40</v>
      </c>
      <c r="D4349">
        <v>5.4191739999999999</v>
      </c>
      <c r="E4349">
        <v>0.48887239999999998</v>
      </c>
      <c r="F4349" t="s">
        <v>42</v>
      </c>
      <c r="G4349">
        <v>-190.26730000000001</v>
      </c>
      <c r="H4349" s="1">
        <v>-1.754656E-6</v>
      </c>
      <c r="I4349">
        <v>-36.486550000000001</v>
      </c>
      <c r="J4349">
        <v>-192.21029999999999</v>
      </c>
      <c r="K4349">
        <v>1.108908</v>
      </c>
      <c r="L4349">
        <v>-45.263460000000002</v>
      </c>
      <c r="M4349">
        <v>0.45021270000000002</v>
      </c>
      <c r="N4349">
        <v>0</v>
      </c>
      <c r="O4349">
        <v>0.8928142</v>
      </c>
      <c r="P4349">
        <v>0.2409201</v>
      </c>
      <c r="Q4349">
        <v>2.973102E-2</v>
      </c>
      <c r="R4349">
        <v>0.97008939999999999</v>
      </c>
      <c r="S4349">
        <v>0.67175289999999999</v>
      </c>
      <c r="T4349">
        <v>-0.36096430000000002</v>
      </c>
      <c r="U4349">
        <v>2.937897</v>
      </c>
      <c r="V4349">
        <v>-0.22209860000000001</v>
      </c>
      <c r="W4349">
        <v>4.0958219999999997E-2</v>
      </c>
      <c r="X4349">
        <v>0.97416349999999996</v>
      </c>
      <c r="Y4349">
        <v>-0.2410949</v>
      </c>
      <c r="Z4349">
        <v>-9.9692489999999995E-2</v>
      </c>
      <c r="AA4349">
        <v>0.96536759999999999</v>
      </c>
      <c r="AB4349">
        <v>28</v>
      </c>
      <c r="AC4349">
        <v>1.9429999999999801</v>
      </c>
      <c r="AD4349">
        <v>-1.1089097546560001</v>
      </c>
      <c r="AE4349">
        <v>8.7769099999999902</v>
      </c>
      <c r="AF4349">
        <v>-2.1837206601433299</v>
      </c>
      <c r="AG4349">
        <v>-1.1089097546560001</v>
      </c>
      <c r="AH4349">
        <v>8.58116654045328</v>
      </c>
      <c r="AI4349">
        <v>97.138248137512207</v>
      </c>
      <c r="AJ4349">
        <v>104.277482057272</v>
      </c>
      <c r="AK4349">
        <v>8.9238296689539602</v>
      </c>
      <c r="AL4349">
        <v>87.6526100939207</v>
      </c>
      <c r="AM4349">
        <v>102.843285849271</v>
      </c>
      <c r="AN4349">
        <v>0.99999994431988704</v>
      </c>
    </row>
    <row r="4350" spans="1:40" x14ac:dyDescent="0.3">
      <c r="A4350" t="str">
        <f>"20200111154005316"</f>
        <v>20200111154005316</v>
      </c>
      <c r="B4350" t="str">
        <f>"1578728405305190"</f>
        <v>1578728405305190</v>
      </c>
      <c r="C4350" t="s">
        <v>40</v>
      </c>
      <c r="D4350">
        <v>5.4149669999999999</v>
      </c>
      <c r="E4350">
        <v>0.48926609999999998</v>
      </c>
      <c r="F4350" t="s">
        <v>42</v>
      </c>
      <c r="G4350">
        <v>-190.20849999999999</v>
      </c>
      <c r="H4350" s="1">
        <v>-1.803194E-6</v>
      </c>
      <c r="I4350">
        <v>-36.336889999999997</v>
      </c>
      <c r="J4350">
        <v>-192.0866</v>
      </c>
      <c r="K4350">
        <v>1.108849</v>
      </c>
      <c r="L4350">
        <v>-45.004849999999998</v>
      </c>
      <c r="M4350">
        <v>0.44535439999999998</v>
      </c>
      <c r="N4350">
        <v>0</v>
      </c>
      <c r="O4350">
        <v>0.89524769999999898</v>
      </c>
      <c r="P4350">
        <v>0.23545250000000001</v>
      </c>
      <c r="Q4350">
        <v>2.927971E-2</v>
      </c>
      <c r="R4350">
        <v>0.97144470000000005</v>
      </c>
      <c r="S4350">
        <v>0.65931700000000004</v>
      </c>
      <c r="T4350">
        <v>-0.3652203</v>
      </c>
      <c r="U4350">
        <v>2.939972</v>
      </c>
      <c r="V4350">
        <v>-0.22228800000000001</v>
      </c>
      <c r="W4350">
        <v>4.0518459999999999E-2</v>
      </c>
      <c r="X4350">
        <v>0.97413870000000002</v>
      </c>
      <c r="Y4350">
        <v>-0.23988719999999999</v>
      </c>
      <c r="Z4350">
        <v>-0.1012733</v>
      </c>
      <c r="AA4350">
        <v>0.96550389999999997</v>
      </c>
      <c r="AB4350">
        <v>28</v>
      </c>
      <c r="AC4350">
        <v>1.8781000000000101</v>
      </c>
      <c r="AD4350">
        <v>-1.1088508031940001</v>
      </c>
      <c r="AE4350">
        <v>8.6679599999999901</v>
      </c>
      <c r="AF4350">
        <v>-2.1456192895181099</v>
      </c>
      <c r="AG4350">
        <v>-1.1088508031940001</v>
      </c>
      <c r="AH4350">
        <v>8.4648973213610699</v>
      </c>
      <c r="AI4350">
        <v>97.236600400776794</v>
      </c>
      <c r="AJ4350">
        <v>104.223349853868</v>
      </c>
      <c r="AK4350">
        <v>8.8027108836131909</v>
      </c>
      <c r="AL4350">
        <v>87.677827443486294</v>
      </c>
      <c r="AM4350">
        <v>102.854190984599</v>
      </c>
      <c r="AN4350">
        <v>0.99999995369122896</v>
      </c>
    </row>
    <row r="4351" spans="1:40" x14ac:dyDescent="0.3">
      <c r="A4351" t="str">
        <f>"20200111154005337"</f>
        <v>20200111154005337</v>
      </c>
      <c r="B4351" t="str">
        <f>"1578728405325685"</f>
        <v>1578728405325685</v>
      </c>
      <c r="C4351" t="s">
        <v>40</v>
      </c>
      <c r="D4351">
        <v>5.4010989999999897</v>
      </c>
      <c r="E4351">
        <v>0.48941050000000003</v>
      </c>
      <c r="F4351" t="s">
        <v>42</v>
      </c>
      <c r="G4351">
        <v>-190.12700000000001</v>
      </c>
      <c r="H4351" s="1">
        <v>-1.893072E-6</v>
      </c>
      <c r="I4351">
        <v>-36.076860000000003</v>
      </c>
      <c r="J4351">
        <v>-191.97479999999999</v>
      </c>
      <c r="K4351">
        <v>1.1088</v>
      </c>
      <c r="L4351">
        <v>-44.768009999999997</v>
      </c>
      <c r="M4351">
        <v>0.44094470000000002</v>
      </c>
      <c r="N4351">
        <v>0</v>
      </c>
      <c r="O4351">
        <v>0.897428</v>
      </c>
      <c r="P4351">
        <v>0.23099620000000001</v>
      </c>
      <c r="Q4351">
        <v>2.9016380000000001E-2</v>
      </c>
      <c r="R4351">
        <v>0.97252190000000005</v>
      </c>
      <c r="S4351">
        <v>0.6458893</v>
      </c>
      <c r="T4351">
        <v>-0.36547610000000003</v>
      </c>
      <c r="U4351">
        <v>2.9426570000000001</v>
      </c>
      <c r="V4351">
        <v>-0.22195799999999999</v>
      </c>
      <c r="W4351">
        <v>4.0272139999999998E-2</v>
      </c>
      <c r="X4351">
        <v>0.97422419999999998</v>
      </c>
      <c r="Y4351">
        <v>-0.23950469999999999</v>
      </c>
      <c r="Z4351">
        <v>-0.1016894</v>
      </c>
      <c r="AA4351">
        <v>0.96555519999999995</v>
      </c>
      <c r="AB4351">
        <v>28</v>
      </c>
      <c r="AC4351">
        <v>1.8477999999999699</v>
      </c>
      <c r="AD4351">
        <v>-1.1088018930720001</v>
      </c>
      <c r="AE4351">
        <v>8.6911500000000004</v>
      </c>
      <c r="AF4351">
        <v>-2.1409174087769198</v>
      </c>
      <c r="AG4351">
        <v>-1.1088018930720001</v>
      </c>
      <c r="AH4351">
        <v>8.4831779746858498</v>
      </c>
      <c r="AI4351">
        <v>97.222724943262705</v>
      </c>
      <c r="AJ4351">
        <v>104.164088236056</v>
      </c>
      <c r="AK4351">
        <v>8.8191426759906406</v>
      </c>
      <c r="AL4351">
        <v>87.691952165856193</v>
      </c>
      <c r="AM4351">
        <v>102.834651524847</v>
      </c>
      <c r="AN4351">
        <v>0.99999999544490903</v>
      </c>
    </row>
    <row r="4352" spans="1:40" x14ac:dyDescent="0.3">
      <c r="A4352" t="str">
        <f>"20200111154005360"</f>
        <v>20200111154005360</v>
      </c>
      <c r="B4352" t="str">
        <f>"1578728405355942"</f>
        <v>1578728405355942</v>
      </c>
      <c r="C4352" t="s">
        <v>40</v>
      </c>
      <c r="D4352">
        <v>5.4155449999999998</v>
      </c>
      <c r="E4352">
        <v>0.48976560000000002</v>
      </c>
      <c r="F4352" t="s">
        <v>42</v>
      </c>
      <c r="G4352">
        <v>-190.06030000000001</v>
      </c>
      <c r="H4352" s="1">
        <v>-1.9674250000000001E-6</v>
      </c>
      <c r="I4352">
        <v>-35.862130000000001</v>
      </c>
      <c r="J4352">
        <v>-191.85140000000001</v>
      </c>
      <c r="K4352">
        <v>1.108746</v>
      </c>
      <c r="L4352">
        <v>-44.503270000000001</v>
      </c>
      <c r="M4352">
        <v>0.43605250000000001</v>
      </c>
      <c r="N4352">
        <v>0</v>
      </c>
      <c r="O4352">
        <v>0.89981540000000004</v>
      </c>
      <c r="P4352">
        <v>0.22583729999999999</v>
      </c>
      <c r="Q4352">
        <v>2.8484840000000001E-2</v>
      </c>
      <c r="R4352">
        <v>0.97374850000000002</v>
      </c>
      <c r="S4352">
        <v>0.63316349999999999</v>
      </c>
      <c r="T4352">
        <v>-0.36669839999999998</v>
      </c>
      <c r="U4352">
        <v>2.9453130000000001</v>
      </c>
      <c r="V4352">
        <v>-0.22181590000000001</v>
      </c>
      <c r="W4352">
        <v>3.9754709999999999E-2</v>
      </c>
      <c r="X4352">
        <v>0.97427790000000003</v>
      </c>
      <c r="Y4352">
        <v>-0.23839859999999999</v>
      </c>
      <c r="Z4352">
        <v>-0.102418</v>
      </c>
      <c r="AA4352">
        <v>0.96575180000000005</v>
      </c>
      <c r="AB4352">
        <v>28</v>
      </c>
      <c r="AC4352">
        <v>1.7910999999999999</v>
      </c>
      <c r="AD4352">
        <v>-1.108747967425</v>
      </c>
      <c r="AE4352">
        <v>8.64114</v>
      </c>
      <c r="AF4352">
        <v>-2.1230240129798901</v>
      </c>
      <c r="AG4352">
        <v>-1.108747967425</v>
      </c>
      <c r="AH4352">
        <v>8.4242791366209602</v>
      </c>
      <c r="AI4352">
        <v>97.272947695686398</v>
      </c>
      <c r="AJ4352">
        <v>104.144719267377</v>
      </c>
      <c r="AK4352">
        <v>8.7581408978541493</v>
      </c>
      <c r="AL4352">
        <v>87.721622672425596</v>
      </c>
      <c r="AM4352">
        <v>102.826022922501</v>
      </c>
      <c r="AN4352">
        <v>1.00000007844419</v>
      </c>
    </row>
    <row r="4353" spans="1:40" x14ac:dyDescent="0.3">
      <c r="A4353" t="str">
        <f>"20200111154005383"</f>
        <v>20200111154005383</v>
      </c>
      <c r="B4353" t="str">
        <f>"1578728405375462"</f>
        <v>1578728405375462</v>
      </c>
      <c r="C4353" t="s">
        <v>40</v>
      </c>
      <c r="D4353">
        <v>5.4233060000000002</v>
      </c>
      <c r="E4353">
        <v>0.4900216</v>
      </c>
      <c r="F4353" t="s">
        <v>42</v>
      </c>
      <c r="G4353">
        <v>-189.98679999999999</v>
      </c>
      <c r="H4353" s="1">
        <v>-2.0458700000000002E-6</v>
      </c>
      <c r="I4353">
        <v>-35.633740000000003</v>
      </c>
      <c r="J4353">
        <v>-191.73089999999999</v>
      </c>
      <c r="K4353">
        <v>1.1086929999999999</v>
      </c>
      <c r="L4353">
        <v>-44.241059999999997</v>
      </c>
      <c r="M4353">
        <v>0.43123990000000001</v>
      </c>
      <c r="N4353">
        <v>0</v>
      </c>
      <c r="O4353">
        <v>0.90213200000000004</v>
      </c>
      <c r="P4353">
        <v>0.22078320000000001</v>
      </c>
      <c r="Q4353">
        <v>2.868621E-2</v>
      </c>
      <c r="R4353">
        <v>0.97490100000000002</v>
      </c>
      <c r="S4353">
        <v>0.61972050000000001</v>
      </c>
      <c r="T4353">
        <v>-0.36850759999999999</v>
      </c>
      <c r="U4353">
        <v>2.9479060000000001</v>
      </c>
      <c r="V4353">
        <v>-0.2216611</v>
      </c>
      <c r="W4353">
        <v>3.9968160000000003E-2</v>
      </c>
      <c r="X4353">
        <v>0.97430430000000001</v>
      </c>
      <c r="Y4353">
        <v>-0.23761589999999999</v>
      </c>
      <c r="Z4353">
        <v>-0.10329729999999999</v>
      </c>
      <c r="AA4353">
        <v>0.96585109999999996</v>
      </c>
      <c r="AB4353">
        <v>28</v>
      </c>
      <c r="AC4353">
        <v>1.7441</v>
      </c>
      <c r="AD4353">
        <v>-1.10869504587</v>
      </c>
      <c r="AE4353">
        <v>8.6073199999999908</v>
      </c>
      <c r="AF4353">
        <v>-2.10506564621407</v>
      </c>
      <c r="AG4353">
        <v>-1.10869504587</v>
      </c>
      <c r="AH4353">
        <v>8.3842517585145302</v>
      </c>
      <c r="AI4353">
        <v>97.308555594593699</v>
      </c>
      <c r="AJ4353">
        <v>104.09413201112601</v>
      </c>
      <c r="AK4353">
        <v>8.7152844835817795</v>
      </c>
      <c r="AL4353">
        <v>87.709382942805107</v>
      </c>
      <c r="AM4353">
        <v>102.817031868672</v>
      </c>
      <c r="AN4353">
        <v>0.99999998303274196</v>
      </c>
    </row>
    <row r="4354" spans="1:40" x14ac:dyDescent="0.3">
      <c r="A4354" t="str">
        <f>"20200111154005405"</f>
        <v>20200111154005405</v>
      </c>
      <c r="B4354" t="str">
        <f>"1578728405394982"</f>
        <v>1578728405394982</v>
      </c>
      <c r="C4354" t="s">
        <v>40</v>
      </c>
      <c r="D4354">
        <v>5.4317789999999997</v>
      </c>
      <c r="E4354">
        <v>0.4903691</v>
      </c>
      <c r="F4354" t="s">
        <v>42</v>
      </c>
      <c r="G4354">
        <v>-189.90289999999999</v>
      </c>
      <c r="H4354" s="1">
        <v>-2.1750299999999999E-6</v>
      </c>
      <c r="I4354">
        <v>-35.337330000000001</v>
      </c>
      <c r="J4354">
        <v>-191.61449999999999</v>
      </c>
      <c r="K4354">
        <v>1.108657</v>
      </c>
      <c r="L4354">
        <v>-43.984470000000002</v>
      </c>
      <c r="M4354">
        <v>0.42655520000000002</v>
      </c>
      <c r="N4354">
        <v>0</v>
      </c>
      <c r="O4354">
        <v>0.90435659999999896</v>
      </c>
      <c r="P4354">
        <v>0.21587700000000001</v>
      </c>
      <c r="Q4354">
        <v>2.9169500000000001E-2</v>
      </c>
      <c r="R4354">
        <v>0.97598479999999999</v>
      </c>
      <c r="S4354">
        <v>0.60583500000000001</v>
      </c>
      <c r="T4354">
        <v>-0.36743900000000002</v>
      </c>
      <c r="U4354">
        <v>2.9508359999999998</v>
      </c>
      <c r="V4354">
        <v>-0.22150339999999999</v>
      </c>
      <c r="W4354">
        <v>4.0461289999999997E-2</v>
      </c>
      <c r="X4354">
        <v>0.97431979999999996</v>
      </c>
      <c r="Y4354">
        <v>-0.2371258</v>
      </c>
      <c r="Z4354">
        <v>-0.1033501</v>
      </c>
      <c r="AA4354">
        <v>0.96596590000000004</v>
      </c>
      <c r="AB4354">
        <v>28</v>
      </c>
      <c r="AC4354">
        <v>1.7116</v>
      </c>
      <c r="AD4354">
        <v>-1.1086591750299899</v>
      </c>
      <c r="AE4354">
        <v>8.6471400000000003</v>
      </c>
      <c r="AF4354">
        <v>-2.1074525747994799</v>
      </c>
      <c r="AG4354">
        <v>-1.1086591750299899</v>
      </c>
      <c r="AH4354">
        <v>8.4178453198184702</v>
      </c>
      <c r="AI4354">
        <v>97.280689917039993</v>
      </c>
      <c r="AJ4354">
        <v>104.055404036368</v>
      </c>
      <c r="AK4354">
        <v>8.7481770300901491</v>
      </c>
      <c r="AL4354">
        <v>87.681105775208707</v>
      </c>
      <c r="AM4354">
        <v>102.80801706513</v>
      </c>
      <c r="AN4354">
        <v>0.999999972436031</v>
      </c>
    </row>
    <row r="4355" spans="1:40" x14ac:dyDescent="0.3">
      <c r="A4355" t="str">
        <f>"20200111154005427"</f>
        <v>20200111154005427</v>
      </c>
      <c r="B4355" t="str">
        <f>"1578728405415478"</f>
        <v>1578728405415478</v>
      </c>
      <c r="C4355" t="s">
        <v>40</v>
      </c>
      <c r="D4355">
        <v>5.4713789999999998</v>
      </c>
      <c r="E4355">
        <v>0.49073539999999999</v>
      </c>
      <c r="F4355" t="s">
        <v>42</v>
      </c>
      <c r="G4355">
        <v>-189.81290000000001</v>
      </c>
      <c r="H4355" s="1">
        <v>-2.3282049999999999E-6</v>
      </c>
      <c r="I4355">
        <v>-35.017490000000002</v>
      </c>
      <c r="J4355">
        <v>-191.5067</v>
      </c>
      <c r="K4355">
        <v>1.108636</v>
      </c>
      <c r="L4355">
        <v>-43.743470000000002</v>
      </c>
      <c r="M4355">
        <v>0.42217070000000001</v>
      </c>
      <c r="N4355">
        <v>0</v>
      </c>
      <c r="O4355">
        <v>0.90641179999999999</v>
      </c>
      <c r="P4355">
        <v>0.21143219999999999</v>
      </c>
      <c r="Q4355">
        <v>2.9564980000000001E-2</v>
      </c>
      <c r="R4355">
        <v>0.97694539999999996</v>
      </c>
      <c r="S4355">
        <v>0.59341429999999995</v>
      </c>
      <c r="T4355">
        <v>-0.36515969999999998</v>
      </c>
      <c r="U4355">
        <v>2.9534609999999999</v>
      </c>
      <c r="V4355">
        <v>-0.22121579999999999</v>
      </c>
      <c r="W4355">
        <v>4.0864829999999998E-2</v>
      </c>
      <c r="X4355">
        <v>0.97436829999999996</v>
      </c>
      <c r="Y4355">
        <v>-0.236482</v>
      </c>
      <c r="Z4355">
        <v>-0.1030411</v>
      </c>
      <c r="AA4355">
        <v>0.96615669999999998</v>
      </c>
      <c r="AB4355">
        <v>28</v>
      </c>
      <c r="AC4355">
        <v>1.69379999999998</v>
      </c>
      <c r="AD4355">
        <v>-1.1086383282050001</v>
      </c>
      <c r="AE4355">
        <v>8.7259799999999998</v>
      </c>
      <c r="AF4355">
        <v>-2.11586279369069</v>
      </c>
      <c r="AG4355">
        <v>-1.1086383282050001</v>
      </c>
      <c r="AH4355">
        <v>8.4931055934721105</v>
      </c>
      <c r="AI4355">
        <v>97.218784244164496</v>
      </c>
      <c r="AJ4355">
        <v>103.989162465167</v>
      </c>
      <c r="AK4355">
        <v>8.8226298191841295</v>
      </c>
      <c r="AL4355">
        <v>87.657965500891606</v>
      </c>
      <c r="AM4355">
        <v>102.791318828347</v>
      </c>
      <c r="AN4355">
        <v>0.99999997427272902</v>
      </c>
    </row>
    <row r="4356" spans="1:40" x14ac:dyDescent="0.3">
      <c r="A4356" t="str">
        <f>"20200111154005449"</f>
        <v>20200111154005449</v>
      </c>
      <c r="B4356" t="str">
        <f>"1578728405444758"</f>
        <v>1578728405444758</v>
      </c>
      <c r="C4356" t="s">
        <v>40</v>
      </c>
      <c r="D4356">
        <v>5.4030389999999997</v>
      </c>
      <c r="E4356">
        <v>0.49121150000000002</v>
      </c>
      <c r="F4356" t="s">
        <v>42</v>
      </c>
      <c r="G4356">
        <v>-189.73089999999999</v>
      </c>
      <c r="H4356" s="1">
        <v>-2.4703080000000001E-6</v>
      </c>
      <c r="I4356">
        <v>-34.720120000000001</v>
      </c>
      <c r="J4356">
        <v>-191.39269999999999</v>
      </c>
      <c r="K4356">
        <v>1.1086129999999901</v>
      </c>
      <c r="L4356">
        <v>-43.485660000000003</v>
      </c>
      <c r="M4356">
        <v>0.41748879999999999</v>
      </c>
      <c r="N4356">
        <v>0</v>
      </c>
      <c r="O4356">
        <v>0.90857790000000005</v>
      </c>
      <c r="P4356">
        <v>0.2070177</v>
      </c>
      <c r="Q4356">
        <v>2.984705E-2</v>
      </c>
      <c r="R4356">
        <v>0.97788180000000002</v>
      </c>
      <c r="S4356">
        <v>0.58169559999999998</v>
      </c>
      <c r="T4356">
        <v>-0.3631682</v>
      </c>
      <c r="U4356">
        <v>2.9558719999999998</v>
      </c>
      <c r="V4356">
        <v>-0.2205869</v>
      </c>
      <c r="W4356">
        <v>4.1157359999999997E-2</v>
      </c>
      <c r="X4356">
        <v>0.97449859999999999</v>
      </c>
      <c r="Y4356">
        <v>-0.23529900000000001</v>
      </c>
      <c r="Z4356">
        <v>-0.10284020000000001</v>
      </c>
      <c r="AA4356">
        <v>0.96646690000000002</v>
      </c>
      <c r="AB4356">
        <v>28</v>
      </c>
      <c r="AC4356">
        <v>1.66179999999999</v>
      </c>
      <c r="AD4356">
        <v>-1.10861547030799</v>
      </c>
      <c r="AE4356">
        <v>8.7655399999999908</v>
      </c>
      <c r="AF4356">
        <v>-2.11715302803331</v>
      </c>
      <c r="AG4356">
        <v>-1.10861547030799</v>
      </c>
      <c r="AH4356">
        <v>8.5271131599147001</v>
      </c>
      <c r="AI4356">
        <v>97.191553424416199</v>
      </c>
      <c r="AJ4356">
        <v>103.943716092348</v>
      </c>
      <c r="AK4356">
        <v>8.85567750356274</v>
      </c>
      <c r="AL4356">
        <v>87.641190749472898</v>
      </c>
      <c r="AM4356">
        <v>102.75449565323299</v>
      </c>
      <c r="AN4356">
        <v>1.0000000150678601</v>
      </c>
    </row>
    <row r="4357" spans="1:40" x14ac:dyDescent="0.3">
      <c r="A4357" t="str">
        <f>"20200111154005473"</f>
        <v>20200111154005473</v>
      </c>
      <c r="B4357" t="str">
        <f>"1578728405465254"</f>
        <v>1578728405465254</v>
      </c>
      <c r="C4357" t="s">
        <v>40</v>
      </c>
      <c r="D4357">
        <v>5.4724139999999997</v>
      </c>
      <c r="E4357">
        <v>0.49150379999999999</v>
      </c>
      <c r="F4357" t="s">
        <v>42</v>
      </c>
      <c r="G4357">
        <v>-189.63300000000001</v>
      </c>
      <c r="H4357" s="1">
        <v>-2.640456E-6</v>
      </c>
      <c r="I4357">
        <v>-34.363990000000001</v>
      </c>
      <c r="J4357">
        <v>-191.27539999999999</v>
      </c>
      <c r="K4357">
        <v>1.1085959999999999</v>
      </c>
      <c r="L4357">
        <v>-43.216340000000002</v>
      </c>
      <c r="M4357">
        <v>0.41260089999999999</v>
      </c>
      <c r="N4357">
        <v>0</v>
      </c>
      <c r="O4357">
        <v>0.91080810000000001</v>
      </c>
      <c r="P4357">
        <v>0.2026136</v>
      </c>
      <c r="Q4357">
        <v>2.991891E-2</v>
      </c>
      <c r="R4357">
        <v>0.97880160000000005</v>
      </c>
      <c r="S4357">
        <v>0.57066349999999999</v>
      </c>
      <c r="T4357">
        <v>-0.359510099999999</v>
      </c>
      <c r="U4357">
        <v>2.9580380000000002</v>
      </c>
      <c r="V4357">
        <v>-0.21973519999999999</v>
      </c>
      <c r="W4357">
        <v>4.1239310000000001E-2</v>
      </c>
      <c r="X4357">
        <v>0.97468750000000004</v>
      </c>
      <c r="Y4357">
        <v>-0.23366729999999999</v>
      </c>
      <c r="Z4357">
        <v>-0.1021913</v>
      </c>
      <c r="AA4357">
        <v>0.96693150000000005</v>
      </c>
      <c r="AB4357">
        <v>28</v>
      </c>
      <c r="AC4357">
        <v>1.6424000000000001</v>
      </c>
      <c r="AD4357">
        <v>-1.108598640456</v>
      </c>
      <c r="AE4357">
        <v>8.8523499999999995</v>
      </c>
      <c r="AF4357">
        <v>-2.1245692660110902</v>
      </c>
      <c r="AG4357">
        <v>-1.108598640456</v>
      </c>
      <c r="AH4357">
        <v>8.61072539354954</v>
      </c>
      <c r="AI4357">
        <v>97.124883402202997</v>
      </c>
      <c r="AJ4357">
        <v>103.86005424187699</v>
      </c>
      <c r="AK4357">
        <v>8.9379738931605104</v>
      </c>
      <c r="AL4357">
        <v>87.636491289384693</v>
      </c>
      <c r="AM4357">
        <v>102.704468908634</v>
      </c>
      <c r="AN4357">
        <v>0.99999998073228202</v>
      </c>
    </row>
    <row r="4358" spans="1:40" x14ac:dyDescent="0.3">
      <c r="A4358" t="str">
        <f>"20200111154005496"</f>
        <v>20200111154005496</v>
      </c>
      <c r="B4358" t="str">
        <f>"1578728405484773"</f>
        <v>1578728405484773</v>
      </c>
      <c r="C4358" t="s">
        <v>40</v>
      </c>
      <c r="D4358">
        <v>5.7294450000000001</v>
      </c>
      <c r="E4358">
        <v>0.49180940000000001</v>
      </c>
      <c r="F4358" t="s">
        <v>42</v>
      </c>
      <c r="G4358">
        <v>-189.54589999999999</v>
      </c>
      <c r="H4358" s="1">
        <v>-2.7860749999999998E-6</v>
      </c>
      <c r="I4358">
        <v>-34.060549999999999</v>
      </c>
      <c r="J4358">
        <v>-191.15979999999999</v>
      </c>
      <c r="K4358">
        <v>1.108587</v>
      </c>
      <c r="L4358">
        <v>-42.94699</v>
      </c>
      <c r="M4358">
        <v>0.40770499999999998</v>
      </c>
      <c r="N4358">
        <v>0</v>
      </c>
      <c r="O4358">
        <v>0.91301019999999999</v>
      </c>
      <c r="P4358">
        <v>0.1984986</v>
      </c>
      <c r="Q4358">
        <v>3.0114660000000001E-2</v>
      </c>
      <c r="R4358">
        <v>0.97963840000000002</v>
      </c>
      <c r="S4358">
        <v>0.5591583</v>
      </c>
      <c r="T4358">
        <v>-0.35842309999999999</v>
      </c>
      <c r="U4358">
        <v>2.960175</v>
      </c>
      <c r="V4358">
        <v>-0.2185964</v>
      </c>
      <c r="W4358">
        <v>4.144656E-2</v>
      </c>
      <c r="X4358">
        <v>0.97493479999999999</v>
      </c>
      <c r="Y4358">
        <v>-0.2322013</v>
      </c>
      <c r="Z4358">
        <v>-0.1022528</v>
      </c>
      <c r="AA4358">
        <v>0.96727810000000003</v>
      </c>
      <c r="AB4358">
        <v>28</v>
      </c>
      <c r="AC4358">
        <v>1.6138999999999999</v>
      </c>
      <c r="AD4358">
        <v>-1.108589786075</v>
      </c>
      <c r="AE4358">
        <v>8.8864399999999897</v>
      </c>
      <c r="AF4358">
        <v>-2.1178351092618199</v>
      </c>
      <c r="AG4358">
        <v>-1.108589786075</v>
      </c>
      <c r="AH4358">
        <v>8.6420351837367093</v>
      </c>
      <c r="AI4358">
        <v>97.102004623826105</v>
      </c>
      <c r="AJ4358">
        <v>103.769656093065</v>
      </c>
      <c r="AK4358">
        <v>8.9665472162229207</v>
      </c>
      <c r="AL4358">
        <v>87.6246067038078</v>
      </c>
      <c r="AM4358">
        <v>102.63764435979201</v>
      </c>
      <c r="AN4358">
        <v>1.00000003383991</v>
      </c>
    </row>
    <row r="4359" spans="1:40" x14ac:dyDescent="0.3">
      <c r="A4359" t="str">
        <f>"20200111154005518"</f>
        <v>20200111154005518</v>
      </c>
      <c r="B4359" t="str">
        <f>"1578728405515029"</f>
        <v>1578728405515029</v>
      </c>
      <c r="C4359" t="s">
        <v>40</v>
      </c>
      <c r="D4359">
        <v>5.6293139999999999</v>
      </c>
      <c r="E4359">
        <v>0.51185769999999997</v>
      </c>
      <c r="F4359" t="s">
        <v>42</v>
      </c>
      <c r="G4359">
        <v>-189.45490000000001</v>
      </c>
      <c r="H4359" s="1">
        <v>-2.939631E-6</v>
      </c>
      <c r="I4359">
        <v>-33.740250000000003</v>
      </c>
      <c r="J4359">
        <v>-191.05619999999999</v>
      </c>
      <c r="K4359">
        <v>1.1085750000000001</v>
      </c>
      <c r="L4359">
        <v>-42.701839999999997</v>
      </c>
      <c r="M4359">
        <v>0.40323439999999999</v>
      </c>
      <c r="N4359">
        <v>0</v>
      </c>
      <c r="O4359">
        <v>0.91499359999999996</v>
      </c>
      <c r="P4359">
        <v>0.1962015</v>
      </c>
      <c r="Q4359">
        <v>2.946211E-2</v>
      </c>
      <c r="R4359">
        <v>0.98012089999999996</v>
      </c>
      <c r="S4359">
        <v>0.54853819999999998</v>
      </c>
      <c r="T4359">
        <v>-0.35667900000000002</v>
      </c>
      <c r="U4359">
        <v>2.962189</v>
      </c>
      <c r="V4359">
        <v>-0.21611320000000001</v>
      </c>
      <c r="W4359">
        <v>4.0821000000000003E-2</v>
      </c>
      <c r="X4359">
        <v>0.97551460000000001</v>
      </c>
      <c r="Y4359">
        <v>-0.2309088</v>
      </c>
      <c r="Z4359">
        <v>-0.10208680000000001</v>
      </c>
      <c r="AA4359">
        <v>0.96760500000000005</v>
      </c>
      <c r="AB4359">
        <v>28</v>
      </c>
      <c r="AC4359">
        <v>1.60129999999998</v>
      </c>
      <c r="AD4359">
        <v>-1.108577939631</v>
      </c>
      <c r="AE4359">
        <v>8.9615899999999993</v>
      </c>
      <c r="AF4359">
        <v>-2.1172481406941999</v>
      </c>
      <c r="AG4359">
        <v>-1.108577939631</v>
      </c>
      <c r="AH4359">
        <v>8.7170659132670103</v>
      </c>
      <c r="AI4359">
        <v>97.044911752997393</v>
      </c>
      <c r="AJ4359">
        <v>103.65194858696999</v>
      </c>
      <c r="AK4359">
        <v>9.0387456471432603</v>
      </c>
      <c r="AL4359">
        <v>87.660478937164399</v>
      </c>
      <c r="AM4359">
        <v>102.491424315725</v>
      </c>
      <c r="AN4359">
        <v>1.0000000020341999</v>
      </c>
    </row>
    <row r="4360" spans="1:40" x14ac:dyDescent="0.3">
      <c r="A4360" t="str">
        <f>"20200111154005539"</f>
        <v>20200111154005539</v>
      </c>
      <c r="B4360" t="str">
        <f>"1578728405535526"</f>
        <v>1578728405535526</v>
      </c>
      <c r="C4360" t="s">
        <v>40</v>
      </c>
      <c r="D4360">
        <v>5.6837530000000003</v>
      </c>
      <c r="E4360">
        <v>0.52295630000000004</v>
      </c>
      <c r="F4360" t="s">
        <v>42</v>
      </c>
      <c r="G4360">
        <v>-188.85820000000001</v>
      </c>
      <c r="H4360" s="1">
        <v>-3.1661649999999902E-6</v>
      </c>
      <c r="I4360">
        <v>-33.458930000000002</v>
      </c>
      <c r="J4360">
        <v>-190.953</v>
      </c>
      <c r="K4360">
        <v>1.108568</v>
      </c>
      <c r="L4360">
        <v>-42.454439999999998</v>
      </c>
      <c r="M4360">
        <v>0.39870539999999999</v>
      </c>
      <c r="N4360">
        <v>0</v>
      </c>
      <c r="O4360">
        <v>0.91697620000000002</v>
      </c>
      <c r="P4360">
        <v>0.19482630000000001</v>
      </c>
      <c r="Q4360">
        <v>2.844872E-2</v>
      </c>
      <c r="R4360">
        <v>0.98042510000000005</v>
      </c>
      <c r="S4360">
        <v>0.69720459999999995</v>
      </c>
      <c r="T4360">
        <v>-0.35164119999999999</v>
      </c>
      <c r="U4360">
        <v>2.931854</v>
      </c>
      <c r="V4360">
        <v>-0.2126585</v>
      </c>
      <c r="W4360">
        <v>3.9845230000000002E-2</v>
      </c>
      <c r="X4360">
        <v>0.97631380000000001</v>
      </c>
      <c r="Y4360">
        <v>-0.1770602</v>
      </c>
      <c r="Z4360">
        <v>-0.10220650000000001</v>
      </c>
      <c r="AA4360">
        <v>0.97887869999999999</v>
      </c>
      <c r="AB4360">
        <v>28</v>
      </c>
      <c r="AC4360">
        <v>2.09479999999999</v>
      </c>
      <c r="AD4360">
        <v>-1.108571166165</v>
      </c>
      <c r="AE4360">
        <v>8.9955099999999995</v>
      </c>
      <c r="AF4360">
        <v>-1.642176767519</v>
      </c>
      <c r="AG4360">
        <v>-1.108571166165</v>
      </c>
      <c r="AH4360">
        <v>8.9557183992062495</v>
      </c>
      <c r="AI4360">
        <v>96.941803769779099</v>
      </c>
      <c r="AJ4360">
        <v>100.390684124651</v>
      </c>
      <c r="AK4360">
        <v>9.1722716167868192</v>
      </c>
      <c r="AL4360">
        <v>87.716431871110899</v>
      </c>
      <c r="AM4360">
        <v>102.288103990078</v>
      </c>
      <c r="AN4360">
        <v>0.99999995802321995</v>
      </c>
    </row>
    <row r="4361" spans="1:40" x14ac:dyDescent="0.3">
      <c r="A4361" t="str">
        <f>"20200111154005563"</f>
        <v>20200111154005563</v>
      </c>
      <c r="B4361" t="str">
        <f>"1578728405555045"</f>
        <v>1578728405555045</v>
      </c>
      <c r="C4361" t="s">
        <v>40</v>
      </c>
      <c r="D4361">
        <v>5.5909459999999997</v>
      </c>
      <c r="E4361">
        <v>0.59854750000000001</v>
      </c>
      <c r="F4361" t="s">
        <v>42</v>
      </c>
      <c r="G4361">
        <v>-188.64830000000001</v>
      </c>
      <c r="H4361" s="1">
        <v>-3.042066E-6</v>
      </c>
      <c r="I4361">
        <v>-33.834980000000002</v>
      </c>
      <c r="J4361">
        <v>-190.83779999999999</v>
      </c>
      <c r="K4361">
        <v>1.1085750000000001</v>
      </c>
      <c r="L4361">
        <v>-42.17398</v>
      </c>
      <c r="M4361">
        <v>0.39353949999999999</v>
      </c>
      <c r="N4361">
        <v>0</v>
      </c>
      <c r="O4361">
        <v>0.9192051</v>
      </c>
      <c r="P4361">
        <v>0.19312109999999999</v>
      </c>
      <c r="Q4361">
        <v>2.7923610000000001E-2</v>
      </c>
      <c r="R4361">
        <v>0.98077749999999997</v>
      </c>
      <c r="S4361">
        <v>0.7796478</v>
      </c>
      <c r="T4361">
        <v>-0.37501679999999998</v>
      </c>
      <c r="U4361">
        <v>2.9158629999999999</v>
      </c>
      <c r="V4361">
        <v>-0.20886109999999999</v>
      </c>
      <c r="W4361">
        <v>3.9358289999999997E-2</v>
      </c>
      <c r="X4361">
        <v>0.97715300000000005</v>
      </c>
      <c r="Y4361">
        <v>-0.14444560000000001</v>
      </c>
      <c r="Z4361">
        <v>-0.10988009999999999</v>
      </c>
      <c r="AA4361">
        <v>0.98339299999999996</v>
      </c>
      <c r="AB4361">
        <v>28</v>
      </c>
      <c r="AC4361">
        <v>2.1894999999999798</v>
      </c>
      <c r="AD4361">
        <v>-1.1085780420659901</v>
      </c>
      <c r="AE4361">
        <v>8.3389999999999898</v>
      </c>
      <c r="AF4361">
        <v>-1.2486028876172801</v>
      </c>
      <c r="AG4361">
        <v>-1.1085780420659901</v>
      </c>
      <c r="AH4361">
        <v>8.3890148146666395</v>
      </c>
      <c r="AI4361">
        <v>97.446719235153694</v>
      </c>
      <c r="AJ4361">
        <v>98.465633193611097</v>
      </c>
      <c r="AK4361">
        <v>8.5535679109371294</v>
      </c>
      <c r="AL4361">
        <v>87.744353499404099</v>
      </c>
      <c r="AM4361">
        <v>102.065107035759</v>
      </c>
      <c r="AN4361">
        <v>1.0000000097469599</v>
      </c>
    </row>
    <row r="4362" spans="1:40" x14ac:dyDescent="0.3">
      <c r="A4362" t="str">
        <f>"20200111154005606"</f>
        <v>20200111154005606</v>
      </c>
      <c r="B4362" t="str">
        <f>"1578728405595062"</f>
        <v>1578728405595062</v>
      </c>
      <c r="C4362" t="s">
        <v>40</v>
      </c>
      <c r="D4362">
        <v>5.5258330000000004</v>
      </c>
      <c r="E4362">
        <v>0.62115880000000001</v>
      </c>
      <c r="F4362" t="s">
        <v>41</v>
      </c>
      <c r="G4362">
        <v>-190.4786</v>
      </c>
      <c r="H4362">
        <v>0.94273359999999995</v>
      </c>
      <c r="I4362">
        <v>-41.440429999999999</v>
      </c>
      <c r="J4362">
        <v>-190.64070000000001</v>
      </c>
      <c r="K4362">
        <v>1.108619</v>
      </c>
      <c r="L4362">
        <v>-41.683039999999998</v>
      </c>
      <c r="M4362">
        <v>0.38437660000000001</v>
      </c>
      <c r="N4362">
        <v>0</v>
      </c>
      <c r="O4362">
        <v>0.92307430000000001</v>
      </c>
      <c r="P4362">
        <v>0.19107170000000001</v>
      </c>
      <c r="Q4362">
        <v>2.7690220000000001E-2</v>
      </c>
      <c r="R4362">
        <v>0.98118539999999999</v>
      </c>
      <c r="S4362">
        <v>1.3739319999999999</v>
      </c>
      <c r="T4362">
        <v>-0.63459279999999996</v>
      </c>
      <c r="U4362">
        <v>2.806305</v>
      </c>
      <c r="V4362">
        <v>-0.2011773</v>
      </c>
      <c r="W4362">
        <v>3.9194859999999998E-2</v>
      </c>
      <c r="X4362">
        <v>0.97877040000000004</v>
      </c>
      <c r="Y4362">
        <v>5.2353549999999999E-2</v>
      </c>
      <c r="Z4362">
        <v>-0.1860395</v>
      </c>
      <c r="AA4362">
        <v>0.98114650000000003</v>
      </c>
      <c r="AB4362">
        <v>28</v>
      </c>
      <c r="AC4362">
        <v>0.16210000000000899</v>
      </c>
      <c r="AD4362">
        <v>-0.16588539999999999</v>
      </c>
      <c r="AE4362">
        <v>0.24261000000000599</v>
      </c>
      <c r="AF4362">
        <v>4.26096188264561E-2</v>
      </c>
      <c r="AG4362">
        <v>-0.16588539999999999</v>
      </c>
      <c r="AH4362">
        <v>0.216351564093516</v>
      </c>
      <c r="AI4362">
        <v>126.95374097915099</v>
      </c>
      <c r="AJ4362">
        <v>78.858406038188704</v>
      </c>
      <c r="AK4362">
        <v>0.27593757416380699</v>
      </c>
      <c r="AL4362">
        <v>87.753724601425404</v>
      </c>
      <c r="AM4362">
        <v>101.614861715245</v>
      </c>
      <c r="AN4362">
        <v>1.00000001950093</v>
      </c>
    </row>
    <row r="4363" spans="1:40" x14ac:dyDescent="0.3">
      <c r="A4363" t="str">
        <f>"20200111154005627"</f>
        <v>20200111154005627</v>
      </c>
      <c r="B4363" t="str">
        <f>"1578728405615558"</f>
        <v>1578728405615558</v>
      </c>
      <c r="C4363" t="s">
        <v>40</v>
      </c>
      <c r="D4363">
        <v>5.5364709999999997</v>
      </c>
      <c r="E4363">
        <v>0.62411119999999898</v>
      </c>
      <c r="F4363" t="s">
        <v>41</v>
      </c>
      <c r="G4363">
        <v>-190.25960000000001</v>
      </c>
      <c r="H4363">
        <v>0.93361839999999996</v>
      </c>
      <c r="I4363">
        <v>-40.996940000000002</v>
      </c>
      <c r="J4363">
        <v>-190.54349999999999</v>
      </c>
      <c r="K4363">
        <v>1.108654</v>
      </c>
      <c r="L4363">
        <v>-41.435270000000003</v>
      </c>
      <c r="M4363">
        <v>0.37967869999999998</v>
      </c>
      <c r="N4363">
        <v>0</v>
      </c>
      <c r="O4363">
        <v>0.92501659999999997</v>
      </c>
      <c r="P4363">
        <v>0.19046469999999999</v>
      </c>
      <c r="Q4363">
        <v>2.7757259999999999E-2</v>
      </c>
      <c r="R4363">
        <v>0.98130150000000005</v>
      </c>
      <c r="S4363">
        <v>1.542419</v>
      </c>
      <c r="T4363">
        <v>-0.70846489999999995</v>
      </c>
      <c r="U4363">
        <v>2.777161</v>
      </c>
      <c r="V4363">
        <v>-0.19680610000000001</v>
      </c>
      <c r="W4363">
        <v>3.9299689999999998E-2</v>
      </c>
      <c r="X4363">
        <v>0.97965449999999998</v>
      </c>
      <c r="Y4363">
        <v>0.1059556</v>
      </c>
      <c r="Z4363">
        <v>-0.20616809999999999</v>
      </c>
      <c r="AA4363">
        <v>0.97276309999999999</v>
      </c>
      <c r="AB4363">
        <v>28</v>
      </c>
      <c r="AC4363">
        <v>0.283899999999988</v>
      </c>
      <c r="AD4363">
        <v>-0.17503559999999899</v>
      </c>
      <c r="AE4363">
        <v>0.43833</v>
      </c>
      <c r="AF4363">
        <v>8.6481759342599496E-2</v>
      </c>
      <c r="AG4363">
        <v>-0.17503559999999899</v>
      </c>
      <c r="AH4363">
        <v>0.46146308817881099</v>
      </c>
      <c r="AI4363">
        <v>110.44622451305899</v>
      </c>
      <c r="AJ4363">
        <v>79.385450802592999</v>
      </c>
      <c r="AK4363">
        <v>0.50106360645917603</v>
      </c>
      <c r="AL4363">
        <v>87.747713661598695</v>
      </c>
      <c r="AM4363">
        <v>101.35914197385</v>
      </c>
      <c r="AN4363">
        <v>1.00000002300077</v>
      </c>
    </row>
    <row r="4364" spans="1:40" x14ac:dyDescent="0.3">
      <c r="A4364" t="str">
        <f>"20200111154005651"</f>
        <v>20200111154005651</v>
      </c>
      <c r="B4364" t="str">
        <f>"1578728405644838"</f>
        <v>1578728405644838</v>
      </c>
      <c r="C4364" t="s">
        <v>40</v>
      </c>
      <c r="D4364">
        <v>5.5457010000000002</v>
      </c>
      <c r="E4364">
        <v>0.62571129999999997</v>
      </c>
      <c r="F4364" t="s">
        <v>41</v>
      </c>
      <c r="G4364">
        <v>-190.16669999999999</v>
      </c>
      <c r="H4364">
        <v>0.93433109999999997</v>
      </c>
      <c r="I4364">
        <v>-40.765729999999998</v>
      </c>
      <c r="J4364">
        <v>-190.43960000000001</v>
      </c>
      <c r="K4364">
        <v>1.108695</v>
      </c>
      <c r="L4364">
        <v>-41.166409999999999</v>
      </c>
      <c r="M4364">
        <v>0.37451089999999998</v>
      </c>
      <c r="N4364">
        <v>0</v>
      </c>
      <c r="O4364">
        <v>0.92712090000000003</v>
      </c>
      <c r="P4364">
        <v>0.1887402</v>
      </c>
      <c r="Q4364">
        <v>2.8139819999999999E-2</v>
      </c>
      <c r="R4364">
        <v>0.98162380000000005</v>
      </c>
      <c r="S4364">
        <v>1.5614779999999999</v>
      </c>
      <c r="T4364">
        <v>-0.72232039999999997</v>
      </c>
      <c r="U4364">
        <v>2.7745359999999999</v>
      </c>
      <c r="V4364">
        <v>-0.1930616</v>
      </c>
      <c r="W4364">
        <v>3.9707529999999998E-2</v>
      </c>
      <c r="X4364">
        <v>0.98038289999999995</v>
      </c>
      <c r="Y4364">
        <v>0.1165233</v>
      </c>
      <c r="Z4364">
        <v>-0.21042169999999999</v>
      </c>
      <c r="AA4364">
        <v>0.97064159999999999</v>
      </c>
      <c r="AB4364">
        <v>28</v>
      </c>
      <c r="AC4364">
        <v>0.27290000000002101</v>
      </c>
      <c r="AD4364">
        <v>-0.17436389999999999</v>
      </c>
      <c r="AE4364">
        <v>0.40068000000000098</v>
      </c>
      <c r="AF4364">
        <v>9.1168169863387799E-2</v>
      </c>
      <c r="AG4364">
        <v>-0.17436389999999999</v>
      </c>
      <c r="AH4364">
        <v>0.41946426253518898</v>
      </c>
      <c r="AI4364">
        <v>112.106937795005</v>
      </c>
      <c r="AJ4364">
        <v>77.737797479233606</v>
      </c>
      <c r="AK4364">
        <v>0.46331919058424398</v>
      </c>
      <c r="AL4364">
        <v>87.724327958390404</v>
      </c>
      <c r="AM4364">
        <v>101.140407512729</v>
      </c>
      <c r="AN4364">
        <v>1.0000000499728301</v>
      </c>
    </row>
    <row r="4365" spans="1:40" x14ac:dyDescent="0.3">
      <c r="A4365" t="str">
        <f>"20200111154005673"</f>
        <v>20200111154005673</v>
      </c>
      <c r="B4365" t="str">
        <f>"1578728405665336"</f>
        <v>1578728405665336</v>
      </c>
      <c r="C4365" t="s">
        <v>40</v>
      </c>
      <c r="D4365">
        <v>5.5394329999999998</v>
      </c>
      <c r="E4365">
        <v>0.62630589999999997</v>
      </c>
      <c r="F4365" t="s">
        <v>41</v>
      </c>
      <c r="G4365">
        <v>-190.07990000000001</v>
      </c>
      <c r="H4365">
        <v>0.94148900000000002</v>
      </c>
      <c r="I4365">
        <v>-40.529110000000003</v>
      </c>
      <c r="J4365">
        <v>-190.33869999999999</v>
      </c>
      <c r="K4365">
        <v>1.1087469999999999</v>
      </c>
      <c r="L4365">
        <v>-40.900390000000002</v>
      </c>
      <c r="M4365">
        <v>0.36930540000000001</v>
      </c>
      <c r="N4365">
        <v>0</v>
      </c>
      <c r="O4365">
        <v>0.92920659999999999</v>
      </c>
      <c r="P4365">
        <v>0.1864471</v>
      </c>
      <c r="Q4365">
        <v>2.8045259999999999E-2</v>
      </c>
      <c r="R4365">
        <v>0.98206459999999995</v>
      </c>
      <c r="S4365">
        <v>1.5667879999999901</v>
      </c>
      <c r="T4365">
        <v>-0.72831919999999895</v>
      </c>
      <c r="U4365">
        <v>2.7757869999999998</v>
      </c>
      <c r="V4365">
        <v>-0.1898561</v>
      </c>
      <c r="W4365">
        <v>3.9627959999999997E-2</v>
      </c>
      <c r="X4365">
        <v>0.98101190000000005</v>
      </c>
      <c r="Y4365">
        <v>0.12309539999999999</v>
      </c>
      <c r="Z4365">
        <v>-0.21251890000000001</v>
      </c>
      <c r="AA4365">
        <v>0.96937260000000003</v>
      </c>
      <c r="AB4365">
        <v>28</v>
      </c>
      <c r="AC4365">
        <v>0.25879999999997899</v>
      </c>
      <c r="AD4365">
        <v>-0.16725799999999999</v>
      </c>
      <c r="AE4365">
        <v>0.37128000000000499</v>
      </c>
      <c r="AF4365">
        <v>9.0950640902335594E-2</v>
      </c>
      <c r="AG4365">
        <v>-0.16725799999999999</v>
      </c>
      <c r="AH4365">
        <v>0.38766606436290602</v>
      </c>
      <c r="AI4365">
        <v>112.784520826734</v>
      </c>
      <c r="AJ4365">
        <v>76.796583758122907</v>
      </c>
      <c r="AK4365">
        <v>0.431893777569405</v>
      </c>
      <c r="AL4365">
        <v>87.728890531191098</v>
      </c>
      <c r="AM4365">
        <v>100.95309598556</v>
      </c>
      <c r="AN4365">
        <v>1.00000003093129</v>
      </c>
    </row>
    <row r="4366" spans="1:40" x14ac:dyDescent="0.3">
      <c r="A4366" t="str">
        <f>"20200111154005696"</f>
        <v>20200111154005696</v>
      </c>
      <c r="B4366" t="str">
        <f>"1578728405684854"</f>
        <v>1578728405684854</v>
      </c>
      <c r="C4366" t="s">
        <v>40</v>
      </c>
      <c r="D4366">
        <v>5.5198749999999999</v>
      </c>
      <c r="E4366">
        <v>0.62739149999999999</v>
      </c>
      <c r="F4366" t="s">
        <v>41</v>
      </c>
      <c r="G4366">
        <v>-189.9958</v>
      </c>
      <c r="H4366">
        <v>0.94890589999999997</v>
      </c>
      <c r="I4366">
        <v>-40.291519999999998</v>
      </c>
      <c r="J4366">
        <v>-190.2439</v>
      </c>
      <c r="K4366">
        <v>1.10880499999999</v>
      </c>
      <c r="L4366">
        <v>-40.646120000000003</v>
      </c>
      <c r="M4366">
        <v>0.3642261</v>
      </c>
      <c r="N4366">
        <v>0</v>
      </c>
      <c r="O4366">
        <v>0.93120930000000002</v>
      </c>
      <c r="P4366">
        <v>0.18392620000000001</v>
      </c>
      <c r="Q4366">
        <v>2.6911939999999999E-2</v>
      </c>
      <c r="R4366">
        <v>0.98257159999999999</v>
      </c>
      <c r="S4366">
        <v>1.5641480000000001</v>
      </c>
      <c r="T4366">
        <v>-0.72959909999999994</v>
      </c>
      <c r="U4366">
        <v>2.7786559999999998</v>
      </c>
      <c r="V4366">
        <v>-0.1870223</v>
      </c>
      <c r="W4366">
        <v>3.8503009999999997E-2</v>
      </c>
      <c r="X4366">
        <v>0.98160080000000005</v>
      </c>
      <c r="Y4366">
        <v>0.12731110000000001</v>
      </c>
      <c r="Z4366">
        <v>-0.21334130000000001</v>
      </c>
      <c r="AA4366">
        <v>0.96864720000000004</v>
      </c>
      <c r="AB4366">
        <v>28</v>
      </c>
      <c r="AC4366">
        <v>0.24809999999999299</v>
      </c>
      <c r="AD4366">
        <v>-0.15989909999999899</v>
      </c>
      <c r="AE4366">
        <v>0.35460000000000402</v>
      </c>
      <c r="AF4366">
        <v>8.9649898363863598E-2</v>
      </c>
      <c r="AG4366">
        <v>-0.15989909999999899</v>
      </c>
      <c r="AH4366">
        <v>0.37008979467335201</v>
      </c>
      <c r="AI4366">
        <v>112.77804428648901</v>
      </c>
      <c r="AJ4366">
        <v>76.383071484894302</v>
      </c>
      <c r="AK4366">
        <v>0.41300276340337599</v>
      </c>
      <c r="AL4366">
        <v>87.793394538708796</v>
      </c>
      <c r="AM4366">
        <v>100.78715464944599</v>
      </c>
      <c r="AN4366">
        <v>0.99999997651849404</v>
      </c>
    </row>
    <row r="4367" spans="1:40" x14ac:dyDescent="0.3">
      <c r="A4367" t="str">
        <f>"20200111154005717"</f>
        <v>20200111154005717</v>
      </c>
      <c r="B4367" t="str">
        <f>"1578728405705350"</f>
        <v>1578728405705350</v>
      </c>
      <c r="C4367" t="s">
        <v>40</v>
      </c>
      <c r="D4367">
        <v>5.4488430000000001</v>
      </c>
      <c r="E4367">
        <v>0.62869079999999999</v>
      </c>
      <c r="F4367" t="s">
        <v>41</v>
      </c>
      <c r="G4367">
        <v>-189.8004</v>
      </c>
      <c r="H4367">
        <v>0.90046229999999905</v>
      </c>
      <c r="I4367">
        <v>-39.85783</v>
      </c>
      <c r="J4367">
        <v>-190.1523</v>
      </c>
      <c r="K4367">
        <v>1.10887</v>
      </c>
      <c r="L4367">
        <v>-40.395389999999999</v>
      </c>
      <c r="M4367">
        <v>0.35911110000000002</v>
      </c>
      <c r="N4367">
        <v>0</v>
      </c>
      <c r="O4367">
        <v>0.93319370000000001</v>
      </c>
      <c r="P4367">
        <v>0.18118819999999999</v>
      </c>
      <c r="Q4367">
        <v>2.5969200000000001E-2</v>
      </c>
      <c r="R4367">
        <v>0.98310549999999997</v>
      </c>
      <c r="S4367">
        <v>1.5642240000000001</v>
      </c>
      <c r="T4367">
        <v>-0.73495219999999895</v>
      </c>
      <c r="U4367">
        <v>2.780548</v>
      </c>
      <c r="V4367">
        <v>-0.18437519999999999</v>
      </c>
      <c r="W4367">
        <v>3.756528E-2</v>
      </c>
      <c r="X4367">
        <v>0.98213779999999995</v>
      </c>
      <c r="Y4367">
        <v>0.13228509999999999</v>
      </c>
      <c r="Z4367">
        <v>-0.21529380000000001</v>
      </c>
      <c r="AA4367">
        <v>0.96754810000000002</v>
      </c>
      <c r="AB4367">
        <v>28</v>
      </c>
      <c r="AC4367">
        <v>0.35189999999999999</v>
      </c>
      <c r="AD4367">
        <v>-0.2084077</v>
      </c>
      <c r="AE4367">
        <v>0.53755999999999904</v>
      </c>
      <c r="AF4367">
        <v>0.12247364424610201</v>
      </c>
      <c r="AG4367">
        <v>-0.2084077</v>
      </c>
      <c r="AH4367">
        <v>0.56828518088186197</v>
      </c>
      <c r="AI4367">
        <v>109.72274680143499</v>
      </c>
      <c r="AJ4367">
        <v>77.837951623788499</v>
      </c>
      <c r="AK4367">
        <v>0.61756101703729804</v>
      </c>
      <c r="AL4367">
        <v>87.847161491986895</v>
      </c>
      <c r="AM4367">
        <v>100.632299046269</v>
      </c>
      <c r="AN4367">
        <v>1.0000000114126699</v>
      </c>
    </row>
    <row r="4368" spans="1:40" x14ac:dyDescent="0.3">
      <c r="A4368" t="str">
        <f>"20200111154005739"</f>
        <v>20200111154005739</v>
      </c>
      <c r="B4368" t="str">
        <f>"1578728405735606"</f>
        <v>1578728405735606</v>
      </c>
      <c r="C4368" t="s">
        <v>40</v>
      </c>
      <c r="D4368">
        <v>5.4068389999999997</v>
      </c>
      <c r="E4368">
        <v>0.62962680000000004</v>
      </c>
      <c r="F4368" t="s">
        <v>41</v>
      </c>
      <c r="G4368">
        <v>-189.71770000000001</v>
      </c>
      <c r="H4368">
        <v>0.90245120000000001</v>
      </c>
      <c r="I4368">
        <v>-39.62323</v>
      </c>
      <c r="J4368">
        <v>-190.0598</v>
      </c>
      <c r="K4368">
        <v>1.1089450000000001</v>
      </c>
      <c r="L4368">
        <v>-40.137630000000001</v>
      </c>
      <c r="M4368">
        <v>0.3537612</v>
      </c>
      <c r="N4368">
        <v>0</v>
      </c>
      <c r="O4368">
        <v>0.93523480000000003</v>
      </c>
      <c r="P4368">
        <v>0.1786586</v>
      </c>
      <c r="Q4368">
        <v>2.5471279999999999E-2</v>
      </c>
      <c r="R4368">
        <v>0.98358140000000005</v>
      </c>
      <c r="S4368">
        <v>1.5656429999999999</v>
      </c>
      <c r="T4368">
        <v>-0.74400119999999903</v>
      </c>
      <c r="U4368">
        <v>2.782654</v>
      </c>
      <c r="V4368">
        <v>-0.181281</v>
      </c>
      <c r="W4368">
        <v>3.7080189999999999E-2</v>
      </c>
      <c r="X4368">
        <v>0.9827321</v>
      </c>
      <c r="Y4368">
        <v>0.13769790000000001</v>
      </c>
      <c r="Z4368">
        <v>-0.2182499</v>
      </c>
      <c r="AA4368">
        <v>0.96612949999999997</v>
      </c>
      <c r="AB4368">
        <v>28</v>
      </c>
      <c r="AC4368">
        <v>0.34209999999998703</v>
      </c>
      <c r="AD4368">
        <v>-0.20649380000000001</v>
      </c>
      <c r="AE4368">
        <v>0.51440000000000197</v>
      </c>
      <c r="AF4368">
        <v>0.124115023853202</v>
      </c>
      <c r="AG4368">
        <v>-0.20649380000000001</v>
      </c>
      <c r="AH4368">
        <v>0.54164650405936099</v>
      </c>
      <c r="AI4368">
        <v>110.38519014160001</v>
      </c>
      <c r="AJ4368">
        <v>77.093827516545602</v>
      </c>
      <c r="AK4368">
        <v>0.592811238038087</v>
      </c>
      <c r="AL4368">
        <v>87.874974585170406</v>
      </c>
      <c r="AM4368">
        <v>100.451651063482</v>
      </c>
      <c r="AN4368">
        <v>1.0000000609109201</v>
      </c>
    </row>
    <row r="4369" spans="1:40" x14ac:dyDescent="0.3">
      <c r="A4369" t="str">
        <f>"20200111154005765"</f>
        <v>20200111154005765</v>
      </c>
      <c r="B4369" t="str">
        <f>"1578728405755126"</f>
        <v>1578728405755126</v>
      </c>
      <c r="C4369" t="s">
        <v>40</v>
      </c>
      <c r="D4369">
        <v>5.358562</v>
      </c>
      <c r="E4369">
        <v>0.63006110000000004</v>
      </c>
      <c r="F4369" t="s">
        <v>41</v>
      </c>
      <c r="G4369">
        <v>-189.6386</v>
      </c>
      <c r="H4369">
        <v>0.90371179999999995</v>
      </c>
      <c r="I4369">
        <v>-39.38805</v>
      </c>
      <c r="J4369">
        <v>-189.95429999999999</v>
      </c>
      <c r="K4369">
        <v>1.1090199999999999</v>
      </c>
      <c r="L4369">
        <v>-39.837769999999999</v>
      </c>
      <c r="M4369">
        <v>0.34741899999999998</v>
      </c>
      <c r="N4369">
        <v>0</v>
      </c>
      <c r="O4369">
        <v>0.93760929999999998</v>
      </c>
      <c r="P4369">
        <v>0.17531350000000001</v>
      </c>
      <c r="Q4369">
        <v>2.5975439999999999E-2</v>
      </c>
      <c r="R4369">
        <v>0.98416990000000004</v>
      </c>
      <c r="S4369">
        <v>1.565048</v>
      </c>
      <c r="T4369">
        <v>-0.76270869999999902</v>
      </c>
      <c r="U4369">
        <v>2.7855530000000002</v>
      </c>
      <c r="V4369">
        <v>-0.1779715</v>
      </c>
      <c r="W4369">
        <v>3.7599109999999998E-2</v>
      </c>
      <c r="X4369">
        <v>0.98331710000000006</v>
      </c>
      <c r="Y4369">
        <v>0.14316229999999999</v>
      </c>
      <c r="Z4369">
        <v>-0.22398129999999999</v>
      </c>
      <c r="AA4369">
        <v>0.96402129999999997</v>
      </c>
      <c r="AB4369">
        <v>28</v>
      </c>
      <c r="AC4369">
        <v>0.31569999999999199</v>
      </c>
      <c r="AD4369">
        <v>-0.2053082</v>
      </c>
      <c r="AE4369">
        <v>0.44971999999999901</v>
      </c>
      <c r="AF4369">
        <v>0.12265135313671401</v>
      </c>
      <c r="AG4369">
        <v>-0.2053082</v>
      </c>
      <c r="AH4369">
        <v>0.46629128469386699</v>
      </c>
      <c r="AI4369">
        <v>113.065081145108</v>
      </c>
      <c r="AJ4369">
        <v>75.262973815958503</v>
      </c>
      <c r="AK4369">
        <v>0.52404424774532599</v>
      </c>
      <c r="AL4369">
        <v>87.845221853132699</v>
      </c>
      <c r="AM4369">
        <v>100.258959827608</v>
      </c>
      <c r="AN4369">
        <v>1.00000003351872</v>
      </c>
    </row>
    <row r="4370" spans="1:40" x14ac:dyDescent="0.3">
      <c r="A4370" t="str">
        <f>"20200111154005789"</f>
        <v>20200111154005789</v>
      </c>
      <c r="B4370" t="str">
        <f>"1578728405785382"</f>
        <v>1578728405785382</v>
      </c>
      <c r="C4370" t="s">
        <v>40</v>
      </c>
      <c r="D4370">
        <v>5.2782999999999998</v>
      </c>
      <c r="E4370">
        <v>0.63036979999999998</v>
      </c>
      <c r="F4370" t="s">
        <v>41</v>
      </c>
      <c r="G4370">
        <v>-189.56720000000001</v>
      </c>
      <c r="H4370">
        <v>0.91803129999999999</v>
      </c>
      <c r="I4370">
        <v>-39.144379999999998</v>
      </c>
      <c r="J4370">
        <v>-189.858</v>
      </c>
      <c r="K4370">
        <v>1.109086</v>
      </c>
      <c r="L4370">
        <v>-39.55762</v>
      </c>
      <c r="M4370">
        <v>0.3413872</v>
      </c>
      <c r="N4370">
        <v>0</v>
      </c>
      <c r="O4370">
        <v>0.93982220000000005</v>
      </c>
      <c r="P4370">
        <v>0.1721182</v>
      </c>
      <c r="Q4370">
        <v>2.611318E-2</v>
      </c>
      <c r="R4370">
        <v>0.98473010000000005</v>
      </c>
      <c r="S4370">
        <v>1.557693</v>
      </c>
      <c r="T4370">
        <v>-0.76902179999999998</v>
      </c>
      <c r="U4370">
        <v>2.791077</v>
      </c>
      <c r="V4370">
        <v>-0.17484920000000001</v>
      </c>
      <c r="W4370">
        <v>3.7755879999999999E-2</v>
      </c>
      <c r="X4370">
        <v>0.98387100000000005</v>
      </c>
      <c r="Y4370">
        <v>0.14652570000000001</v>
      </c>
      <c r="Z4370">
        <v>-0.2262007</v>
      </c>
      <c r="AA4370">
        <v>0.96299710000000005</v>
      </c>
      <c r="AB4370">
        <v>28</v>
      </c>
      <c r="AC4370">
        <v>0.29079999999999001</v>
      </c>
      <c r="AD4370">
        <v>-0.19105469999999999</v>
      </c>
      <c r="AE4370">
        <v>0.413240000000001</v>
      </c>
      <c r="AF4370">
        <v>0.11569793181825</v>
      </c>
      <c r="AG4370">
        <v>-0.19105469999999999</v>
      </c>
      <c r="AH4370">
        <v>0.42669403110140902</v>
      </c>
      <c r="AI4370">
        <v>113.37164159750201</v>
      </c>
      <c r="AJ4370">
        <v>74.829048891877207</v>
      </c>
      <c r="AK4370">
        <v>0.48161780074731603</v>
      </c>
      <c r="AL4370">
        <v>87.836233024244706</v>
      </c>
      <c r="AM4370">
        <v>100.077143153921</v>
      </c>
      <c r="AN4370">
        <v>0.99999994692810501</v>
      </c>
    </row>
    <row r="4371" spans="1:40" x14ac:dyDescent="0.3">
      <c r="A4371" t="str">
        <f>"20200111154005812"</f>
        <v>20200111154005812</v>
      </c>
      <c r="B4371" t="str">
        <f>"1578728405804902"</f>
        <v>1578728405804902</v>
      </c>
      <c r="C4371" t="s">
        <v>40</v>
      </c>
      <c r="D4371">
        <v>5.2375410000000002</v>
      </c>
      <c r="E4371">
        <v>0.63088639999999996</v>
      </c>
      <c r="F4371" t="s">
        <v>41</v>
      </c>
      <c r="G4371">
        <v>-189.49539999999999</v>
      </c>
      <c r="H4371">
        <v>0.92744070000000001</v>
      </c>
      <c r="I4371">
        <v>-38.90354</v>
      </c>
      <c r="J4371">
        <v>-189.76679999999999</v>
      </c>
      <c r="K4371">
        <v>1.1091420000000001</v>
      </c>
      <c r="L4371">
        <v>-39.286650000000002</v>
      </c>
      <c r="M4371">
        <v>0.33546009999999998</v>
      </c>
      <c r="N4371">
        <v>0</v>
      </c>
      <c r="O4371">
        <v>0.94195399999999996</v>
      </c>
      <c r="P4371">
        <v>0.16890260000000001</v>
      </c>
      <c r="Q4371">
        <v>2.5858780000000001E-2</v>
      </c>
      <c r="R4371">
        <v>0.98529350000000004</v>
      </c>
      <c r="S4371">
        <v>1.5500179999999999</v>
      </c>
      <c r="T4371">
        <v>-0.77658709999999997</v>
      </c>
      <c r="U4371">
        <v>2.7962039999999999</v>
      </c>
      <c r="V4371">
        <v>-0.17186609999999999</v>
      </c>
      <c r="W4371">
        <v>3.7521440000000003E-2</v>
      </c>
      <c r="X4371">
        <v>0.98440550000000004</v>
      </c>
      <c r="Y4371">
        <v>0.14969489999999999</v>
      </c>
      <c r="Z4371">
        <v>-0.22877690000000001</v>
      </c>
      <c r="AA4371">
        <v>0.96190050000000005</v>
      </c>
      <c r="AB4371">
        <v>28</v>
      </c>
      <c r="AC4371">
        <v>0.27139999999999898</v>
      </c>
      <c r="AD4371">
        <v>-0.18170130000000001</v>
      </c>
      <c r="AE4371">
        <v>0.383110000000002</v>
      </c>
      <c r="AF4371">
        <v>0.110578231293762</v>
      </c>
      <c r="AG4371">
        <v>-0.18170130000000001</v>
      </c>
      <c r="AH4371">
        <v>0.39308397890769398</v>
      </c>
      <c r="AI4371">
        <v>113.987828711118</v>
      </c>
      <c r="AJ4371">
        <v>74.288206567258001</v>
      </c>
      <c r="AK4371">
        <v>0.44694286226725999</v>
      </c>
      <c r="AL4371">
        <v>87.849675089944995</v>
      </c>
      <c r="AM4371">
        <v>99.903379738941496</v>
      </c>
      <c r="AN4371">
        <v>1.00000000160956</v>
      </c>
    </row>
    <row r="4372" spans="1:40" x14ac:dyDescent="0.3">
      <c r="A4372" t="str">
        <f>"20200111154005838"</f>
        <v>20200111154005838</v>
      </c>
      <c r="B4372" t="str">
        <f>"1578728405825399"</f>
        <v>1578728405825399</v>
      </c>
      <c r="C4372" t="s">
        <v>40</v>
      </c>
      <c r="D4372">
        <v>5.1815290000000003</v>
      </c>
      <c r="E4372">
        <v>0.6434339</v>
      </c>
      <c r="F4372" t="s">
        <v>41</v>
      </c>
      <c r="G4372">
        <v>-189.42310000000001</v>
      </c>
      <c r="H4372">
        <v>0.93601210000000001</v>
      </c>
      <c r="I4372">
        <v>-38.663499999999999</v>
      </c>
      <c r="J4372">
        <v>-189.6713</v>
      </c>
      <c r="K4372">
        <v>1.1091879999999901</v>
      </c>
      <c r="L4372">
        <v>-38.996029999999998</v>
      </c>
      <c r="M4372">
        <v>0.32901320000000001</v>
      </c>
      <c r="N4372">
        <v>0</v>
      </c>
      <c r="O4372">
        <v>0.94422499999999998</v>
      </c>
      <c r="P4372">
        <v>0.164486299999999</v>
      </c>
      <c r="Q4372">
        <v>2.5481759999999999E-2</v>
      </c>
      <c r="R4372">
        <v>0.98605019999999999</v>
      </c>
      <c r="S4372">
        <v>1.544403</v>
      </c>
      <c r="T4372">
        <v>-0.77814890000000003</v>
      </c>
      <c r="U4372">
        <v>2.800446</v>
      </c>
      <c r="V4372">
        <v>-0.1695506</v>
      </c>
      <c r="W4372">
        <v>3.7156920000000003E-2</v>
      </c>
      <c r="X4372">
        <v>0.98482080000000005</v>
      </c>
      <c r="Y4372">
        <v>0.1542618</v>
      </c>
      <c r="Z4372">
        <v>-0.22973679999999999</v>
      </c>
      <c r="AA4372">
        <v>0.96094970000000002</v>
      </c>
      <c r="AB4372">
        <v>28</v>
      </c>
      <c r="AC4372">
        <v>0.24819999999999701</v>
      </c>
      <c r="AD4372">
        <v>-0.17317589999999899</v>
      </c>
      <c r="AE4372">
        <v>0.33252999999999799</v>
      </c>
      <c r="AF4372">
        <v>0.10642484411311499</v>
      </c>
      <c r="AG4372">
        <v>-0.17317589999999899</v>
      </c>
      <c r="AH4372">
        <v>0.33698609449892702</v>
      </c>
      <c r="AI4372">
        <v>116.10666356060599</v>
      </c>
      <c r="AJ4372">
        <v>72.473166538835102</v>
      </c>
      <c r="AK4372">
        <v>0.39354258685808102</v>
      </c>
      <c r="AL4372">
        <v>87.870575172878802</v>
      </c>
      <c r="AM4372">
        <v>99.768502542455394</v>
      </c>
      <c r="AN4372">
        <v>1.00000002538844</v>
      </c>
    </row>
    <row r="4373" spans="1:40" x14ac:dyDescent="0.3">
      <c r="A4373" t="str">
        <f>"20200111154005873"</f>
        <v>20200111154005873</v>
      </c>
      <c r="B4373" t="str">
        <f>"1578728405865428"</f>
        <v>1578728405865428</v>
      </c>
      <c r="C4373" t="s">
        <v>40</v>
      </c>
      <c r="D4373">
        <v>5.066592</v>
      </c>
      <c r="E4373">
        <v>0.63986069999999995</v>
      </c>
      <c r="F4373" t="s">
        <v>41</v>
      </c>
      <c r="G4373">
        <v>-189.23009999999999</v>
      </c>
      <c r="H4373">
        <v>0.86184369999999999</v>
      </c>
      <c r="I4373">
        <v>-38.241320000000002</v>
      </c>
      <c r="J4373">
        <v>-189.53700000000001</v>
      </c>
      <c r="K4373">
        <v>1.109232</v>
      </c>
      <c r="L4373">
        <v>-38.57544</v>
      </c>
      <c r="M4373">
        <v>0.31956370000000001</v>
      </c>
      <c r="N4373">
        <v>0</v>
      </c>
      <c r="O4373">
        <v>0.9474648</v>
      </c>
      <c r="P4373">
        <v>0.1565975</v>
      </c>
      <c r="Q4373">
        <v>2.3154919999999999E-2</v>
      </c>
      <c r="R4373">
        <v>0.98739109999999997</v>
      </c>
      <c r="S4373">
        <v>1.632614</v>
      </c>
      <c r="T4373">
        <v>-0.91592300000000004</v>
      </c>
      <c r="U4373">
        <v>2.7937620000000001</v>
      </c>
      <c r="V4373">
        <v>-0.16758299999999901</v>
      </c>
      <c r="W4373">
        <v>3.4837649999999998E-2</v>
      </c>
      <c r="X4373">
        <v>0.98524219999999896</v>
      </c>
      <c r="Y4373">
        <v>0.18294279999999999</v>
      </c>
      <c r="Z4373">
        <v>-0.26678960000000002</v>
      </c>
      <c r="AA4373">
        <v>0.94623210000000002</v>
      </c>
      <c r="AB4373">
        <v>28</v>
      </c>
      <c r="AC4373">
        <v>0.306900000000013</v>
      </c>
      <c r="AD4373">
        <v>-0.24738829999999901</v>
      </c>
      <c r="AE4373">
        <v>0.33411999999999797</v>
      </c>
      <c r="AF4373">
        <v>0.14184473275427101</v>
      </c>
      <c r="AG4373">
        <v>-0.24738829999999901</v>
      </c>
      <c r="AH4373">
        <v>0.319637311345986</v>
      </c>
      <c r="AI4373">
        <v>125.27697459395399</v>
      </c>
      <c r="AJ4373">
        <v>66.069895211221194</v>
      </c>
      <c r="AK4373">
        <v>0.42835605515915298</v>
      </c>
      <c r="AL4373">
        <v>88.003545627676601</v>
      </c>
      <c r="AM4373">
        <v>99.653235293149507</v>
      </c>
      <c r="AN4373">
        <v>0.99999995820368004</v>
      </c>
    </row>
    <row r="4374" spans="1:40" x14ac:dyDescent="0.3">
      <c r="A4374" t="str">
        <f>"20200111154005896"</f>
        <v>20200111154005896</v>
      </c>
      <c r="B4374" t="str">
        <f>"1578728405884948"</f>
        <v>1578728405884948</v>
      </c>
      <c r="C4374" t="s">
        <v>40</v>
      </c>
      <c r="D4374">
        <v>5.0380989999999999</v>
      </c>
      <c r="E4374">
        <v>0.63936210000000004</v>
      </c>
      <c r="F4374" t="s">
        <v>41</v>
      </c>
      <c r="G4374">
        <v>-189.196</v>
      </c>
      <c r="H4374">
        <v>0.91436399999999995</v>
      </c>
      <c r="I4374">
        <v>-37.970480000000002</v>
      </c>
      <c r="J4374">
        <v>-189.45500000000001</v>
      </c>
      <c r="K4374">
        <v>1.109251</v>
      </c>
      <c r="L4374">
        <v>-38.310580000000002</v>
      </c>
      <c r="M4374">
        <v>0.31356590000000001</v>
      </c>
      <c r="N4374">
        <v>0</v>
      </c>
      <c r="O4374">
        <v>0.94946660000000005</v>
      </c>
      <c r="P4374">
        <v>0.14992359999999999</v>
      </c>
      <c r="Q4374">
        <v>2.2711169999999999E-2</v>
      </c>
      <c r="R4374">
        <v>0.98843669999999995</v>
      </c>
      <c r="S4374">
        <v>1.5830839999999999</v>
      </c>
      <c r="T4374">
        <v>-0.90478559999999997</v>
      </c>
      <c r="U4374">
        <v>2.8084720000000001</v>
      </c>
      <c r="V4374">
        <v>-0.168008399999999</v>
      </c>
      <c r="W4374">
        <v>3.4381589999999997E-2</v>
      </c>
      <c r="X4374">
        <v>0.9851858</v>
      </c>
      <c r="Y4374">
        <v>0.17472660000000001</v>
      </c>
      <c r="Z4374">
        <v>-0.26467839999999998</v>
      </c>
      <c r="AA4374">
        <v>0.94837550000000004</v>
      </c>
      <c r="AB4374">
        <v>28</v>
      </c>
      <c r="AC4374">
        <v>0.259000000000014</v>
      </c>
      <c r="AD4374">
        <v>-0.194887</v>
      </c>
      <c r="AE4374">
        <v>0.34009999999999901</v>
      </c>
      <c r="AF4374">
        <v>0.11531519760304899</v>
      </c>
      <c r="AG4374">
        <v>-0.194887</v>
      </c>
      <c r="AH4374">
        <v>0.33462083264446701</v>
      </c>
      <c r="AI4374">
        <v>118.83859547478001</v>
      </c>
      <c r="AJ4374">
        <v>70.985305154944299</v>
      </c>
      <c r="AK4374">
        <v>0.40404163053688802</v>
      </c>
      <c r="AL4374">
        <v>88.0296916655019</v>
      </c>
      <c r="AM4374">
        <v>99.677820209915396</v>
      </c>
      <c r="AN4374">
        <v>0.99999998836156401</v>
      </c>
    </row>
    <row r="4375" spans="1:40" x14ac:dyDescent="0.3">
      <c r="A4375" t="str">
        <f>"20200111154005919"</f>
        <v>20200111154005919</v>
      </c>
      <c r="B4375" t="str">
        <f>"1578728405915204"</f>
        <v>1578728405915204</v>
      </c>
      <c r="C4375" t="s">
        <v>40</v>
      </c>
      <c r="D4375">
        <v>5.0436079999999999</v>
      </c>
      <c r="E4375">
        <v>0.63804519999999998</v>
      </c>
      <c r="F4375" t="s">
        <v>41</v>
      </c>
      <c r="G4375">
        <v>-189.024</v>
      </c>
      <c r="H4375">
        <v>0.86137619999999904</v>
      </c>
      <c r="I4375">
        <v>-37.532420000000002</v>
      </c>
      <c r="J4375">
        <v>-189.3751</v>
      </c>
      <c r="K4375">
        <v>1.1092519999999999</v>
      </c>
      <c r="L4375">
        <v>-38.046599999999998</v>
      </c>
      <c r="M4375">
        <v>0.30756430000000001</v>
      </c>
      <c r="N4375">
        <v>0</v>
      </c>
      <c r="O4375">
        <v>0.95142760000000004</v>
      </c>
      <c r="P4375">
        <v>0.1430671</v>
      </c>
      <c r="Q4375">
        <v>2.2920960000000001E-2</v>
      </c>
      <c r="R4375">
        <v>0.98944750000000004</v>
      </c>
      <c r="S4375">
        <v>1.5607150000000001</v>
      </c>
      <c r="T4375">
        <v>-0.89816819999999897</v>
      </c>
      <c r="U4375">
        <v>2.819</v>
      </c>
      <c r="V4375">
        <v>-0.1686203</v>
      </c>
      <c r="W4375">
        <v>3.4578409999999997E-2</v>
      </c>
      <c r="X4375">
        <v>0.98507440000000002</v>
      </c>
      <c r="Y4375">
        <v>0.17388700000000001</v>
      </c>
      <c r="Z4375">
        <v>-0.26333240000000002</v>
      </c>
      <c r="AA4375">
        <v>0.94890430000000003</v>
      </c>
      <c r="AB4375">
        <v>28</v>
      </c>
      <c r="AC4375">
        <v>0.35110000000000202</v>
      </c>
      <c r="AD4375">
        <v>-0.24787580000000001</v>
      </c>
      <c r="AE4375">
        <v>0.51417999999999597</v>
      </c>
      <c r="AF4375">
        <v>0.15185126739691801</v>
      </c>
      <c r="AG4375">
        <v>-0.24787580000000001</v>
      </c>
      <c r="AH4375">
        <v>0.51553574342562403</v>
      </c>
      <c r="AI4375">
        <v>114.760116777504</v>
      </c>
      <c r="AJ4375">
        <v>73.587640727049404</v>
      </c>
      <c r="AK4375">
        <v>0.59184315691330003</v>
      </c>
      <c r="AL4375">
        <v>88.018408068842305</v>
      </c>
      <c r="AM4375">
        <v>99.713474868706697</v>
      </c>
      <c r="AN4375">
        <v>1.0000000227727801</v>
      </c>
    </row>
    <row r="4376" spans="1:40" x14ac:dyDescent="0.3">
      <c r="A4376" t="str">
        <f>"20200111154005941"</f>
        <v>20200111154005941</v>
      </c>
      <c r="B4376" t="str">
        <f>"1578728405935700"</f>
        <v>1578728405935700</v>
      </c>
      <c r="C4376" t="s">
        <v>40</v>
      </c>
      <c r="D4376">
        <v>5.0175519999999896</v>
      </c>
      <c r="E4376">
        <v>0.63767399999999996</v>
      </c>
      <c r="F4376" t="s">
        <v>41</v>
      </c>
      <c r="G4376">
        <v>-188.9657</v>
      </c>
      <c r="H4376">
        <v>0.87106130000000004</v>
      </c>
      <c r="I4376">
        <v>-37.28933</v>
      </c>
      <c r="J4376">
        <v>-189.29589999999999</v>
      </c>
      <c r="K4376">
        <v>1.1092489999999999</v>
      </c>
      <c r="L4376">
        <v>-37.778500000000001</v>
      </c>
      <c r="M4376">
        <v>0.30145609999999901</v>
      </c>
      <c r="N4376">
        <v>0</v>
      </c>
      <c r="O4376">
        <v>0.95338080000000003</v>
      </c>
      <c r="P4376">
        <v>0.1357401</v>
      </c>
      <c r="Q4376">
        <v>2.315408E-2</v>
      </c>
      <c r="R4376">
        <v>0.99047390000000002</v>
      </c>
      <c r="S4376">
        <v>1.530289</v>
      </c>
      <c r="T4376">
        <v>-0.89074390000000003</v>
      </c>
      <c r="U4376">
        <v>2.8313600000000001</v>
      </c>
      <c r="V4376">
        <v>-0.1695942</v>
      </c>
      <c r="W4376">
        <v>3.4789050000000002E-2</v>
      </c>
      <c r="X4376">
        <v>0.98489979999999999</v>
      </c>
      <c r="Y4376">
        <v>0.17080399999999901</v>
      </c>
      <c r="Z4376">
        <v>-0.26181460000000001</v>
      </c>
      <c r="AA4376">
        <v>0.94988379999999994</v>
      </c>
      <c r="AB4376">
        <v>28</v>
      </c>
      <c r="AC4376">
        <v>0.33019999999999</v>
      </c>
      <c r="AD4376">
        <v>-0.238187699999999</v>
      </c>
      <c r="AE4376">
        <v>0.48917000000000099</v>
      </c>
      <c r="AF4376">
        <v>0.14391790959707401</v>
      </c>
      <c r="AG4376">
        <v>-0.238187699999999</v>
      </c>
      <c r="AH4376">
        <v>0.48668897089799901</v>
      </c>
      <c r="AI4376">
        <v>115.141373380811</v>
      </c>
      <c r="AJ4376">
        <v>73.526620660705802</v>
      </c>
      <c r="AK4376">
        <v>0.56063526425639199</v>
      </c>
      <c r="AL4376">
        <v>88.006332061458494</v>
      </c>
      <c r="AM4376">
        <v>99.770197466765893</v>
      </c>
      <c r="AN4376">
        <v>1.0000000433567899</v>
      </c>
    </row>
    <row r="4377" spans="1:40" x14ac:dyDescent="0.3">
      <c r="A4377" t="str">
        <f>"20200111154005965"</f>
        <v>20200111154005965</v>
      </c>
      <c r="B4377" t="str">
        <f>"1578728405955221"</f>
        <v>1578728405955221</v>
      </c>
      <c r="C4377" t="s">
        <v>40</v>
      </c>
      <c r="D4377">
        <v>4.9402150000000002</v>
      </c>
      <c r="E4377">
        <v>0.63706969999999996</v>
      </c>
      <c r="F4377" t="s">
        <v>41</v>
      </c>
      <c r="G4377">
        <v>-188.9083</v>
      </c>
      <c r="H4377">
        <v>0.88053389999999998</v>
      </c>
      <c r="I4377">
        <v>-37.046320000000001</v>
      </c>
      <c r="J4377">
        <v>-189.2139</v>
      </c>
      <c r="K4377">
        <v>1.1092409999999999</v>
      </c>
      <c r="L4377">
        <v>-37.494169999999997</v>
      </c>
      <c r="M4377">
        <v>0.29496640000000002</v>
      </c>
      <c r="N4377">
        <v>0</v>
      </c>
      <c r="O4377">
        <v>0.95540919999999896</v>
      </c>
      <c r="P4377">
        <v>0.12759019999999999</v>
      </c>
      <c r="Q4377">
        <v>2.3264670000000001E-2</v>
      </c>
      <c r="R4377">
        <v>0.99155409999999999</v>
      </c>
      <c r="S4377">
        <v>1.505066</v>
      </c>
      <c r="T4377">
        <v>-0.88815279999999996</v>
      </c>
      <c r="U4377">
        <v>2.843353</v>
      </c>
      <c r="V4377">
        <v>-0.17099690000000001</v>
      </c>
      <c r="W4377">
        <v>3.4835749999999999E-2</v>
      </c>
      <c r="X4377">
        <v>0.98465559999999996</v>
      </c>
      <c r="Y4377">
        <v>0.1693202</v>
      </c>
      <c r="Z4377">
        <v>-0.26151340000000001</v>
      </c>
      <c r="AA4377">
        <v>0.95023230000000003</v>
      </c>
      <c r="AB4377">
        <v>28</v>
      </c>
      <c r="AC4377">
        <v>0.30559999999999798</v>
      </c>
      <c r="AD4377">
        <v>-0.228707099999999</v>
      </c>
      <c r="AE4377">
        <v>0.44785000000000202</v>
      </c>
      <c r="AF4377">
        <v>0.13573493347709201</v>
      </c>
      <c r="AG4377">
        <v>-0.228707099999999</v>
      </c>
      <c r="AH4377">
        <v>0.439811180700521</v>
      </c>
      <c r="AI4377">
        <v>116.422170261335</v>
      </c>
      <c r="AJ4377">
        <v>72.8486794529382</v>
      </c>
      <c r="AK4377">
        <v>0.51396963375828597</v>
      </c>
      <c r="AL4377">
        <v>88.003654758981696</v>
      </c>
      <c r="AM4377">
        <v>99.851824514345594</v>
      </c>
      <c r="AN4377">
        <v>1.00000005994951</v>
      </c>
    </row>
    <row r="4378" spans="1:40" x14ac:dyDescent="0.3">
      <c r="A4378" t="str">
        <f>"20200111154006009"</f>
        <v>20200111154006009</v>
      </c>
      <c r="B4378" t="str">
        <f>"1578728406004996"</f>
        <v>1578728406004996</v>
      </c>
      <c r="C4378" t="s">
        <v>40</v>
      </c>
      <c r="D4378">
        <v>5.2726119999999996</v>
      </c>
      <c r="E4378">
        <v>0.59828559999999997</v>
      </c>
      <c r="F4378" t="s">
        <v>41</v>
      </c>
      <c r="G4378">
        <v>-188.8554</v>
      </c>
      <c r="H4378">
        <v>0.893870099999999</v>
      </c>
      <c r="I4378">
        <v>-36.800510000000003</v>
      </c>
      <c r="J4378">
        <v>-189.072</v>
      </c>
      <c r="K4378">
        <v>1.109202</v>
      </c>
      <c r="L4378">
        <v>-36.984439999999999</v>
      </c>
      <c r="M4378">
        <v>0.2833292</v>
      </c>
      <c r="N4378">
        <v>0</v>
      </c>
      <c r="O4378">
        <v>0.95892739999999999</v>
      </c>
      <c r="P4378">
        <v>0.1129497</v>
      </c>
      <c r="Q4378">
        <v>2.4904349999999999E-2</v>
      </c>
      <c r="R4378">
        <v>0.99328850000000002</v>
      </c>
      <c r="S4378">
        <v>1.4758150000000001</v>
      </c>
      <c r="T4378">
        <v>-0.88710739999999999</v>
      </c>
      <c r="U4378">
        <v>2.8564759999999998</v>
      </c>
      <c r="V4378">
        <v>-0.1735554</v>
      </c>
      <c r="W4378">
        <v>3.6250110000000002E-2</v>
      </c>
      <c r="X4378">
        <v>0.9841567</v>
      </c>
      <c r="Y4378">
        <v>0.1717957</v>
      </c>
      <c r="Z4378">
        <v>-0.26210499999999998</v>
      </c>
      <c r="AA4378">
        <v>0.94962480000000005</v>
      </c>
      <c r="AB4378">
        <v>28</v>
      </c>
      <c r="AC4378">
        <v>0.21659999999999899</v>
      </c>
      <c r="AD4378">
        <v>-0.21533189999999999</v>
      </c>
      <c r="AE4378">
        <v>0.18393000000000301</v>
      </c>
      <c r="AF4378">
        <v>9.8844345543567205E-2</v>
      </c>
      <c r="AG4378">
        <v>-0.21533189999999999</v>
      </c>
      <c r="AH4378">
        <v>0.15103522256163199</v>
      </c>
      <c r="AI4378">
        <v>140.02819619227901</v>
      </c>
      <c r="AJ4378">
        <v>56.797432827339499</v>
      </c>
      <c r="AK4378">
        <v>0.28097983959314199</v>
      </c>
      <c r="AL4378">
        <v>87.922566494106405</v>
      </c>
      <c r="AM4378">
        <v>100.00124333367999</v>
      </c>
      <c r="AN4378">
        <v>0.99999997874952995</v>
      </c>
    </row>
    <row r="4379" spans="1:40" x14ac:dyDescent="0.3">
      <c r="A4379" t="str">
        <f>"20200111154006031"</f>
        <v>20200111154006031</v>
      </c>
      <c r="B4379" t="str">
        <f>"1578728406025492"</f>
        <v>1578728406025492</v>
      </c>
      <c r="C4379" t="s">
        <v>40</v>
      </c>
      <c r="D4379">
        <v>5.0663640000000001</v>
      </c>
      <c r="E4379">
        <v>0.51825540000000003</v>
      </c>
      <c r="F4379" t="s">
        <v>41</v>
      </c>
      <c r="G4379">
        <v>-188.8048</v>
      </c>
      <c r="H4379">
        <v>0.92297759999999995</v>
      </c>
      <c r="I4379">
        <v>-36.293550000000003</v>
      </c>
      <c r="J4379">
        <v>-188.999</v>
      </c>
      <c r="K4379">
        <v>1.1091799999999901</v>
      </c>
      <c r="L4379">
        <v>-36.712490000000003</v>
      </c>
      <c r="M4379">
        <v>0.27712619999999999</v>
      </c>
      <c r="N4379">
        <v>0</v>
      </c>
      <c r="O4379">
        <v>0.96074029999999999</v>
      </c>
      <c r="P4379">
        <v>0.1059345</v>
      </c>
      <c r="Q4379">
        <v>2.6375079999999999E-2</v>
      </c>
      <c r="R4379">
        <v>0.99402330000000005</v>
      </c>
      <c r="S4379">
        <v>1.1258090000000001</v>
      </c>
      <c r="T4379">
        <v>-0.78506860000000001</v>
      </c>
      <c r="U4379">
        <v>2.9119259999999998</v>
      </c>
      <c r="V4379">
        <v>-0.1741471</v>
      </c>
      <c r="W4379">
        <v>3.7578140000000003E-2</v>
      </c>
      <c r="X4379">
        <v>0.98400240000000005</v>
      </c>
      <c r="Y4379">
        <v>7.7265529999999999E-2</v>
      </c>
      <c r="Z4379">
        <v>-0.2372524</v>
      </c>
      <c r="AA4379">
        <v>0.96837039999999996</v>
      </c>
      <c r="AB4379">
        <v>28</v>
      </c>
      <c r="AC4379">
        <v>0.19420000000002299</v>
      </c>
      <c r="AD4379">
        <v>-0.18620239999999899</v>
      </c>
      <c r="AE4379">
        <v>0.41893999999999898</v>
      </c>
      <c r="AF4379">
        <v>6.0624918688492603E-2</v>
      </c>
      <c r="AG4379">
        <v>-0.18620239999999899</v>
      </c>
      <c r="AH4379">
        <v>0.39252485004063498</v>
      </c>
      <c r="AI4379">
        <v>115.117762606867</v>
      </c>
      <c r="AJ4379">
        <v>81.220120535360095</v>
      </c>
      <c r="AK4379">
        <v>0.43865985960783899</v>
      </c>
      <c r="AL4379">
        <v>87.846424179356106</v>
      </c>
      <c r="AM4379">
        <v>100.036190123978</v>
      </c>
      <c r="AN4379">
        <v>1.0000000261250099</v>
      </c>
    </row>
    <row r="4380" spans="1:40" x14ac:dyDescent="0.3">
      <c r="A4380" t="str">
        <f>"20200111154006052"</f>
        <v>20200111154006052</v>
      </c>
      <c r="B4380" t="str">
        <f>"1578728406045012"</f>
        <v>1578728406045012</v>
      </c>
      <c r="C4380" t="s">
        <v>40</v>
      </c>
      <c r="D4380">
        <v>5.1015240000000004</v>
      </c>
      <c r="E4380">
        <v>0.49678230000000001</v>
      </c>
      <c r="F4380" t="s">
        <v>42</v>
      </c>
      <c r="G4380">
        <v>-187.8793</v>
      </c>
      <c r="H4380" s="1">
        <v>-8.281278E-7</v>
      </c>
      <c r="I4380">
        <v>-29.576540000000001</v>
      </c>
      <c r="J4380">
        <v>-188.93530000000001</v>
      </c>
      <c r="K4380">
        <v>1.109154</v>
      </c>
      <c r="L4380">
        <v>-36.469329999999999</v>
      </c>
      <c r="M4380">
        <v>0.27157369999999997</v>
      </c>
      <c r="N4380">
        <v>0</v>
      </c>
      <c r="O4380">
        <v>0.96232649999999997</v>
      </c>
      <c r="P4380">
        <v>0.1001566</v>
      </c>
      <c r="Q4380">
        <v>2.6602750000000001E-2</v>
      </c>
      <c r="R4380">
        <v>0.99461599999999994</v>
      </c>
      <c r="S4380">
        <v>0.46765139999999999</v>
      </c>
      <c r="T4380">
        <v>-0.46327550000000001</v>
      </c>
      <c r="U4380">
        <v>2.980499</v>
      </c>
      <c r="V4380">
        <v>-0.17418120000000001</v>
      </c>
      <c r="W4380">
        <v>3.7673930000000001E-2</v>
      </c>
      <c r="X4380">
        <v>0.98399270000000005</v>
      </c>
      <c r="Y4380">
        <v>-0.120793</v>
      </c>
      <c r="Z4380">
        <v>-0.14362279999999999</v>
      </c>
      <c r="AA4380">
        <v>0.98223289999999996</v>
      </c>
      <c r="AB4380">
        <v>28</v>
      </c>
      <c r="AC4380">
        <v>1.05600000000001</v>
      </c>
      <c r="AD4380">
        <v>-1.1091548281278001</v>
      </c>
      <c r="AE4380">
        <v>6.89278999999999</v>
      </c>
      <c r="AF4380">
        <v>-0.834642408891764</v>
      </c>
      <c r="AG4380">
        <v>-1.1091548281278001</v>
      </c>
      <c r="AH4380">
        <v>6.7497358220970396</v>
      </c>
      <c r="AI4380">
        <v>99.262458806797</v>
      </c>
      <c r="AJ4380">
        <v>97.049158575715694</v>
      </c>
      <c r="AK4380">
        <v>6.8909931106902</v>
      </c>
      <c r="AL4380">
        <v>87.840931924245098</v>
      </c>
      <c r="AM4380">
        <v>100.03821230248001</v>
      </c>
      <c r="AN4380">
        <v>1.00000002454418</v>
      </c>
    </row>
    <row r="4381" spans="1:40" x14ac:dyDescent="0.3">
      <c r="A4381" t="str">
        <f>"20200111154006075"</f>
        <v>20200111154006075</v>
      </c>
      <c r="B4381" t="str">
        <f>"1578728406065509"</f>
        <v>1578728406065509</v>
      </c>
      <c r="C4381" t="s">
        <v>40</v>
      </c>
      <c r="D4381">
        <v>5.1216150000000003</v>
      </c>
      <c r="E4381">
        <v>0.4849501</v>
      </c>
      <c r="F4381" t="s">
        <v>42</v>
      </c>
      <c r="G4381">
        <v>-188.07599999999999</v>
      </c>
      <c r="H4381" s="1">
        <v>-1.6850099999999901E-6</v>
      </c>
      <c r="I4381">
        <v>-27.23498</v>
      </c>
      <c r="J4381">
        <v>-188.86660000000001</v>
      </c>
      <c r="K4381">
        <v>1.1091219999999999</v>
      </c>
      <c r="L4381">
        <v>-36.200960000000002</v>
      </c>
      <c r="M4381">
        <v>0.26543739999999999</v>
      </c>
      <c r="N4381">
        <v>0</v>
      </c>
      <c r="O4381">
        <v>0.96403939999999999</v>
      </c>
      <c r="P4381">
        <v>9.4038780000000002E-2</v>
      </c>
      <c r="Q4381">
        <v>2.628867E-2</v>
      </c>
      <c r="R4381">
        <v>0.99522140000000003</v>
      </c>
      <c r="S4381">
        <v>0.27896120000000002</v>
      </c>
      <c r="T4381">
        <v>-0.360068099999999</v>
      </c>
      <c r="U4381">
        <v>2.9977719999999999</v>
      </c>
      <c r="V4381">
        <v>-0.17395859999999999</v>
      </c>
      <c r="W4381">
        <v>3.7195510000000001E-2</v>
      </c>
      <c r="X4381">
        <v>0.98405030000000004</v>
      </c>
      <c r="Y4381">
        <v>-0.17557339999999999</v>
      </c>
      <c r="Z4381">
        <v>-0.111719</v>
      </c>
      <c r="AA4381">
        <v>0.97810680000000005</v>
      </c>
      <c r="AB4381">
        <v>28</v>
      </c>
      <c r="AC4381">
        <v>0.79060000000001196</v>
      </c>
      <c r="AD4381">
        <v>-1.1091236850099999</v>
      </c>
      <c r="AE4381">
        <v>8.9659799999999894</v>
      </c>
      <c r="AF4381">
        <v>-1.5936760362591</v>
      </c>
      <c r="AG4381">
        <v>-1.1091236850099999</v>
      </c>
      <c r="AH4381">
        <v>8.7217347029519505</v>
      </c>
      <c r="AI4381">
        <v>97.130463153982404</v>
      </c>
      <c r="AJ4381">
        <v>100.355113992604</v>
      </c>
      <c r="AK4381">
        <v>8.9352456533591198</v>
      </c>
      <c r="AL4381">
        <v>87.868362644766194</v>
      </c>
      <c r="AM4381">
        <v>100.02506916230899</v>
      </c>
      <c r="AN4381">
        <v>1.0000000467040999</v>
      </c>
    </row>
    <row r="4382" spans="1:40" x14ac:dyDescent="0.3">
      <c r="A4382" t="str">
        <f>"20200111154006096"</f>
        <v>20200111154006096</v>
      </c>
      <c r="B4382" t="str">
        <f>"1578728406085029"</f>
        <v>1578728406085029</v>
      </c>
      <c r="C4382" t="s">
        <v>40</v>
      </c>
      <c r="D4382">
        <v>5.1777569999999997</v>
      </c>
      <c r="E4382">
        <v>0.47980080000000003</v>
      </c>
      <c r="F4382" t="s">
        <v>42</v>
      </c>
      <c r="G4382">
        <v>-188.28550000000001</v>
      </c>
      <c r="H4382" s="1">
        <v>-2.2971250000000001E-6</v>
      </c>
      <c r="I4382">
        <v>-25.721489999999999</v>
      </c>
      <c r="J4382">
        <v>-188.8022</v>
      </c>
      <c r="K4382">
        <v>1.109086</v>
      </c>
      <c r="L4382">
        <v>-35.941830000000003</v>
      </c>
      <c r="M4382">
        <v>0.25951239999999998</v>
      </c>
      <c r="N4382">
        <v>0</v>
      </c>
      <c r="O4382">
        <v>0.96565369999999995</v>
      </c>
      <c r="P4382">
        <v>8.8745180000000007E-2</v>
      </c>
      <c r="Q4382">
        <v>2.5085449999999999E-2</v>
      </c>
      <c r="R4382">
        <v>0.99573840000000002</v>
      </c>
      <c r="S4382">
        <v>0.166763299999999</v>
      </c>
      <c r="T4382">
        <v>-0.31825959999999998</v>
      </c>
      <c r="U4382">
        <v>3.00705</v>
      </c>
      <c r="V4382">
        <v>-0.1731395</v>
      </c>
      <c r="W4382">
        <v>3.5823609999999999E-2</v>
      </c>
      <c r="X4382">
        <v>0.98424560000000005</v>
      </c>
      <c r="Y4382">
        <v>-0.20592479999999999</v>
      </c>
      <c r="Z4382">
        <v>-9.8662269999999996E-2</v>
      </c>
      <c r="AA4382">
        <v>0.97358140000000004</v>
      </c>
      <c r="AB4382">
        <v>28</v>
      </c>
      <c r="AC4382">
        <v>0.51669999999998595</v>
      </c>
      <c r="AD4382">
        <v>-1.109088297125</v>
      </c>
      <c r="AE4382">
        <v>10.220339999999901</v>
      </c>
      <c r="AF4382">
        <v>-2.12852884064674</v>
      </c>
      <c r="AG4382">
        <v>-1.109088297125</v>
      </c>
      <c r="AH4382">
        <v>9.8880845765930001</v>
      </c>
      <c r="AI4382">
        <v>96.257617923383293</v>
      </c>
      <c r="AJ4382">
        <v>102.148227525433</v>
      </c>
      <c r="AK4382">
        <v>10.175211470536601</v>
      </c>
      <c r="AL4382">
        <v>87.947019090398697</v>
      </c>
      <c r="AM4382">
        <v>99.976875886029603</v>
      </c>
      <c r="AN4382">
        <v>1.00000000930652</v>
      </c>
    </row>
    <row r="4383" spans="1:40" x14ac:dyDescent="0.3">
      <c r="A4383" t="str">
        <f>"20200111154006121"</f>
        <v>20200111154006121</v>
      </c>
      <c r="B4383" t="str">
        <f>"1578728406115285"</f>
        <v>1578728406115285</v>
      </c>
      <c r="C4383" t="s">
        <v>40</v>
      </c>
      <c r="D4383">
        <v>4.9951460000000001</v>
      </c>
      <c r="E4383">
        <v>0.47717559999999898</v>
      </c>
      <c r="F4383" t="s">
        <v>42</v>
      </c>
      <c r="G4383">
        <v>-188.4</v>
      </c>
      <c r="H4383" s="1">
        <v>-2.6179040000000001E-6</v>
      </c>
      <c r="I4383">
        <v>-24.926380000000002</v>
      </c>
      <c r="J4383">
        <v>-188.73220000000001</v>
      </c>
      <c r="K4383">
        <v>1.1090530000000001</v>
      </c>
      <c r="L4383">
        <v>-35.652159999999903</v>
      </c>
      <c r="M4383">
        <v>0.25289329999999999</v>
      </c>
      <c r="N4383">
        <v>0</v>
      </c>
      <c r="O4383">
        <v>0.96741089999999996</v>
      </c>
      <c r="P4383">
        <v>8.3290409999999995E-2</v>
      </c>
      <c r="Q4383">
        <v>2.448351E-2</v>
      </c>
      <c r="R4383">
        <v>0.99622449999999996</v>
      </c>
      <c r="S4383">
        <v>0.1099243</v>
      </c>
      <c r="T4383">
        <v>-0.30312990000000001</v>
      </c>
      <c r="U4383">
        <v>3.0106809999999999</v>
      </c>
      <c r="V4383">
        <v>-0.17178299999999999</v>
      </c>
      <c r="W4383">
        <v>3.504256E-2</v>
      </c>
      <c r="X4383">
        <v>0.98451140000000004</v>
      </c>
      <c r="Y4383">
        <v>-0.21759609999999999</v>
      </c>
      <c r="Z4383">
        <v>-9.4078469999999997E-2</v>
      </c>
      <c r="AA4383">
        <v>0.97149430000000003</v>
      </c>
      <c r="AB4383">
        <v>28</v>
      </c>
      <c r="AC4383">
        <v>0.3322</v>
      </c>
      <c r="AD4383">
        <v>-1.1090556179040001</v>
      </c>
      <c r="AE4383">
        <v>10.725779999999901</v>
      </c>
      <c r="AF4383">
        <v>-2.3660239617215102</v>
      </c>
      <c r="AG4383">
        <v>-1.1090556179040001</v>
      </c>
      <c r="AH4383">
        <v>10.3505312077436</v>
      </c>
      <c r="AI4383">
        <v>95.963223557833899</v>
      </c>
      <c r="AJ4383">
        <v>102.875991918948</v>
      </c>
      <c r="AK4383">
        <v>10.6752784522709</v>
      </c>
      <c r="AL4383">
        <v>87.991798137110806</v>
      </c>
      <c r="AM4383">
        <v>99.897642329475303</v>
      </c>
      <c r="AN4383">
        <v>1.0000000384151499</v>
      </c>
    </row>
    <row r="4384" spans="1:40" x14ac:dyDescent="0.3">
      <c r="A4384" t="str">
        <f>"20200111154006143"</f>
        <v>20200111154006143</v>
      </c>
      <c r="B4384" t="str">
        <f>"1578728406135781"</f>
        <v>1578728406135781</v>
      </c>
      <c r="C4384" t="s">
        <v>40</v>
      </c>
      <c r="D4384">
        <v>5.0622199999999999</v>
      </c>
      <c r="E4384">
        <v>0.47683189999999998</v>
      </c>
      <c r="F4384" t="s">
        <v>42</v>
      </c>
      <c r="G4384">
        <v>-188.46119999999999</v>
      </c>
      <c r="H4384" s="1">
        <v>-2.8291199999999999E-6</v>
      </c>
      <c r="I4384">
        <v>-24.408740000000002</v>
      </c>
      <c r="J4384">
        <v>-188.6696</v>
      </c>
      <c r="K4384">
        <v>1.1090260000000001</v>
      </c>
      <c r="L4384">
        <v>-35.38617</v>
      </c>
      <c r="M4384">
        <v>0.24680940000000001</v>
      </c>
      <c r="N4384">
        <v>0</v>
      </c>
      <c r="O4384">
        <v>0.9689835</v>
      </c>
      <c r="P4384">
        <v>7.8621280000000002E-2</v>
      </c>
      <c r="Q4384">
        <v>2.424219E-2</v>
      </c>
      <c r="R4384">
        <v>0.99660970000000004</v>
      </c>
      <c r="S4384">
        <v>7.261658E-2</v>
      </c>
      <c r="T4384">
        <v>-0.297164599999999</v>
      </c>
      <c r="U4384">
        <v>3.0126040000000001</v>
      </c>
      <c r="V4384">
        <v>-0.1702061</v>
      </c>
      <c r="W4384">
        <v>3.4623679999999997E-2</v>
      </c>
      <c r="X4384">
        <v>0.98480000000000001</v>
      </c>
      <c r="Y4384">
        <v>-0.22349620000000001</v>
      </c>
      <c r="Z4384">
        <v>-9.2365740000000002E-2</v>
      </c>
      <c r="AA4384">
        <v>0.97031849999999997</v>
      </c>
      <c r="AB4384">
        <v>28</v>
      </c>
      <c r="AC4384">
        <v>0.20840000000001099</v>
      </c>
      <c r="AD4384">
        <v>-1.1090288291199999</v>
      </c>
      <c r="AE4384">
        <v>10.97743</v>
      </c>
      <c r="AF4384">
        <v>-2.4822659161826102</v>
      </c>
      <c r="AG4384">
        <v>-1.1090288291199999</v>
      </c>
      <c r="AH4384">
        <v>10.5812573768878</v>
      </c>
      <c r="AI4384">
        <v>95.826323921231506</v>
      </c>
      <c r="AJ4384">
        <v>103.202332200844</v>
      </c>
      <c r="AK4384">
        <v>10.924952938040599</v>
      </c>
      <c r="AL4384">
        <v>88.015812645711705</v>
      </c>
      <c r="AM4384">
        <v>99.805739925567295</v>
      </c>
      <c r="AN4384">
        <v>0.99999997784697503</v>
      </c>
    </row>
    <row r="4385" spans="1:40" x14ac:dyDescent="0.3">
      <c r="A4385" t="str">
        <f>"20200111154006165"</f>
        <v>20200111154006165</v>
      </c>
      <c r="B4385" t="str">
        <f>"1578728406155300"</f>
        <v>1578728406155300</v>
      </c>
      <c r="C4385" t="s">
        <v>40</v>
      </c>
      <c r="D4385">
        <v>5.0598380000000001</v>
      </c>
      <c r="E4385">
        <v>0.47668680000000002</v>
      </c>
      <c r="F4385" t="s">
        <v>42</v>
      </c>
      <c r="G4385">
        <v>-188.4599</v>
      </c>
      <c r="H4385" s="1">
        <v>-2.9785509999999999E-6</v>
      </c>
      <c r="I4385">
        <v>-24.060949999999998</v>
      </c>
      <c r="J4385">
        <v>-188.61080000000001</v>
      </c>
      <c r="K4385">
        <v>1.109002</v>
      </c>
      <c r="L4385">
        <v>-35.128970000000002</v>
      </c>
      <c r="M4385">
        <v>0.24092330000000001</v>
      </c>
      <c r="N4385">
        <v>0</v>
      </c>
      <c r="O4385">
        <v>0.97046659999999996</v>
      </c>
      <c r="P4385">
        <v>7.4461449999999998E-2</v>
      </c>
      <c r="Q4385">
        <v>2.4169960000000001E-2</v>
      </c>
      <c r="R4385">
        <v>0.99693100000000001</v>
      </c>
      <c r="S4385">
        <v>5.5801389999999999E-2</v>
      </c>
      <c r="T4385">
        <v>-0.295047</v>
      </c>
      <c r="U4385">
        <v>3.0129700000000001</v>
      </c>
      <c r="V4385">
        <v>-0.1683346</v>
      </c>
      <c r="W4385">
        <v>3.4360149999999999E-2</v>
      </c>
      <c r="X4385">
        <v>0.98513090000000003</v>
      </c>
      <c r="Y4385">
        <v>-0.22299459999999999</v>
      </c>
      <c r="Z4385">
        <v>-9.1928330000000003E-2</v>
      </c>
      <c r="AA4385">
        <v>0.97047539999999999</v>
      </c>
      <c r="AB4385">
        <v>28</v>
      </c>
      <c r="AC4385">
        <v>0.150900000000007</v>
      </c>
      <c r="AD4385">
        <v>-1.1090049785510001</v>
      </c>
      <c r="AE4385">
        <v>11.068020000000001</v>
      </c>
      <c r="AF4385">
        <v>-2.49524300092826</v>
      </c>
      <c r="AG4385">
        <v>-1.1090049785510001</v>
      </c>
      <c r="AH4385">
        <v>10.671193145947701</v>
      </c>
      <c r="AI4385">
        <v>95.778400099606301</v>
      </c>
      <c r="AJ4385">
        <v>103.160996266636</v>
      </c>
      <c r="AK4385">
        <v>11.0150121576989</v>
      </c>
      <c r="AL4385">
        <v>88.030920883083098</v>
      </c>
      <c r="AM4385">
        <v>99.696784097613104</v>
      </c>
      <c r="AN4385">
        <v>1.00000002379999</v>
      </c>
    </row>
    <row r="4386" spans="1:40" x14ac:dyDescent="0.3">
      <c r="A4386" t="str">
        <f>"20200111154006187"</f>
        <v>20200111154006187</v>
      </c>
      <c r="B4386" t="str">
        <f>"1578728406175797"</f>
        <v>1578728406175797</v>
      </c>
      <c r="C4386" t="s">
        <v>40</v>
      </c>
      <c r="D4386">
        <v>5.0579359999999998</v>
      </c>
      <c r="E4386">
        <v>0.47677019999999998</v>
      </c>
      <c r="F4386" t="s">
        <v>42</v>
      </c>
      <c r="G4386">
        <v>-188.45269999999999</v>
      </c>
      <c r="H4386" s="1">
        <v>-3.1107449999999999E-6</v>
      </c>
      <c r="I4386">
        <v>-23.755769999999998</v>
      </c>
      <c r="J4386">
        <v>-188.55099999999999</v>
      </c>
      <c r="K4386">
        <v>1.1089709999999999</v>
      </c>
      <c r="L4386">
        <v>-34.860140000000001</v>
      </c>
      <c r="M4386">
        <v>0.23477439999999999</v>
      </c>
      <c r="N4386">
        <v>0</v>
      </c>
      <c r="O4386">
        <v>0.97197540000000004</v>
      </c>
      <c r="P4386">
        <v>6.9622180000000006E-2</v>
      </c>
      <c r="Q4386">
        <v>2.4523409999999999E-2</v>
      </c>
      <c r="R4386">
        <v>0.99727200000000005</v>
      </c>
      <c r="S4386">
        <v>4.188538E-2</v>
      </c>
      <c r="T4386">
        <v>-0.2938229</v>
      </c>
      <c r="U4386">
        <v>3.013245</v>
      </c>
      <c r="V4386">
        <v>-0.166877</v>
      </c>
      <c r="W4386">
        <v>3.4489300000000001E-2</v>
      </c>
      <c r="X4386">
        <v>0.98537430000000004</v>
      </c>
      <c r="Y4386">
        <v>-0.22130459999999999</v>
      </c>
      <c r="Z4386">
        <v>-9.1782059999999999E-2</v>
      </c>
      <c r="AA4386">
        <v>0.97087610000000002</v>
      </c>
      <c r="AB4386">
        <v>28</v>
      </c>
      <c r="AC4386">
        <v>9.8299999999994697E-2</v>
      </c>
      <c r="AD4386">
        <v>-1.108974110745</v>
      </c>
      <c r="AE4386">
        <v>11.104369999999999</v>
      </c>
      <c r="AF4386">
        <v>-2.48685732739765</v>
      </c>
      <c r="AG4386">
        <v>-1.108974110745</v>
      </c>
      <c r="AH4386">
        <v>10.710224129438</v>
      </c>
      <c r="AI4386">
        <v>95.759391536832595</v>
      </c>
      <c r="AJ4386">
        <v>103.072136599191</v>
      </c>
      <c r="AK4386">
        <v>11.050935881088501</v>
      </c>
      <c r="AL4386">
        <v>88.023516654333903</v>
      </c>
      <c r="AM4386">
        <v>99.612063562755196</v>
      </c>
      <c r="AN4386">
        <v>0.99999997802198903</v>
      </c>
    </row>
    <row r="4387" spans="1:40" x14ac:dyDescent="0.3">
      <c r="A4387" t="str">
        <f>"20200111154006208"</f>
        <v>20200111154006208</v>
      </c>
      <c r="B4387" t="str">
        <f>"1578728406205076"</f>
        <v>1578728406205076</v>
      </c>
      <c r="C4387" t="s">
        <v>40</v>
      </c>
      <c r="D4387">
        <v>5.0227709999999997</v>
      </c>
      <c r="E4387">
        <v>0.47714960000000001</v>
      </c>
      <c r="F4387" t="s">
        <v>42</v>
      </c>
      <c r="G4387">
        <v>-188.44569999999999</v>
      </c>
      <c r="H4387" s="1">
        <v>-3.2747449999999999E-6</v>
      </c>
      <c r="I4387">
        <v>-23.376390000000001</v>
      </c>
      <c r="J4387">
        <v>-188.49420000000001</v>
      </c>
      <c r="K4387">
        <v>1.108938</v>
      </c>
      <c r="L4387">
        <v>-34.597110000000001</v>
      </c>
      <c r="M4387">
        <v>0.22876589999999999</v>
      </c>
      <c r="N4387">
        <v>0</v>
      </c>
      <c r="O4387">
        <v>0.97341009999999994</v>
      </c>
      <c r="P4387">
        <v>6.4311530000000006E-2</v>
      </c>
      <c r="Q4387">
        <v>2.457165E-2</v>
      </c>
      <c r="R4387">
        <v>0.99762729999999999</v>
      </c>
      <c r="S4387">
        <v>2.7633669999999999E-2</v>
      </c>
      <c r="T4387">
        <v>-0.29100389999999998</v>
      </c>
      <c r="U4387">
        <v>3.0134280000000002</v>
      </c>
      <c r="V4387">
        <v>-0.1660336</v>
      </c>
      <c r="W4387">
        <v>3.430391E-2</v>
      </c>
      <c r="X4387">
        <v>0.98552320000000004</v>
      </c>
      <c r="Y4387">
        <v>-0.2198716</v>
      </c>
      <c r="Z4387">
        <v>-9.1127250000000007E-2</v>
      </c>
      <c r="AA4387">
        <v>0.97126319999999999</v>
      </c>
      <c r="AB4387">
        <v>28</v>
      </c>
      <c r="AC4387">
        <v>4.8500000000018403E-2</v>
      </c>
      <c r="AD4387">
        <v>-1.108941274745</v>
      </c>
      <c r="AE4387">
        <v>11.22072</v>
      </c>
      <c r="AF4387">
        <v>-2.4955087917651402</v>
      </c>
      <c r="AG4387">
        <v>-1.108941274745</v>
      </c>
      <c r="AH4387">
        <v>10.828453896764501</v>
      </c>
      <c r="AI4387">
        <v>95.698914264769002</v>
      </c>
      <c r="AJ4387">
        <v>102.977709995967</v>
      </c>
      <c r="AK4387">
        <v>11.167485333546001</v>
      </c>
      <c r="AL4387">
        <v>88.034144945679003</v>
      </c>
      <c r="AM4387">
        <v>99.562965279512596</v>
      </c>
      <c r="AN4387">
        <v>0.99999994615424204</v>
      </c>
    </row>
    <row r="4388" spans="1:40" x14ac:dyDescent="0.3">
      <c r="A4388" t="str">
        <f>"20200111154006234"</f>
        <v>20200111154006234</v>
      </c>
      <c r="B4388" t="str">
        <f>"1578728406225573"</f>
        <v>1578728406225573</v>
      </c>
      <c r="C4388" t="s">
        <v>40</v>
      </c>
      <c r="D4388">
        <v>5.0198739999999997</v>
      </c>
      <c r="E4388">
        <v>0.47747430000000002</v>
      </c>
      <c r="F4388" t="s">
        <v>42</v>
      </c>
      <c r="G4388">
        <v>-188.43680000000001</v>
      </c>
      <c r="H4388" s="1">
        <v>-3.4387190000000001E-6</v>
      </c>
      <c r="I4388">
        <v>-22.997820000000001</v>
      </c>
      <c r="J4388">
        <v>-188.4307</v>
      </c>
      <c r="K4388">
        <v>1.1089100000000001</v>
      </c>
      <c r="L4388">
        <v>-34.294280000000001</v>
      </c>
      <c r="M4388">
        <v>0.22185840000000001</v>
      </c>
      <c r="N4388">
        <v>0</v>
      </c>
      <c r="O4388">
        <v>0.97501110000000002</v>
      </c>
      <c r="P4388">
        <v>5.8351840000000002E-2</v>
      </c>
      <c r="Q4388">
        <v>2.4188359999999999E-2</v>
      </c>
      <c r="R4388">
        <v>0.99800299999999997</v>
      </c>
      <c r="S4388">
        <v>1.4892580000000001E-2</v>
      </c>
      <c r="T4388">
        <v>-0.2880819</v>
      </c>
      <c r="U4388">
        <v>3.0132750000000001</v>
      </c>
      <c r="V4388">
        <v>-0.16492579999999901</v>
      </c>
      <c r="W4388">
        <v>3.364864E-2</v>
      </c>
      <c r="X4388">
        <v>0.98573180000000005</v>
      </c>
      <c r="Y4388">
        <v>-0.2170599</v>
      </c>
      <c r="Z4388">
        <v>-9.0483240000000006E-2</v>
      </c>
      <c r="AA4388">
        <v>0.97195569999999998</v>
      </c>
      <c r="AB4388">
        <v>28</v>
      </c>
      <c r="AC4388">
        <v>-6.1000000000035401E-3</v>
      </c>
      <c r="AD4388">
        <v>-1.1089134387190001</v>
      </c>
      <c r="AE4388">
        <v>11.29646</v>
      </c>
      <c r="AF4388">
        <v>-2.48834969530217</v>
      </c>
      <c r="AG4388">
        <v>-1.1089134387190001</v>
      </c>
      <c r="AH4388">
        <v>10.9084316546415</v>
      </c>
      <c r="AI4388">
        <v>95.660135250289002</v>
      </c>
      <c r="AJ4388">
        <v>102.850010350216</v>
      </c>
      <c r="AK4388">
        <v>11.243462739950999</v>
      </c>
      <c r="AL4388">
        <v>88.071710881170205</v>
      </c>
      <c r="AM4388">
        <v>99.498352859267598</v>
      </c>
      <c r="AN4388">
        <v>0.999999966005364</v>
      </c>
    </row>
    <row r="4389" spans="1:40" x14ac:dyDescent="0.3">
      <c r="A4389" t="str">
        <f>"20200111154006254"</f>
        <v>20200111154006254</v>
      </c>
      <c r="B4389" t="str">
        <f>"1578728406245092"</f>
        <v>1578728406245092</v>
      </c>
      <c r="C4389" t="s">
        <v>40</v>
      </c>
      <c r="D4389">
        <v>5.0196809999999896</v>
      </c>
      <c r="E4389">
        <v>0.4777189</v>
      </c>
      <c r="F4389" t="s">
        <v>42</v>
      </c>
      <c r="G4389">
        <v>-188.43219999999999</v>
      </c>
      <c r="H4389" s="1">
        <v>-3.5546490000000001E-6</v>
      </c>
      <c r="I4389">
        <v>-22.729500000000002</v>
      </c>
      <c r="J4389">
        <v>-188.38130000000001</v>
      </c>
      <c r="K4389">
        <v>1.108878</v>
      </c>
      <c r="L4389">
        <v>-34.05057</v>
      </c>
      <c r="M4389">
        <v>0.21631439999999999</v>
      </c>
      <c r="N4389">
        <v>0</v>
      </c>
      <c r="O4389">
        <v>0.97625899999999999</v>
      </c>
      <c r="P4389">
        <v>5.4324110000000002E-2</v>
      </c>
      <c r="Q4389">
        <v>2.4895980000000002E-2</v>
      </c>
      <c r="R4389">
        <v>0.99821289999999996</v>
      </c>
      <c r="S4389">
        <v>-3.8146970000000002E-4</v>
      </c>
      <c r="T4389">
        <v>-0.28891080000000002</v>
      </c>
      <c r="U4389">
        <v>3.0130309999999998</v>
      </c>
      <c r="V4389">
        <v>-0.16330220000000001</v>
      </c>
      <c r="W4389">
        <v>3.4132349999999999E-2</v>
      </c>
      <c r="X4389">
        <v>0.98598549999999996</v>
      </c>
      <c r="Y4389">
        <v>-0.2164393</v>
      </c>
      <c r="Z4389">
        <v>-9.0932879999999994E-2</v>
      </c>
      <c r="AA4389">
        <v>0.97205209999999997</v>
      </c>
      <c r="AB4389">
        <v>28</v>
      </c>
      <c r="AC4389">
        <v>-5.0899999999984402E-2</v>
      </c>
      <c r="AD4389">
        <v>-1.1088815546490001</v>
      </c>
      <c r="AE4389">
        <v>11.321070000000001</v>
      </c>
      <c r="AF4389">
        <v>-2.47501545011235</v>
      </c>
      <c r="AG4389">
        <v>-1.1088815546490001</v>
      </c>
      <c r="AH4389">
        <v>10.9370572436441</v>
      </c>
      <c r="AI4389">
        <v>95.647456805748604</v>
      </c>
      <c r="AJ4389">
        <v>102.751056805933</v>
      </c>
      <c r="AK4389">
        <v>11.2682980494519</v>
      </c>
      <c r="AL4389">
        <v>88.043980506616805</v>
      </c>
      <c r="AM4389">
        <v>99.404149136875105</v>
      </c>
      <c r="AN4389">
        <v>1.0000000160258</v>
      </c>
    </row>
    <row r="4390" spans="1:40" x14ac:dyDescent="0.3">
      <c r="A4390" t="str">
        <f>"20200111154006298"</f>
        <v>20200111154006298</v>
      </c>
      <c r="B4390" t="str">
        <f>"1578728406295845"</f>
        <v>1578728406295845</v>
      </c>
      <c r="C4390" t="s">
        <v>40</v>
      </c>
      <c r="D4390">
        <v>5.0617409999999996</v>
      </c>
      <c r="E4390">
        <v>0.47836129999999999</v>
      </c>
      <c r="F4390" t="s">
        <v>42</v>
      </c>
      <c r="G4390">
        <v>-188.42259999999999</v>
      </c>
      <c r="H4390" s="1">
        <v>-3.7129130000000002E-6</v>
      </c>
      <c r="I4390">
        <v>-22.364570000000001</v>
      </c>
      <c r="J4390">
        <v>-188.2783</v>
      </c>
      <c r="K4390">
        <v>1.1088020000000001</v>
      </c>
      <c r="L4390">
        <v>-33.518459999999997</v>
      </c>
      <c r="M4390">
        <v>0.20435490000000001</v>
      </c>
      <c r="N4390">
        <v>0</v>
      </c>
      <c r="O4390">
        <v>0.97883830000000005</v>
      </c>
      <c r="P4390">
        <v>4.7217820000000001E-2</v>
      </c>
      <c r="Q4390">
        <v>2.5959090000000001E-2</v>
      </c>
      <c r="R4390">
        <v>0.99854730000000003</v>
      </c>
      <c r="S4390">
        <v>-1.063538E-2</v>
      </c>
      <c r="T4390">
        <v>-0.28591149999999999</v>
      </c>
      <c r="U4390">
        <v>3.0130919999999999</v>
      </c>
      <c r="V4390">
        <v>-0.15825110000000001</v>
      </c>
      <c r="W4390">
        <v>3.474377E-2</v>
      </c>
      <c r="X4390">
        <v>0.98678739999999998</v>
      </c>
      <c r="Y4390">
        <v>-0.2077957</v>
      </c>
      <c r="Z4390">
        <v>-9.04475E-2</v>
      </c>
      <c r="AA4390">
        <v>0.9739816</v>
      </c>
      <c r="AB4390">
        <v>28</v>
      </c>
      <c r="AC4390">
        <v>-0.14429999999998699</v>
      </c>
      <c r="AD4390">
        <v>-1.108805712913</v>
      </c>
      <c r="AE4390">
        <v>11.153889999999899</v>
      </c>
      <c r="AF4390">
        <v>-2.3970527843591301</v>
      </c>
      <c r="AG4390">
        <v>-1.108805712913</v>
      </c>
      <c r="AH4390">
        <v>10.782452939871201</v>
      </c>
      <c r="AI4390">
        <v>95.732353898770199</v>
      </c>
      <c r="AJ4390">
        <v>102.533628960377</v>
      </c>
      <c r="AK4390">
        <v>11.1011982939019</v>
      </c>
      <c r="AL4390">
        <v>88.008927810562497</v>
      </c>
      <c r="AM4390">
        <v>99.110946270031107</v>
      </c>
      <c r="AN4390">
        <v>0.99999995650189</v>
      </c>
    </row>
    <row r="4391" spans="1:40" x14ac:dyDescent="0.3">
      <c r="A4391" t="str">
        <f>"20200111154006323"</f>
        <v>20200111154006323</v>
      </c>
      <c r="B4391" t="str">
        <f>"1578728406315364"</f>
        <v>1578728406315364</v>
      </c>
      <c r="C4391" t="s">
        <v>40</v>
      </c>
      <c r="D4391">
        <v>5.0661500000000004</v>
      </c>
      <c r="E4391">
        <v>0.47863480000000003</v>
      </c>
      <c r="F4391" t="s">
        <v>42</v>
      </c>
      <c r="G4391">
        <v>-188.38579999999999</v>
      </c>
      <c r="H4391" s="1">
        <v>-4.0591190000000001E-6</v>
      </c>
      <c r="I4391">
        <v>-21.572749999999999</v>
      </c>
      <c r="J4391">
        <v>-188.22110000000001</v>
      </c>
      <c r="K4391">
        <v>1.1087549999999999</v>
      </c>
      <c r="L4391">
        <v>-33.20749</v>
      </c>
      <c r="M4391">
        <v>0.19746939999999999</v>
      </c>
      <c r="N4391">
        <v>0</v>
      </c>
      <c r="O4391">
        <v>0.98025359999999995</v>
      </c>
      <c r="P4391">
        <v>4.156613E-2</v>
      </c>
      <c r="Q4391">
        <v>2.6714749999999999E-2</v>
      </c>
      <c r="R4391">
        <v>0.99877850000000001</v>
      </c>
      <c r="S4391">
        <v>-2.7114869999999999E-2</v>
      </c>
      <c r="T4391">
        <v>-0.27965950000000001</v>
      </c>
      <c r="U4391">
        <v>3.0129090000000001</v>
      </c>
      <c r="V4391">
        <v>-0.15689719999999999</v>
      </c>
      <c r="W4391">
        <v>3.5251770000000002E-2</v>
      </c>
      <c r="X4391">
        <v>0.98698560000000002</v>
      </c>
      <c r="Y4391">
        <v>-0.20624870000000001</v>
      </c>
      <c r="Z4391">
        <v>-8.870053E-2</v>
      </c>
      <c r="AA4391">
        <v>0.97447099999999998</v>
      </c>
      <c r="AB4391">
        <v>28</v>
      </c>
      <c r="AC4391">
        <v>-0.164699999999982</v>
      </c>
      <c r="AD4391">
        <v>-1.108759059119</v>
      </c>
      <c r="AE4391">
        <v>11.634739999999899</v>
      </c>
      <c r="AF4391">
        <v>-2.43695958102774</v>
      </c>
      <c r="AG4391">
        <v>-1.108759059119</v>
      </c>
      <c r="AH4391">
        <v>11.2707551342427</v>
      </c>
      <c r="AI4391">
        <v>95.492272019432207</v>
      </c>
      <c r="AJ4391">
        <v>102.200660813081</v>
      </c>
      <c r="AK4391">
        <v>11.584387767456599</v>
      </c>
      <c r="AL4391">
        <v>87.979803792388694</v>
      </c>
      <c r="AM4391">
        <v>99.032505237488607</v>
      </c>
      <c r="AN4391">
        <v>0.99999999663166605</v>
      </c>
    </row>
    <row r="4392" spans="1:40" x14ac:dyDescent="0.3">
      <c r="A4392" t="str">
        <f>"20200111154006344"</f>
        <v>20200111154006344</v>
      </c>
      <c r="B4392" t="str">
        <f>"1578728406335861"</f>
        <v>1578728406335861</v>
      </c>
      <c r="C4392" t="s">
        <v>40</v>
      </c>
      <c r="D4392">
        <v>5.0547329999999997</v>
      </c>
      <c r="E4392">
        <v>0.47895369999999998</v>
      </c>
      <c r="F4392" t="s">
        <v>42</v>
      </c>
      <c r="G4392">
        <v>-188.38849999999999</v>
      </c>
      <c r="H4392" s="1">
        <v>-4.2363539999999998E-6</v>
      </c>
      <c r="I4392">
        <v>-21.15849</v>
      </c>
      <c r="J4392">
        <v>-188.1729</v>
      </c>
      <c r="K4392">
        <v>1.108708</v>
      </c>
      <c r="L4392">
        <v>-32.936190000000003</v>
      </c>
      <c r="M4392">
        <v>0.1915309</v>
      </c>
      <c r="N4392">
        <v>0</v>
      </c>
      <c r="O4392">
        <v>0.98143360000000002</v>
      </c>
      <c r="P4392">
        <v>3.5774819999999999E-2</v>
      </c>
      <c r="Q4392">
        <v>2.7250010000000002E-2</v>
      </c>
      <c r="R4392">
        <v>0.99898830000000005</v>
      </c>
      <c r="S4392">
        <v>-4.1854860000000001E-2</v>
      </c>
      <c r="T4392">
        <v>-0.27724199999999999</v>
      </c>
      <c r="U4392">
        <v>3.0128170000000001</v>
      </c>
      <c r="V4392">
        <v>-0.15664220000000001</v>
      </c>
      <c r="W4392">
        <v>3.5574380000000003E-2</v>
      </c>
      <c r="X4392">
        <v>0.98701450000000002</v>
      </c>
      <c r="Y4392">
        <v>-0.20509240000000001</v>
      </c>
      <c r="Z4392">
        <v>-8.8112759999999998E-2</v>
      </c>
      <c r="AA4392">
        <v>0.97476830000000003</v>
      </c>
      <c r="AB4392">
        <v>28</v>
      </c>
      <c r="AC4392">
        <v>-0.21559999999999399</v>
      </c>
      <c r="AD4392">
        <v>-1.1087122363540001</v>
      </c>
      <c r="AE4392">
        <v>11.777699999999999</v>
      </c>
      <c r="AF4392">
        <v>-2.4458517563203501</v>
      </c>
      <c r="AG4392">
        <v>-1.1087122363540001</v>
      </c>
      <c r="AH4392">
        <v>11.417193662168099</v>
      </c>
      <c r="AI4392">
        <v>95.424233831133904</v>
      </c>
      <c r="AJ4392">
        <v>102.09144761064</v>
      </c>
      <c r="AK4392">
        <v>11.7287571701518</v>
      </c>
      <c r="AL4392">
        <v>87.9613079437203</v>
      </c>
      <c r="AM4392">
        <v>99.017806727453205</v>
      </c>
      <c r="AN4392">
        <v>0.99999996927173596</v>
      </c>
    </row>
    <row r="4393" spans="1:40" x14ac:dyDescent="0.3">
      <c r="A4393" t="str">
        <f>"20200111154006367"</f>
        <v>20200111154006367</v>
      </c>
      <c r="B4393" t="str">
        <f>"1578728406355380"</f>
        <v>1578728406355380</v>
      </c>
      <c r="C4393" t="s">
        <v>40</v>
      </c>
      <c r="D4393">
        <v>5.085661</v>
      </c>
      <c r="E4393">
        <v>0.47933829999999999</v>
      </c>
      <c r="F4393" t="s">
        <v>42</v>
      </c>
      <c r="G4393">
        <v>-188.39850000000001</v>
      </c>
      <c r="H4393" s="1">
        <v>-4.3803880000000001E-6</v>
      </c>
      <c r="I4393">
        <v>-20.8186</v>
      </c>
      <c r="J4393">
        <v>-188.12629999999999</v>
      </c>
      <c r="K4393">
        <v>1.1086279999999999</v>
      </c>
      <c r="L4393">
        <v>-32.66489</v>
      </c>
      <c r="M4393">
        <v>0.18571499999999999</v>
      </c>
      <c r="N4393">
        <v>0</v>
      </c>
      <c r="O4393">
        <v>0.98255300000000001</v>
      </c>
      <c r="P4393">
        <v>3.006692E-2</v>
      </c>
      <c r="Q4393">
        <v>2.5600540000000001E-2</v>
      </c>
      <c r="R4393">
        <v>0.99922</v>
      </c>
      <c r="S4393">
        <v>-5.6091309999999998E-2</v>
      </c>
      <c r="T4393">
        <v>-0.27563860000000001</v>
      </c>
      <c r="U4393">
        <v>3.0125730000000002</v>
      </c>
      <c r="V4393">
        <v>-0.1564179</v>
      </c>
      <c r="W4393">
        <v>3.3724419999999998E-2</v>
      </c>
      <c r="X4393">
        <v>0.98711499999999996</v>
      </c>
      <c r="Y4393">
        <v>-0.20390269999999999</v>
      </c>
      <c r="Z4393">
        <v>-8.7774539999999998E-2</v>
      </c>
      <c r="AA4393">
        <v>0.97504840000000004</v>
      </c>
      <c r="AB4393">
        <v>28</v>
      </c>
      <c r="AC4393">
        <v>-0.27220000000002598</v>
      </c>
      <c r="AD4393">
        <v>-1.108632380388</v>
      </c>
      <c r="AE4393">
        <v>11.84629</v>
      </c>
      <c r="AF4393">
        <v>-2.4461947535079198</v>
      </c>
      <c r="AG4393">
        <v>-1.108632380388</v>
      </c>
      <c r="AH4393">
        <v>11.4890636058106</v>
      </c>
      <c r="AI4393">
        <v>95.391551209765296</v>
      </c>
      <c r="AJ4393">
        <v>102.019651513391</v>
      </c>
      <c r="AK4393">
        <v>11.798793034259701</v>
      </c>
      <c r="AL4393">
        <v>88.067366528796995</v>
      </c>
      <c r="AM4393">
        <v>99.004203841234698</v>
      </c>
      <c r="AN4393">
        <v>0.99999995958487198</v>
      </c>
    </row>
    <row r="4394" spans="1:40" x14ac:dyDescent="0.3">
      <c r="A4394" t="str">
        <f>"20200111154006389"</f>
        <v>20200111154006389</v>
      </c>
      <c r="B4394" t="str">
        <f>"1578728406385637"</f>
        <v>1578728406385637</v>
      </c>
      <c r="C4394" t="s">
        <v>40</v>
      </c>
      <c r="D4394">
        <v>5.111802</v>
      </c>
      <c r="E4394">
        <v>0.47986580000000001</v>
      </c>
      <c r="F4394" t="s">
        <v>42</v>
      </c>
      <c r="G4394">
        <v>-188.4034</v>
      </c>
      <c r="H4394" s="1">
        <v>-4.4217840000000002E-6</v>
      </c>
      <c r="I4394">
        <v>-20.720120000000001</v>
      </c>
      <c r="J4394">
        <v>-188.0804</v>
      </c>
      <c r="K4394">
        <v>1.108501</v>
      </c>
      <c r="L4394">
        <v>-32.389279999999999</v>
      </c>
      <c r="M4394">
        <v>0.17997589999999999</v>
      </c>
      <c r="N4394">
        <v>0</v>
      </c>
      <c r="O4394">
        <v>0.98362260000000001</v>
      </c>
      <c r="P4394">
        <v>2.4705049999999999E-2</v>
      </c>
      <c r="Q4394">
        <v>2.3117120000000001E-2</v>
      </c>
      <c r="R4394">
        <v>0.99942739999999997</v>
      </c>
      <c r="S4394">
        <v>-6.9854739999999999E-2</v>
      </c>
      <c r="T4394">
        <v>-0.27951599999999999</v>
      </c>
      <c r="U4394">
        <v>3.0115970000000001</v>
      </c>
      <c r="V4394">
        <v>-0.15592629999999999</v>
      </c>
      <c r="W4394">
        <v>3.1061249999999999E-2</v>
      </c>
      <c r="X4394">
        <v>0.98728020000000005</v>
      </c>
      <c r="Y4394">
        <v>-0.2026444</v>
      </c>
      <c r="Z4394">
        <v>-8.9182849999999994E-2</v>
      </c>
      <c r="AA4394">
        <v>0.97518289999999996</v>
      </c>
      <c r="AB4394">
        <v>28</v>
      </c>
      <c r="AC4394">
        <v>-0.323000000000007</v>
      </c>
      <c r="AD4394">
        <v>-1.108505421784</v>
      </c>
      <c r="AE4394">
        <v>11.6691599999999</v>
      </c>
      <c r="AF4394">
        <v>-2.3963845527126799</v>
      </c>
      <c r="AG4394">
        <v>-1.108505421784</v>
      </c>
      <c r="AH4394">
        <v>11.318402777813599</v>
      </c>
      <c r="AI4394">
        <v>95.473048679856504</v>
      </c>
      <c r="AJ4394">
        <v>101.954386172969</v>
      </c>
      <c r="AK4394">
        <v>11.622292572269201</v>
      </c>
      <c r="AL4394">
        <v>88.220035176585199</v>
      </c>
      <c r="AM4394">
        <v>98.974888811602796</v>
      </c>
      <c r="AN4394">
        <v>1.0000000027976399</v>
      </c>
    </row>
    <row r="4395" spans="1:40" x14ac:dyDescent="0.3">
      <c r="A4395" t="str">
        <f>"20200111154006432"</f>
        <v>20200111154006432</v>
      </c>
      <c r="B4395" t="str">
        <f>"1578728406425652"</f>
        <v>1578728406425652</v>
      </c>
      <c r="C4395" t="s">
        <v>40</v>
      </c>
      <c r="D4395">
        <v>5.1007769999999999</v>
      </c>
      <c r="E4395">
        <v>0.48056270000000001</v>
      </c>
      <c r="F4395" t="s">
        <v>42</v>
      </c>
      <c r="G4395">
        <v>-188.3972</v>
      </c>
      <c r="H4395" s="1">
        <v>-4.4302630000000002E-6</v>
      </c>
      <c r="I4395">
        <v>-20.70288</v>
      </c>
      <c r="J4395">
        <v>-187.994</v>
      </c>
      <c r="K4395">
        <v>1.108187</v>
      </c>
      <c r="L4395">
        <v>-31.845790000000001</v>
      </c>
      <c r="M4395">
        <v>0.16922770000000001</v>
      </c>
      <c r="N4395">
        <v>0</v>
      </c>
      <c r="O4395">
        <v>0.98553270000000004</v>
      </c>
      <c r="P4395">
        <v>1.4953630000000001E-2</v>
      </c>
      <c r="Q4395">
        <v>1.8784539999999999E-2</v>
      </c>
      <c r="R4395">
        <v>0.99971180000000004</v>
      </c>
      <c r="S4395">
        <v>-8.1619259999999999E-2</v>
      </c>
      <c r="T4395">
        <v>-0.28554410000000002</v>
      </c>
      <c r="U4395">
        <v>3.010345</v>
      </c>
      <c r="V4395">
        <v>-0.15472749999999999</v>
      </c>
      <c r="W4395">
        <v>2.642736E-2</v>
      </c>
      <c r="X4395">
        <v>0.98760369999999997</v>
      </c>
      <c r="Y4395">
        <v>-0.1957623</v>
      </c>
      <c r="Z4395">
        <v>-9.1458040000000004E-2</v>
      </c>
      <c r="AA4395">
        <v>0.97637719999999995</v>
      </c>
      <c r="AB4395">
        <v>28</v>
      </c>
      <c r="AC4395">
        <v>-0.40319999999996903</v>
      </c>
      <c r="AD4395">
        <v>-1.108191430263</v>
      </c>
      <c r="AE4395">
        <v>11.142910000000001</v>
      </c>
      <c r="AF4395">
        <v>-2.2608232994128001</v>
      </c>
      <c r="AG4395">
        <v>-1.108191430263</v>
      </c>
      <c r="AH4395">
        <v>10.8071936373257</v>
      </c>
      <c r="AI4395">
        <v>95.731542259443401</v>
      </c>
      <c r="AJ4395">
        <v>101.815660108808</v>
      </c>
      <c r="AK4395">
        <v>11.0966141030465</v>
      </c>
      <c r="AL4395">
        <v>88.485647556636494</v>
      </c>
      <c r="AM4395">
        <v>98.904127321520207</v>
      </c>
      <c r="AN4395">
        <v>1.00000003643325</v>
      </c>
    </row>
    <row r="4396" spans="1:40" x14ac:dyDescent="0.3">
      <c r="A4396" t="str">
        <f>"20200111154006455"</f>
        <v>20200111154006455</v>
      </c>
      <c r="B4396" t="str">
        <f>"1578728406445172"</f>
        <v>1578728406445172</v>
      </c>
      <c r="C4396" t="s">
        <v>40</v>
      </c>
      <c r="D4396">
        <v>5.1212580000000001</v>
      </c>
      <c r="E4396">
        <v>0.48095569999999999</v>
      </c>
      <c r="F4396" t="s">
        <v>42</v>
      </c>
      <c r="G4396">
        <v>-188.3871</v>
      </c>
      <c r="H4396" s="1">
        <v>-4.4613729999999996E-6</v>
      </c>
      <c r="I4396">
        <v>-20.63456</v>
      </c>
      <c r="J4396">
        <v>-187.95070000000001</v>
      </c>
      <c r="K4396">
        <v>1.1080350000000001</v>
      </c>
      <c r="L4396">
        <v>-31.560420000000001</v>
      </c>
      <c r="M4396">
        <v>0.16387879999999999</v>
      </c>
      <c r="N4396">
        <v>0</v>
      </c>
      <c r="O4396">
        <v>0.98643820000000004</v>
      </c>
      <c r="P4396">
        <v>1.007389E-2</v>
      </c>
      <c r="Q4396">
        <v>1.8172589999999999E-2</v>
      </c>
      <c r="R4396">
        <v>0.99978409999999995</v>
      </c>
      <c r="S4396">
        <v>-0.10545350000000001</v>
      </c>
      <c r="T4396">
        <v>-0.29733280000000001</v>
      </c>
      <c r="U4396">
        <v>3.0080260000000001</v>
      </c>
      <c r="V4396">
        <v>-0.15417529999999999</v>
      </c>
      <c r="W4396">
        <v>2.5671349999999999E-2</v>
      </c>
      <c r="X4396">
        <v>0.98770990000000003</v>
      </c>
      <c r="Y4396">
        <v>-0.1981774</v>
      </c>
      <c r="Z4396">
        <v>-9.5368240000000007E-2</v>
      </c>
      <c r="AA4396">
        <v>0.97551560000000004</v>
      </c>
      <c r="AB4396">
        <v>29</v>
      </c>
      <c r="AC4396">
        <v>-0.43639999999999102</v>
      </c>
      <c r="AD4396">
        <v>-1.108039461373</v>
      </c>
      <c r="AE4396">
        <v>10.92586</v>
      </c>
      <c r="AF4396">
        <v>-2.19851564424892</v>
      </c>
      <c r="AG4396">
        <v>-1.108039461373</v>
      </c>
      <c r="AH4396">
        <v>10.597792128167599</v>
      </c>
      <c r="AI4396">
        <v>95.845242477855606</v>
      </c>
      <c r="AJ4396">
        <v>101.719793417833</v>
      </c>
      <c r="AK4396">
        <v>10.8800009410761</v>
      </c>
      <c r="AL4396">
        <v>88.528978306276201</v>
      </c>
      <c r="AM4396">
        <v>98.871917443982696</v>
      </c>
      <c r="AN4396">
        <v>0.99999994394945901</v>
      </c>
    </row>
    <row r="4397" spans="1:40" x14ac:dyDescent="0.3">
      <c r="A4397" t="str">
        <f>"20200111154006477"</f>
        <v>20200111154006477</v>
      </c>
      <c r="B4397" t="str">
        <f>"1578728406465668"</f>
        <v>1578728406465668</v>
      </c>
      <c r="C4397" t="s">
        <v>40</v>
      </c>
      <c r="D4397">
        <v>5.1052879999999998</v>
      </c>
      <c r="E4397">
        <v>0.48128500000000002</v>
      </c>
      <c r="F4397" t="s">
        <v>42</v>
      </c>
      <c r="G4397">
        <v>-188.3845</v>
      </c>
      <c r="H4397" s="1">
        <v>-4.5656809999999999E-6</v>
      </c>
      <c r="I4397">
        <v>-20.392479999999999</v>
      </c>
      <c r="J4397">
        <v>-187.91030000000001</v>
      </c>
      <c r="K4397">
        <v>1.1078939999999999</v>
      </c>
      <c r="L4397">
        <v>-31.284759999999999</v>
      </c>
      <c r="M4397">
        <v>0.15892220000000001</v>
      </c>
      <c r="N4397">
        <v>0</v>
      </c>
      <c r="O4397">
        <v>0.98725070000000004</v>
      </c>
      <c r="P4397">
        <v>6.3500120000000004E-3</v>
      </c>
      <c r="Q4397">
        <v>1.8270930000000001E-2</v>
      </c>
      <c r="R4397">
        <v>0.9998129</v>
      </c>
      <c r="S4397">
        <v>-0.11680599999999999</v>
      </c>
      <c r="T4397">
        <v>-0.29836580000000001</v>
      </c>
      <c r="U4397">
        <v>3.0072329999999998</v>
      </c>
      <c r="V4397">
        <v>-0.15288389999999999</v>
      </c>
      <c r="W4397">
        <v>2.562273E-2</v>
      </c>
      <c r="X4397">
        <v>0.98791189999999995</v>
      </c>
      <c r="Y4397">
        <v>-0.19693939999999999</v>
      </c>
      <c r="Z4397">
        <v>-9.5846819999999999E-2</v>
      </c>
      <c r="AA4397">
        <v>0.97571940000000001</v>
      </c>
      <c r="AB4397">
        <v>29</v>
      </c>
      <c r="AC4397">
        <v>-0.47419999999999601</v>
      </c>
      <c r="AD4397">
        <v>-1.1078985656810001</v>
      </c>
      <c r="AE4397">
        <v>10.89228</v>
      </c>
      <c r="AF4397">
        <v>-2.1767891880350998</v>
      </c>
      <c r="AG4397">
        <v>-1.1078985656810001</v>
      </c>
      <c r="AH4397">
        <v>10.569335223144</v>
      </c>
      <c r="AI4397">
        <v>95.861857995330297</v>
      </c>
      <c r="AJ4397">
        <v>101.637532157929</v>
      </c>
      <c r="AK4397">
        <v>10.847889078533999</v>
      </c>
      <c r="AL4397">
        <v>88.531764977229201</v>
      </c>
      <c r="AM4397">
        <v>98.797001348898206</v>
      </c>
      <c r="AN4397">
        <v>0.99999996666673596</v>
      </c>
    </row>
    <row r="4398" spans="1:40" x14ac:dyDescent="0.3">
      <c r="A4398" t="str">
        <f>"20200111154006498"</f>
        <v>20200111154006498</v>
      </c>
      <c r="B4398" t="str">
        <f>"1578728406494949"</f>
        <v>1578728406494949</v>
      </c>
      <c r="C4398" t="s">
        <v>40</v>
      </c>
      <c r="D4398">
        <v>5.104609</v>
      </c>
      <c r="E4398">
        <v>0.4818848</v>
      </c>
      <c r="F4398" t="s">
        <v>42</v>
      </c>
      <c r="G4398">
        <v>-188.37889999999999</v>
      </c>
      <c r="H4398" s="1">
        <v>-5.2689309999999899E-7</v>
      </c>
      <c r="I4398">
        <v>-20.071110000000001</v>
      </c>
      <c r="J4398">
        <v>-187.8707</v>
      </c>
      <c r="K4398">
        <v>1.107774</v>
      </c>
      <c r="L4398">
        <v>-31.007290000000001</v>
      </c>
      <c r="M4398">
        <v>0.15410560000000001</v>
      </c>
      <c r="N4398">
        <v>0</v>
      </c>
      <c r="O4398">
        <v>0.9880158</v>
      </c>
      <c r="P4398">
        <v>2.9397210000000002E-3</v>
      </c>
      <c r="Q4398">
        <v>1.8877140000000001E-2</v>
      </c>
      <c r="R4398">
        <v>0.99981750000000003</v>
      </c>
      <c r="S4398">
        <v>-0.12565609999999999</v>
      </c>
      <c r="T4398">
        <v>-0.29706559999999999</v>
      </c>
      <c r="U4398">
        <v>3.0067750000000002</v>
      </c>
      <c r="V4398">
        <v>-0.1514305</v>
      </c>
      <c r="W4398">
        <v>2.6078899999999999E-2</v>
      </c>
      <c r="X4398">
        <v>0.9881238</v>
      </c>
      <c r="Y4398">
        <v>-0.19503210000000001</v>
      </c>
      <c r="Z4398">
        <v>-9.5573019999999995E-2</v>
      </c>
      <c r="AA4398">
        <v>0.97612920000000003</v>
      </c>
      <c r="AB4398">
        <v>29</v>
      </c>
      <c r="AC4398">
        <v>-0.50819999999998799</v>
      </c>
      <c r="AD4398">
        <v>-1.1077745268931001</v>
      </c>
      <c r="AE4398">
        <v>10.93618</v>
      </c>
      <c r="AF4398">
        <v>-2.1653497565996802</v>
      </c>
      <c r="AG4398">
        <v>-1.1077745268931001</v>
      </c>
      <c r="AH4398">
        <v>10.6184940848445</v>
      </c>
      <c r="AI4398">
        <v>95.836573769436995</v>
      </c>
      <c r="AJ4398">
        <v>101.52586677501</v>
      </c>
      <c r="AK4398">
        <v>10.893499006321001</v>
      </c>
      <c r="AL4398">
        <v>88.505619634990595</v>
      </c>
      <c r="AM4398">
        <v>98.712821830108098</v>
      </c>
      <c r="AN4398">
        <v>0.99999997474094904</v>
      </c>
    </row>
    <row r="4399" spans="1:40" x14ac:dyDescent="0.3">
      <c r="A4399" t="str">
        <f>"20200111154006523"</f>
        <v>20200111154006523</v>
      </c>
      <c r="B4399" t="str">
        <f>"1578728406515444"</f>
        <v>1578728406515444</v>
      </c>
      <c r="C4399" t="s">
        <v>40</v>
      </c>
      <c r="D4399">
        <v>5.1533419999999897</v>
      </c>
      <c r="E4399">
        <v>0.48220289999999999</v>
      </c>
      <c r="F4399" t="s">
        <v>42</v>
      </c>
      <c r="G4399">
        <v>-188.3674</v>
      </c>
      <c r="H4399" s="1">
        <v>-6.709657E-7</v>
      </c>
      <c r="I4399">
        <v>-19.65671</v>
      </c>
      <c r="J4399">
        <v>-187.82749999999999</v>
      </c>
      <c r="K4399">
        <v>1.107656</v>
      </c>
      <c r="L4399">
        <v>-30.69284</v>
      </c>
      <c r="M4399">
        <v>0.14881910000000001</v>
      </c>
      <c r="N4399">
        <v>0</v>
      </c>
      <c r="O4399">
        <v>0.98882789999999998</v>
      </c>
      <c r="P4399">
        <v>-7.4824639999999997E-4</v>
      </c>
      <c r="Q4399">
        <v>1.968468E-2</v>
      </c>
      <c r="R4399">
        <v>0.99980599999999997</v>
      </c>
      <c r="S4399">
        <v>-0.13156129999999999</v>
      </c>
      <c r="T4399">
        <v>-0.29342030000000002</v>
      </c>
      <c r="U4399">
        <v>3.0064700000000002</v>
      </c>
      <c r="V4399">
        <v>-0.14978669999999999</v>
      </c>
      <c r="W4399">
        <v>2.6713830000000001E-2</v>
      </c>
      <c r="X4399">
        <v>0.98835740000000005</v>
      </c>
      <c r="Y4399">
        <v>-0.1917082</v>
      </c>
      <c r="Z4399">
        <v>-9.4566579999999997E-2</v>
      </c>
      <c r="AA4399">
        <v>0.97688540000000001</v>
      </c>
      <c r="AB4399">
        <v>29</v>
      </c>
      <c r="AC4399">
        <v>-0.53990000000001703</v>
      </c>
      <c r="AD4399">
        <v>-1.1076566709657001</v>
      </c>
      <c r="AE4399">
        <v>11.03613</v>
      </c>
      <c r="AF4399">
        <v>-2.1546805799721902</v>
      </c>
      <c r="AG4399">
        <v>-1.1076566709657001</v>
      </c>
      <c r="AH4399">
        <v>10.725096815889399</v>
      </c>
      <c r="AI4399">
        <v>95.781717805381504</v>
      </c>
      <c r="AJ4399">
        <v>101.359551080587</v>
      </c>
      <c r="AK4399">
        <v>10.995328708712799</v>
      </c>
      <c r="AL4399">
        <v>88.469228208716402</v>
      </c>
      <c r="AM4399">
        <v>98.617664414456797</v>
      </c>
      <c r="AN4399">
        <v>1.0000000171724499</v>
      </c>
    </row>
    <row r="4400" spans="1:40" x14ac:dyDescent="0.3">
      <c r="A4400" t="str">
        <f>"20200111154006544"</f>
        <v>20200111154006544</v>
      </c>
      <c r="B4400" t="str">
        <f>"1578728406534964"</f>
        <v>1578728406534964</v>
      </c>
      <c r="C4400" t="s">
        <v>40</v>
      </c>
      <c r="D4400">
        <v>5.0856529999999998</v>
      </c>
      <c r="E4400">
        <v>0.48254049999999998</v>
      </c>
      <c r="F4400" t="s">
        <v>42</v>
      </c>
      <c r="G4400">
        <v>-188.36349999999999</v>
      </c>
      <c r="H4400" s="1">
        <v>-8.1669830000000003E-7</v>
      </c>
      <c r="I4400">
        <v>-19.231549999999999</v>
      </c>
      <c r="J4400">
        <v>-187.7911</v>
      </c>
      <c r="K4400">
        <v>1.107575</v>
      </c>
      <c r="L4400">
        <v>-30.420500000000001</v>
      </c>
      <c r="M4400">
        <v>0.1443555</v>
      </c>
      <c r="N4400">
        <v>0</v>
      </c>
      <c r="O4400">
        <v>0.98949100000000001</v>
      </c>
      <c r="P4400">
        <v>-3.744921E-3</v>
      </c>
      <c r="Q4400">
        <v>2.1416999999999999E-2</v>
      </c>
      <c r="R4400">
        <v>0.99976359999999997</v>
      </c>
      <c r="S4400">
        <v>-0.14059449999999901</v>
      </c>
      <c r="T4400">
        <v>-0.29052879999999998</v>
      </c>
      <c r="U4400">
        <v>3.006195</v>
      </c>
      <c r="V4400">
        <v>-0.14829319999999999</v>
      </c>
      <c r="W4400">
        <v>2.8288710000000002E-2</v>
      </c>
      <c r="X4400">
        <v>0.98853869999999999</v>
      </c>
      <c r="Y4400">
        <v>-0.19021660000000001</v>
      </c>
      <c r="Z4400">
        <v>-9.3754710000000005E-2</v>
      </c>
      <c r="AA4400">
        <v>0.97725519999999999</v>
      </c>
      <c r="AB4400">
        <v>29</v>
      </c>
      <c r="AC4400">
        <v>-0.57239999999998703</v>
      </c>
      <c r="AD4400">
        <v>-1.1075758166983001</v>
      </c>
      <c r="AE4400">
        <v>11.18895</v>
      </c>
      <c r="AF4400">
        <v>-2.1605313152658501</v>
      </c>
      <c r="AG4400">
        <v>-1.1075758166983001</v>
      </c>
      <c r="AH4400">
        <v>10.882757171929599</v>
      </c>
      <c r="AI4400">
        <v>95.700679346748103</v>
      </c>
      <c r="AJ4400">
        <v>101.22881045210499</v>
      </c>
      <c r="AK4400">
        <v>11.150292526080399</v>
      </c>
      <c r="AL4400">
        <v>88.378959960898896</v>
      </c>
      <c r="AM4400">
        <v>98.531468215167905</v>
      </c>
      <c r="AN4400">
        <v>0.99999994283869498</v>
      </c>
    </row>
    <row r="4401" spans="1:40" x14ac:dyDescent="0.3">
      <c r="A4401" t="str">
        <f>"20200111154006566"</f>
        <v>20200111154006566</v>
      </c>
      <c r="B4401" t="str">
        <f>"1578728406555460"</f>
        <v>1578728406555460</v>
      </c>
      <c r="C4401" t="s">
        <v>40</v>
      </c>
      <c r="D4401">
        <v>5.1200530000000004</v>
      </c>
      <c r="E4401">
        <v>0.48285539999999999</v>
      </c>
      <c r="F4401" t="s">
        <v>42</v>
      </c>
      <c r="G4401">
        <v>-188.36320000000001</v>
      </c>
      <c r="H4401" s="1">
        <v>-9.876361999999999E-7</v>
      </c>
      <c r="I4401">
        <v>-18.741790000000002</v>
      </c>
      <c r="J4401">
        <v>-187.7567</v>
      </c>
      <c r="K4401">
        <v>1.107505</v>
      </c>
      <c r="L4401">
        <v>-30.153410000000001</v>
      </c>
      <c r="M4401">
        <v>0.140067</v>
      </c>
      <c r="N4401">
        <v>0</v>
      </c>
      <c r="O4401">
        <v>0.99010880000000001</v>
      </c>
      <c r="P4401">
        <v>-6.4045919999999998E-3</v>
      </c>
      <c r="Q4401">
        <v>2.2922910000000001E-2</v>
      </c>
      <c r="R4401">
        <v>0.99971670000000001</v>
      </c>
      <c r="S4401">
        <v>-0.14726259999999999</v>
      </c>
      <c r="T4401">
        <v>-0.285105</v>
      </c>
      <c r="U4401">
        <v>3.006256</v>
      </c>
      <c r="V4401">
        <v>-0.146642299999999</v>
      </c>
      <c r="W4401">
        <v>2.9635680000000001E-2</v>
      </c>
      <c r="X4401">
        <v>0.9887456</v>
      </c>
      <c r="Y4401">
        <v>-0.18813260000000001</v>
      </c>
      <c r="Z4401">
        <v>-9.211954E-2</v>
      </c>
      <c r="AA4401">
        <v>0.97781399999999996</v>
      </c>
      <c r="AB4401">
        <v>29</v>
      </c>
      <c r="AC4401">
        <v>-0.60650000000001103</v>
      </c>
      <c r="AD4401">
        <v>-1.1075059876361999</v>
      </c>
      <c r="AE4401">
        <v>11.411619999999999</v>
      </c>
      <c r="AF4401">
        <v>-2.1785035255996998</v>
      </c>
      <c r="AG4401">
        <v>-1.1075059876361999</v>
      </c>
      <c r="AH4401">
        <v>11.109816822386801</v>
      </c>
      <c r="AI4401">
        <v>95.587136437625901</v>
      </c>
      <c r="AJ4401">
        <v>101.094259717963</v>
      </c>
      <c r="AK4401">
        <v>11.375433044534599</v>
      </c>
      <c r="AL4401">
        <v>88.301752047651902</v>
      </c>
      <c r="AM4401">
        <v>98.436124728362799</v>
      </c>
      <c r="AN4401">
        <v>1.0000000495988499</v>
      </c>
    </row>
    <row r="4402" spans="1:40" x14ac:dyDescent="0.3">
      <c r="A4402" t="str">
        <f>"20200111154006589"</f>
        <v>20200111154006589</v>
      </c>
      <c r="B4402" t="str">
        <f>"1578728406585716"</f>
        <v>1578728406585716</v>
      </c>
      <c r="C4402" t="s">
        <v>40</v>
      </c>
      <c r="D4402">
        <v>5.1264729999999998</v>
      </c>
      <c r="E4402">
        <v>0.49369600000000002</v>
      </c>
      <c r="F4402" t="s">
        <v>42</v>
      </c>
      <c r="G4402">
        <v>-188.36089999999999</v>
      </c>
      <c r="H4402" s="1">
        <v>-1.1862040000000001E-6</v>
      </c>
      <c r="I4402">
        <v>-18.279900000000001</v>
      </c>
      <c r="J4402">
        <v>-187.7191</v>
      </c>
      <c r="K4402">
        <v>1.107429</v>
      </c>
      <c r="L4402">
        <v>-29.85275</v>
      </c>
      <c r="M4402">
        <v>0.1353203</v>
      </c>
      <c r="N4402">
        <v>0</v>
      </c>
      <c r="O4402">
        <v>0.99077059999999995</v>
      </c>
      <c r="P4402">
        <v>-9.7793110000000006E-3</v>
      </c>
      <c r="Q4402">
        <v>2.4645770000000001E-2</v>
      </c>
      <c r="R4402">
        <v>0.99964839999999999</v>
      </c>
      <c r="S4402">
        <v>-0.1529846</v>
      </c>
      <c r="T4402">
        <v>-0.28041529999999998</v>
      </c>
      <c r="U4402">
        <v>3.0063170000000001</v>
      </c>
      <c r="V4402">
        <v>-0.1452445</v>
      </c>
      <c r="W4402">
        <v>3.1165149999999999E-2</v>
      </c>
      <c r="X4402">
        <v>0.98890480000000003</v>
      </c>
      <c r="Y4402">
        <v>-0.18528749999999999</v>
      </c>
      <c r="Z4402">
        <v>-9.0728199999999995E-2</v>
      </c>
      <c r="AA4402">
        <v>0.97848710000000005</v>
      </c>
      <c r="AB4402">
        <v>29</v>
      </c>
      <c r="AC4402">
        <v>-0.64179999999998905</v>
      </c>
      <c r="AD4402">
        <v>-1.1074301862039999</v>
      </c>
      <c r="AE4402">
        <v>11.572850000000001</v>
      </c>
      <c r="AF4402">
        <v>-2.1820665391390399</v>
      </c>
      <c r="AG4402">
        <v>-1.1074301862039999</v>
      </c>
      <c r="AH4402">
        <v>11.276600978819401</v>
      </c>
      <c r="AI4402">
        <v>95.507291975272395</v>
      </c>
      <c r="AJ4402">
        <v>100.951607064664</v>
      </c>
      <c r="AK4402">
        <v>11.539044398651701</v>
      </c>
      <c r="AL4402">
        <v>88.214079198432003</v>
      </c>
      <c r="AM4402">
        <v>98.3555258739284</v>
      </c>
      <c r="AN4402">
        <v>0.99999996740890496</v>
      </c>
    </row>
    <row r="4403" spans="1:40" x14ac:dyDescent="0.3">
      <c r="A4403" t="str">
        <f>"20200111154006613"</f>
        <v>20200111154006613</v>
      </c>
      <c r="B4403" t="str">
        <f>"1578728406605236"</f>
        <v>1578728406605236</v>
      </c>
      <c r="C4403" t="s">
        <v>40</v>
      </c>
      <c r="D4403">
        <v>5.183675</v>
      </c>
      <c r="E4403">
        <v>0.49236469999999999</v>
      </c>
      <c r="F4403" t="s">
        <v>42</v>
      </c>
      <c r="G4403">
        <v>-188.01150000000001</v>
      </c>
      <c r="H4403" s="1">
        <v>-1.2130939999999999E-6</v>
      </c>
      <c r="I4403">
        <v>-18.361660000000001</v>
      </c>
      <c r="J4403">
        <v>-187.68260000000001</v>
      </c>
      <c r="K4403">
        <v>1.107356</v>
      </c>
      <c r="L4403">
        <v>-29.549769999999999</v>
      </c>
      <c r="M4403">
        <v>0.1306031</v>
      </c>
      <c r="N4403">
        <v>0</v>
      </c>
      <c r="O4403">
        <v>0.99140530000000004</v>
      </c>
      <c r="P4403">
        <v>-1.296492E-2</v>
      </c>
      <c r="Q4403">
        <v>2.514392E-2</v>
      </c>
      <c r="R4403">
        <v>0.99959980000000004</v>
      </c>
      <c r="S4403">
        <v>-7.6538090000000003E-2</v>
      </c>
      <c r="T4403">
        <v>-0.28983629999999999</v>
      </c>
      <c r="U4403">
        <v>3.0074459999999998</v>
      </c>
      <c r="V4403">
        <v>-0.14368590000000001</v>
      </c>
      <c r="W4403">
        <v>3.1459689999999998E-2</v>
      </c>
      <c r="X4403">
        <v>0.98912319999999998</v>
      </c>
      <c r="Y4403">
        <v>-0.15567049999999999</v>
      </c>
      <c r="Z4403">
        <v>-9.4096920000000001E-2</v>
      </c>
      <c r="AA4403">
        <v>0.98331710000000006</v>
      </c>
      <c r="AB4403">
        <v>29</v>
      </c>
      <c r="AC4403">
        <v>-0.32890000000000402</v>
      </c>
      <c r="AD4403">
        <v>-1.1073572130939999</v>
      </c>
      <c r="AE4403">
        <v>11.18811</v>
      </c>
      <c r="AF4403">
        <v>-1.7700027050226801</v>
      </c>
      <c r="AG4403">
        <v>-1.1073572130939999</v>
      </c>
      <c r="AH4403">
        <v>10.942217943043101</v>
      </c>
      <c r="AI4403">
        <v>95.705025698583199</v>
      </c>
      <c r="AJ4403">
        <v>99.188519903224702</v>
      </c>
      <c r="AK4403">
        <v>11.1396267031815</v>
      </c>
      <c r="AL4403">
        <v>88.197195127823704</v>
      </c>
      <c r="AM4403">
        <v>98.265309490484597</v>
      </c>
      <c r="AN4403">
        <v>1.0000000273659699</v>
      </c>
    </row>
    <row r="4404" spans="1:40" x14ac:dyDescent="0.3">
      <c r="A4404" t="str">
        <f>"20200111154006657"</f>
        <v>20200111154006657</v>
      </c>
      <c r="B4404" t="str">
        <f>"1578728406645253"</f>
        <v>1578728406645253</v>
      </c>
      <c r="C4404" t="s">
        <v>40</v>
      </c>
      <c r="D4404">
        <v>5.1475429999999998</v>
      </c>
      <c r="E4404">
        <v>0.49335099999999998</v>
      </c>
      <c r="F4404" t="s">
        <v>42</v>
      </c>
      <c r="G4404">
        <v>-188.0549</v>
      </c>
      <c r="H4404" s="1">
        <v>-1.365173E-6</v>
      </c>
      <c r="I4404">
        <v>-17.989249999999998</v>
      </c>
      <c r="J4404">
        <v>-187.61660000000001</v>
      </c>
      <c r="K4404">
        <v>1.1072390000000001</v>
      </c>
      <c r="L4404">
        <v>-28.96979</v>
      </c>
      <c r="M4404">
        <v>0.1217155</v>
      </c>
      <c r="N4404">
        <v>0</v>
      </c>
      <c r="O4404">
        <v>0.99253919999999995</v>
      </c>
      <c r="P4404">
        <v>-1.9014509999999998E-2</v>
      </c>
      <c r="Q4404">
        <v>2.5040099999999999E-2</v>
      </c>
      <c r="R4404">
        <v>0.99950559999999999</v>
      </c>
      <c r="S4404">
        <v>-9.6832280000000007E-2</v>
      </c>
      <c r="T4404">
        <v>-0.28805350000000002</v>
      </c>
      <c r="U4404">
        <v>3.0072019999999999</v>
      </c>
      <c r="V4404">
        <v>-0.14080119999999999</v>
      </c>
      <c r="W4404">
        <v>3.0920650000000001E-2</v>
      </c>
      <c r="X4404">
        <v>0.98955490000000002</v>
      </c>
      <c r="Y4404">
        <v>-0.153453799999999</v>
      </c>
      <c r="Z4404">
        <v>-9.3699749999999998E-2</v>
      </c>
      <c r="AA4404">
        <v>0.98370340000000001</v>
      </c>
      <c r="AB4404">
        <v>29</v>
      </c>
      <c r="AC4404">
        <v>-0.43829999999999802</v>
      </c>
      <c r="AD4404">
        <v>-1.1072403651729901</v>
      </c>
      <c r="AE4404">
        <v>10.98054</v>
      </c>
      <c r="AF4404">
        <v>-1.7537732302870299</v>
      </c>
      <c r="AG4404">
        <v>-1.1072403651729901</v>
      </c>
      <c r="AH4404">
        <v>10.7365507236245</v>
      </c>
      <c r="AI4404">
        <v>95.8115084097373</v>
      </c>
      <c r="AJ4404">
        <v>99.277108298690095</v>
      </c>
      <c r="AK4404">
        <v>10.935045642817499</v>
      </c>
      <c r="AL4404">
        <v>88.228094798200203</v>
      </c>
      <c r="AM4404">
        <v>98.098109169067598</v>
      </c>
      <c r="AN4404">
        <v>0.99999998231593601</v>
      </c>
    </row>
    <row r="4405" spans="1:40" x14ac:dyDescent="0.3">
      <c r="A4405" t="str">
        <f>"20200111154006701"</f>
        <v>20200111154006701</v>
      </c>
      <c r="B4405" t="str">
        <f>"1578728406695028"</f>
        <v>1578728406695028</v>
      </c>
      <c r="C4405" t="s">
        <v>40</v>
      </c>
      <c r="D4405">
        <v>5.1415920000000002</v>
      </c>
      <c r="E4405">
        <v>0.49336639999999998</v>
      </c>
      <c r="F4405" t="s">
        <v>42</v>
      </c>
      <c r="G4405">
        <v>-188.03890000000001</v>
      </c>
      <c r="H4405" s="1">
        <v>-1.725092E-6</v>
      </c>
      <c r="I4405">
        <v>-17.156849999999999</v>
      </c>
      <c r="J4405">
        <v>-187.55420000000001</v>
      </c>
      <c r="K4405">
        <v>1.1071599999999999</v>
      </c>
      <c r="L4405">
        <v>-28.37518</v>
      </c>
      <c r="M4405">
        <v>0.1127597</v>
      </c>
      <c r="N4405">
        <v>0</v>
      </c>
      <c r="O4405">
        <v>0.99359980000000003</v>
      </c>
      <c r="P4405">
        <v>-2.4689349999999999E-2</v>
      </c>
      <c r="Q4405">
        <v>2.6620700000000001E-2</v>
      </c>
      <c r="R4405">
        <v>0.99934069999999997</v>
      </c>
      <c r="S4405">
        <v>-0.10748290000000001</v>
      </c>
      <c r="T4405">
        <v>-0.28180280000000002</v>
      </c>
      <c r="U4405">
        <v>3.0065</v>
      </c>
      <c r="V4405">
        <v>-0.13749810000000001</v>
      </c>
      <c r="W4405">
        <v>3.2065440000000001E-2</v>
      </c>
      <c r="X4405">
        <v>0.98998280000000005</v>
      </c>
      <c r="Y4405">
        <v>-0.1480349</v>
      </c>
      <c r="Z4405">
        <v>-9.1886419999999996E-2</v>
      </c>
      <c r="AA4405">
        <v>0.98470429999999998</v>
      </c>
      <c r="AB4405">
        <v>30</v>
      </c>
      <c r="AC4405">
        <v>-0.48470000000000302</v>
      </c>
      <c r="AD4405">
        <v>-1.1071617250920001</v>
      </c>
      <c r="AE4405">
        <v>11.21833</v>
      </c>
      <c r="AF4405">
        <v>-1.72979530016802</v>
      </c>
      <c r="AG4405">
        <v>-1.1071617250920001</v>
      </c>
      <c r="AH4405">
        <v>10.985324308072</v>
      </c>
      <c r="AI4405">
        <v>95.685563879379799</v>
      </c>
      <c r="AJ4405">
        <v>98.948557087921102</v>
      </c>
      <c r="AK4405">
        <v>11.1756587734017</v>
      </c>
      <c r="AL4405">
        <v>88.162470514248099</v>
      </c>
      <c r="AM4405">
        <v>97.907190462181404</v>
      </c>
      <c r="AN4405">
        <v>0.99999993212091898</v>
      </c>
    </row>
    <row r="4406" spans="1:40" x14ac:dyDescent="0.3">
      <c r="A4406" t="str">
        <f>"20200111154006723"</f>
        <v>20200111154006723</v>
      </c>
      <c r="B4406" t="str">
        <f>"1578728406715524"</f>
        <v>1578728406715524</v>
      </c>
      <c r="C4406" t="s">
        <v>40</v>
      </c>
      <c r="D4406">
        <v>5.2746000000000004</v>
      </c>
      <c r="E4406">
        <v>0.49388379999999998</v>
      </c>
      <c r="F4406" t="s">
        <v>42</v>
      </c>
      <c r="G4406">
        <v>-188.06110000000001</v>
      </c>
      <c r="H4406" s="1">
        <v>-2.144702E-6</v>
      </c>
      <c r="I4406">
        <v>-16.169550000000001</v>
      </c>
      <c r="J4406">
        <v>-187.52610000000001</v>
      </c>
      <c r="K4406">
        <v>1.1071219999999999</v>
      </c>
      <c r="L4406">
        <v>-28.09131</v>
      </c>
      <c r="M4406">
        <v>0.10853110000000001</v>
      </c>
      <c r="N4406">
        <v>0</v>
      </c>
      <c r="O4406">
        <v>0.99407219999999996</v>
      </c>
      <c r="P4406">
        <v>-2.7359950000000001E-2</v>
      </c>
      <c r="Q4406">
        <v>2.5577229999999999E-2</v>
      </c>
      <c r="R4406">
        <v>0.99929840000000003</v>
      </c>
      <c r="S4406">
        <v>-0.12486269999999999</v>
      </c>
      <c r="T4406">
        <v>-0.2726865</v>
      </c>
      <c r="U4406">
        <v>3.0061650000000002</v>
      </c>
      <c r="V4406">
        <v>-0.1359224</v>
      </c>
      <c r="W4406">
        <v>3.079815E-2</v>
      </c>
      <c r="X4406">
        <v>0.99024060000000003</v>
      </c>
      <c r="Y4406">
        <v>-0.149526399999999</v>
      </c>
      <c r="Z4406">
        <v>-8.8991979999999998E-2</v>
      </c>
      <c r="AA4406">
        <v>0.98474479999999998</v>
      </c>
      <c r="AB4406">
        <v>30</v>
      </c>
      <c r="AC4406">
        <v>-0.53499999999999603</v>
      </c>
      <c r="AD4406">
        <v>-1.1071241447019999</v>
      </c>
      <c r="AE4406">
        <v>11.9217599999999</v>
      </c>
      <c r="AF4406">
        <v>-1.81016857141048</v>
      </c>
      <c r="AG4406">
        <v>-1.1071241447019999</v>
      </c>
      <c r="AH4406">
        <v>11.692635186357499</v>
      </c>
      <c r="AI4406">
        <v>95.345654323436705</v>
      </c>
      <c r="AJ4406">
        <v>98.800253673564498</v>
      </c>
      <c r="AK4406">
        <v>11.8836085315004</v>
      </c>
      <c r="AL4406">
        <v>88.235116792818403</v>
      </c>
      <c r="AM4406">
        <v>97.815692416766296</v>
      </c>
      <c r="AN4406">
        <v>0.99999993537676901</v>
      </c>
    </row>
    <row r="4407" spans="1:40" x14ac:dyDescent="0.3">
      <c r="A4407" t="str">
        <f>"20200111154006745"</f>
        <v>20200111154006745</v>
      </c>
      <c r="B4407" t="str">
        <f>"1578728406735045"</f>
        <v>1578728406735045</v>
      </c>
      <c r="C4407" t="s">
        <v>40</v>
      </c>
      <c r="D4407">
        <v>5.1800879999999996</v>
      </c>
      <c r="E4407">
        <v>0.4941952</v>
      </c>
      <c r="F4407" t="s">
        <v>42</v>
      </c>
      <c r="G4407">
        <v>-188.04689999999999</v>
      </c>
      <c r="H4407" s="1">
        <v>-2.2404050000000001E-6</v>
      </c>
      <c r="I4407">
        <v>-15.952360000000001</v>
      </c>
      <c r="J4407">
        <v>-187.49760000000001</v>
      </c>
      <c r="K4407">
        <v>1.1070709999999999</v>
      </c>
      <c r="L4407">
        <v>-27.789459999999998</v>
      </c>
      <c r="M4407">
        <v>0.10408249999999999</v>
      </c>
      <c r="N4407">
        <v>0</v>
      </c>
      <c r="O4407">
        <v>0.99454949999999998</v>
      </c>
      <c r="P4407">
        <v>-3.0537789999999999E-2</v>
      </c>
      <c r="Q4407">
        <v>2.502296E-2</v>
      </c>
      <c r="R4407">
        <v>0.99922040000000001</v>
      </c>
      <c r="S4407">
        <v>-0.12893679999999999</v>
      </c>
      <c r="T4407">
        <v>-0.27412229999999999</v>
      </c>
      <c r="U4407">
        <v>3.005585</v>
      </c>
      <c r="V4407">
        <v>-0.13463510000000001</v>
      </c>
      <c r="W4407">
        <v>2.999458E-2</v>
      </c>
      <c r="X4407">
        <v>0.99044109999999996</v>
      </c>
      <c r="Y4407">
        <v>-0.14644019999999999</v>
      </c>
      <c r="Z4407">
        <v>-8.9556960000000005E-2</v>
      </c>
      <c r="AA4407">
        <v>0.98515730000000001</v>
      </c>
      <c r="AB4407">
        <v>30</v>
      </c>
      <c r="AC4407">
        <v>-0.54929999999998802</v>
      </c>
      <c r="AD4407">
        <v>-1.1070732404050001</v>
      </c>
      <c r="AE4407">
        <v>11.8370999999999</v>
      </c>
      <c r="AF4407">
        <v>-1.76298708564618</v>
      </c>
      <c r="AG4407">
        <v>-1.1070732404050001</v>
      </c>
      <c r="AH4407">
        <v>11.6142603742377</v>
      </c>
      <c r="AI4407">
        <v>95.383689134610904</v>
      </c>
      <c r="AJ4407">
        <v>98.631323922492996</v>
      </c>
      <c r="AK4407">
        <v>11.799355010523399</v>
      </c>
      <c r="AL4407">
        <v>88.2811792396014</v>
      </c>
      <c r="AM4407">
        <v>97.741024901041996</v>
      </c>
      <c r="AN4407">
        <v>0.99999992877529498</v>
      </c>
    </row>
    <row r="4408" spans="1:40" x14ac:dyDescent="0.3">
      <c r="A4408" t="str">
        <f>"20200111154006769"</f>
        <v>20200111154006769</v>
      </c>
      <c r="B4408" t="str">
        <f>"1578728406765300"</f>
        <v>1578728406765300</v>
      </c>
      <c r="C4408" t="s">
        <v>40</v>
      </c>
      <c r="D4408">
        <v>5.4001340000000004</v>
      </c>
      <c r="E4408">
        <v>0.49462289999999998</v>
      </c>
      <c r="F4408" t="s">
        <v>42</v>
      </c>
      <c r="G4408">
        <v>-188.0506</v>
      </c>
      <c r="H4408" s="1">
        <v>-2.4136559999999999E-6</v>
      </c>
      <c r="I4408">
        <v>-15.54697</v>
      </c>
      <c r="J4408">
        <v>-187.46969999999999</v>
      </c>
      <c r="K4408">
        <v>1.1070230000000001</v>
      </c>
      <c r="L4408">
        <v>-27.48169</v>
      </c>
      <c r="M4408">
        <v>9.9609660000000003E-2</v>
      </c>
      <c r="N4408">
        <v>0</v>
      </c>
      <c r="O4408">
        <v>0.99500909999999998</v>
      </c>
      <c r="P4408">
        <v>-3.4148810000000002E-2</v>
      </c>
      <c r="Q4408">
        <v>2.535422E-2</v>
      </c>
      <c r="R4408">
        <v>0.99909510000000001</v>
      </c>
      <c r="S4408">
        <v>-0.13574220000000001</v>
      </c>
      <c r="T4408">
        <v>-0.27173890000000001</v>
      </c>
      <c r="U4408">
        <v>3.0050050000000001</v>
      </c>
      <c r="V4408">
        <v>-0.13375970000000001</v>
      </c>
      <c r="W4408">
        <v>3.0065120000000001E-2</v>
      </c>
      <c r="X4408">
        <v>0.99055769999999999</v>
      </c>
      <c r="Y4408">
        <v>-0.14422989999999999</v>
      </c>
      <c r="Z4408">
        <v>-8.8873629999999995E-2</v>
      </c>
      <c r="AA4408">
        <v>0.98554520000000001</v>
      </c>
      <c r="AB4408">
        <v>30</v>
      </c>
      <c r="AC4408">
        <v>-0.58090000000001396</v>
      </c>
      <c r="AD4408">
        <v>-1.1070254136559901</v>
      </c>
      <c r="AE4408">
        <v>11.93472</v>
      </c>
      <c r="AF4408">
        <v>-1.7518083368558199</v>
      </c>
      <c r="AG4408">
        <v>-1.1070254136559901</v>
      </c>
      <c r="AH4408">
        <v>11.7169255035307</v>
      </c>
      <c r="AI4408">
        <v>95.338346462874199</v>
      </c>
      <c r="AJ4408">
        <v>98.503358172410003</v>
      </c>
      <c r="AK4408">
        <v>11.8987680442492</v>
      </c>
      <c r="AL4408">
        <v>88.277136002591305</v>
      </c>
      <c r="AM4408">
        <v>97.690402505766301</v>
      </c>
      <c r="AN4408">
        <v>1.0000000629069901</v>
      </c>
    </row>
    <row r="4409" spans="1:40" x14ac:dyDescent="0.3">
      <c r="A4409" t="str">
        <f>"20200111154006792"</f>
        <v>20200111154006792</v>
      </c>
      <c r="B4409" t="str">
        <f>"1578728406785796"</f>
        <v>1578728406785796</v>
      </c>
      <c r="C4409" t="s">
        <v>40</v>
      </c>
      <c r="D4409">
        <v>5.3456849999999996</v>
      </c>
      <c r="E4409">
        <v>0.49487829999999999</v>
      </c>
      <c r="F4409" t="s">
        <v>42</v>
      </c>
      <c r="G4409">
        <v>-188.05279999999999</v>
      </c>
      <c r="H4409" s="1">
        <v>-2.5487350000000002E-6</v>
      </c>
      <c r="I4409">
        <v>-15.23119</v>
      </c>
      <c r="J4409">
        <v>-187.4419</v>
      </c>
      <c r="K4409">
        <v>1.106973</v>
      </c>
      <c r="L4409">
        <v>-27.15897</v>
      </c>
      <c r="M4409">
        <v>9.4995640000000006E-2</v>
      </c>
      <c r="N4409">
        <v>0</v>
      </c>
      <c r="O4409">
        <v>0.99546179999999995</v>
      </c>
      <c r="P4409">
        <v>-3.7579010000000003E-2</v>
      </c>
      <c r="Q4409">
        <v>2.6580909999999999E-2</v>
      </c>
      <c r="R4409">
        <v>0.9989401</v>
      </c>
      <c r="S4409">
        <v>-0.14300539999999901</v>
      </c>
      <c r="T4409">
        <v>-0.27152480000000001</v>
      </c>
      <c r="U4409">
        <v>3.0047299999999999</v>
      </c>
      <c r="V4409">
        <v>-0.13257149999999901</v>
      </c>
      <c r="W4409">
        <v>3.1035989999999999E-2</v>
      </c>
      <c r="X4409">
        <v>0.9906874</v>
      </c>
      <c r="Y4409">
        <v>-0.14202339999999999</v>
      </c>
      <c r="Z4409">
        <v>-8.888248E-2</v>
      </c>
      <c r="AA4409">
        <v>0.98586479999999999</v>
      </c>
      <c r="AB4409">
        <v>30</v>
      </c>
      <c r="AC4409">
        <v>-0.61089999999998601</v>
      </c>
      <c r="AD4409">
        <v>-1.1069755487349999</v>
      </c>
      <c r="AE4409">
        <v>11.92778</v>
      </c>
      <c r="AF4409">
        <v>-1.7264114890484601</v>
      </c>
      <c r="AG4409">
        <v>-1.1069755487349999</v>
      </c>
      <c r="AH4409">
        <v>11.715164130824499</v>
      </c>
      <c r="AI4409">
        <v>95.340559531518693</v>
      </c>
      <c r="AJ4409">
        <v>98.383086920902002</v>
      </c>
      <c r="AK4409">
        <v>11.893315858379101</v>
      </c>
      <c r="AL4409">
        <v>88.221483125351696</v>
      </c>
      <c r="AM4409">
        <v>97.621908520505002</v>
      </c>
      <c r="AN4409">
        <v>0.99999997990314404</v>
      </c>
    </row>
    <row r="4410" spans="1:40" x14ac:dyDescent="0.3">
      <c r="A4410" t="str">
        <f>"20200111154006835"</f>
        <v>20200111154006835</v>
      </c>
      <c r="B4410" t="str">
        <f>"1578728406825812"</f>
        <v>1578728406825812</v>
      </c>
      <c r="C4410" t="s">
        <v>40</v>
      </c>
      <c r="D4410">
        <v>5.2413470000000002</v>
      </c>
      <c r="E4410">
        <v>0.4952723</v>
      </c>
      <c r="F4410" t="s">
        <v>42</v>
      </c>
      <c r="G4410">
        <v>-188.06909999999999</v>
      </c>
      <c r="H4410" s="1">
        <v>-2.779837E-6</v>
      </c>
      <c r="I4410">
        <v>-14.68573</v>
      </c>
      <c r="J4410">
        <v>-187.39529999999999</v>
      </c>
      <c r="K4410">
        <v>1.1069020000000001</v>
      </c>
      <c r="L4410">
        <v>-26.57809</v>
      </c>
      <c r="M4410">
        <v>8.6909730000000004E-2</v>
      </c>
      <c r="N4410">
        <v>0</v>
      </c>
      <c r="O4410">
        <v>0.9962027</v>
      </c>
      <c r="P4410">
        <v>-4.3849109999999997E-2</v>
      </c>
      <c r="Q4410">
        <v>2.9276610000000002E-2</v>
      </c>
      <c r="R4410">
        <v>0.99860910000000003</v>
      </c>
      <c r="S4410">
        <v>-0.15109249999999999</v>
      </c>
      <c r="T4410">
        <v>-0.26665329999999998</v>
      </c>
      <c r="U4410">
        <v>3.0046080000000002</v>
      </c>
      <c r="V4410">
        <v>-0.13075519999999999</v>
      </c>
      <c r="W4410">
        <v>3.3321709999999997E-2</v>
      </c>
      <c r="X4410">
        <v>0.99085460000000003</v>
      </c>
      <c r="Y4410">
        <v>-0.13664000000000001</v>
      </c>
      <c r="Z4410">
        <v>-8.7429460000000001E-2</v>
      </c>
      <c r="AA4410">
        <v>0.9867551</v>
      </c>
      <c r="AB4410">
        <v>30</v>
      </c>
      <c r="AC4410">
        <v>-0.67379999999999995</v>
      </c>
      <c r="AD4410">
        <v>-1.106904779837</v>
      </c>
      <c r="AE4410">
        <v>11.89236</v>
      </c>
      <c r="AF4410">
        <v>-1.6902299389343101</v>
      </c>
      <c r="AG4410">
        <v>-1.106904779837</v>
      </c>
      <c r="AH4410">
        <v>11.687868052099599</v>
      </c>
      <c r="AI4410">
        <v>95.354712781057998</v>
      </c>
      <c r="AJ4410">
        <v>98.228728114509494</v>
      </c>
      <c r="AK4410">
        <v>11.861213051007301</v>
      </c>
      <c r="AL4410">
        <v>88.090453259067203</v>
      </c>
      <c r="AM4410">
        <v>97.517432934749294</v>
      </c>
      <c r="AN4410">
        <v>1.00000004851276</v>
      </c>
    </row>
    <row r="4411" spans="1:40" x14ac:dyDescent="0.3">
      <c r="A4411" t="str">
        <f>"20200111154006858"</f>
        <v>20200111154006858</v>
      </c>
      <c r="B4411" t="str">
        <f>"1578728406845332"</f>
        <v>1578728406845332</v>
      </c>
      <c r="C4411" t="s">
        <v>40</v>
      </c>
      <c r="D4411">
        <v>5.2502610000000001</v>
      </c>
      <c r="E4411">
        <v>0.49552109999999999</v>
      </c>
      <c r="F4411" t="s">
        <v>42</v>
      </c>
      <c r="G4411">
        <v>-188.11359999999999</v>
      </c>
      <c r="H4411" s="1">
        <v>-3.2209969999999999E-6</v>
      </c>
      <c r="I4411">
        <v>-13.63899</v>
      </c>
      <c r="J4411">
        <v>-187.37200000000001</v>
      </c>
      <c r="K4411">
        <v>1.106884</v>
      </c>
      <c r="L4411">
        <v>-26.263819999999999</v>
      </c>
      <c r="M4411">
        <v>8.2640379999999999E-2</v>
      </c>
      <c r="N4411">
        <v>0</v>
      </c>
      <c r="O4411">
        <v>0.99656710000000004</v>
      </c>
      <c r="P4411">
        <v>-4.6704389999999998E-2</v>
      </c>
      <c r="Q4411">
        <v>3.1605910000000001E-2</v>
      </c>
      <c r="R4411">
        <v>0.99840859999999998</v>
      </c>
      <c r="S4411">
        <v>-0.1667786</v>
      </c>
      <c r="T4411">
        <v>-0.25701790000000002</v>
      </c>
      <c r="U4411">
        <v>3.0043950000000001</v>
      </c>
      <c r="V4411">
        <v>-0.1293532</v>
      </c>
      <c r="W4411">
        <v>3.5456199999999903E-2</v>
      </c>
      <c r="X4411">
        <v>0.99096450000000003</v>
      </c>
      <c r="Y4411">
        <v>-0.13755139999999999</v>
      </c>
      <c r="Z4411">
        <v>-8.432895E-2</v>
      </c>
      <c r="AA4411">
        <v>0.98689830000000001</v>
      </c>
      <c r="AB4411">
        <v>31</v>
      </c>
      <c r="AC4411">
        <v>-0.74159999999997595</v>
      </c>
      <c r="AD4411">
        <v>-1.106887220997</v>
      </c>
      <c r="AE4411">
        <v>12.624829999999999</v>
      </c>
      <c r="AF4411">
        <v>-1.76884648933661</v>
      </c>
      <c r="AG4411">
        <v>-1.106887220997</v>
      </c>
      <c r="AH4411">
        <v>12.425174395636599</v>
      </c>
      <c r="AI4411">
        <v>95.040161791696093</v>
      </c>
      <c r="AJ4411">
        <v>98.102179863974598</v>
      </c>
      <c r="AK4411">
        <v>12.599165686061401</v>
      </c>
      <c r="AL4411">
        <v>87.968083529316402</v>
      </c>
      <c r="AM4411">
        <v>97.436920222141794</v>
      </c>
      <c r="AN4411">
        <v>1.00000001636446</v>
      </c>
    </row>
    <row r="4412" spans="1:40" x14ac:dyDescent="0.3">
      <c r="A4412" t="str">
        <f>"20200111154006879"</f>
        <v>20200111154006879</v>
      </c>
      <c r="B4412" t="str">
        <f>"1578728406865828"</f>
        <v>1578728406865828</v>
      </c>
      <c r="C4412" t="s">
        <v>40</v>
      </c>
      <c r="D4412">
        <v>5.2567300000000001</v>
      </c>
      <c r="E4412">
        <v>0.49580639999999998</v>
      </c>
      <c r="F4412" t="s">
        <v>42</v>
      </c>
      <c r="G4412">
        <v>-188.14359999999999</v>
      </c>
      <c r="H4412" s="1">
        <v>-3.5353880000000002E-6</v>
      </c>
      <c r="I4412">
        <v>-12.89373</v>
      </c>
      <c r="J4412">
        <v>-187.35169999999999</v>
      </c>
      <c r="K4412">
        <v>1.1068739999999999</v>
      </c>
      <c r="L4412">
        <v>-25.975190000000001</v>
      </c>
      <c r="M4412">
        <v>7.876503E-2</v>
      </c>
      <c r="N4412">
        <v>0</v>
      </c>
      <c r="O4412">
        <v>0.99688169999999998</v>
      </c>
      <c r="P4412">
        <v>-4.7969249999999998E-2</v>
      </c>
      <c r="Q4412">
        <v>3.4880359999999999E-2</v>
      </c>
      <c r="R4412">
        <v>0.9982396</v>
      </c>
      <c r="S4412">
        <v>-0.1733856</v>
      </c>
      <c r="T4412">
        <v>-0.2487414</v>
      </c>
      <c r="U4412">
        <v>3.0045470000000001</v>
      </c>
      <c r="V4412">
        <v>-0.1267713</v>
      </c>
      <c r="W4412">
        <v>3.8575440000000003E-2</v>
      </c>
      <c r="X4412">
        <v>0.9911816</v>
      </c>
      <c r="Y4412">
        <v>-0.13587369999999999</v>
      </c>
      <c r="Z4412">
        <v>-8.1671350000000004E-2</v>
      </c>
      <c r="AA4412">
        <v>0.98735410000000001</v>
      </c>
      <c r="AB4412">
        <v>31</v>
      </c>
      <c r="AC4412">
        <v>-0.79189999999999805</v>
      </c>
      <c r="AD4412">
        <v>-1.1068775353879901</v>
      </c>
      <c r="AE4412">
        <v>13.0814599999999</v>
      </c>
      <c r="AF4412">
        <v>-1.8069235331548199</v>
      </c>
      <c r="AG4412">
        <v>-1.1068775353879901</v>
      </c>
      <c r="AH4412">
        <v>12.8865179510248</v>
      </c>
      <c r="AI4412">
        <v>94.8619949866941</v>
      </c>
      <c r="AJ4412">
        <v>97.981868070538695</v>
      </c>
      <c r="AK4412">
        <v>13.0595748565985</v>
      </c>
      <c r="AL4412">
        <v>87.789241562237805</v>
      </c>
      <c r="AM4412">
        <v>97.288512004514899</v>
      </c>
      <c r="AN4412">
        <v>0.99999999562672104</v>
      </c>
    </row>
    <row r="4413" spans="1:40" x14ac:dyDescent="0.3">
      <c r="A4413" t="str">
        <f>"20200111154006903"</f>
        <v>20200111154006903</v>
      </c>
      <c r="B4413" t="str">
        <f>"1578728406895109"</f>
        <v>1578728406895109</v>
      </c>
      <c r="C4413" t="s">
        <v>40</v>
      </c>
      <c r="D4413">
        <v>5.2989620000000004</v>
      </c>
      <c r="E4413">
        <v>0.49622179999999999</v>
      </c>
      <c r="F4413" t="s">
        <v>42</v>
      </c>
      <c r="G4413">
        <v>-188.16229999999999</v>
      </c>
      <c r="H4413" s="1">
        <v>-3.8720270000000001E-6</v>
      </c>
      <c r="I4413">
        <v>-12.10127</v>
      </c>
      <c r="J4413">
        <v>-187.32849999999999</v>
      </c>
      <c r="K4413">
        <v>1.106846</v>
      </c>
      <c r="L4413">
        <v>-25.623439999999999</v>
      </c>
      <c r="M4413">
        <v>7.4108129999999994E-2</v>
      </c>
      <c r="N4413">
        <v>0</v>
      </c>
      <c r="O4413">
        <v>0.99723980000000001</v>
      </c>
      <c r="P4413">
        <v>-4.801304E-2</v>
      </c>
      <c r="Q4413">
        <v>3.792972E-2</v>
      </c>
      <c r="R4413">
        <v>0.99812630000000002</v>
      </c>
      <c r="S4413">
        <v>-0.17558289999999999</v>
      </c>
      <c r="T4413">
        <v>-0.23976</v>
      </c>
      <c r="U4413">
        <v>3.0052189999999999</v>
      </c>
      <c r="V4413">
        <v>-0.1221979</v>
      </c>
      <c r="W4413">
        <v>4.143989E-2</v>
      </c>
      <c r="X4413">
        <v>0.99164030000000003</v>
      </c>
      <c r="Y4413">
        <v>-0.131966</v>
      </c>
      <c r="Z4413">
        <v>-7.8785830000000001E-2</v>
      </c>
      <c r="AA4413">
        <v>0.9881183</v>
      </c>
      <c r="AB4413">
        <v>31</v>
      </c>
      <c r="AC4413">
        <v>-0.83379999999999599</v>
      </c>
      <c r="AD4413">
        <v>-1.1068498720269999</v>
      </c>
      <c r="AE4413">
        <v>13.522169999999999</v>
      </c>
      <c r="AF4413">
        <v>-1.82146246715466</v>
      </c>
      <c r="AG4413">
        <v>-1.1068498720269999</v>
      </c>
      <c r="AH4413">
        <v>13.3341914174704</v>
      </c>
      <c r="AI4413">
        <v>94.701687121341607</v>
      </c>
      <c r="AJ4413">
        <v>97.778511286501995</v>
      </c>
      <c r="AK4413">
        <v>13.5034626269043</v>
      </c>
      <c r="AL4413">
        <v>87.624989204943702</v>
      </c>
      <c r="AM4413">
        <v>97.0250312887635</v>
      </c>
      <c r="AN4413">
        <v>1.00000003791585</v>
      </c>
    </row>
    <row r="4414" spans="1:40" x14ac:dyDescent="0.3">
      <c r="A4414" t="str">
        <f>"20200111154006925"</f>
        <v>20200111154006925</v>
      </c>
      <c r="B4414" t="str">
        <f>"1578728406915607"</f>
        <v>1578728406915607</v>
      </c>
      <c r="C4414" t="s">
        <v>40</v>
      </c>
      <c r="D4414">
        <v>5.2278890000000002</v>
      </c>
      <c r="E4414">
        <v>0.4965733</v>
      </c>
      <c r="F4414" t="s">
        <v>42</v>
      </c>
      <c r="G4414">
        <v>-188.1508</v>
      </c>
      <c r="H4414" s="1">
        <v>-4.1816120000000002E-6</v>
      </c>
      <c r="I4414">
        <v>-11.384370000000001</v>
      </c>
      <c r="J4414">
        <v>-187.30959999999999</v>
      </c>
      <c r="K4414">
        <v>1.1068070000000001</v>
      </c>
      <c r="L4414">
        <v>-25.319400000000002</v>
      </c>
      <c r="M4414">
        <v>7.0145680000000002E-2</v>
      </c>
      <c r="N4414">
        <v>0</v>
      </c>
      <c r="O4414">
        <v>0.99752719999999995</v>
      </c>
      <c r="P4414">
        <v>-4.847489E-2</v>
      </c>
      <c r="Q4414">
        <v>3.8748770000000002E-2</v>
      </c>
      <c r="R4414">
        <v>0.99807250000000003</v>
      </c>
      <c r="S4414">
        <v>-0.1736145</v>
      </c>
      <c r="T4414">
        <v>-0.2336791</v>
      </c>
      <c r="U4414">
        <v>3.0061650000000002</v>
      </c>
      <c r="V4414">
        <v>-0.1187179</v>
      </c>
      <c r="W4414">
        <v>4.2097339999999997E-2</v>
      </c>
      <c r="X4414">
        <v>0.99203520000000001</v>
      </c>
      <c r="Y4414">
        <v>-0.12737269999999901</v>
      </c>
      <c r="Z4414">
        <v>-7.6833760000000001E-2</v>
      </c>
      <c r="AA4414">
        <v>0.98887449999999999</v>
      </c>
      <c r="AB4414">
        <v>31</v>
      </c>
      <c r="AC4414">
        <v>-0.84120000000001405</v>
      </c>
      <c r="AD4414">
        <v>-1.1068111816120001</v>
      </c>
      <c r="AE4414">
        <v>13.935029999999999</v>
      </c>
      <c r="AF4414">
        <v>-1.8052720128272699</v>
      </c>
      <c r="AG4414">
        <v>-1.1068111816120001</v>
      </c>
      <c r="AH4414">
        <v>13.755236015607</v>
      </c>
      <c r="AI4414">
        <v>94.561427837576801</v>
      </c>
      <c r="AJ4414">
        <v>97.476909707996199</v>
      </c>
      <c r="AK4414">
        <v>13.917275447338501</v>
      </c>
      <c r="AL4414">
        <v>87.587287058140504</v>
      </c>
      <c r="AM4414">
        <v>96.824193134525203</v>
      </c>
      <c r="AN4414">
        <v>0.99999998192726203</v>
      </c>
    </row>
    <row r="4415" spans="1:40" x14ac:dyDescent="0.3">
      <c r="A4415" t="str">
        <f>"20200111154006969"</f>
        <v>20200111154006969</v>
      </c>
      <c r="B4415" t="str">
        <f>"1578728406955620"</f>
        <v>1578728406955620</v>
      </c>
      <c r="C4415" t="s">
        <v>40</v>
      </c>
      <c r="D4415">
        <v>5.2206789999999996</v>
      </c>
      <c r="E4415">
        <v>0.49687920000000002</v>
      </c>
      <c r="F4415" t="s">
        <v>42</v>
      </c>
      <c r="G4415">
        <v>-188.12719999999999</v>
      </c>
      <c r="H4415" s="1">
        <v>-4.3007899999999997E-6</v>
      </c>
      <c r="I4415">
        <v>-11.11633</v>
      </c>
      <c r="J4415">
        <v>-187.27500000000001</v>
      </c>
      <c r="K4415">
        <v>1.1067009999999999</v>
      </c>
      <c r="L4415">
        <v>-24.708159999999999</v>
      </c>
      <c r="M4415">
        <v>6.2364330000000003E-2</v>
      </c>
      <c r="N4415">
        <v>0</v>
      </c>
      <c r="O4415">
        <v>0.99804539999999997</v>
      </c>
      <c r="P4415">
        <v>-5.1391800000000001E-2</v>
      </c>
      <c r="Q4415">
        <v>3.4518729999999997E-2</v>
      </c>
      <c r="R4415">
        <v>0.99808180000000002</v>
      </c>
      <c r="S4415">
        <v>-0.1730804</v>
      </c>
      <c r="T4415">
        <v>-0.234287</v>
      </c>
      <c r="U4415">
        <v>3.0064700000000002</v>
      </c>
      <c r="V4415">
        <v>-0.1138478</v>
      </c>
      <c r="W4415">
        <v>3.7571470000000003E-2</v>
      </c>
      <c r="X4415">
        <v>0.99278750000000004</v>
      </c>
      <c r="Y4415">
        <v>-0.1194519</v>
      </c>
      <c r="Z4415">
        <v>-7.7123490000000003E-2</v>
      </c>
      <c r="AA4415">
        <v>0.98984000000000005</v>
      </c>
      <c r="AB4415">
        <v>32</v>
      </c>
      <c r="AC4415">
        <v>-0.85219999999998197</v>
      </c>
      <c r="AD4415">
        <v>-1.1067053007899901</v>
      </c>
      <c r="AE4415">
        <v>13.5918299999999</v>
      </c>
      <c r="AF4415">
        <v>-1.6870520889429701</v>
      </c>
      <c r="AG4415">
        <v>-1.1067053007899901</v>
      </c>
      <c r="AH4415">
        <v>13.4235763932703</v>
      </c>
      <c r="AI4415">
        <v>94.676462431005106</v>
      </c>
      <c r="AJ4415">
        <v>97.163278249597894</v>
      </c>
      <c r="AK4415">
        <v>13.5743635047677</v>
      </c>
      <c r="AL4415">
        <v>87.846806509753804</v>
      </c>
      <c r="AM4415">
        <v>96.541811574890701</v>
      </c>
      <c r="AN4415">
        <v>0.99999997853952505</v>
      </c>
    </row>
    <row r="4416" spans="1:40" x14ac:dyDescent="0.3">
      <c r="A4416" t="str">
        <f>"20200111154006991"</f>
        <v>20200111154006991</v>
      </c>
      <c r="B4416" t="str">
        <f>"1578728406984900"</f>
        <v>1578728406984900</v>
      </c>
      <c r="C4416" t="s">
        <v>40</v>
      </c>
      <c r="D4416">
        <v>5.2629999999999999</v>
      </c>
      <c r="E4416">
        <v>0.49718610000000002</v>
      </c>
      <c r="F4416" t="s">
        <v>42</v>
      </c>
      <c r="G4416">
        <v>-188.07589999999999</v>
      </c>
      <c r="H4416" s="1">
        <v>-4.2199E-6</v>
      </c>
      <c r="I4416">
        <v>-11.32612</v>
      </c>
      <c r="J4416">
        <v>-187.2585</v>
      </c>
      <c r="K4416">
        <v>1.106663</v>
      </c>
      <c r="L4416">
        <v>-24.386289999999999</v>
      </c>
      <c r="M4416">
        <v>5.835489E-2</v>
      </c>
      <c r="N4416">
        <v>0</v>
      </c>
      <c r="O4416">
        <v>0.99828850000000002</v>
      </c>
      <c r="P4416">
        <v>-5.2898929999999997E-2</v>
      </c>
      <c r="Q4416">
        <v>3.3850829999999998E-2</v>
      </c>
      <c r="R4416">
        <v>0.99802599999999997</v>
      </c>
      <c r="S4416">
        <v>-0.1798553</v>
      </c>
      <c r="T4416">
        <v>-0.24852389999999999</v>
      </c>
      <c r="U4416">
        <v>3.005096</v>
      </c>
      <c r="V4416">
        <v>-0.1113516</v>
      </c>
      <c r="W4416">
        <v>3.6772850000000003E-2</v>
      </c>
      <c r="X4416">
        <v>0.99310050000000005</v>
      </c>
      <c r="Y4416">
        <v>-0.117691</v>
      </c>
      <c r="Z4416">
        <v>-8.1849489999999997E-2</v>
      </c>
      <c r="AA4416">
        <v>0.98967139999999998</v>
      </c>
      <c r="AB4416">
        <v>32</v>
      </c>
      <c r="AC4416">
        <v>-0.81739999999999202</v>
      </c>
      <c r="AD4416">
        <v>-1.1066672199000001</v>
      </c>
      <c r="AE4416">
        <v>13.060169999999999</v>
      </c>
      <c r="AF4416">
        <v>-1.5669304922451599</v>
      </c>
      <c r="AG4416">
        <v>-1.1066672199000001</v>
      </c>
      <c r="AH4416">
        <v>12.8979656176269</v>
      </c>
      <c r="AI4416">
        <v>94.868442513565199</v>
      </c>
      <c r="AJ4416">
        <v>96.926727572419296</v>
      </c>
      <c r="AK4416">
        <v>13.039842812573101</v>
      </c>
      <c r="AL4416">
        <v>87.892595784381498</v>
      </c>
      <c r="AM4416">
        <v>96.397580224755103</v>
      </c>
      <c r="AN4416">
        <v>1.0000000122099599</v>
      </c>
    </row>
    <row r="4417" spans="1:40" x14ac:dyDescent="0.3">
      <c r="A4417" t="str">
        <f>"20200111154007036"</f>
        <v>20200111154007036</v>
      </c>
      <c r="B4417" t="str">
        <f>"1578728407024917"</f>
        <v>1578728407024917</v>
      </c>
      <c r="C4417" t="s">
        <v>40</v>
      </c>
      <c r="D4417">
        <v>5.267614</v>
      </c>
      <c r="E4417">
        <v>0.49747649999999999</v>
      </c>
      <c r="F4417" t="s">
        <v>42</v>
      </c>
      <c r="G4417">
        <v>-188.05529999999999</v>
      </c>
      <c r="H4417" s="1">
        <v>-4.2611700000000004E-6</v>
      </c>
      <c r="I4417">
        <v>-11.238429999999999</v>
      </c>
      <c r="J4417">
        <v>-187.22980000000001</v>
      </c>
      <c r="K4417">
        <v>1.106643</v>
      </c>
      <c r="L4417">
        <v>-23.755769999999998</v>
      </c>
      <c r="M4417">
        <v>5.0629140000000003E-2</v>
      </c>
      <c r="N4417">
        <v>0</v>
      </c>
      <c r="O4417">
        <v>0.99871100000000002</v>
      </c>
      <c r="P4417">
        <v>-5.6284380000000002E-2</v>
      </c>
      <c r="Q4417">
        <v>3.4121730000000003E-2</v>
      </c>
      <c r="R4417">
        <v>0.99783149999999998</v>
      </c>
      <c r="S4417">
        <v>-0.18209839999999999</v>
      </c>
      <c r="T4417">
        <v>-0.25292110000000001</v>
      </c>
      <c r="U4417">
        <v>3.0048520000000001</v>
      </c>
      <c r="V4417">
        <v>-0.1070354</v>
      </c>
      <c r="W4417">
        <v>3.6823349999999998E-2</v>
      </c>
      <c r="X4417">
        <v>0.99357309999999999</v>
      </c>
      <c r="Y4417">
        <v>-0.11073819999999999</v>
      </c>
      <c r="Z4417">
        <v>-8.3378960000000002E-2</v>
      </c>
      <c r="AA4417">
        <v>0.9903459</v>
      </c>
      <c r="AB4417">
        <v>32</v>
      </c>
      <c r="AC4417">
        <v>-0.82549999999997603</v>
      </c>
      <c r="AD4417">
        <v>-1.10664726117</v>
      </c>
      <c r="AE4417">
        <v>12.5173399999999</v>
      </c>
      <c r="AF4417">
        <v>-1.44692712595781</v>
      </c>
      <c r="AG4417">
        <v>-1.10664726117</v>
      </c>
      <c r="AH4417">
        <v>12.3632768706865</v>
      </c>
      <c r="AI4417">
        <v>95.0804695723793</v>
      </c>
      <c r="AJ4417">
        <v>96.675203650949001</v>
      </c>
      <c r="AK4417">
        <v>12.4967548287441</v>
      </c>
      <c r="AL4417">
        <v>87.889700404062197</v>
      </c>
      <c r="AM4417">
        <v>96.148633377660005</v>
      </c>
      <c r="AN4417">
        <v>1.00000002050099</v>
      </c>
    </row>
    <row r="4418" spans="1:40" x14ac:dyDescent="0.3">
      <c r="A4418" t="str">
        <f>"20200111154007059"</f>
        <v>20200111154007059</v>
      </c>
      <c r="B4418" t="str">
        <f>"1578728407045412"</f>
        <v>1578728407045412</v>
      </c>
      <c r="C4418" t="s">
        <v>40</v>
      </c>
      <c r="D4418">
        <v>5.2809540000000004</v>
      </c>
      <c r="E4418">
        <v>0.49761050000000001</v>
      </c>
      <c r="F4418" t="s">
        <v>42</v>
      </c>
      <c r="G4418">
        <v>-188.05680000000001</v>
      </c>
      <c r="H4418" s="1">
        <v>-4.4980260000000003E-6</v>
      </c>
      <c r="I4418">
        <v>-10.68567</v>
      </c>
      <c r="J4418">
        <v>-187.21629999999999</v>
      </c>
      <c r="K4418">
        <v>1.106654</v>
      </c>
      <c r="L4418">
        <v>-23.414370000000002</v>
      </c>
      <c r="M4418">
        <v>4.6494649999999998E-2</v>
      </c>
      <c r="N4418">
        <v>0</v>
      </c>
      <c r="O4418">
        <v>0.99891249999999998</v>
      </c>
      <c r="P4418">
        <v>-5.9244199999999997E-2</v>
      </c>
      <c r="Q4418">
        <v>3.6157120000000001E-2</v>
      </c>
      <c r="R4418">
        <v>0.99758849999999999</v>
      </c>
      <c r="S4418">
        <v>-0.19010930000000001</v>
      </c>
      <c r="T4418">
        <v>-0.25439050000000002</v>
      </c>
      <c r="U4418">
        <v>3.004486</v>
      </c>
      <c r="V4418">
        <v>-0.10588350000000001</v>
      </c>
      <c r="W4418">
        <v>3.8748400000000002E-2</v>
      </c>
      <c r="X4418">
        <v>0.99362329999999999</v>
      </c>
      <c r="Y4418">
        <v>-0.1092593</v>
      </c>
      <c r="Z4418">
        <v>-8.3895529999999996E-2</v>
      </c>
      <c r="AA4418">
        <v>0.99046650000000003</v>
      </c>
      <c r="AB4418">
        <v>32</v>
      </c>
      <c r="AC4418">
        <v>-0.84050000000002001</v>
      </c>
      <c r="AD4418">
        <v>-1.1066584980259999</v>
      </c>
      <c r="AE4418">
        <v>12.7287</v>
      </c>
      <c r="AF4418">
        <v>-1.42071858083312</v>
      </c>
      <c r="AG4418">
        <v>-1.1066584980259999</v>
      </c>
      <c r="AH4418">
        <v>12.581168195641901</v>
      </c>
      <c r="AI4418">
        <v>94.995298301631607</v>
      </c>
      <c r="AJ4418">
        <v>96.442787725484294</v>
      </c>
      <c r="AK4418">
        <v>12.709403112822001</v>
      </c>
      <c r="AL4418">
        <v>87.779324297388797</v>
      </c>
      <c r="AM4418">
        <v>96.082656403831294</v>
      </c>
      <c r="AN4418">
        <v>1.0000000081888401</v>
      </c>
    </row>
    <row r="4419" spans="1:40" x14ac:dyDescent="0.3">
      <c r="A4419" t="str">
        <f>"20200111154007082"</f>
        <v>20200111154007082</v>
      </c>
      <c r="B4419" t="str">
        <f>"1578728407075668"</f>
        <v>1578728407075668</v>
      </c>
      <c r="C4419" t="s">
        <v>40</v>
      </c>
      <c r="D4419">
        <v>5.2996879999999997</v>
      </c>
      <c r="E4419">
        <v>0.49783169999999999</v>
      </c>
      <c r="F4419" t="s">
        <v>42</v>
      </c>
      <c r="G4419">
        <v>-188.09440000000001</v>
      </c>
      <c r="H4419" s="1">
        <v>-6.0019249999999999E-7</v>
      </c>
      <c r="I4419">
        <v>-10.078189999999999</v>
      </c>
      <c r="J4419">
        <v>-187.20400000000001</v>
      </c>
      <c r="K4419">
        <v>1.1066689999999999</v>
      </c>
      <c r="L4419">
        <v>-23.06729</v>
      </c>
      <c r="M4419">
        <v>4.2309949999999999E-2</v>
      </c>
      <c r="N4419">
        <v>0</v>
      </c>
      <c r="O4419">
        <v>0.99909879999999995</v>
      </c>
      <c r="P4419">
        <v>-6.2270329999999999E-2</v>
      </c>
      <c r="Q4419">
        <v>3.8406339999999997E-2</v>
      </c>
      <c r="R4419">
        <v>0.99732010000000004</v>
      </c>
      <c r="S4419">
        <v>-0.19781489999999999</v>
      </c>
      <c r="T4419">
        <v>-0.2493215</v>
      </c>
      <c r="U4419">
        <v>3.0045470000000001</v>
      </c>
      <c r="V4419">
        <v>-0.1047511</v>
      </c>
      <c r="W4419">
        <v>4.089914E-2</v>
      </c>
      <c r="X4419">
        <v>0.99365709999999996</v>
      </c>
      <c r="Y4419">
        <v>-0.10763300000000001</v>
      </c>
      <c r="Z4419">
        <v>-8.2257319999999995E-2</v>
      </c>
      <c r="AA4419">
        <v>0.99078200000000005</v>
      </c>
      <c r="AB4419">
        <v>33</v>
      </c>
      <c r="AC4419">
        <v>-0.89039999999999897</v>
      </c>
      <c r="AD4419">
        <v>-1.1066696001925</v>
      </c>
      <c r="AE4419">
        <v>12.989100000000001</v>
      </c>
      <c r="AF4419">
        <v>-1.4288504474041901</v>
      </c>
      <c r="AG4419">
        <v>-1.1066696001925</v>
      </c>
      <c r="AH4419">
        <v>12.8469753140437</v>
      </c>
      <c r="AI4419">
        <v>94.893418146147297</v>
      </c>
      <c r="AJ4419">
        <v>96.346397868192497</v>
      </c>
      <c r="AK4419">
        <v>12.9734770175418</v>
      </c>
      <c r="AL4419">
        <v>87.655998057088695</v>
      </c>
      <c r="AM4419">
        <v>96.017880521086795</v>
      </c>
      <c r="AN4419">
        <v>0.99999998249217903</v>
      </c>
    </row>
    <row r="4420" spans="1:40" x14ac:dyDescent="0.3">
      <c r="A4420" t="str">
        <f>"20200111154007127"</f>
        <v>20200111154007127</v>
      </c>
      <c r="B4420" t="str">
        <f>"1578728407115685"</f>
        <v>1578728407115685</v>
      </c>
      <c r="C4420" t="s">
        <v>40</v>
      </c>
      <c r="D4420">
        <v>5.2639379999999996</v>
      </c>
      <c r="E4420">
        <v>0.50945439999999997</v>
      </c>
      <c r="F4420" t="s">
        <v>42</v>
      </c>
      <c r="G4420">
        <v>-188.1337</v>
      </c>
      <c r="H4420" s="1">
        <v>-8.0491749999999997E-7</v>
      </c>
      <c r="I4420">
        <v>-9.4458859999999998</v>
      </c>
      <c r="J4420">
        <v>-187.1849</v>
      </c>
      <c r="K4420">
        <v>1.1067009999999999</v>
      </c>
      <c r="L4420">
        <v>-22.426390000000001</v>
      </c>
      <c r="M4420">
        <v>3.460829E-2</v>
      </c>
      <c r="N4420">
        <v>0</v>
      </c>
      <c r="O4420">
        <v>0.99939579999999995</v>
      </c>
      <c r="P4420">
        <v>-6.7900539999999995E-2</v>
      </c>
      <c r="Q4420">
        <v>4.0090460000000001E-2</v>
      </c>
      <c r="R4420">
        <v>0.9968863</v>
      </c>
      <c r="S4420">
        <v>-0.20506289999999999</v>
      </c>
      <c r="T4420">
        <v>-0.2441141</v>
      </c>
      <c r="U4420">
        <v>3.0046689999999998</v>
      </c>
      <c r="V4420">
        <v>-0.1027178</v>
      </c>
      <c r="W4420">
        <v>4.2435609999999999E-2</v>
      </c>
      <c r="X4420">
        <v>0.99380489999999999</v>
      </c>
      <c r="Y4420">
        <v>-0.1023551</v>
      </c>
      <c r="Z4420">
        <v>-8.0599459999999998E-2</v>
      </c>
      <c r="AA4420">
        <v>0.99147730000000001</v>
      </c>
      <c r="AB4420">
        <v>33</v>
      </c>
      <c r="AC4420">
        <v>-0.94880000000000497</v>
      </c>
      <c r="AD4420">
        <v>-1.1067018049174999</v>
      </c>
      <c r="AE4420">
        <v>12.9805039999999</v>
      </c>
      <c r="AF4420">
        <v>-1.3874352299714601</v>
      </c>
      <c r="AG4420">
        <v>-1.1067018049174999</v>
      </c>
      <c r="AH4420">
        <v>12.8470021662432</v>
      </c>
      <c r="AI4420">
        <v>94.895250393497406</v>
      </c>
      <c r="AJ4420">
        <v>96.163871679333695</v>
      </c>
      <c r="AK4420">
        <v>12.9690103732641</v>
      </c>
      <c r="AL4420">
        <v>87.567888209544293</v>
      </c>
      <c r="AM4420">
        <v>95.901029861709105</v>
      </c>
      <c r="AN4420">
        <v>0.99999995334845904</v>
      </c>
    </row>
    <row r="4421" spans="1:40" x14ac:dyDescent="0.3">
      <c r="A4421" t="str">
        <f>"20200111154007148"</f>
        <v>20200111154007148</v>
      </c>
      <c r="B4421" t="str">
        <f>"1578728407144964"</f>
        <v>1578728407144964</v>
      </c>
      <c r="C4421" t="s">
        <v>40</v>
      </c>
      <c r="D4421">
        <v>5.3023759999999998</v>
      </c>
      <c r="E4421">
        <v>0.50930180000000003</v>
      </c>
      <c r="F4421" t="s">
        <v>42</v>
      </c>
      <c r="G4421">
        <v>-187.92230000000001</v>
      </c>
      <c r="H4421" s="1">
        <v>-2.50622E-6</v>
      </c>
      <c r="I4421">
        <v>-5.384271</v>
      </c>
      <c r="J4421">
        <v>-187.17689999999999</v>
      </c>
      <c r="K4421">
        <v>1.1067089999999999</v>
      </c>
      <c r="L4421">
        <v>-22.095179999999999</v>
      </c>
      <c r="M4421">
        <v>3.0635180000000001E-2</v>
      </c>
      <c r="N4421">
        <v>0</v>
      </c>
      <c r="O4421">
        <v>0.99952569999999996</v>
      </c>
      <c r="P4421">
        <v>-7.0419800000000005E-2</v>
      </c>
      <c r="Q4421">
        <v>3.961572E-2</v>
      </c>
      <c r="R4421">
        <v>0.99673049999999996</v>
      </c>
      <c r="S4421">
        <v>-0.13015750000000001</v>
      </c>
      <c r="T4421">
        <v>-0.1953609</v>
      </c>
      <c r="U4421">
        <v>3.008362</v>
      </c>
      <c r="V4421">
        <v>-0.1012774</v>
      </c>
      <c r="W4421">
        <v>4.1903450000000002E-2</v>
      </c>
      <c r="X4421">
        <v>0.99397530000000001</v>
      </c>
      <c r="Y4421">
        <v>-7.3720690000000005E-2</v>
      </c>
      <c r="Z4421">
        <v>-6.4638879999999996E-2</v>
      </c>
      <c r="AA4421">
        <v>0.99518189999999995</v>
      </c>
      <c r="AB4421">
        <v>33</v>
      </c>
      <c r="AC4421">
        <v>-0.74540000000001705</v>
      </c>
      <c r="AD4421">
        <v>-1.1067115062199999</v>
      </c>
      <c r="AE4421">
        <v>16.710909000000001</v>
      </c>
      <c r="AF4421">
        <v>-1.25151610870444</v>
      </c>
      <c r="AG4421">
        <v>-1.1067115062199999</v>
      </c>
      <c r="AH4421">
        <v>16.607533777589001</v>
      </c>
      <c r="AI4421">
        <v>93.801755920283199</v>
      </c>
      <c r="AJ4421">
        <v>94.309569074806703</v>
      </c>
      <c r="AK4421">
        <v>16.6913534832292</v>
      </c>
      <c r="AL4421">
        <v>87.598405881173207</v>
      </c>
      <c r="AM4421">
        <v>95.817861502298896</v>
      </c>
      <c r="AN4421">
        <v>0.99999995394137497</v>
      </c>
    </row>
    <row r="4422" spans="1:40" x14ac:dyDescent="0.3">
      <c r="A4422" t="str">
        <f>"20200111154007170"</f>
        <v>20200111154007170</v>
      </c>
      <c r="B4422" t="str">
        <f>"1578728407165460"</f>
        <v>1578728407165460</v>
      </c>
      <c r="C4422" t="s">
        <v>40</v>
      </c>
      <c r="D4422">
        <v>5.257161</v>
      </c>
      <c r="E4422">
        <v>0.50920299999999996</v>
      </c>
      <c r="F4422" t="s">
        <v>42</v>
      </c>
      <c r="G4422">
        <v>-188.0204</v>
      </c>
      <c r="H4422" s="1">
        <v>-3.0975910000000002E-6</v>
      </c>
      <c r="I4422">
        <v>-3.9651900000000002</v>
      </c>
      <c r="J4422">
        <v>-187.1703</v>
      </c>
      <c r="K4422">
        <v>1.1067290000000001</v>
      </c>
      <c r="L4422">
        <v>-21.766169999999999</v>
      </c>
      <c r="M4422">
        <v>2.66933E-2</v>
      </c>
      <c r="N4422">
        <v>0</v>
      </c>
      <c r="O4422">
        <v>0.9996389</v>
      </c>
      <c r="P4422">
        <v>-7.2080870000000005E-2</v>
      </c>
      <c r="Q4422">
        <v>4.003048E-2</v>
      </c>
      <c r="R4422">
        <v>0.99659509999999996</v>
      </c>
      <c r="S4422">
        <v>-0.1399078</v>
      </c>
      <c r="T4422">
        <v>-0.18357290000000001</v>
      </c>
      <c r="U4422">
        <v>3.007263</v>
      </c>
      <c r="V4422">
        <v>-9.9019529999999994E-2</v>
      </c>
      <c r="W4422">
        <v>4.22779E-2</v>
      </c>
      <c r="X4422">
        <v>0.99418689999999998</v>
      </c>
      <c r="Y4422">
        <v>-7.3035050000000004E-2</v>
      </c>
      <c r="Z4422">
        <v>-6.078306E-2</v>
      </c>
      <c r="AA4422">
        <v>0.99547540000000001</v>
      </c>
      <c r="AB4422">
        <v>33</v>
      </c>
      <c r="AC4422">
        <v>-0.85009999999999697</v>
      </c>
      <c r="AD4422">
        <v>-1.106732097591</v>
      </c>
      <c r="AE4422">
        <v>17.800979999999999</v>
      </c>
      <c r="AF4422">
        <v>-1.3198759747911699</v>
      </c>
      <c r="AG4422">
        <v>-1.106732097591</v>
      </c>
      <c r="AH4422">
        <v>17.703668360882201</v>
      </c>
      <c r="AI4422">
        <v>93.567274896836906</v>
      </c>
      <c r="AJ4422">
        <v>94.263730831208505</v>
      </c>
      <c r="AK4422">
        <v>17.787265162378699</v>
      </c>
      <c r="AL4422">
        <v>87.576932412089505</v>
      </c>
      <c r="AM4422">
        <v>95.6878160873637</v>
      </c>
      <c r="AN4422">
        <v>0.99999994014071802</v>
      </c>
    </row>
    <row r="4423" spans="1:40" x14ac:dyDescent="0.3">
      <c r="A4423" t="str">
        <f>"20200111154007194"</f>
        <v>20200111154007194</v>
      </c>
      <c r="B4423" t="str">
        <f>"1578728407184980"</f>
        <v>1578728407184980</v>
      </c>
      <c r="C4423" t="s">
        <v>40</v>
      </c>
      <c r="D4423">
        <v>5.2742079999999998</v>
      </c>
      <c r="E4423">
        <v>0.50947029999999904</v>
      </c>
      <c r="F4423" t="s">
        <v>42</v>
      </c>
      <c r="G4423">
        <v>-188.0625</v>
      </c>
      <c r="H4423" s="1">
        <v>-3.3108640000000002E-6</v>
      </c>
      <c r="I4423">
        <v>-3.4506359999999998</v>
      </c>
      <c r="J4423">
        <v>-187.1645</v>
      </c>
      <c r="K4423">
        <v>1.106744</v>
      </c>
      <c r="L4423">
        <v>-21.41797</v>
      </c>
      <c r="M4423">
        <v>2.2533419999999998E-2</v>
      </c>
      <c r="N4423">
        <v>0</v>
      </c>
      <c r="O4423">
        <v>0.9997414</v>
      </c>
      <c r="P4423">
        <v>-7.3198070000000004E-2</v>
      </c>
      <c r="Q4423">
        <v>3.9986720000000003E-2</v>
      </c>
      <c r="R4423">
        <v>0.9965155</v>
      </c>
      <c r="S4423">
        <v>-0.14648439999999999</v>
      </c>
      <c r="T4423">
        <v>-0.181698</v>
      </c>
      <c r="U4423">
        <v>3.006958</v>
      </c>
      <c r="V4423">
        <v>-9.5998150000000004E-2</v>
      </c>
      <c r="W4423">
        <v>4.220645E-2</v>
      </c>
      <c r="X4423">
        <v>0.99448630000000005</v>
      </c>
      <c r="Y4423">
        <v>-7.1063660000000001E-2</v>
      </c>
      <c r="Z4423">
        <v>-6.0181060000000001E-2</v>
      </c>
      <c r="AA4423">
        <v>0.99565459999999995</v>
      </c>
      <c r="AB4423">
        <v>33</v>
      </c>
      <c r="AC4423">
        <v>-0.89799999999999602</v>
      </c>
      <c r="AD4423">
        <v>-1.106747310864</v>
      </c>
      <c r="AE4423">
        <v>17.967334000000001</v>
      </c>
      <c r="AF4423">
        <v>-1.2977276922933001</v>
      </c>
      <c r="AG4423">
        <v>-1.106747310864</v>
      </c>
      <c r="AH4423">
        <v>17.8748834071435</v>
      </c>
      <c r="AI4423">
        <v>93.533744862578004</v>
      </c>
      <c r="AJ4423">
        <v>94.152423978867603</v>
      </c>
      <c r="AK4423">
        <v>17.956069825895199</v>
      </c>
      <c r="AL4423">
        <v>87.581030034480506</v>
      </c>
      <c r="AM4423">
        <v>95.513700500369893</v>
      </c>
      <c r="AN4423">
        <v>1.0000000150563499</v>
      </c>
    </row>
    <row r="4424" spans="1:40" x14ac:dyDescent="0.3">
      <c r="A4424" t="str">
        <f>"20200111154007217"</f>
        <v>20200111154007217</v>
      </c>
      <c r="B4424" t="str">
        <f>"1578728407205477"</f>
        <v>1578728407205477</v>
      </c>
      <c r="C4424" t="s">
        <v>40</v>
      </c>
      <c r="D4424">
        <v>5.2427519999999896</v>
      </c>
      <c r="E4424">
        <v>0.50960369999999999</v>
      </c>
      <c r="F4424" t="s">
        <v>42</v>
      </c>
      <c r="G4424">
        <v>-188.0796</v>
      </c>
      <c r="H4424" s="1">
        <v>-3.549657E-6</v>
      </c>
      <c r="I4424">
        <v>-2.8869500000000001</v>
      </c>
      <c r="J4424">
        <v>-187.16030000000001</v>
      </c>
      <c r="K4424">
        <v>1.106751</v>
      </c>
      <c r="L4424">
        <v>-21.07489</v>
      </c>
      <c r="M4424">
        <v>1.846714E-2</v>
      </c>
      <c r="N4424">
        <v>0</v>
      </c>
      <c r="O4424">
        <v>0.99982490000000002</v>
      </c>
      <c r="P4424">
        <v>-7.3322910000000005E-2</v>
      </c>
      <c r="Q4424">
        <v>3.9219709999999998E-2</v>
      </c>
      <c r="R4424">
        <v>0.9965368</v>
      </c>
      <c r="S4424">
        <v>-0.14846799999999999</v>
      </c>
      <c r="T4424">
        <v>-0.17957679999999901</v>
      </c>
      <c r="U4424">
        <v>3.0067750000000002</v>
      </c>
      <c r="V4424">
        <v>-9.2072070000000006E-2</v>
      </c>
      <c r="W4424">
        <v>4.1430839999999997E-2</v>
      </c>
      <c r="X4424">
        <v>0.99489000000000005</v>
      </c>
      <c r="Y4424">
        <v>-6.7666649999999995E-2</v>
      </c>
      <c r="Z4424">
        <v>-5.9498120000000002E-2</v>
      </c>
      <c r="AA4424">
        <v>0.99593229999999999</v>
      </c>
      <c r="AB4424">
        <v>34</v>
      </c>
      <c r="AC4424">
        <v>-0.91929999999999201</v>
      </c>
      <c r="AD4424">
        <v>-1.1067545496569999</v>
      </c>
      <c r="AE4424">
        <v>18.187940000000001</v>
      </c>
      <c r="AF4424">
        <v>-1.2504057356898199</v>
      </c>
      <c r="AG4424">
        <v>-1.1067545496569999</v>
      </c>
      <c r="AH4424">
        <v>18.101006984951901</v>
      </c>
      <c r="AI4424">
        <v>93.490596859594305</v>
      </c>
      <c r="AJ4424">
        <v>93.951677248187906</v>
      </c>
      <c r="AK4424">
        <v>18.1778676969085</v>
      </c>
      <c r="AL4424">
        <v>87.625507959855099</v>
      </c>
      <c r="AM4424">
        <v>95.287376088143603</v>
      </c>
      <c r="AN4424">
        <v>0.99999994633859302</v>
      </c>
    </row>
    <row r="4425" spans="1:40" x14ac:dyDescent="0.3">
      <c r="A4425" t="str">
        <f>"20200111154007240"</f>
        <v>20200111154007240</v>
      </c>
      <c r="B4425" t="str">
        <f>"1578728407235732"</f>
        <v>1578728407235732</v>
      </c>
      <c r="C4425" t="s">
        <v>40</v>
      </c>
      <c r="D4425">
        <v>5.2901999999999996</v>
      </c>
      <c r="E4425">
        <v>0.50975789999999999</v>
      </c>
      <c r="F4425" t="s">
        <v>42</v>
      </c>
      <c r="G4425">
        <v>-188.0702</v>
      </c>
      <c r="H4425" s="1">
        <v>-3.6635900000000001E-6</v>
      </c>
      <c r="I4425">
        <v>-2.6252490000000002</v>
      </c>
      <c r="J4425">
        <v>-187.1575</v>
      </c>
      <c r="K4425">
        <v>1.106732</v>
      </c>
      <c r="L4425">
        <v>-20.721800000000002</v>
      </c>
      <c r="M4425">
        <v>1.433772E-2</v>
      </c>
      <c r="N4425">
        <v>0</v>
      </c>
      <c r="O4425">
        <v>0.99989280000000003</v>
      </c>
      <c r="P4425">
        <v>-7.3747409999999999E-2</v>
      </c>
      <c r="Q4425">
        <v>3.8425819999999999E-2</v>
      </c>
      <c r="R4425">
        <v>0.99653639999999999</v>
      </c>
      <c r="S4425">
        <v>-0.1482697</v>
      </c>
      <c r="T4425">
        <v>-0.18036089999999999</v>
      </c>
      <c r="U4425">
        <v>3.0066220000000001</v>
      </c>
      <c r="V4425">
        <v>-8.8380200000000006E-2</v>
      </c>
      <c r="W4425">
        <v>4.0629949999999998E-2</v>
      </c>
      <c r="X4425">
        <v>0.99525790000000003</v>
      </c>
      <c r="Y4425">
        <v>-6.348173E-2</v>
      </c>
      <c r="Z4425">
        <v>-5.9774420000000002E-2</v>
      </c>
      <c r="AA4425">
        <v>0.9961913</v>
      </c>
      <c r="AB4425">
        <v>34</v>
      </c>
      <c r="AC4425">
        <v>-0.91270000000000095</v>
      </c>
      <c r="AD4425">
        <v>-1.1067356635899901</v>
      </c>
      <c r="AE4425">
        <v>18.096551000000002</v>
      </c>
      <c r="AF4425">
        <v>-1.16771419067713</v>
      </c>
      <c r="AG4425">
        <v>-1.1067356635899901</v>
      </c>
      <c r="AH4425">
        <v>18.014398027687399</v>
      </c>
      <c r="AI4425">
        <v>93.508270395212094</v>
      </c>
      <c r="AJ4425">
        <v>93.708790232207406</v>
      </c>
      <c r="AK4425">
        <v>18.0860984338834</v>
      </c>
      <c r="AL4425">
        <v>87.671434543230504</v>
      </c>
      <c r="AM4425">
        <v>95.074628954491303</v>
      </c>
      <c r="AN4425">
        <v>1.0000000700507199</v>
      </c>
    </row>
    <row r="4426" spans="1:40" x14ac:dyDescent="0.3">
      <c r="A4426" t="str">
        <f>"20200111154007264"</f>
        <v>20200111154007264</v>
      </c>
      <c r="B4426" t="str">
        <f>"1578728407255252"</f>
        <v>1578728407255252</v>
      </c>
      <c r="C4426" t="s">
        <v>40</v>
      </c>
      <c r="D4426">
        <v>5.262162</v>
      </c>
      <c r="E4426">
        <v>0.50972770000000001</v>
      </c>
      <c r="F4426" t="s">
        <v>42</v>
      </c>
      <c r="G4426">
        <v>-188.06129999999999</v>
      </c>
      <c r="H4426" s="1">
        <v>-3.7602320000000001E-6</v>
      </c>
      <c r="I4426">
        <v>-2.4036599999999999</v>
      </c>
      <c r="J4426">
        <v>-187.1559</v>
      </c>
      <c r="K4426">
        <v>1.106706</v>
      </c>
      <c r="L4426">
        <v>-20.36121</v>
      </c>
      <c r="M4426">
        <v>1.017937E-2</v>
      </c>
      <c r="N4426">
        <v>0</v>
      </c>
      <c r="O4426">
        <v>0.9999439</v>
      </c>
      <c r="P4426">
        <v>-7.5206239999999994E-2</v>
      </c>
      <c r="Q4426">
        <v>3.6631490000000003E-2</v>
      </c>
      <c r="R4426">
        <v>0.99649489999999996</v>
      </c>
      <c r="S4426">
        <v>-0.14833070000000001</v>
      </c>
      <c r="T4426">
        <v>-0.18164150000000001</v>
      </c>
      <c r="U4426">
        <v>3.0064389999999999</v>
      </c>
      <c r="V4426">
        <v>-8.568191E-2</v>
      </c>
      <c r="W4426">
        <v>3.8824160000000003E-2</v>
      </c>
      <c r="X4426">
        <v>0.99556579999999995</v>
      </c>
      <c r="Y4426">
        <v>-5.9352780000000001E-2</v>
      </c>
      <c r="Z4426">
        <v>-6.0213170000000003E-2</v>
      </c>
      <c r="AA4426">
        <v>0.99641939999999996</v>
      </c>
      <c r="AB4426">
        <v>34</v>
      </c>
      <c r="AC4426">
        <v>-0.90539999999998599</v>
      </c>
      <c r="AD4426">
        <v>-1.106709760232</v>
      </c>
      <c r="AE4426">
        <v>17.957550000000001</v>
      </c>
      <c r="AF4426">
        <v>-1.08404348844346</v>
      </c>
      <c r="AG4426">
        <v>-1.106709760232</v>
      </c>
      <c r="AH4426">
        <v>17.8796655044681</v>
      </c>
      <c r="AI4426">
        <v>93.535481078790497</v>
      </c>
      <c r="AJ4426">
        <v>93.469593848560393</v>
      </c>
      <c r="AK4426">
        <v>17.946654154184198</v>
      </c>
      <c r="AL4426">
        <v>87.774980245732195</v>
      </c>
      <c r="AM4426">
        <v>94.918956310572696</v>
      </c>
      <c r="AN4426">
        <v>0.99999998361529596</v>
      </c>
    </row>
    <row r="4427" spans="1:40" x14ac:dyDescent="0.3">
      <c r="A4427" t="str">
        <f>"20200111154007287"</f>
        <v>20200111154007287</v>
      </c>
      <c r="B4427" t="str">
        <f>"1578728407275748"</f>
        <v>1578728407275748</v>
      </c>
      <c r="C4427" t="s">
        <v>40</v>
      </c>
      <c r="D4427">
        <v>5.3059390000000004</v>
      </c>
      <c r="E4427">
        <v>0.50989799999999996</v>
      </c>
      <c r="F4427" t="s">
        <v>42</v>
      </c>
      <c r="G4427">
        <v>-188.0634</v>
      </c>
      <c r="H4427" s="1">
        <v>-3.6990160000000001E-6</v>
      </c>
      <c r="I4427">
        <v>-2.5454690000000002</v>
      </c>
      <c r="J4427">
        <v>-187.1558</v>
      </c>
      <c r="K4427">
        <v>1.106663</v>
      </c>
      <c r="L4427">
        <v>-20.00085</v>
      </c>
      <c r="M4427">
        <v>6.1077900000000001E-3</v>
      </c>
      <c r="N4427">
        <v>0</v>
      </c>
      <c r="O4427">
        <v>0.99997709999999995</v>
      </c>
      <c r="P4427">
        <v>-7.7544230000000006E-2</v>
      </c>
      <c r="Q4427">
        <v>3.5206790000000002E-2</v>
      </c>
      <c r="R4427">
        <v>0.99636709999999995</v>
      </c>
      <c r="S4427">
        <v>-0.15310670000000001</v>
      </c>
      <c r="T4427">
        <v>-0.18672340000000001</v>
      </c>
      <c r="U4427">
        <v>3.0058590000000001</v>
      </c>
      <c r="V4427">
        <v>-8.3949839999999998E-2</v>
      </c>
      <c r="W4427">
        <v>3.7387070000000001E-2</v>
      </c>
      <c r="X4427">
        <v>0.9957684</v>
      </c>
      <c r="Y4427">
        <v>-5.687151E-2</v>
      </c>
      <c r="Z4427">
        <v>-6.1908419999999999E-2</v>
      </c>
      <c r="AA4427">
        <v>0.99646020000000002</v>
      </c>
      <c r="AB4427">
        <v>34</v>
      </c>
      <c r="AC4427">
        <v>-0.90760000000000196</v>
      </c>
      <c r="AD4427">
        <v>-1.1066666990159999</v>
      </c>
      <c r="AE4427">
        <v>17.455380999999999</v>
      </c>
      <c r="AF4427">
        <v>-1.01014795493235</v>
      </c>
      <c r="AG4427">
        <v>-1.1066666990159999</v>
      </c>
      <c r="AH4427">
        <v>17.3798415554214</v>
      </c>
      <c r="AI4427">
        <v>93.637285447537593</v>
      </c>
      <c r="AJ4427">
        <v>93.326392449886001</v>
      </c>
      <c r="AK4427">
        <v>17.444311467212401</v>
      </c>
      <c r="AL4427">
        <v>87.857379406582297</v>
      </c>
      <c r="AM4427">
        <v>94.819016237764302</v>
      </c>
      <c r="AN4427">
        <v>1.00000003753888</v>
      </c>
    </row>
    <row r="4428" spans="1:40" x14ac:dyDescent="0.3">
      <c r="A4428" t="str">
        <f>"20200111154007327"</f>
        <v>20200111154007327</v>
      </c>
      <c r="B4428" t="str">
        <f>"1578728407315764"</f>
        <v>1578728407315764</v>
      </c>
      <c r="C4428" t="s">
        <v>40</v>
      </c>
      <c r="D4428">
        <v>5.2698720000000003</v>
      </c>
      <c r="E4428">
        <v>0.51023469999999904</v>
      </c>
      <c r="F4428" t="s">
        <v>42</v>
      </c>
      <c r="G4428">
        <v>-188.0736</v>
      </c>
      <c r="H4428" s="1">
        <v>-3.6561820000000002E-6</v>
      </c>
      <c r="I4428">
        <v>-2.6411069999999999</v>
      </c>
      <c r="J4428">
        <v>-187.15860000000001</v>
      </c>
      <c r="K4428">
        <v>1.1065419999999999</v>
      </c>
      <c r="L4428">
        <v>-19.394069999999999</v>
      </c>
      <c r="M4428">
        <v>-4.3869949999999998E-4</v>
      </c>
      <c r="N4428">
        <v>0</v>
      </c>
      <c r="O4428">
        <v>0.99999579999999999</v>
      </c>
      <c r="P4428">
        <v>-8.0241989999999999E-2</v>
      </c>
      <c r="Q4428">
        <v>3.2194540000000001E-2</v>
      </c>
      <c r="R4428">
        <v>0.99625529999999995</v>
      </c>
      <c r="S4428">
        <v>-0.1588898</v>
      </c>
      <c r="T4428">
        <v>-0.1915876</v>
      </c>
      <c r="U4428">
        <v>3.005341</v>
      </c>
      <c r="V4428">
        <v>-8.0092849999999993E-2</v>
      </c>
      <c r="W4428">
        <v>3.438016E-2</v>
      </c>
      <c r="X4428">
        <v>0.99619429999999998</v>
      </c>
      <c r="Y4428">
        <v>-5.2250650000000003E-2</v>
      </c>
      <c r="Z4428">
        <v>-6.3532249999999998E-2</v>
      </c>
      <c r="AA4428">
        <v>0.99661100000000002</v>
      </c>
      <c r="AB4428">
        <v>34</v>
      </c>
      <c r="AC4428">
        <v>-0.91499999999999204</v>
      </c>
      <c r="AD4428">
        <v>-1.106545656182</v>
      </c>
      <c r="AE4428">
        <v>16.752963000000001</v>
      </c>
      <c r="AF4428">
        <v>-0.903719434037352</v>
      </c>
      <c r="AG4428">
        <v>-1.106545656182</v>
      </c>
      <c r="AH4428">
        <v>16.6808058766971</v>
      </c>
      <c r="AI4428">
        <v>93.789697443432104</v>
      </c>
      <c r="AJ4428">
        <v>93.1010934662295</v>
      </c>
      <c r="AK4428">
        <v>16.741876740698</v>
      </c>
      <c r="AL4428">
        <v>88.029773614070294</v>
      </c>
      <c r="AM4428">
        <v>94.596626143752403</v>
      </c>
      <c r="AN4428">
        <v>0.99999997168761801</v>
      </c>
    </row>
    <row r="4429" spans="1:40" x14ac:dyDescent="0.3">
      <c r="A4429" t="str">
        <f>"20200111154007374"</f>
        <v>20200111154007374</v>
      </c>
      <c r="B4429" t="str">
        <f>"1578728407365540"</f>
        <v>1578728407365540</v>
      </c>
      <c r="C4429" t="s">
        <v>40</v>
      </c>
      <c r="D4429">
        <v>5.3225850000000001</v>
      </c>
      <c r="E4429">
        <v>0.51052920000000002</v>
      </c>
      <c r="F4429" t="s">
        <v>42</v>
      </c>
      <c r="G4429">
        <v>-188.0549</v>
      </c>
      <c r="H4429" s="1">
        <v>-3.5557269999999998E-6</v>
      </c>
      <c r="I4429">
        <v>-2.883013</v>
      </c>
      <c r="J4429">
        <v>-187.16659999999999</v>
      </c>
      <c r="K4429">
        <v>1.10632</v>
      </c>
      <c r="L4429">
        <v>-18.652889999999999</v>
      </c>
      <c r="M4429">
        <v>-7.7925109999999898E-3</v>
      </c>
      <c r="N4429">
        <v>0</v>
      </c>
      <c r="O4429">
        <v>0.99996569999999996</v>
      </c>
      <c r="P4429">
        <v>-8.0558649999999996E-2</v>
      </c>
      <c r="Q4429">
        <v>3.023789E-2</v>
      </c>
      <c r="R4429">
        <v>0.99629109999999999</v>
      </c>
      <c r="S4429">
        <v>-0.1631012</v>
      </c>
      <c r="T4429">
        <v>-0.2013662</v>
      </c>
      <c r="U4429">
        <v>3.0046390000000001</v>
      </c>
      <c r="V4429">
        <v>-7.3049080000000002E-2</v>
      </c>
      <c r="W4429">
        <v>3.2474830000000003E-2</v>
      </c>
      <c r="X4429">
        <v>0.99679949999999995</v>
      </c>
      <c r="Y4429">
        <v>-4.6299600000000003E-2</v>
      </c>
      <c r="Z4429">
        <v>-6.6780629999999994E-2</v>
      </c>
      <c r="AA4429">
        <v>0.99669289999999999</v>
      </c>
      <c r="AB4429">
        <v>35</v>
      </c>
      <c r="AC4429">
        <v>-0.88830000000001497</v>
      </c>
      <c r="AD4429">
        <v>-1.1063235557269999</v>
      </c>
      <c r="AE4429">
        <v>15.769876999999999</v>
      </c>
      <c r="AF4429">
        <v>-0.76164891822514802</v>
      </c>
      <c r="AG4429">
        <v>-1.1063235557269999</v>
      </c>
      <c r="AH4429">
        <v>15.699298773305101</v>
      </c>
      <c r="AI4429">
        <v>94.026228015969807</v>
      </c>
      <c r="AJ4429">
        <v>92.777517621866096</v>
      </c>
      <c r="AK4429">
        <v>15.756650750019499</v>
      </c>
      <c r="AL4429">
        <v>88.139002120961905</v>
      </c>
      <c r="AM4429">
        <v>94.191349891469301</v>
      </c>
      <c r="AN4429">
        <v>1.00000001293631</v>
      </c>
    </row>
    <row r="4430" spans="1:40" x14ac:dyDescent="0.3">
      <c r="A4430" t="str">
        <f>"20200111154007395"</f>
        <v>20200111154007395</v>
      </c>
      <c r="B4430" t="str">
        <f>"1578728407385059"</f>
        <v>1578728407385059</v>
      </c>
      <c r="C4430" t="s">
        <v>40</v>
      </c>
      <c r="D4430">
        <v>5.28444</v>
      </c>
      <c r="E4430">
        <v>0.51069779999999998</v>
      </c>
      <c r="F4430" t="s">
        <v>42</v>
      </c>
      <c r="G4430">
        <v>-188.0368</v>
      </c>
      <c r="H4430" s="1">
        <v>-3.8253189999999999E-6</v>
      </c>
      <c r="I4430">
        <v>-2.2620420000000001</v>
      </c>
      <c r="J4430">
        <v>-187.17169999999999</v>
      </c>
      <c r="K4430">
        <v>1.1062129999999999</v>
      </c>
      <c r="L4430">
        <v>-18.32104</v>
      </c>
      <c r="M4430">
        <v>-1.0810800000000001E-2</v>
      </c>
      <c r="N4430">
        <v>0</v>
      </c>
      <c r="O4430">
        <v>0.99993770000000004</v>
      </c>
      <c r="P4430">
        <v>-8.1253660000000005E-2</v>
      </c>
      <c r="Q4430">
        <v>3.1936369999999999E-2</v>
      </c>
      <c r="R4430">
        <v>0.99618169999999995</v>
      </c>
      <c r="S4430">
        <v>-0.1595154</v>
      </c>
      <c r="T4430">
        <v>-0.202788</v>
      </c>
      <c r="U4430">
        <v>3.0044249999999999</v>
      </c>
      <c r="V4430">
        <v>-7.0740510000000006E-2</v>
      </c>
      <c r="W4430">
        <v>3.4195259999999998E-2</v>
      </c>
      <c r="X4430">
        <v>0.99690840000000003</v>
      </c>
      <c r="Y4430">
        <v>-4.2099999999999999E-2</v>
      </c>
      <c r="Z4430">
        <v>-6.7260340000000002E-2</v>
      </c>
      <c r="AA4430">
        <v>0.99684689999999998</v>
      </c>
      <c r="AB4430">
        <v>35</v>
      </c>
      <c r="AC4430">
        <v>-0.86510000000001197</v>
      </c>
      <c r="AD4430">
        <v>-1.1062168253189999</v>
      </c>
      <c r="AE4430">
        <v>16.058997999999999</v>
      </c>
      <c r="AF4430">
        <v>-0.68818212760874398</v>
      </c>
      <c r="AG4430">
        <v>-1.1062168253189999</v>
      </c>
      <c r="AH4430">
        <v>15.9917494151643</v>
      </c>
      <c r="AI4430">
        <v>93.953440005701097</v>
      </c>
      <c r="AJ4430">
        <v>92.464121809901698</v>
      </c>
      <c r="AK4430">
        <v>16.044729965405701</v>
      </c>
      <c r="AL4430">
        <v>88.040373788074206</v>
      </c>
      <c r="AM4430">
        <v>94.058898713123895</v>
      </c>
      <c r="AN4430">
        <v>0.99999994677604198</v>
      </c>
    </row>
    <row r="4431" spans="1:40" x14ac:dyDescent="0.3">
      <c r="A4431" t="str">
        <f>"20200111154007417"</f>
        <v>20200111154007417</v>
      </c>
      <c r="B4431" t="str">
        <f>"1578728407405556"</f>
        <v>1578728407405556</v>
      </c>
      <c r="C4431" t="s">
        <v>40</v>
      </c>
      <c r="D4431">
        <v>5.2677880000000004</v>
      </c>
      <c r="E4431">
        <v>0.51075689999999996</v>
      </c>
      <c r="F4431" t="s">
        <v>42</v>
      </c>
      <c r="G4431">
        <v>-188.06700000000001</v>
      </c>
      <c r="H4431" s="1">
        <v>-4.2019590000000001E-6</v>
      </c>
      <c r="I4431">
        <v>-1.371613</v>
      </c>
      <c r="J4431">
        <v>-187.178</v>
      </c>
      <c r="K4431">
        <v>1.106079</v>
      </c>
      <c r="L4431">
        <v>-17.973020000000002</v>
      </c>
      <c r="M4431">
        <v>-1.3748740000000001E-2</v>
      </c>
      <c r="N4431">
        <v>0</v>
      </c>
      <c r="O4431">
        <v>0.99990159999999995</v>
      </c>
      <c r="P4431">
        <v>-8.3483230000000005E-2</v>
      </c>
      <c r="Q4431">
        <v>3.4682119999999997E-2</v>
      </c>
      <c r="R4431">
        <v>0.9959055</v>
      </c>
      <c r="S4431">
        <v>-0.1587219</v>
      </c>
      <c r="T4431">
        <v>-0.1961138</v>
      </c>
      <c r="U4431">
        <v>3.0048520000000001</v>
      </c>
      <c r="V4431">
        <v>-7.0052879999999998E-2</v>
      </c>
      <c r="W4431">
        <v>3.6956780000000002E-2</v>
      </c>
      <c r="X4431">
        <v>0.99685849999999998</v>
      </c>
      <c r="Y4431">
        <v>-3.8901980000000003E-2</v>
      </c>
      <c r="Z4431">
        <v>-6.5048159999999994E-2</v>
      </c>
      <c r="AA4431">
        <v>0.99712350000000005</v>
      </c>
      <c r="AB4431">
        <v>35</v>
      </c>
      <c r="AC4431">
        <v>-0.88900000000001</v>
      </c>
      <c r="AD4431">
        <v>-1.1060832019589999</v>
      </c>
      <c r="AE4431">
        <v>16.601406999999998</v>
      </c>
      <c r="AF4431">
        <v>-0.65775522700103595</v>
      </c>
      <c r="AG4431">
        <v>-1.1060832019589999</v>
      </c>
      <c r="AH4431">
        <v>16.538854365245101</v>
      </c>
      <c r="AI4431">
        <v>93.823108369098193</v>
      </c>
      <c r="AJ4431">
        <v>92.277470199699906</v>
      </c>
      <c r="AK4431">
        <v>16.588844616280198</v>
      </c>
      <c r="AL4431">
        <v>87.882050260942606</v>
      </c>
      <c r="AM4431">
        <v>94.019774875782602</v>
      </c>
      <c r="AN4431">
        <v>1.00000003930325</v>
      </c>
    </row>
    <row r="4432" spans="1:40" x14ac:dyDescent="0.3">
      <c r="A4432" t="str">
        <f>"20200111154007438"</f>
        <v>20200111154007438</v>
      </c>
      <c r="B4432" t="str">
        <f>"1578728407435812"</f>
        <v>1578728407435812</v>
      </c>
      <c r="C4432" t="s">
        <v>40</v>
      </c>
      <c r="D4432">
        <v>5.3400509999999999</v>
      </c>
      <c r="E4432">
        <v>0.51091690000000001</v>
      </c>
      <c r="F4432" t="s">
        <v>42</v>
      </c>
      <c r="G4432">
        <v>-188.14689999999999</v>
      </c>
      <c r="H4432" s="1">
        <v>-5.5263550000000004E-7</v>
      </c>
      <c r="I4432">
        <v>-0.1768566</v>
      </c>
      <c r="J4432">
        <v>-187.185</v>
      </c>
      <c r="K4432">
        <v>1.105926</v>
      </c>
      <c r="L4432">
        <v>-17.631589999999999</v>
      </c>
      <c r="M4432">
        <v>-1.6440070000000001E-2</v>
      </c>
      <c r="N4432">
        <v>0</v>
      </c>
      <c r="O4432">
        <v>0.999861</v>
      </c>
      <c r="P4432">
        <v>-8.6942580000000005E-2</v>
      </c>
      <c r="Q4432">
        <v>3.5403829999999997E-2</v>
      </c>
      <c r="R4432">
        <v>0.99558400000000002</v>
      </c>
      <c r="S4432">
        <v>-0.16361999999999999</v>
      </c>
      <c r="T4432">
        <v>-0.18677669999999999</v>
      </c>
      <c r="U4432">
        <v>3.0051269999999999</v>
      </c>
      <c r="V4432">
        <v>-7.0826199999999895E-2</v>
      </c>
      <c r="W4432">
        <v>3.7685829999999997E-2</v>
      </c>
      <c r="X4432">
        <v>0.99677649999999995</v>
      </c>
      <c r="Y4432">
        <v>-3.7838829999999997E-2</v>
      </c>
      <c r="Z4432">
        <v>-6.1952529999999999E-2</v>
      </c>
      <c r="AA4432">
        <v>0.99736159999999996</v>
      </c>
      <c r="AB4432">
        <v>35</v>
      </c>
      <c r="AC4432">
        <v>-0.96189999999998499</v>
      </c>
      <c r="AD4432">
        <v>-1.1059265526355</v>
      </c>
      <c r="AE4432">
        <v>17.454733399999999</v>
      </c>
      <c r="AF4432">
        <v>-0.67212182607595505</v>
      </c>
      <c r="AG4432">
        <v>-1.1059265526355</v>
      </c>
      <c r="AH4432">
        <v>17.398554025469199</v>
      </c>
      <c r="AI4432">
        <v>93.6343682020118</v>
      </c>
      <c r="AJ4432">
        <v>92.212287550066193</v>
      </c>
      <c r="AK4432">
        <v>17.4466186828876</v>
      </c>
      <c r="AL4432">
        <v>87.840249527315095</v>
      </c>
      <c r="AM4432">
        <v>94.064334856905703</v>
      </c>
      <c r="AN4432">
        <v>0.999999981670739</v>
      </c>
    </row>
    <row r="4433" spans="1:40" x14ac:dyDescent="0.3">
      <c r="A4433" t="str">
        <f>"20200111154007462"</f>
        <v>20200111154007462</v>
      </c>
      <c r="B4433" t="str">
        <f>"1578728407455332"</f>
        <v>1578728407455332</v>
      </c>
      <c r="C4433" t="s">
        <v>40</v>
      </c>
      <c r="D4433">
        <v>5.2745280000000001</v>
      </c>
      <c r="E4433">
        <v>0.51092879999999996</v>
      </c>
      <c r="F4433" t="s">
        <v>42</v>
      </c>
      <c r="G4433">
        <v>-188.2166</v>
      </c>
      <c r="H4433" s="1">
        <v>-7.5496499999999996E-7</v>
      </c>
      <c r="I4433">
        <v>0.47218759999999999</v>
      </c>
      <c r="J4433">
        <v>-187.1934</v>
      </c>
      <c r="K4433">
        <v>1.105761</v>
      </c>
      <c r="L4433">
        <v>-17.260619999999999</v>
      </c>
      <c r="M4433">
        <v>-1.9164569999999999E-2</v>
      </c>
      <c r="N4433">
        <v>0</v>
      </c>
      <c r="O4433">
        <v>0.99981249999999999</v>
      </c>
      <c r="P4433">
        <v>-8.895633E-2</v>
      </c>
      <c r="Q4433">
        <v>3.2544080000000003E-2</v>
      </c>
      <c r="R4433">
        <v>0.99550369999999999</v>
      </c>
      <c r="S4433">
        <v>-0.1712341</v>
      </c>
      <c r="T4433">
        <v>-0.1835628</v>
      </c>
      <c r="U4433">
        <v>3.004883</v>
      </c>
      <c r="V4433">
        <v>-7.0092420000000003E-2</v>
      </c>
      <c r="W4433">
        <v>3.4849089999999999E-2</v>
      </c>
      <c r="X4433">
        <v>0.99693160000000003</v>
      </c>
      <c r="Y4433">
        <v>-3.7643379999999997E-2</v>
      </c>
      <c r="Z4433">
        <v>-6.0886929999999999E-2</v>
      </c>
      <c r="AA4433">
        <v>0.99743459999999995</v>
      </c>
      <c r="AB4433">
        <v>36</v>
      </c>
      <c r="AC4433">
        <v>-1.0232000000000001</v>
      </c>
      <c r="AD4433">
        <v>-1.1057617549650001</v>
      </c>
      <c r="AE4433">
        <v>17.732807600000001</v>
      </c>
      <c r="AF4433">
        <v>-0.68053176054458897</v>
      </c>
      <c r="AG4433">
        <v>-1.1057617549650001</v>
      </c>
      <c r="AH4433">
        <v>17.680639260077701</v>
      </c>
      <c r="AI4433">
        <v>93.576023257370494</v>
      </c>
      <c r="AJ4433">
        <v>92.204239276228193</v>
      </c>
      <c r="AK4433">
        <v>17.7282496930987</v>
      </c>
      <c r="AL4433">
        <v>88.0028898706598</v>
      </c>
      <c r="AM4433">
        <v>94.021742368163302</v>
      </c>
      <c r="AN4433">
        <v>1.00000001074692</v>
      </c>
    </row>
    <row r="4434" spans="1:40" x14ac:dyDescent="0.3">
      <c r="A4434" t="str">
        <f>"20200111154007505"</f>
        <v>20200111154007505</v>
      </c>
      <c r="B4434" t="str">
        <f>"1578728407495349"</f>
        <v>1578728407495349</v>
      </c>
      <c r="C4434" t="s">
        <v>40</v>
      </c>
      <c r="D4434">
        <v>5.3343720000000001</v>
      </c>
      <c r="E4434">
        <v>0.51080890000000001</v>
      </c>
      <c r="F4434" t="s">
        <v>42</v>
      </c>
      <c r="G4434">
        <v>-188.22470000000001</v>
      </c>
      <c r="H4434" s="1">
        <v>-6.7757120000000001E-7</v>
      </c>
      <c r="I4434">
        <v>0.25111220000000001</v>
      </c>
      <c r="J4434">
        <v>-187.21119999999999</v>
      </c>
      <c r="K4434">
        <v>1.1054360000000001</v>
      </c>
      <c r="L4434">
        <v>-16.571110000000001</v>
      </c>
      <c r="M4434">
        <v>-2.3670989999999999E-2</v>
      </c>
      <c r="N4434">
        <v>0</v>
      </c>
      <c r="O4434">
        <v>0.99971600000000005</v>
      </c>
      <c r="P4434">
        <v>-9.3332999999999999E-2</v>
      </c>
      <c r="Q4434">
        <v>2.5944970000000001E-2</v>
      </c>
      <c r="R4434">
        <v>0.99529679999999998</v>
      </c>
      <c r="S4434">
        <v>-0.1769104</v>
      </c>
      <c r="T4434">
        <v>-0.18968080000000001</v>
      </c>
      <c r="U4434">
        <v>3.0039370000000001</v>
      </c>
      <c r="V4434">
        <v>-6.9915320000000003E-2</v>
      </c>
      <c r="W4434">
        <v>2.8290610000000001E-2</v>
      </c>
      <c r="X4434">
        <v>0.99715169999999997</v>
      </c>
      <c r="Y4434">
        <v>-3.5027879999999997E-2</v>
      </c>
      <c r="Z4434">
        <v>-6.2918520000000006E-2</v>
      </c>
      <c r="AA4434">
        <v>0.99740379999999995</v>
      </c>
      <c r="AB4434">
        <v>36</v>
      </c>
      <c r="AC4434">
        <v>-1.0135000000000201</v>
      </c>
      <c r="AD4434">
        <v>-1.1054366775711999</v>
      </c>
      <c r="AE4434">
        <v>16.822222199999999</v>
      </c>
      <c r="AF4434">
        <v>-0.61238104128150905</v>
      </c>
      <c r="AG4434">
        <v>-1.1054366775711999</v>
      </c>
      <c r="AH4434">
        <v>16.7693480504329</v>
      </c>
      <c r="AI4434">
        <v>93.768980457689395</v>
      </c>
      <c r="AJ4434">
        <v>92.091391074183406</v>
      </c>
      <c r="AK4434">
        <v>16.816897300762601</v>
      </c>
      <c r="AL4434">
        <v>88.378851166986493</v>
      </c>
      <c r="AM4434">
        <v>94.010731406757799</v>
      </c>
      <c r="AN4434">
        <v>1.0000000116988801</v>
      </c>
    </row>
    <row r="4435" spans="1:40" x14ac:dyDescent="0.3">
      <c r="A4435" t="str">
        <f>"20200111154007527"</f>
        <v>20200111154007527</v>
      </c>
      <c r="B4435" t="str">
        <f>"1578728407515844"</f>
        <v>1578728407515844</v>
      </c>
      <c r="C4435" t="s">
        <v>40</v>
      </c>
      <c r="D4435">
        <v>5.333952</v>
      </c>
      <c r="E4435">
        <v>0.51078749999999995</v>
      </c>
      <c r="F4435" t="s">
        <v>42</v>
      </c>
      <c r="G4435">
        <v>-188.24160000000001</v>
      </c>
      <c r="H4435" s="1">
        <v>-4.5323849999999998E-6</v>
      </c>
      <c r="I4435">
        <v>-0.52917190000000003</v>
      </c>
      <c r="J4435">
        <v>-187.2218</v>
      </c>
      <c r="K4435">
        <v>1.1052740000000001</v>
      </c>
      <c r="L4435">
        <v>-16.197970000000002</v>
      </c>
      <c r="M4435">
        <v>-2.5798990000000001E-2</v>
      </c>
      <c r="N4435">
        <v>0</v>
      </c>
      <c r="O4435">
        <v>0.99966339999999998</v>
      </c>
      <c r="P4435">
        <v>-9.7613939999999996E-2</v>
      </c>
      <c r="Q4435">
        <v>2.5407849999999999E-2</v>
      </c>
      <c r="R4435">
        <v>0.99490000000000001</v>
      </c>
      <c r="S4435">
        <v>-0.19279479999999999</v>
      </c>
      <c r="T4435">
        <v>-0.2068313</v>
      </c>
      <c r="U4435">
        <v>3.0014949999999998</v>
      </c>
      <c r="V4435">
        <v>-7.2068720000000003E-2</v>
      </c>
      <c r="W4435">
        <v>2.776725E-2</v>
      </c>
      <c r="X4435">
        <v>0.99701309999999999</v>
      </c>
      <c r="Y4435">
        <v>-3.8182349999999997E-2</v>
      </c>
      <c r="Z4435">
        <v>-6.8616730000000001E-2</v>
      </c>
      <c r="AA4435">
        <v>0.99691220000000003</v>
      </c>
      <c r="AB4435">
        <v>36</v>
      </c>
      <c r="AC4435">
        <v>-1.0198</v>
      </c>
      <c r="AD4435">
        <v>-1.1052785323849901</v>
      </c>
      <c r="AE4435">
        <v>15.6687981</v>
      </c>
      <c r="AF4435">
        <v>-0.61218654359124902</v>
      </c>
      <c r="AG4435">
        <v>-1.1052785323849901</v>
      </c>
      <c r="AH4435">
        <v>15.6125338255614</v>
      </c>
      <c r="AI4435">
        <v>94.046359878207596</v>
      </c>
      <c r="AJ4435">
        <v>92.245487224994505</v>
      </c>
      <c r="AK4435">
        <v>15.6635763940616</v>
      </c>
      <c r="AL4435">
        <v>88.408849286949206</v>
      </c>
      <c r="AM4435">
        <v>94.134413191622102</v>
      </c>
      <c r="AN4435">
        <v>1.0000000210733</v>
      </c>
    </row>
    <row r="4436" spans="1:40" x14ac:dyDescent="0.3">
      <c r="A4436" t="str">
        <f>"20200111154007550"</f>
        <v>20200111154007550</v>
      </c>
      <c r="B4436" t="str">
        <f>"1578728407545123"</f>
        <v>1578728407545123</v>
      </c>
      <c r="C4436" t="s">
        <v>40</v>
      </c>
      <c r="D4436">
        <v>5.3484389999999999</v>
      </c>
      <c r="E4436">
        <v>0.51107309999999995</v>
      </c>
      <c r="F4436" t="s">
        <v>42</v>
      </c>
      <c r="G4436">
        <v>-188.32689999999999</v>
      </c>
      <c r="H4436" s="1">
        <v>-5.3029410000000002E-7</v>
      </c>
      <c r="I4436">
        <v>-0.1017584</v>
      </c>
      <c r="J4436">
        <v>-187.23259999999999</v>
      </c>
      <c r="K4436">
        <v>1.1051169999999999</v>
      </c>
      <c r="L4436">
        <v>-15.839840000000001</v>
      </c>
      <c r="M4436">
        <v>-2.7624869999999999E-2</v>
      </c>
      <c r="N4436">
        <v>0</v>
      </c>
      <c r="O4436">
        <v>0.99961449999999996</v>
      </c>
      <c r="P4436">
        <v>-0.1028896</v>
      </c>
      <c r="Q4436">
        <v>2.7990979999999999E-2</v>
      </c>
      <c r="R4436">
        <v>0.99429889999999999</v>
      </c>
      <c r="S4436">
        <v>-0.2059937</v>
      </c>
      <c r="T4436">
        <v>-0.20602970000000001</v>
      </c>
      <c r="U4436">
        <v>3.0004270000000002</v>
      </c>
      <c r="V4436">
        <v>-7.5539729999999999E-2</v>
      </c>
      <c r="W4436">
        <v>3.0361099999999999E-2</v>
      </c>
      <c r="X4436">
        <v>0.99668040000000002</v>
      </c>
      <c r="Y4436">
        <v>-4.0747070000000003E-2</v>
      </c>
      <c r="Z4436">
        <v>-6.8357829999999994E-2</v>
      </c>
      <c r="AA4436">
        <v>0.99682839999999995</v>
      </c>
      <c r="AB4436">
        <v>36</v>
      </c>
      <c r="AC4436">
        <v>-1.0943000000000001</v>
      </c>
      <c r="AD4436">
        <v>-1.1051175302941001</v>
      </c>
      <c r="AE4436">
        <v>15.738081599999999</v>
      </c>
      <c r="AF4436">
        <v>-0.65589971294604898</v>
      </c>
      <c r="AG4436">
        <v>-1.1051175302941001</v>
      </c>
      <c r="AH4436">
        <v>15.685336869987999</v>
      </c>
      <c r="AI4436">
        <v>94.026633131320907</v>
      </c>
      <c r="AJ4436">
        <v>92.394491394702499</v>
      </c>
      <c r="AK4436">
        <v>15.737893185373</v>
      </c>
      <c r="AL4436">
        <v>88.260169628124103</v>
      </c>
      <c r="AM4436">
        <v>94.334236740532205</v>
      </c>
      <c r="AN4436">
        <v>0.99999993347291904</v>
      </c>
    </row>
    <row r="4437" spans="1:40" x14ac:dyDescent="0.3">
      <c r="A4437" t="str">
        <f>"20200111154007573"</f>
        <v>20200111154007573</v>
      </c>
      <c r="B4437" t="str">
        <f>"1578728407565900"</f>
        <v>1578728407565900</v>
      </c>
      <c r="C4437" t="s">
        <v>40</v>
      </c>
      <c r="D4437">
        <v>5.3799890000000001</v>
      </c>
      <c r="E4437">
        <v>0.51136930000000003</v>
      </c>
      <c r="F4437" t="s">
        <v>42</v>
      </c>
      <c r="G4437">
        <v>-188.46420000000001</v>
      </c>
      <c r="H4437" s="1">
        <v>-8.4212329999999998E-7</v>
      </c>
      <c r="I4437">
        <v>0.92192790000000002</v>
      </c>
      <c r="J4437">
        <v>-187.2449</v>
      </c>
      <c r="K4437">
        <v>1.104916</v>
      </c>
      <c r="L4437">
        <v>-15.448639999999999</v>
      </c>
      <c r="M4437">
        <v>-2.9335719999999999E-2</v>
      </c>
      <c r="N4437">
        <v>0</v>
      </c>
      <c r="O4437">
        <v>0.99956579999999995</v>
      </c>
      <c r="P4437">
        <v>-0.10748630000000001</v>
      </c>
      <c r="Q4437">
        <v>3.0196580000000001E-2</v>
      </c>
      <c r="R4437">
        <v>0.99374790000000002</v>
      </c>
      <c r="S4437">
        <v>-0.2204285</v>
      </c>
      <c r="T4437">
        <v>-0.19779050000000001</v>
      </c>
      <c r="U4437">
        <v>2.9999690000000001</v>
      </c>
      <c r="V4437">
        <v>-7.8438170000000002E-2</v>
      </c>
      <c r="W4437">
        <v>3.2593499999999997E-2</v>
      </c>
      <c r="X4437">
        <v>0.99638610000000005</v>
      </c>
      <c r="Y4437">
        <v>-4.3832860000000001E-2</v>
      </c>
      <c r="Z4437">
        <v>-6.5625970000000006E-2</v>
      </c>
      <c r="AA4437">
        <v>0.99688109999999996</v>
      </c>
      <c r="AB4437">
        <v>36</v>
      </c>
      <c r="AC4437">
        <v>-1.2193000000000001</v>
      </c>
      <c r="AD4437">
        <v>-1.1049168421233</v>
      </c>
      <c r="AE4437">
        <v>16.370567899999902</v>
      </c>
      <c r="AF4437">
        <v>-0.73520030564291405</v>
      </c>
      <c r="AG4437">
        <v>-1.1049168421233</v>
      </c>
      <c r="AH4437">
        <v>16.325332360045699</v>
      </c>
      <c r="AI4437">
        <v>93.868029399048893</v>
      </c>
      <c r="AJ4437">
        <v>92.578534468782607</v>
      </c>
      <c r="AK4437">
        <v>16.379189155247602</v>
      </c>
      <c r="AL4437">
        <v>88.132199339053898</v>
      </c>
      <c r="AM4437">
        <v>94.501193468977306</v>
      </c>
      <c r="AN4437">
        <v>1.0000000715141999</v>
      </c>
    </row>
    <row r="4438" spans="1:40" x14ac:dyDescent="0.3">
      <c r="A4438" t="str">
        <f>"20200111154007595"</f>
        <v>20200111154007595</v>
      </c>
      <c r="B4438" t="str">
        <f>"1578728407585420"</f>
        <v>1578728407585420</v>
      </c>
      <c r="C4438" t="s">
        <v>40</v>
      </c>
      <c r="D4438">
        <v>5.4040239999999997</v>
      </c>
      <c r="E4438">
        <v>0.51161599999999996</v>
      </c>
      <c r="F4438" t="s">
        <v>42</v>
      </c>
      <c r="G4438">
        <v>-188.59100000000001</v>
      </c>
      <c r="H4438" s="1">
        <v>-1.240009E-6</v>
      </c>
      <c r="I4438">
        <v>1.94069</v>
      </c>
      <c r="J4438">
        <v>-187.25640000000001</v>
      </c>
      <c r="K4438">
        <v>1.104706</v>
      </c>
      <c r="L4438">
        <v>-15.09497</v>
      </c>
      <c r="M4438">
        <v>-3.058756E-2</v>
      </c>
      <c r="N4438">
        <v>0</v>
      </c>
      <c r="O4438">
        <v>0.99952819999999998</v>
      </c>
      <c r="P4438">
        <v>-0.11114010000000001</v>
      </c>
      <c r="Q4438">
        <v>3.2066799999999999E-2</v>
      </c>
      <c r="R4438">
        <v>0.99328729999999998</v>
      </c>
      <c r="S4438">
        <v>-0.23219300000000001</v>
      </c>
      <c r="T4438">
        <v>-0.1905908</v>
      </c>
      <c r="U4438">
        <v>2.9995419999999999</v>
      </c>
      <c r="V4438">
        <v>-8.0846349999999997E-2</v>
      </c>
      <c r="W4438">
        <v>3.4498830000000001E-2</v>
      </c>
      <c r="X4438">
        <v>0.9961293</v>
      </c>
      <c r="Y4438">
        <v>-4.649151E-2</v>
      </c>
      <c r="Z4438">
        <v>-6.3239210000000004E-2</v>
      </c>
      <c r="AA4438">
        <v>0.99691490000000005</v>
      </c>
      <c r="AB4438">
        <v>37</v>
      </c>
      <c r="AC4438">
        <v>-1.33459999999996</v>
      </c>
      <c r="AD4438">
        <v>-1.1047072400089999</v>
      </c>
      <c r="AE4438">
        <v>17.03566</v>
      </c>
      <c r="AF4438">
        <v>-0.80951091416165999</v>
      </c>
      <c r="AG4438">
        <v>-1.1047072400089999</v>
      </c>
      <c r="AH4438">
        <v>16.997471029725599</v>
      </c>
      <c r="AI4438">
        <v>93.714364829817598</v>
      </c>
      <c r="AJ4438">
        <v>92.726672646348902</v>
      </c>
      <c r="AK4438">
        <v>17.052557210361101</v>
      </c>
      <c r="AL4438">
        <v>88.022970229063901</v>
      </c>
      <c r="AM4438">
        <v>94.639983930158095</v>
      </c>
      <c r="AN4438">
        <v>0.99999994194908903</v>
      </c>
    </row>
    <row r="4439" spans="1:40" x14ac:dyDescent="0.3">
      <c r="A4439" t="str">
        <f>"20200111154007639"</f>
        <v>20200111154007639</v>
      </c>
      <c r="B4439" t="str">
        <f>"1578728407635196"</f>
        <v>1578728407635196</v>
      </c>
      <c r="C4439" t="s">
        <v>40</v>
      </c>
      <c r="D4439">
        <v>5.4187349999999999</v>
      </c>
      <c r="E4439">
        <v>0.52096379999999998</v>
      </c>
      <c r="F4439" t="s">
        <v>42</v>
      </c>
      <c r="G4439">
        <v>-188.70160000000001</v>
      </c>
      <c r="H4439" s="1">
        <v>-1.622734E-6</v>
      </c>
      <c r="I4439">
        <v>2.8785660000000002</v>
      </c>
      <c r="J4439">
        <v>-187.28059999999999</v>
      </c>
      <c r="K4439">
        <v>1.1042160000000001</v>
      </c>
      <c r="L4439">
        <v>-14.368040000000001</v>
      </c>
      <c r="M4439">
        <v>-3.2315000000000003E-2</v>
      </c>
      <c r="N4439">
        <v>0</v>
      </c>
      <c r="O4439">
        <v>0.99947390000000003</v>
      </c>
      <c r="P4439">
        <v>-0.1174365</v>
      </c>
      <c r="Q4439">
        <v>3.3343570000000003E-2</v>
      </c>
      <c r="R4439">
        <v>0.99252050000000003</v>
      </c>
      <c r="S4439">
        <v>-0.2411652</v>
      </c>
      <c r="T4439">
        <v>-0.18434210000000001</v>
      </c>
      <c r="U4439">
        <v>2.9992369999999999</v>
      </c>
      <c r="V4439">
        <v>-8.5406040000000003E-2</v>
      </c>
      <c r="W4439">
        <v>3.586603E-2</v>
      </c>
      <c r="X4439">
        <v>0.99570049999999999</v>
      </c>
      <c r="Y4439">
        <v>-4.7747009999999999E-2</v>
      </c>
      <c r="Z4439">
        <v>-6.116597E-2</v>
      </c>
      <c r="AA4439">
        <v>0.99698489999999995</v>
      </c>
      <c r="AB4439">
        <v>37</v>
      </c>
      <c r="AC4439">
        <v>-1.42100000000002</v>
      </c>
      <c r="AD4439">
        <v>-1.1042176227339999</v>
      </c>
      <c r="AE4439">
        <v>17.246606</v>
      </c>
      <c r="AF4439">
        <v>-0.85943239160231699</v>
      </c>
      <c r="AG4439">
        <v>-1.1042176227339999</v>
      </c>
      <c r="AH4439">
        <v>17.213432410212398</v>
      </c>
      <c r="AI4439">
        <v>93.665861202098796</v>
      </c>
      <c r="AJ4439">
        <v>92.858290661683796</v>
      </c>
      <c r="AK4439">
        <v>17.270210651148499</v>
      </c>
      <c r="AL4439">
        <v>87.944587072273507</v>
      </c>
      <c r="AM4439">
        <v>94.9025360040485</v>
      </c>
      <c r="AN4439">
        <v>1.00000002473834</v>
      </c>
    </row>
    <row r="4440" spans="1:40" x14ac:dyDescent="0.3">
      <c r="A4440" t="str">
        <f>"20200111154007664"</f>
        <v>20200111154007664</v>
      </c>
      <c r="B4440" t="str">
        <f>"1578728407655692"</f>
        <v>1578728407655692</v>
      </c>
      <c r="C4440" t="s">
        <v>40</v>
      </c>
      <c r="D4440">
        <v>5.4248390000000004</v>
      </c>
      <c r="E4440">
        <v>0.52202109999999902</v>
      </c>
      <c r="F4440" t="s">
        <v>41</v>
      </c>
      <c r="G4440">
        <v>-187.34119999999999</v>
      </c>
      <c r="H4440">
        <v>1.0325770000000001</v>
      </c>
      <c r="I4440">
        <v>-13.384510000000001</v>
      </c>
      <c r="J4440">
        <v>-187.29480000000001</v>
      </c>
      <c r="K4440">
        <v>1.103952</v>
      </c>
      <c r="L4440">
        <v>-13.945650000000001</v>
      </c>
      <c r="M4440">
        <v>-3.2898419999999998E-2</v>
      </c>
      <c r="N4440">
        <v>0</v>
      </c>
      <c r="O4440">
        <v>0.99945479999999998</v>
      </c>
      <c r="P4440">
        <v>-0.12005970000000001</v>
      </c>
      <c r="Q4440">
        <v>3.2925379999999997E-2</v>
      </c>
      <c r="R4440">
        <v>0.99222049999999995</v>
      </c>
      <c r="S4440">
        <v>-0.18560789999999999</v>
      </c>
      <c r="T4440">
        <v>-0.21908430000000001</v>
      </c>
      <c r="U4440">
        <v>3.0079959999999999</v>
      </c>
      <c r="V4440">
        <v>-8.7433860000000002E-2</v>
      </c>
      <c r="W4440">
        <v>3.550242E-2</v>
      </c>
      <c r="X4440">
        <v>0.99553749999999996</v>
      </c>
      <c r="Y4440">
        <v>-2.8556129999999999E-2</v>
      </c>
      <c r="Z4440">
        <v>-7.2499350000000004E-2</v>
      </c>
      <c r="AA4440">
        <v>0.99695959999999995</v>
      </c>
      <c r="AB4440">
        <v>37</v>
      </c>
      <c r="AC4440">
        <v>-4.6399999999977098E-2</v>
      </c>
      <c r="AD4440">
        <v>-7.1374999999999897E-2</v>
      </c>
      <c r="AE4440">
        <v>0.56113999999999997</v>
      </c>
      <c r="AF4440">
        <v>-2.74727312174128E-2</v>
      </c>
      <c r="AG4440">
        <v>-7.1374999999999897E-2</v>
      </c>
      <c r="AH4440">
        <v>0.55346901943648497</v>
      </c>
      <c r="AI4440">
        <v>97.339332597511003</v>
      </c>
      <c r="AJ4440">
        <v>92.841677918708996</v>
      </c>
      <c r="AK4440">
        <v>0.55872810656125804</v>
      </c>
      <c r="AL4440">
        <v>87.965433632670297</v>
      </c>
      <c r="AM4440">
        <v>95.019168212865097</v>
      </c>
      <c r="AN4440">
        <v>1.0000000078033</v>
      </c>
    </row>
    <row r="4441" spans="1:40" x14ac:dyDescent="0.3">
      <c r="A4441" t="str">
        <f>"20200111154007685"</f>
        <v>20200111154007685</v>
      </c>
      <c r="B4441" t="str">
        <f>"1578728407675721"</f>
        <v>1578728407675721</v>
      </c>
      <c r="C4441" t="s">
        <v>40</v>
      </c>
      <c r="D4441">
        <v>5.4343529999999998</v>
      </c>
      <c r="E4441">
        <v>0.52280490000000002</v>
      </c>
      <c r="F4441" t="s">
        <v>42</v>
      </c>
      <c r="G4441">
        <v>-188.22980000000001</v>
      </c>
      <c r="H4441" s="1">
        <v>-1.0335890000000001E-6</v>
      </c>
      <c r="I4441">
        <v>1.3012330000000001</v>
      </c>
      <c r="J4441">
        <v>-187.30699999999999</v>
      </c>
      <c r="K4441">
        <v>1.10375</v>
      </c>
      <c r="L4441">
        <v>-13.584989999999999</v>
      </c>
      <c r="M4441">
        <v>-3.3198369999999998E-2</v>
      </c>
      <c r="N4441">
        <v>0</v>
      </c>
      <c r="O4441">
        <v>0.99944480000000002</v>
      </c>
      <c r="P4441">
        <v>-0.1216354</v>
      </c>
      <c r="Q4441">
        <v>3.1680769999999997E-2</v>
      </c>
      <c r="R4441">
        <v>0.99206910000000004</v>
      </c>
      <c r="S4441">
        <v>-0.1844788</v>
      </c>
      <c r="T4441">
        <v>-0.2178254</v>
      </c>
      <c r="U4441">
        <v>3.0084230000000001</v>
      </c>
      <c r="V4441">
        <v>-8.8696440000000001E-2</v>
      </c>
      <c r="W4441">
        <v>3.4303430000000003E-2</v>
      </c>
      <c r="X4441">
        <v>0.99546780000000001</v>
      </c>
      <c r="Y4441">
        <v>-2.7876539999999998E-2</v>
      </c>
      <c r="Z4441">
        <v>-7.2075230000000004E-2</v>
      </c>
      <c r="AA4441">
        <v>0.99700960000000005</v>
      </c>
      <c r="AB4441">
        <v>37</v>
      </c>
      <c r="AC4441">
        <v>-0.92279999999999496</v>
      </c>
      <c r="AD4441">
        <v>-1.103751033589</v>
      </c>
      <c r="AE4441">
        <v>14.886222999999999</v>
      </c>
      <c r="AF4441">
        <v>-0.42575933152221601</v>
      </c>
      <c r="AG4441">
        <v>-1.103751033589</v>
      </c>
      <c r="AH4441">
        <v>14.827449608650401</v>
      </c>
      <c r="AI4441">
        <v>94.2554817191388</v>
      </c>
      <c r="AJ4441">
        <v>91.644754312198401</v>
      </c>
      <c r="AK4441">
        <v>14.874568876091701</v>
      </c>
      <c r="AL4441">
        <v>88.034172495617497</v>
      </c>
      <c r="AM4441">
        <v>95.091623380631106</v>
      </c>
      <c r="AN4441">
        <v>0.99999996230763799</v>
      </c>
    </row>
    <row r="4442" spans="1:40" x14ac:dyDescent="0.3">
      <c r="A4442" t="str">
        <f>"20200111154007707"</f>
        <v>20200111154007707</v>
      </c>
      <c r="B4442" t="str">
        <f>"1578728407695239"</f>
        <v>1578728407695239</v>
      </c>
      <c r="C4442" t="s">
        <v>40</v>
      </c>
      <c r="D4442">
        <v>5.4147980000000002</v>
      </c>
      <c r="E4442">
        <v>0.52341599999999999</v>
      </c>
      <c r="F4442" t="s">
        <v>42</v>
      </c>
      <c r="G4442">
        <v>-188.20679999999999</v>
      </c>
      <c r="H4442" s="1">
        <v>-1.0116960000000001E-6</v>
      </c>
      <c r="I4442">
        <v>1.2189299999999901</v>
      </c>
      <c r="J4442">
        <v>-187.3192</v>
      </c>
      <c r="K4442">
        <v>1.1035489999999999</v>
      </c>
      <c r="L4442">
        <v>-13.222720000000001</v>
      </c>
      <c r="M4442">
        <v>-3.3316449999999997E-2</v>
      </c>
      <c r="N4442">
        <v>0</v>
      </c>
      <c r="O4442">
        <v>0.99944089999999997</v>
      </c>
      <c r="P4442">
        <v>-0.12222760000000001</v>
      </c>
      <c r="Q4442">
        <v>2.971389E-2</v>
      </c>
      <c r="R4442">
        <v>0.99205719999999997</v>
      </c>
      <c r="S4442">
        <v>-0.1828766</v>
      </c>
      <c r="T4442">
        <v>-0.22432469999999999</v>
      </c>
      <c r="U4442">
        <v>3.0087280000000001</v>
      </c>
      <c r="V4442">
        <v>-8.9153079999999996E-2</v>
      </c>
      <c r="W4442">
        <v>3.2383330000000002E-2</v>
      </c>
      <c r="X4442">
        <v>0.99549140000000003</v>
      </c>
      <c r="Y4442">
        <v>-2.721382E-2</v>
      </c>
      <c r="Z4442">
        <v>-7.420802E-2</v>
      </c>
      <c r="AA4442">
        <v>0.99687139999999996</v>
      </c>
      <c r="AB4442">
        <v>38</v>
      </c>
      <c r="AC4442">
        <v>-0.88759999999999195</v>
      </c>
      <c r="AD4442">
        <v>-1.103550011696</v>
      </c>
      <c r="AE4442">
        <v>14.441649999999999</v>
      </c>
      <c r="AF4442">
        <v>-0.403612944911037</v>
      </c>
      <c r="AG4442">
        <v>-1.103550011696</v>
      </c>
      <c r="AH4442">
        <v>14.379555941234001</v>
      </c>
      <c r="AI4442">
        <v>94.386805525406103</v>
      </c>
      <c r="AJ4442">
        <v>91.607785958774201</v>
      </c>
      <c r="AK4442">
        <v>14.427486097886</v>
      </c>
      <c r="AL4442">
        <v>88.144247493063205</v>
      </c>
      <c r="AM4442">
        <v>95.117577293261604</v>
      </c>
      <c r="AN4442">
        <v>1.00000003960466</v>
      </c>
    </row>
    <row r="4443" spans="1:40" x14ac:dyDescent="0.3">
      <c r="A4443" t="str">
        <f>"20200111154007729"</f>
        <v>20200111154007729</v>
      </c>
      <c r="B4443" t="str">
        <f>"1578728407725496"</f>
        <v>1578728407725496</v>
      </c>
      <c r="C4443" t="s">
        <v>40</v>
      </c>
      <c r="D4443">
        <v>5.3291050000000002</v>
      </c>
      <c r="E4443">
        <v>0.52403290000000002</v>
      </c>
      <c r="F4443" t="s">
        <v>41</v>
      </c>
      <c r="G4443">
        <v>-187.37020000000001</v>
      </c>
      <c r="H4443">
        <v>1.037647</v>
      </c>
      <c r="I4443">
        <v>-12.367850000000001</v>
      </c>
      <c r="J4443">
        <v>-187.33170000000001</v>
      </c>
      <c r="K4443">
        <v>1.103356</v>
      </c>
      <c r="L4443">
        <v>-12.84909</v>
      </c>
      <c r="M4443">
        <v>-3.3263180000000003E-2</v>
      </c>
      <c r="N4443">
        <v>0</v>
      </c>
      <c r="O4443">
        <v>0.99944259999999996</v>
      </c>
      <c r="P4443">
        <v>-0.1225358</v>
      </c>
      <c r="Q4443">
        <v>2.836489E-2</v>
      </c>
      <c r="R4443">
        <v>0.99205869999999996</v>
      </c>
      <c r="S4443">
        <v>-0.1796875</v>
      </c>
      <c r="T4443">
        <v>-0.23195089999999999</v>
      </c>
      <c r="U4443">
        <v>3.0088200000000001</v>
      </c>
      <c r="V4443">
        <v>-8.9499029999999993E-2</v>
      </c>
      <c r="W4443">
        <v>3.108317E-2</v>
      </c>
      <c r="X4443">
        <v>0.99550179999999999</v>
      </c>
      <c r="Y4443">
        <v>-2.6201140000000001E-2</v>
      </c>
      <c r="Z4443">
        <v>-7.6717560000000004E-2</v>
      </c>
      <c r="AA4443">
        <v>0.9967085</v>
      </c>
      <c r="AB4443">
        <v>38</v>
      </c>
      <c r="AC4443">
        <v>-3.8499999999999E-2</v>
      </c>
      <c r="AD4443">
        <v>-6.5709000000000004E-2</v>
      </c>
      <c r="AE4443">
        <v>0.481239999999997</v>
      </c>
      <c r="AF4443">
        <v>-2.20623551968788E-2</v>
      </c>
      <c r="AG4443">
        <v>-6.5709000000000004E-2</v>
      </c>
      <c r="AH4443">
        <v>0.47348310988693998</v>
      </c>
      <c r="AI4443">
        <v>97.892469519195004</v>
      </c>
      <c r="AJ4443">
        <v>92.6678167740601</v>
      </c>
      <c r="AK4443">
        <v>0.47852970184309501</v>
      </c>
      <c r="AL4443">
        <v>88.218778706989696</v>
      </c>
      <c r="AM4443">
        <v>95.137276120818697</v>
      </c>
      <c r="AN4443">
        <v>1.00000003681571</v>
      </c>
    </row>
    <row r="4444" spans="1:40" x14ac:dyDescent="0.3">
      <c r="A4444" t="str">
        <f>"20200111154007753"</f>
        <v>20200111154007753</v>
      </c>
      <c r="B4444" t="str">
        <f>"1578728407745015"</f>
        <v>1578728407745015</v>
      </c>
      <c r="C4444" t="s">
        <v>40</v>
      </c>
      <c r="D4444">
        <v>5.4825150000000002</v>
      </c>
      <c r="E4444">
        <v>0.52485269999999995</v>
      </c>
      <c r="F4444" t="s">
        <v>41</v>
      </c>
      <c r="G4444">
        <v>-187.37970000000001</v>
      </c>
      <c r="H4444">
        <v>1.038635</v>
      </c>
      <c r="I4444">
        <v>-12.02566</v>
      </c>
      <c r="J4444">
        <v>-187.34559999999999</v>
      </c>
      <c r="K4444">
        <v>1.1031599999999999</v>
      </c>
      <c r="L4444">
        <v>-12.42984</v>
      </c>
      <c r="M4444">
        <v>-3.3029459999999997E-2</v>
      </c>
      <c r="N4444">
        <v>0</v>
      </c>
      <c r="O4444">
        <v>0.99945039999999996</v>
      </c>
      <c r="P4444">
        <v>-0.1219872</v>
      </c>
      <c r="Q4444">
        <v>2.824486E-2</v>
      </c>
      <c r="R4444">
        <v>0.9921297</v>
      </c>
      <c r="S4444">
        <v>-0.17591860000000001</v>
      </c>
      <c r="T4444">
        <v>-0.2364858</v>
      </c>
      <c r="U4444">
        <v>3.0090330000000001</v>
      </c>
      <c r="V4444">
        <v>-8.9165960000000002E-2</v>
      </c>
      <c r="W4444">
        <v>3.101835E-2</v>
      </c>
      <c r="X4444">
        <v>0.99553360000000002</v>
      </c>
      <c r="Y4444">
        <v>-2.5179859999999998E-2</v>
      </c>
      <c r="Z4444">
        <v>-7.8207680000000002E-2</v>
      </c>
      <c r="AA4444">
        <v>0.99661900000000003</v>
      </c>
      <c r="AB4444">
        <v>38</v>
      </c>
      <c r="AC4444">
        <v>-3.41000000000235E-2</v>
      </c>
      <c r="AD4444">
        <v>-6.4525000000000096E-2</v>
      </c>
      <c r="AE4444">
        <v>0.40417999999999799</v>
      </c>
      <c r="AF4444">
        <v>-2.0219808493347102E-2</v>
      </c>
      <c r="AG4444">
        <v>-6.4525000000000096E-2</v>
      </c>
      <c r="AH4444">
        <v>0.395087632443197</v>
      </c>
      <c r="AI4444">
        <v>99.263640420525206</v>
      </c>
      <c r="AJ4444">
        <v>92.929729325662905</v>
      </c>
      <c r="AK4444">
        <v>0.400832326029324</v>
      </c>
      <c r="AL4444">
        <v>88.2224942167568</v>
      </c>
      <c r="AM4444">
        <v>95.118096896505094</v>
      </c>
      <c r="AN4444">
        <v>0.99999992759419898</v>
      </c>
    </row>
    <row r="4445" spans="1:40" x14ac:dyDescent="0.3">
      <c r="A4445" t="str">
        <f>"20200111154007797"</f>
        <v>20200111154007797</v>
      </c>
      <c r="B4445" t="str">
        <f>"1578728407785031"</f>
        <v>1578728407785031</v>
      </c>
      <c r="C4445" t="s">
        <v>40</v>
      </c>
      <c r="D4445">
        <v>5.4323489999999897</v>
      </c>
      <c r="E4445">
        <v>0.52613909999999997</v>
      </c>
      <c r="F4445" t="s">
        <v>42</v>
      </c>
      <c r="G4445">
        <v>-188.12020000000001</v>
      </c>
      <c r="H4445" s="1">
        <v>-1.1189960000000001E-6</v>
      </c>
      <c r="I4445">
        <v>1.463932</v>
      </c>
      <c r="J4445">
        <v>-187.36930000000001</v>
      </c>
      <c r="K4445">
        <v>1.102876</v>
      </c>
      <c r="L4445">
        <v>-11.69577</v>
      </c>
      <c r="M4445">
        <v>-3.2262909999999999E-2</v>
      </c>
      <c r="N4445">
        <v>0</v>
      </c>
      <c r="O4445">
        <v>0.99947540000000001</v>
      </c>
      <c r="P4445">
        <v>-0.11989080000000001</v>
      </c>
      <c r="Q4445">
        <v>2.9425980000000001E-2</v>
      </c>
      <c r="R4445">
        <v>0.99235090000000004</v>
      </c>
      <c r="S4445">
        <v>-0.1678162</v>
      </c>
      <c r="T4445">
        <v>-0.23899139999999999</v>
      </c>
      <c r="U4445">
        <v>3.009979</v>
      </c>
      <c r="V4445">
        <v>-8.7805170000000002E-2</v>
      </c>
      <c r="W4445">
        <v>3.228516E-2</v>
      </c>
      <c r="X4445">
        <v>0.99561429999999995</v>
      </c>
      <c r="Y4445">
        <v>-2.3250690000000001E-2</v>
      </c>
      <c r="Z4445">
        <v>-7.9017290000000004E-2</v>
      </c>
      <c r="AA4445">
        <v>0.99660210000000005</v>
      </c>
      <c r="AB4445">
        <v>38</v>
      </c>
      <c r="AC4445">
        <v>-0.75090000000000101</v>
      </c>
      <c r="AD4445">
        <v>-1.102877118996</v>
      </c>
      <c r="AE4445">
        <v>13.159701999999999</v>
      </c>
      <c r="AF4445">
        <v>-0.32367113394771002</v>
      </c>
      <c r="AG4445">
        <v>-1.102877118996</v>
      </c>
      <c r="AH4445">
        <v>13.085468216453201</v>
      </c>
      <c r="AI4445">
        <v>94.816184413143802</v>
      </c>
      <c r="AJ4445">
        <v>91.416931277606807</v>
      </c>
      <c r="AK4445">
        <v>13.1358509197677</v>
      </c>
      <c r="AL4445">
        <v>88.149875009092597</v>
      </c>
      <c r="AM4445">
        <v>95.039987006306504</v>
      </c>
      <c r="AN4445">
        <v>0.99999995689972099</v>
      </c>
    </row>
    <row r="4446" spans="1:40" x14ac:dyDescent="0.3">
      <c r="A4446" t="str">
        <f>"20200111154007821"</f>
        <v>20200111154007821</v>
      </c>
      <c r="B4446" t="str">
        <f>"1578728407815288"</f>
        <v>1578728407815288</v>
      </c>
      <c r="C4446" t="s">
        <v>40</v>
      </c>
      <c r="D4446">
        <v>5.4648640000000004</v>
      </c>
      <c r="E4446">
        <v>0.52682689999999999</v>
      </c>
      <c r="F4446" t="s">
        <v>41</v>
      </c>
      <c r="G4446">
        <v>-187.42089999999999</v>
      </c>
      <c r="H4446">
        <v>1.0215609999999999</v>
      </c>
      <c r="I4446">
        <v>-10.670640000000001</v>
      </c>
      <c r="J4446">
        <v>-187.38249999999999</v>
      </c>
      <c r="K4446">
        <v>1.102743</v>
      </c>
      <c r="L4446">
        <v>-11.27603</v>
      </c>
      <c r="M4446">
        <v>-3.1691509999999999E-2</v>
      </c>
      <c r="N4446">
        <v>0</v>
      </c>
      <c r="O4446">
        <v>0.99949359999999998</v>
      </c>
      <c r="P4446">
        <v>-0.11909889999999999</v>
      </c>
      <c r="Q4446">
        <v>2.9874069999999999E-2</v>
      </c>
      <c r="R4446">
        <v>0.99243289999999995</v>
      </c>
      <c r="S4446">
        <v>-0.1517944</v>
      </c>
      <c r="T4446">
        <v>-0.23889479999999999</v>
      </c>
      <c r="U4446">
        <v>3.0118710000000002</v>
      </c>
      <c r="V4446">
        <v>-8.7569720000000004E-2</v>
      </c>
      <c r="W4446">
        <v>3.2774600000000001E-2</v>
      </c>
      <c r="X4446">
        <v>0.99561909999999998</v>
      </c>
      <c r="Y4446">
        <v>-1.8500880000000001E-2</v>
      </c>
      <c r="Z4446">
        <v>-7.8953449999999994E-2</v>
      </c>
      <c r="AA4446">
        <v>0.9967066</v>
      </c>
      <c r="AB4446">
        <v>38</v>
      </c>
      <c r="AC4446">
        <v>-3.8399999999995701E-2</v>
      </c>
      <c r="AD4446">
        <v>-8.1181999999999796E-2</v>
      </c>
      <c r="AE4446">
        <v>0.60539000000000098</v>
      </c>
      <c r="AF4446">
        <v>-1.8857170243219701E-2</v>
      </c>
      <c r="AG4446">
        <v>-8.1181999999999796E-2</v>
      </c>
      <c r="AH4446">
        <v>0.59563481273511598</v>
      </c>
      <c r="AI4446">
        <v>97.757461504927207</v>
      </c>
      <c r="AJ4446">
        <v>91.813318316163901</v>
      </c>
      <c r="AK4446">
        <v>0.60143739502593196</v>
      </c>
      <c r="AL4446">
        <v>88.121817414280798</v>
      </c>
      <c r="AM4446">
        <v>95.026517476511103</v>
      </c>
      <c r="AN4446">
        <v>1.0000000112754199</v>
      </c>
    </row>
    <row r="4447" spans="1:40" x14ac:dyDescent="0.3">
      <c r="A4447" t="str">
        <f>"20200111154007842"</f>
        <v>20200111154007842</v>
      </c>
      <c r="B4447" t="str">
        <f>"1578728407835784"</f>
        <v>1578728407835784</v>
      </c>
      <c r="C4447" t="s">
        <v>40</v>
      </c>
      <c r="D4447">
        <v>5.4781589999999998</v>
      </c>
      <c r="E4447">
        <v>0.52733379999999996</v>
      </c>
      <c r="F4447" t="s">
        <v>41</v>
      </c>
      <c r="G4447">
        <v>-187.4281</v>
      </c>
      <c r="H4447">
        <v>1.026513</v>
      </c>
      <c r="I4447">
        <v>-10.321569999999999</v>
      </c>
      <c r="J4447">
        <v>-187.39410000000001</v>
      </c>
      <c r="K4447">
        <v>1.1026419999999999</v>
      </c>
      <c r="L4447">
        <v>-10.89996</v>
      </c>
      <c r="M4447">
        <v>-3.113314E-2</v>
      </c>
      <c r="N4447">
        <v>0</v>
      </c>
      <c r="O4447">
        <v>0.99951109999999999</v>
      </c>
      <c r="P4447">
        <v>-0.1184809</v>
      </c>
      <c r="Q4447">
        <v>3.0158009999999999E-2</v>
      </c>
      <c r="R4447">
        <v>0.9924982</v>
      </c>
      <c r="S4447">
        <v>-0.1442261</v>
      </c>
      <c r="T4447">
        <v>-0.24059829999999999</v>
      </c>
      <c r="U4447">
        <v>3.0128170000000001</v>
      </c>
      <c r="V4447">
        <v>-8.7498549999999994E-2</v>
      </c>
      <c r="W4447">
        <v>3.309057E-2</v>
      </c>
      <c r="X4447">
        <v>0.99561489999999997</v>
      </c>
      <c r="Y4447">
        <v>-1.6543840000000001E-2</v>
      </c>
      <c r="Z4447">
        <v>-7.9496430000000007E-2</v>
      </c>
      <c r="AA4447">
        <v>0.99669779999999997</v>
      </c>
      <c r="AB4447">
        <v>39</v>
      </c>
      <c r="AC4447">
        <v>-3.3999999999991801E-2</v>
      </c>
      <c r="AD4447">
        <v>-7.6128999999999794E-2</v>
      </c>
      <c r="AE4447">
        <v>0.57838999999999996</v>
      </c>
      <c r="AF4447">
        <v>-1.5705200242451801E-2</v>
      </c>
      <c r="AG4447">
        <v>-7.6128999999999794E-2</v>
      </c>
      <c r="AH4447">
        <v>0.56933865648204196</v>
      </c>
      <c r="AI4447">
        <v>97.613254454938399</v>
      </c>
      <c r="AJ4447">
        <v>91.580102711953003</v>
      </c>
      <c r="AK4447">
        <v>0.57462055629818198</v>
      </c>
      <c r="AL4447">
        <v>88.103703830919798</v>
      </c>
      <c r="AM4447">
        <v>95.022474287936305</v>
      </c>
      <c r="AN4447">
        <v>1.0000000055885101</v>
      </c>
    </row>
    <row r="4448" spans="1:40" x14ac:dyDescent="0.3">
      <c r="A4448" t="str">
        <f>"20200111154007885"</f>
        <v>20200111154007885</v>
      </c>
      <c r="B4448" t="str">
        <f>"1578728407874828"</f>
        <v>1578728407874828</v>
      </c>
      <c r="C4448" t="s">
        <v>40</v>
      </c>
      <c r="D4448">
        <v>5.43316</v>
      </c>
      <c r="E4448">
        <v>0.5281749</v>
      </c>
      <c r="F4448" t="s">
        <v>41</v>
      </c>
      <c r="G4448">
        <v>-187.4366</v>
      </c>
      <c r="H4448">
        <v>1.0285930000000001</v>
      </c>
      <c r="I4448">
        <v>-9.9724900000000005</v>
      </c>
      <c r="J4448">
        <v>-187.4161</v>
      </c>
      <c r="K4448">
        <v>1.102482</v>
      </c>
      <c r="L4448">
        <v>-10.167299999999999</v>
      </c>
      <c r="M4448">
        <v>-2.9973070000000001E-2</v>
      </c>
      <c r="N4448">
        <v>0</v>
      </c>
      <c r="O4448">
        <v>0.9995465</v>
      </c>
      <c r="P4448">
        <v>-0.1150738</v>
      </c>
      <c r="Q4448">
        <v>2.7721659999999999E-2</v>
      </c>
      <c r="R4448">
        <v>0.99297000000000002</v>
      </c>
      <c r="S4448">
        <v>-0.1385345</v>
      </c>
      <c r="T4448">
        <v>-0.2405668</v>
      </c>
      <c r="U4448">
        <v>3.013458</v>
      </c>
      <c r="V4448">
        <v>-8.5226510000000005E-2</v>
      </c>
      <c r="W4448">
        <v>3.0705690000000001E-2</v>
      </c>
      <c r="X4448">
        <v>0.99588840000000001</v>
      </c>
      <c r="Y4448">
        <v>-1.5815920000000001E-2</v>
      </c>
      <c r="Z4448">
        <v>-7.9477499999999895E-2</v>
      </c>
      <c r="AA4448">
        <v>0.99671120000000002</v>
      </c>
      <c r="AB4448">
        <v>39</v>
      </c>
      <c r="AC4448">
        <v>-2.0499999999998401E-2</v>
      </c>
      <c r="AD4448">
        <v>-7.3888999999999802E-2</v>
      </c>
      <c r="AE4448">
        <v>0.19481000000000001</v>
      </c>
      <c r="AF4448">
        <v>-1.2826686081519E-2</v>
      </c>
      <c r="AG4448">
        <v>-7.3888999999999802E-2</v>
      </c>
      <c r="AH4448">
        <v>0.17100565082907401</v>
      </c>
      <c r="AI4448">
        <v>113.309990491081</v>
      </c>
      <c r="AJ4448">
        <v>94.289573888760003</v>
      </c>
      <c r="AK4448">
        <v>0.18672718284253401</v>
      </c>
      <c r="AL4448">
        <v>88.240417071711704</v>
      </c>
      <c r="AM4448">
        <v>94.891361993826806</v>
      </c>
      <c r="AN4448">
        <v>1.0000000513298499</v>
      </c>
    </row>
    <row r="4449" spans="1:40" x14ac:dyDescent="0.3">
      <c r="A4449" t="str">
        <f>"20200111154007907"</f>
        <v>20200111154007907</v>
      </c>
      <c r="B4449" t="str">
        <f>"1578728407895324"</f>
        <v>1578728407895324</v>
      </c>
      <c r="C4449" t="s">
        <v>40</v>
      </c>
      <c r="D4449">
        <v>5.5961449999999999</v>
      </c>
      <c r="E4449">
        <v>0.52806969999999998</v>
      </c>
      <c r="F4449" t="s">
        <v>41</v>
      </c>
      <c r="G4449">
        <v>-187.45189999999999</v>
      </c>
      <c r="H4449">
        <v>1.028535</v>
      </c>
      <c r="I4449">
        <v>-9.2721479999999996</v>
      </c>
      <c r="J4449">
        <v>-187.42760000000001</v>
      </c>
      <c r="K4449">
        <v>1.1024160000000001</v>
      </c>
      <c r="L4449">
        <v>-9.7688900000000007</v>
      </c>
      <c r="M4449">
        <v>-2.932417E-2</v>
      </c>
      <c r="N4449">
        <v>0</v>
      </c>
      <c r="O4449">
        <v>0.9995657</v>
      </c>
      <c r="P4449">
        <v>-0.11332589999999999</v>
      </c>
      <c r="Q4449">
        <v>2.6028309999999999E-2</v>
      </c>
      <c r="R4449">
        <v>0.99321689999999996</v>
      </c>
      <c r="S4449">
        <v>-0.1213989</v>
      </c>
      <c r="T4449">
        <v>-0.24895129999999999</v>
      </c>
      <c r="U4449">
        <v>3.0141300000000002</v>
      </c>
      <c r="V4449">
        <v>-8.4116590000000005E-2</v>
      </c>
      <c r="W4449">
        <v>2.9036559999999999E-2</v>
      </c>
      <c r="X4449">
        <v>0.99603280000000005</v>
      </c>
      <c r="Y4449">
        <v>-1.07898E-2</v>
      </c>
      <c r="Z4449">
        <v>-8.222604E-2</v>
      </c>
      <c r="AA4449">
        <v>0.99655530000000003</v>
      </c>
      <c r="AB4449">
        <v>39</v>
      </c>
      <c r="AC4449">
        <v>-2.4299999999982402E-2</v>
      </c>
      <c r="AD4449">
        <v>-7.3881000000000002E-2</v>
      </c>
      <c r="AE4449">
        <v>0.49674199999999902</v>
      </c>
      <c r="AF4449">
        <v>-9.51300664140841E-3</v>
      </c>
      <c r="AG4449">
        <v>-7.3881000000000002E-2</v>
      </c>
      <c r="AH4449">
        <v>0.48650470296042497</v>
      </c>
      <c r="AI4449">
        <v>98.633382256403095</v>
      </c>
      <c r="AJ4449">
        <v>91.120206395343999</v>
      </c>
      <c r="AK4449">
        <v>0.49217448680216203</v>
      </c>
      <c r="AL4449">
        <v>88.336093842873595</v>
      </c>
      <c r="AM4449">
        <v>94.827267368343996</v>
      </c>
      <c r="AN4449">
        <v>1.00000003060285</v>
      </c>
    </row>
    <row r="4450" spans="1:40" x14ac:dyDescent="0.3">
      <c r="A4450" t="str">
        <f>"20200111154007929"</f>
        <v>20200111154007929</v>
      </c>
      <c r="B4450" t="str">
        <f>"1578728407925580"</f>
        <v>1578728407925580</v>
      </c>
      <c r="C4450" t="s">
        <v>40</v>
      </c>
      <c r="D4450">
        <v>5.5378220000000002</v>
      </c>
      <c r="E4450">
        <v>0.58845369999999997</v>
      </c>
      <c r="F4450" t="s">
        <v>41</v>
      </c>
      <c r="G4450">
        <v>-187.4605</v>
      </c>
      <c r="H4450">
        <v>1.030346</v>
      </c>
      <c r="I4450">
        <v>-8.9190369999999994</v>
      </c>
      <c r="J4450">
        <v>-187.4385</v>
      </c>
      <c r="K4450">
        <v>1.1023609999999999</v>
      </c>
      <c r="L4450">
        <v>-9.3847959999999997</v>
      </c>
      <c r="M4450">
        <v>-2.8695519999999999E-2</v>
      </c>
      <c r="N4450">
        <v>0</v>
      </c>
      <c r="O4450">
        <v>0.99958389999999997</v>
      </c>
      <c r="P4450">
        <v>-0.1114899</v>
      </c>
      <c r="Q4450">
        <v>2.4270119999999999E-2</v>
      </c>
      <c r="R4450">
        <v>0.99346920000000005</v>
      </c>
      <c r="S4450">
        <v>-0.1167908</v>
      </c>
      <c r="T4450">
        <v>-0.25556669999999998</v>
      </c>
      <c r="U4450">
        <v>3.013855</v>
      </c>
      <c r="V4450">
        <v>-8.2899500000000001E-2</v>
      </c>
      <c r="W4450">
        <v>2.7300129999999999E-2</v>
      </c>
      <c r="X4450">
        <v>0.99618390000000001</v>
      </c>
      <c r="Y4450">
        <v>-9.8939140000000002E-3</v>
      </c>
      <c r="Z4450">
        <v>-8.4408479999999994E-2</v>
      </c>
      <c r="AA4450">
        <v>0.99638210000000005</v>
      </c>
      <c r="AB4450">
        <v>39</v>
      </c>
      <c r="AC4450">
        <v>-2.1999999999991301E-2</v>
      </c>
      <c r="AD4450">
        <v>-7.2015000000000107E-2</v>
      </c>
      <c r="AE4450">
        <v>0.46575900000000198</v>
      </c>
      <c r="AF4450">
        <v>-8.4247253936058798E-3</v>
      </c>
      <c r="AG4450">
        <v>-7.2015000000000107E-2</v>
      </c>
      <c r="AH4450">
        <v>0.45533703479840498</v>
      </c>
      <c r="AI4450">
        <v>98.985806247703806</v>
      </c>
      <c r="AJ4450">
        <v>91.059975582755001</v>
      </c>
      <c r="AK4450">
        <v>0.46107369419861899</v>
      </c>
      <c r="AL4450">
        <v>88.435623398588803</v>
      </c>
      <c r="AM4450">
        <v>94.757025864496299</v>
      </c>
      <c r="AN4450">
        <v>0.99999999340873802</v>
      </c>
    </row>
    <row r="4451" spans="1:40" x14ac:dyDescent="0.3">
      <c r="A4451" t="str">
        <f>"20200111154007952"</f>
        <v>20200111154007952</v>
      </c>
      <c r="B4451" t="str">
        <f>"1578728407945100"</f>
        <v>1578728407945100</v>
      </c>
      <c r="C4451" t="s">
        <v>40</v>
      </c>
      <c r="D4451">
        <v>5.4048040000000004</v>
      </c>
      <c r="E4451">
        <v>0.59130760000000004</v>
      </c>
      <c r="F4451" t="s">
        <v>41</v>
      </c>
      <c r="G4451">
        <v>-187.34479999999999</v>
      </c>
      <c r="H4451">
        <v>0.94224350000000001</v>
      </c>
      <c r="I4451">
        <v>-8.6041150000000002</v>
      </c>
      <c r="J4451">
        <v>-187.45</v>
      </c>
      <c r="K4451">
        <v>1.1023149999999999</v>
      </c>
      <c r="L4451">
        <v>-8.9697569999999995</v>
      </c>
      <c r="M4451">
        <v>-2.8015749999999999E-2</v>
      </c>
      <c r="N4451">
        <v>0</v>
      </c>
      <c r="O4451">
        <v>0.99960320000000003</v>
      </c>
      <c r="P4451">
        <v>-0.10894040000000001</v>
      </c>
      <c r="Q4451">
        <v>2.3249470000000001E-2</v>
      </c>
      <c r="R4451">
        <v>0.9937764</v>
      </c>
      <c r="S4451">
        <v>0.36874390000000001</v>
      </c>
      <c r="T4451">
        <v>-0.63096079999999999</v>
      </c>
      <c r="U4451">
        <v>3.076508</v>
      </c>
      <c r="V4451">
        <v>-8.1019030000000006E-2</v>
      </c>
      <c r="W4451">
        <v>2.6300560000000001E-2</v>
      </c>
      <c r="X4451">
        <v>0.99636550000000002</v>
      </c>
      <c r="Y4451">
        <v>0.14439080000000001</v>
      </c>
      <c r="Z4451">
        <v>-0.1990509</v>
      </c>
      <c r="AA4451">
        <v>0.96929359999999998</v>
      </c>
      <c r="AB4451">
        <v>39</v>
      </c>
      <c r="AC4451">
        <v>0.10519999999999601</v>
      </c>
      <c r="AD4451">
        <v>-0.16007150000000001</v>
      </c>
      <c r="AE4451">
        <v>0.36564200000000102</v>
      </c>
      <c r="AF4451">
        <v>9.8047894204963307E-2</v>
      </c>
      <c r="AG4451">
        <v>-0.16007150000000001</v>
      </c>
      <c r="AH4451">
        <v>0.30802960926216899</v>
      </c>
      <c r="AI4451">
        <v>116.34379031196301</v>
      </c>
      <c r="AJ4451">
        <v>72.343377632686099</v>
      </c>
      <c r="AK4451">
        <v>0.36071944063563099</v>
      </c>
      <c r="AL4451">
        <v>88.492915141698106</v>
      </c>
      <c r="AM4451">
        <v>94.648753606909693</v>
      </c>
      <c r="AN4451">
        <v>1.0000000061343499</v>
      </c>
    </row>
    <row r="4452" spans="1:40" x14ac:dyDescent="0.3">
      <c r="A4452" t="str">
        <f>"20200111154007975"</f>
        <v>20200111154007975</v>
      </c>
      <c r="B4452" t="str">
        <f>"1578728407965596"</f>
        <v>1578728407965596</v>
      </c>
      <c r="C4452" t="s">
        <v>40</v>
      </c>
      <c r="D4452">
        <v>5.3718360000000001</v>
      </c>
      <c r="E4452">
        <v>0.59233630000000004</v>
      </c>
      <c r="F4452" t="s">
        <v>41</v>
      </c>
      <c r="G4452">
        <v>-187.35599999999999</v>
      </c>
      <c r="H4452">
        <v>0.94642660000000001</v>
      </c>
      <c r="I4452">
        <v>-8.2473729999999996</v>
      </c>
      <c r="J4452">
        <v>-187.46100000000001</v>
      </c>
      <c r="K4452">
        <v>1.102277</v>
      </c>
      <c r="L4452">
        <v>-8.5596309999999995</v>
      </c>
      <c r="M4452">
        <v>-2.7344779999999999E-2</v>
      </c>
      <c r="N4452">
        <v>0</v>
      </c>
      <c r="O4452">
        <v>0.99962169999999895</v>
      </c>
      <c r="P4452">
        <v>-0.107351</v>
      </c>
      <c r="Q4452">
        <v>2.3284590000000001E-2</v>
      </c>
      <c r="R4452">
        <v>0.99394850000000001</v>
      </c>
      <c r="S4452">
        <v>0.40010069999999998</v>
      </c>
      <c r="T4452">
        <v>-0.66423929999999998</v>
      </c>
      <c r="U4452">
        <v>3.0781860000000001</v>
      </c>
      <c r="V4452">
        <v>-8.0091949999999995E-2</v>
      </c>
      <c r="W4452">
        <v>2.6356330000000001E-2</v>
      </c>
      <c r="X4452">
        <v>0.99643899999999996</v>
      </c>
      <c r="Y4452">
        <v>0.1531198</v>
      </c>
      <c r="Z4452">
        <v>-0.20872969999999999</v>
      </c>
      <c r="AA4452">
        <v>0.9659122</v>
      </c>
      <c r="AB4452">
        <v>40</v>
      </c>
      <c r="AC4452">
        <v>0.104999999999989</v>
      </c>
      <c r="AD4452">
        <v>-0.155850399999999</v>
      </c>
      <c r="AE4452">
        <v>0.31225799999999898</v>
      </c>
      <c r="AF4452">
        <v>9.2743198357877393E-2</v>
      </c>
      <c r="AG4452">
        <v>-0.155850399999999</v>
      </c>
      <c r="AH4452">
        <v>0.25271226835382299</v>
      </c>
      <c r="AI4452">
        <v>120.06888680210901</v>
      </c>
      <c r="AJ4452">
        <v>69.847303601385605</v>
      </c>
      <c r="AK4452">
        <v>0.31105327292658902</v>
      </c>
      <c r="AL4452">
        <v>88.4897186820358</v>
      </c>
      <c r="AM4452">
        <v>94.595450746894102</v>
      </c>
      <c r="AN4452">
        <v>1.0000000286534301</v>
      </c>
    </row>
    <row r="4453" spans="1:40" x14ac:dyDescent="0.3">
      <c r="A4453" t="str">
        <f>"20200111154008019"</f>
        <v>20200111154008019</v>
      </c>
      <c r="B4453" t="str">
        <f>"1578728408015371"</f>
        <v>1578728408015371</v>
      </c>
      <c r="C4453" t="s">
        <v>40</v>
      </c>
      <c r="D4453">
        <v>5.3570080000000004</v>
      </c>
      <c r="E4453">
        <v>0.59366390000000002</v>
      </c>
      <c r="F4453" t="s">
        <v>41</v>
      </c>
      <c r="G4453">
        <v>-187.3263</v>
      </c>
      <c r="H4453">
        <v>0.87839959999999995</v>
      </c>
      <c r="I4453">
        <v>-7.5590869999999999</v>
      </c>
      <c r="J4453">
        <v>-187.4812</v>
      </c>
      <c r="K4453">
        <v>1.102225</v>
      </c>
      <c r="L4453">
        <v>-7.7852169999999896</v>
      </c>
      <c r="M4453">
        <v>-2.6079330000000001E-2</v>
      </c>
      <c r="N4453">
        <v>0</v>
      </c>
      <c r="O4453">
        <v>0.99965539999999997</v>
      </c>
      <c r="P4453">
        <v>-0.1069806</v>
      </c>
      <c r="Q4453">
        <v>2.4889709999999999E-2</v>
      </c>
      <c r="R4453">
        <v>0.99394950000000004</v>
      </c>
      <c r="S4453">
        <v>0.41439819999999999</v>
      </c>
      <c r="T4453">
        <v>-0.68896859999999904</v>
      </c>
      <c r="U4453">
        <v>3.0791629999999999</v>
      </c>
      <c r="V4453">
        <v>-8.0977279999999999E-2</v>
      </c>
      <c r="W4453">
        <v>2.8002249999999999E-2</v>
      </c>
      <c r="X4453">
        <v>0.9963225</v>
      </c>
      <c r="Y4453">
        <v>0.1560272</v>
      </c>
      <c r="Z4453">
        <v>-0.2159732</v>
      </c>
      <c r="AA4453">
        <v>0.96385220000000005</v>
      </c>
      <c r="AB4453">
        <v>40</v>
      </c>
      <c r="AC4453">
        <v>0.15489999999999701</v>
      </c>
      <c r="AD4453">
        <v>-0.22382540000000001</v>
      </c>
      <c r="AE4453">
        <v>0.226129999999999</v>
      </c>
      <c r="AF4453">
        <v>9.6437590823545097E-2</v>
      </c>
      <c r="AG4453">
        <v>-0.22382540000000001</v>
      </c>
      <c r="AH4453">
        <v>0.133195315017092</v>
      </c>
      <c r="AI4453">
        <v>143.69567931930101</v>
      </c>
      <c r="AJ4453">
        <v>54.094281122306</v>
      </c>
      <c r="AK4453">
        <v>0.277739105189586</v>
      </c>
      <c r="AL4453">
        <v>88.395379483245904</v>
      </c>
      <c r="AM4453">
        <v>94.646568197597105</v>
      </c>
      <c r="AN4453">
        <v>0.99999998494375497</v>
      </c>
    </row>
    <row r="4454" spans="1:40" x14ac:dyDescent="0.3">
      <c r="A4454" t="str">
        <f>"20200111154008041"</f>
        <v>20200111154008041</v>
      </c>
      <c r="B4454" t="str">
        <f>"1578728408035868"</f>
        <v>1578728408035868</v>
      </c>
      <c r="C4454" t="s">
        <v>40</v>
      </c>
      <c r="D4454">
        <v>5.3747780000000001</v>
      </c>
      <c r="E4454">
        <v>0.59371549999999995</v>
      </c>
      <c r="F4454" t="s">
        <v>41</v>
      </c>
      <c r="G4454">
        <v>-187.3492</v>
      </c>
      <c r="H4454">
        <v>0.89146039999999904</v>
      </c>
      <c r="I4454">
        <v>-6.8345859999999998</v>
      </c>
      <c r="J4454">
        <v>-187.49170000000001</v>
      </c>
      <c r="K4454">
        <v>1.1022050000000001</v>
      </c>
      <c r="L4454">
        <v>-7.3636470000000003</v>
      </c>
      <c r="M4454">
        <v>-2.539021E-2</v>
      </c>
      <c r="N4454">
        <v>0</v>
      </c>
      <c r="O4454">
        <v>0.99967309999999998</v>
      </c>
      <c r="P4454">
        <v>-0.1081333</v>
      </c>
      <c r="Q4454">
        <v>2.535509E-2</v>
      </c>
      <c r="R4454">
        <v>0.99381299999999995</v>
      </c>
      <c r="S4454">
        <v>0.42732239999999999</v>
      </c>
      <c r="T4454">
        <v>-0.68314140000000001</v>
      </c>
      <c r="U4454">
        <v>3.0813600000000001</v>
      </c>
      <c r="V4454">
        <v>-8.2818370000000002E-2</v>
      </c>
      <c r="W4454">
        <v>2.8490330000000001E-2</v>
      </c>
      <c r="X4454">
        <v>0.99615730000000002</v>
      </c>
      <c r="Y4454">
        <v>0.15928390000000001</v>
      </c>
      <c r="Z4454">
        <v>-0.21397949999999999</v>
      </c>
      <c r="AA4454">
        <v>0.96376419999999996</v>
      </c>
      <c r="AB4454">
        <v>40</v>
      </c>
      <c r="AC4454">
        <v>0.14250000000001201</v>
      </c>
      <c r="AD4454">
        <v>-0.210744599999999</v>
      </c>
      <c r="AE4454">
        <v>0.529061</v>
      </c>
      <c r="AF4454">
        <v>0.13579726408037801</v>
      </c>
      <c r="AG4454">
        <v>-0.210744599999999</v>
      </c>
      <c r="AH4454">
        <v>0.45757825924029</v>
      </c>
      <c r="AI4454">
        <v>113.822969794874</v>
      </c>
      <c r="AJ4454">
        <v>73.470488069646095</v>
      </c>
      <c r="AK4454">
        <v>0.521758609598586</v>
      </c>
      <c r="AL4454">
        <v>88.367403377700896</v>
      </c>
      <c r="AM4454">
        <v>94.752518031648293</v>
      </c>
      <c r="AN4454">
        <v>0.999999973828127</v>
      </c>
    </row>
    <row r="4455" spans="1:40" x14ac:dyDescent="0.3">
      <c r="A4455" t="str">
        <f>"20200111154008064"</f>
        <v>20200111154008064</v>
      </c>
      <c r="B4455" t="str">
        <f>"1578728408055388"</f>
        <v>1578728408055388</v>
      </c>
      <c r="C4455" t="s">
        <v>40</v>
      </c>
      <c r="D4455">
        <v>5.3829999999999902</v>
      </c>
      <c r="E4455">
        <v>0.59374669999999996</v>
      </c>
      <c r="F4455" t="s">
        <v>41</v>
      </c>
      <c r="G4455">
        <v>-187.3683</v>
      </c>
      <c r="H4455">
        <v>0.90503469999999997</v>
      </c>
      <c r="I4455">
        <v>-6.4679419999999999</v>
      </c>
      <c r="J4455">
        <v>-187.50139999999999</v>
      </c>
      <c r="K4455">
        <v>1.1021909999999999</v>
      </c>
      <c r="L4455">
        <v>-6.9633789999999998</v>
      </c>
      <c r="M4455">
        <v>-2.4736350000000001E-2</v>
      </c>
      <c r="N4455">
        <v>0</v>
      </c>
      <c r="O4455">
        <v>0.99968939999999995</v>
      </c>
      <c r="P4455">
        <v>-0.10946400000000001</v>
      </c>
      <c r="Q4455">
        <v>2.512696E-2</v>
      </c>
      <c r="R4455">
        <v>0.99367309999999998</v>
      </c>
      <c r="S4455">
        <v>0.42401119999999998</v>
      </c>
      <c r="T4455">
        <v>-0.67842340000000001</v>
      </c>
      <c r="U4455">
        <v>3.0821230000000002</v>
      </c>
      <c r="V4455">
        <v>-8.4802810000000006E-2</v>
      </c>
      <c r="W4455">
        <v>2.8284420000000001E-2</v>
      </c>
      <c r="X4455">
        <v>0.9959962</v>
      </c>
      <c r="Y4455">
        <v>0.1576321</v>
      </c>
      <c r="Z4455">
        <v>-0.2125686</v>
      </c>
      <c r="AA4455">
        <v>0.96434779999999998</v>
      </c>
      <c r="AB4455">
        <v>40</v>
      </c>
      <c r="AC4455">
        <v>0.13309999999998401</v>
      </c>
      <c r="AD4455">
        <v>-0.19715629999999901</v>
      </c>
      <c r="AE4455">
        <v>0.49543699999999902</v>
      </c>
      <c r="AF4455">
        <v>0.12661382270979199</v>
      </c>
      <c r="AG4455">
        <v>-0.19715629999999901</v>
      </c>
      <c r="AH4455">
        <v>0.42867748895102098</v>
      </c>
      <c r="AI4455">
        <v>113.80134074779799</v>
      </c>
      <c r="AJ4455">
        <v>73.545011771228005</v>
      </c>
      <c r="AK4455">
        <v>0.48853460088741901</v>
      </c>
      <c r="AL4455">
        <v>88.379205914730306</v>
      </c>
      <c r="AM4455">
        <v>94.866637640392895</v>
      </c>
      <c r="AN4455">
        <v>0.99999997770653604</v>
      </c>
    </row>
    <row r="4456" spans="1:40" x14ac:dyDescent="0.3">
      <c r="A4456" t="str">
        <f>"20200111154008087"</f>
        <v>20200111154008087</v>
      </c>
      <c r="B4456" t="str">
        <f>"1578728408075883"</f>
        <v>1578728408075883</v>
      </c>
      <c r="C4456" t="s">
        <v>40</v>
      </c>
      <c r="D4456">
        <v>5.389202</v>
      </c>
      <c r="E4456">
        <v>0.59391249999999995</v>
      </c>
      <c r="F4456" t="s">
        <v>41</v>
      </c>
      <c r="G4456">
        <v>-187.38409999999999</v>
      </c>
      <c r="H4456">
        <v>0.91281769999999995</v>
      </c>
      <c r="I4456">
        <v>-6.1021080000000003</v>
      </c>
      <c r="J4456">
        <v>-187.51130000000001</v>
      </c>
      <c r="K4456">
        <v>1.102179</v>
      </c>
      <c r="L4456">
        <v>-6.544403</v>
      </c>
      <c r="M4456">
        <v>-2.405496E-2</v>
      </c>
      <c r="N4456">
        <v>0</v>
      </c>
      <c r="O4456">
        <v>0.99970599999999998</v>
      </c>
      <c r="P4456">
        <v>-0.1099255</v>
      </c>
      <c r="Q4456">
        <v>2.539278E-2</v>
      </c>
      <c r="R4456">
        <v>0.99361540000000004</v>
      </c>
      <c r="S4456">
        <v>0.41973880000000002</v>
      </c>
      <c r="T4456">
        <v>-0.67775879999999999</v>
      </c>
      <c r="U4456">
        <v>3.0824889999999998</v>
      </c>
      <c r="V4456">
        <v>-8.5943759999999994E-2</v>
      </c>
      <c r="W4456">
        <v>2.8571349999999999E-2</v>
      </c>
      <c r="X4456">
        <v>0.99589019999999995</v>
      </c>
      <c r="Y4456">
        <v>0.15563660000000001</v>
      </c>
      <c r="Z4456">
        <v>-0.21240429999999999</v>
      </c>
      <c r="AA4456">
        <v>0.96470809999999996</v>
      </c>
      <c r="AB4456">
        <v>40</v>
      </c>
      <c r="AC4456">
        <v>0.12720000000001599</v>
      </c>
      <c r="AD4456">
        <v>-0.18936130000000001</v>
      </c>
      <c r="AE4456">
        <v>0.44229499999999899</v>
      </c>
      <c r="AF4456">
        <v>0.11785093235550401</v>
      </c>
      <c r="AG4456">
        <v>-0.18936130000000001</v>
      </c>
      <c r="AH4456">
        <v>0.37553124994305098</v>
      </c>
      <c r="AI4456">
        <v>115.69285422649099</v>
      </c>
      <c r="AJ4456">
        <v>72.576861265434701</v>
      </c>
      <c r="AK4456">
        <v>0.43677255394374498</v>
      </c>
      <c r="AL4456">
        <v>88.3627593786901</v>
      </c>
      <c r="AM4456">
        <v>94.932315658927905</v>
      </c>
      <c r="AN4456">
        <v>0.99999997118989903</v>
      </c>
    </row>
    <row r="4457" spans="1:40" x14ac:dyDescent="0.3">
      <c r="A4457" t="str">
        <f>"20200111154008108"</f>
        <v>20200111154008108</v>
      </c>
      <c r="B4457" t="str">
        <f>"1578728408105164"</f>
        <v>1578728408105164</v>
      </c>
      <c r="C4457" t="s">
        <v>40</v>
      </c>
      <c r="D4457">
        <v>5.3566690000000001</v>
      </c>
      <c r="E4457">
        <v>0.59485350000000004</v>
      </c>
      <c r="F4457" t="s">
        <v>41</v>
      </c>
      <c r="G4457">
        <v>-187.40090000000001</v>
      </c>
      <c r="H4457">
        <v>0.92305870000000001</v>
      </c>
      <c r="I4457">
        <v>-5.7339310000000001</v>
      </c>
      <c r="J4457">
        <v>-187.52010000000001</v>
      </c>
      <c r="K4457">
        <v>1.102163</v>
      </c>
      <c r="L4457">
        <v>-6.1607669999999999</v>
      </c>
      <c r="M4457">
        <v>-2.3438299999999999E-2</v>
      </c>
      <c r="N4457">
        <v>0</v>
      </c>
      <c r="O4457">
        <v>0.99972059999999996</v>
      </c>
      <c r="P4457">
        <v>-0.1101839</v>
      </c>
      <c r="Q4457">
        <v>2.4681560000000002E-2</v>
      </c>
      <c r="R4457">
        <v>0.99360470000000001</v>
      </c>
      <c r="S4457">
        <v>0.41940309999999997</v>
      </c>
      <c r="T4457">
        <v>-0.68136269999999999</v>
      </c>
      <c r="U4457">
        <v>3.0830989999999998</v>
      </c>
      <c r="V4457">
        <v>-8.68173E-2</v>
      </c>
      <c r="W4457">
        <v>2.7878790000000001E-2</v>
      </c>
      <c r="X4457">
        <v>0.99583410000000006</v>
      </c>
      <c r="Y4457">
        <v>0.15486800000000001</v>
      </c>
      <c r="Z4457">
        <v>-0.21346100000000001</v>
      </c>
      <c r="AA4457">
        <v>0.96459850000000003</v>
      </c>
      <c r="AB4457">
        <v>41</v>
      </c>
      <c r="AC4457">
        <v>0.119200000000006</v>
      </c>
      <c r="AD4457">
        <v>-0.17910429999999999</v>
      </c>
      <c r="AE4457">
        <v>0.42683599999999899</v>
      </c>
      <c r="AF4457">
        <v>0.11103573269915901</v>
      </c>
      <c r="AG4457">
        <v>-0.17910429999999999</v>
      </c>
      <c r="AH4457">
        <v>0.36440522522485402</v>
      </c>
      <c r="AI4457">
        <v>115.18085733316801</v>
      </c>
      <c r="AJ4457">
        <v>73.053811129980701</v>
      </c>
      <c r="AK4457">
        <v>0.42094946535861699</v>
      </c>
      <c r="AL4457">
        <v>88.402456027270603</v>
      </c>
      <c r="AM4457">
        <v>94.982476340457396</v>
      </c>
      <c r="AN4457">
        <v>1.0000000126169799</v>
      </c>
    </row>
    <row r="4458" spans="1:40" x14ac:dyDescent="0.3">
      <c r="A4458" t="str">
        <f>"20200111154008176"</f>
        <v>20200111154008176</v>
      </c>
      <c r="B4458" t="str">
        <f>"1578728408165676"</f>
        <v>1578728408165676</v>
      </c>
      <c r="C4458" t="s">
        <v>40</v>
      </c>
      <c r="D4458">
        <v>5.3704479999999997</v>
      </c>
      <c r="E4458">
        <v>0.59587959999999995</v>
      </c>
      <c r="F4458" t="s">
        <v>41</v>
      </c>
      <c r="G4458">
        <v>-187.44370000000001</v>
      </c>
      <c r="H4458">
        <v>0.94714500000000001</v>
      </c>
      <c r="I4458">
        <v>-4.62235</v>
      </c>
      <c r="J4458">
        <v>-187.54759999999999</v>
      </c>
      <c r="K4458">
        <v>1.1021669999999999</v>
      </c>
      <c r="L4458">
        <v>-4.9028019999999897</v>
      </c>
      <c r="M4458">
        <v>-2.156723E-2</v>
      </c>
      <c r="N4458">
        <v>0</v>
      </c>
      <c r="O4458">
        <v>0.9997625</v>
      </c>
      <c r="P4458">
        <v>-0.11079</v>
      </c>
      <c r="Q4458">
        <v>2.3145740000000001E-2</v>
      </c>
      <c r="R4458">
        <v>0.99357430000000002</v>
      </c>
      <c r="S4458">
        <v>0.4316101</v>
      </c>
      <c r="T4458">
        <v>-0.70239269999999998</v>
      </c>
      <c r="U4458">
        <v>3.083466</v>
      </c>
      <c r="V4458">
        <v>-8.9291750000000003E-2</v>
      </c>
      <c r="W4458">
        <v>2.6392559999999999E-2</v>
      </c>
      <c r="X4458">
        <v>0.99565579999999998</v>
      </c>
      <c r="Y4458">
        <v>0.1565619</v>
      </c>
      <c r="Z4458">
        <v>-0.2196352</v>
      </c>
      <c r="AA4458">
        <v>0.96293759999999995</v>
      </c>
      <c r="AB4458">
        <v>41</v>
      </c>
      <c r="AC4458">
        <v>0.10389999999998099</v>
      </c>
      <c r="AD4458">
        <v>-0.15502199999999899</v>
      </c>
      <c r="AE4458">
        <v>0.28045199999999898</v>
      </c>
      <c r="AF4458">
        <v>8.6645654391032403E-2</v>
      </c>
      <c r="AG4458">
        <v>-0.15502199999999899</v>
      </c>
      <c r="AH4458">
        <v>0.219242748436422</v>
      </c>
      <c r="AI4458">
        <v>123.328457893756</v>
      </c>
      <c r="AJ4458">
        <v>68.435860209933296</v>
      </c>
      <c r="AK4458">
        <v>0.28214654463736799</v>
      </c>
      <c r="AL4458">
        <v>88.487642132589798</v>
      </c>
      <c r="AM4458">
        <v>95.124653080547702</v>
      </c>
      <c r="AN4458">
        <v>1.0000000279575201</v>
      </c>
    </row>
    <row r="4459" spans="1:40" x14ac:dyDescent="0.3">
      <c r="A4459" t="str">
        <f>"20200111154008196"</f>
        <v>20200111154008196</v>
      </c>
      <c r="B4459" t="str">
        <f>"1578728408185196"</f>
        <v>1578728408185196</v>
      </c>
      <c r="C4459" t="s">
        <v>40</v>
      </c>
      <c r="D4459">
        <v>5.2881359999999997</v>
      </c>
      <c r="E4459">
        <v>0.5962191</v>
      </c>
      <c r="F4459" t="s">
        <v>41</v>
      </c>
      <c r="G4459">
        <v>-187.4085</v>
      </c>
      <c r="H4459">
        <v>0.87472340000000004</v>
      </c>
      <c r="I4459">
        <v>-3.9088210000000001</v>
      </c>
      <c r="J4459">
        <v>-187.55549999999999</v>
      </c>
      <c r="K4459">
        <v>1.102196</v>
      </c>
      <c r="L4459">
        <v>-4.5247190000000002</v>
      </c>
      <c r="M4459">
        <v>-2.1086069999999998E-2</v>
      </c>
      <c r="N4459">
        <v>0</v>
      </c>
      <c r="O4459">
        <v>0.99977280000000002</v>
      </c>
      <c r="P4459">
        <v>-0.1110501</v>
      </c>
      <c r="Q4459">
        <v>2.3816879999999999E-2</v>
      </c>
      <c r="R4459">
        <v>0.99352940000000001</v>
      </c>
      <c r="S4459">
        <v>0.43138120000000002</v>
      </c>
      <c r="T4459">
        <v>-0.7056673</v>
      </c>
      <c r="U4459">
        <v>3.0839539999999999</v>
      </c>
      <c r="V4459">
        <v>-9.0033100000000005E-2</v>
      </c>
      <c r="W4459">
        <v>2.7074190000000001E-2</v>
      </c>
      <c r="X4459">
        <v>0.99557070000000003</v>
      </c>
      <c r="Y4459">
        <v>0.15596599999999999</v>
      </c>
      <c r="Z4459">
        <v>-0.2205908</v>
      </c>
      <c r="AA4459">
        <v>0.9628158</v>
      </c>
      <c r="AB4459">
        <v>41</v>
      </c>
      <c r="AC4459">
        <v>0.146999999999991</v>
      </c>
      <c r="AD4459">
        <v>-0.227472599999999</v>
      </c>
      <c r="AE4459">
        <v>0.61589799999999995</v>
      </c>
      <c r="AF4459">
        <v>0.141670734552622</v>
      </c>
      <c r="AG4459">
        <v>-0.227472599999999</v>
      </c>
      <c r="AH4459">
        <v>0.54263135280498098</v>
      </c>
      <c r="AI4459">
        <v>112.07781637189601</v>
      </c>
      <c r="AJ4459">
        <v>75.367784327459006</v>
      </c>
      <c r="AK4459">
        <v>0.60519679925326997</v>
      </c>
      <c r="AL4459">
        <v>88.448573596150794</v>
      </c>
      <c r="AM4459">
        <v>95.167410722221803</v>
      </c>
      <c r="AN4459">
        <v>0.99999999477912804</v>
      </c>
    </row>
    <row r="4460" spans="1:40" x14ac:dyDescent="0.3">
      <c r="A4460" t="str">
        <f>"20200111154008221"</f>
        <v>20200111154008221</v>
      </c>
      <c r="B4460" t="str">
        <f>"1578728408215452"</f>
        <v>1578728408215452</v>
      </c>
      <c r="C4460" t="s">
        <v>40</v>
      </c>
      <c r="D4460">
        <v>5.2763450000000001</v>
      </c>
      <c r="E4460">
        <v>0.5967654</v>
      </c>
      <c r="F4460" t="s">
        <v>41</v>
      </c>
      <c r="G4460">
        <v>-187.41650000000001</v>
      </c>
      <c r="H4460">
        <v>0.87585029999999997</v>
      </c>
      <c r="I4460">
        <v>-3.5357460000000001</v>
      </c>
      <c r="J4460">
        <v>-187.56460000000001</v>
      </c>
      <c r="K4460">
        <v>1.1022529999999999</v>
      </c>
      <c r="L4460">
        <v>-4.0729059999999997</v>
      </c>
      <c r="M4460">
        <v>-2.0577620000000001E-2</v>
      </c>
      <c r="N4460">
        <v>0</v>
      </c>
      <c r="O4460">
        <v>0.99978330000000004</v>
      </c>
      <c r="P4460">
        <v>-0.11089880000000001</v>
      </c>
      <c r="Q4460">
        <v>2.486621E-2</v>
      </c>
      <c r="R4460">
        <v>0.99352059999999998</v>
      </c>
      <c r="S4460">
        <v>0.43289179999999999</v>
      </c>
      <c r="T4460">
        <v>-0.70600430000000003</v>
      </c>
      <c r="U4460">
        <v>3.0848390000000001</v>
      </c>
      <c r="V4460">
        <v>-9.0389819999999996E-2</v>
      </c>
      <c r="W4460">
        <v>2.81338E-2</v>
      </c>
      <c r="X4460">
        <v>0.99550899999999998</v>
      </c>
      <c r="Y4460">
        <v>0.15588740000000001</v>
      </c>
      <c r="Z4460">
        <v>-0.2206292</v>
      </c>
      <c r="AA4460">
        <v>0.9628198</v>
      </c>
      <c r="AB4460">
        <v>42</v>
      </c>
      <c r="AC4460">
        <v>0.14809999999999901</v>
      </c>
      <c r="AD4460">
        <v>-0.22640270000000001</v>
      </c>
      <c r="AE4460">
        <v>0.53715999999999897</v>
      </c>
      <c r="AF4460">
        <v>0.136574265947038</v>
      </c>
      <c r="AG4460">
        <v>-0.22640270000000001</v>
      </c>
      <c r="AH4460">
        <v>0.45833010189118201</v>
      </c>
      <c r="AI4460">
        <v>115.33298759232299</v>
      </c>
      <c r="AJ4460">
        <v>73.406873924353903</v>
      </c>
      <c r="AK4460">
        <v>0.52912871306123999</v>
      </c>
      <c r="AL4460">
        <v>88.387839276346796</v>
      </c>
      <c r="AM4460">
        <v>95.188092790406401</v>
      </c>
      <c r="AN4460">
        <v>0.99999999967153597</v>
      </c>
    </row>
    <row r="4461" spans="1:40" x14ac:dyDescent="0.3">
      <c r="A4461" t="str">
        <f>"20200111154008243"</f>
        <v>20200111154008243</v>
      </c>
      <c r="B4461" t="str">
        <f>"1578728408234972"</f>
        <v>1578728408234972</v>
      </c>
      <c r="C4461" t="s">
        <v>40</v>
      </c>
      <c r="D4461">
        <v>5.2569480000000004</v>
      </c>
      <c r="E4461">
        <v>0.59712929999999997</v>
      </c>
      <c r="F4461" t="s">
        <v>41</v>
      </c>
      <c r="G4461">
        <v>-187.43469999999999</v>
      </c>
      <c r="H4461">
        <v>0.89245319999999995</v>
      </c>
      <c r="I4461">
        <v>-3.1555819999999999</v>
      </c>
      <c r="J4461">
        <v>-187.57310000000001</v>
      </c>
      <c r="K4461">
        <v>1.102301</v>
      </c>
      <c r="L4461">
        <v>-3.64975</v>
      </c>
      <c r="M4461">
        <v>-2.0168709999999999E-2</v>
      </c>
      <c r="N4461">
        <v>0</v>
      </c>
      <c r="O4461">
        <v>0.9997916</v>
      </c>
      <c r="P4461">
        <v>-0.1108145</v>
      </c>
      <c r="Q4461">
        <v>2.6723759999999999E-2</v>
      </c>
      <c r="R4461">
        <v>0.99348179999999997</v>
      </c>
      <c r="S4461">
        <v>0.4366913</v>
      </c>
      <c r="T4461">
        <v>-0.70577500000000004</v>
      </c>
      <c r="U4461">
        <v>3.0859679999999998</v>
      </c>
      <c r="V4461">
        <v>-9.0713859999999993E-2</v>
      </c>
      <c r="W4461">
        <v>2.9999350000000001E-2</v>
      </c>
      <c r="X4461">
        <v>0.995425</v>
      </c>
      <c r="Y4461">
        <v>0.15660289999999999</v>
      </c>
      <c r="Z4461">
        <v>-0.2204575</v>
      </c>
      <c r="AA4461">
        <v>0.96274300000000002</v>
      </c>
      <c r="AB4461">
        <v>42</v>
      </c>
      <c r="AC4461">
        <v>0.13840000000001801</v>
      </c>
      <c r="AD4461">
        <v>-0.2098478</v>
      </c>
      <c r="AE4461">
        <v>0.494168</v>
      </c>
      <c r="AF4461">
        <v>0.127088107240137</v>
      </c>
      <c r="AG4461">
        <v>-0.2098478</v>
      </c>
      <c r="AH4461">
        <v>0.42089745890848401</v>
      </c>
      <c r="AI4461">
        <v>115.514643288933</v>
      </c>
      <c r="AJ4461">
        <v>73.198543830340995</v>
      </c>
      <c r="AK4461">
        <v>0.48717774690798399</v>
      </c>
      <c r="AL4461">
        <v>88.280905848747594</v>
      </c>
      <c r="AM4461">
        <v>95.207026580919901</v>
      </c>
      <c r="AN4461">
        <v>0.99999994801075898</v>
      </c>
    </row>
    <row r="4462" spans="1:40" x14ac:dyDescent="0.3">
      <c r="A4462" t="str">
        <f>"20200111154008286"</f>
        <v>20200111154008286</v>
      </c>
      <c r="B4462" t="str">
        <f>"1578728408275963"</f>
        <v>1578728408275963</v>
      </c>
      <c r="C4462" t="s">
        <v>40</v>
      </c>
      <c r="D4462">
        <v>5.1743860000000002</v>
      </c>
      <c r="E4462">
        <v>0.59785690000000002</v>
      </c>
      <c r="F4462" t="s">
        <v>41</v>
      </c>
      <c r="G4462">
        <v>-187.4486</v>
      </c>
      <c r="H4462">
        <v>0.90366349999999995</v>
      </c>
      <c r="I4462">
        <v>-2.7760039999999999</v>
      </c>
      <c r="J4462">
        <v>-187.58879999999999</v>
      </c>
      <c r="K4462">
        <v>1.1024080000000001</v>
      </c>
      <c r="L4462">
        <v>-2.8464969999999998</v>
      </c>
      <c r="M4462">
        <v>-1.9590090000000001E-2</v>
      </c>
      <c r="N4462">
        <v>0</v>
      </c>
      <c r="O4462">
        <v>0.99980290000000005</v>
      </c>
      <c r="P4462">
        <v>-0.1089624</v>
      </c>
      <c r="Q4462">
        <v>2.794895E-2</v>
      </c>
      <c r="R4462">
        <v>0.99365289999999995</v>
      </c>
      <c r="S4462">
        <v>0.43939210000000001</v>
      </c>
      <c r="T4462">
        <v>-0.7019223</v>
      </c>
      <c r="U4462">
        <v>3.0875849999999998</v>
      </c>
      <c r="V4462">
        <v>-8.9441160000000006E-2</v>
      </c>
      <c r="W4462">
        <v>3.1235209999999999E-2</v>
      </c>
      <c r="X4462">
        <v>0.9955022</v>
      </c>
      <c r="Y4462">
        <v>0.15682760000000001</v>
      </c>
      <c r="Z4462">
        <v>-0.2191919</v>
      </c>
      <c r="AA4462">
        <v>0.96299539999999995</v>
      </c>
      <c r="AB4462">
        <v>42</v>
      </c>
      <c r="AC4462">
        <v>0.140199999999993</v>
      </c>
      <c r="AD4462">
        <v>-0.19874449999999999</v>
      </c>
      <c r="AE4462">
        <v>7.0493000000000305E-2</v>
      </c>
      <c r="AF4462">
        <v>5.4359909677214303E-2</v>
      </c>
      <c r="AG4462">
        <v>-0.19874449999999999</v>
      </c>
      <c r="AH4462">
        <v>2.60109504315513E-2</v>
      </c>
      <c r="AI4462">
        <v>163.131859261171</v>
      </c>
      <c r="AJ4462">
        <v>25.570886341914498</v>
      </c>
      <c r="AK4462">
        <v>0.20767991140868</v>
      </c>
      <c r="AL4462">
        <v>88.2100631498637</v>
      </c>
      <c r="AM4462">
        <v>95.133970067856694</v>
      </c>
      <c r="AN4462">
        <v>0.99999999482536395</v>
      </c>
    </row>
    <row r="4463" spans="1:40" x14ac:dyDescent="0.3">
      <c r="A4463" t="str">
        <f>"20200111154008312"</f>
        <v>20200111154008312</v>
      </c>
      <c r="B4463" t="str">
        <f>"1578728408305244"</f>
        <v>1578728408305244</v>
      </c>
      <c r="C4463" t="s">
        <v>40</v>
      </c>
      <c r="D4463">
        <v>5.2180879999999998</v>
      </c>
      <c r="E4463">
        <v>0.59833499999999995</v>
      </c>
      <c r="F4463" t="s">
        <v>41</v>
      </c>
      <c r="G4463">
        <v>-187.4675</v>
      </c>
      <c r="H4463">
        <v>0.91441870000000003</v>
      </c>
      <c r="I4463">
        <v>-2.0171350000000001</v>
      </c>
      <c r="J4463">
        <v>-187.59800000000001</v>
      </c>
      <c r="K4463">
        <v>1.1024640000000001</v>
      </c>
      <c r="L4463">
        <v>-2.3661189999999999</v>
      </c>
      <c r="M4463">
        <v>-1.9359609999999999E-2</v>
      </c>
      <c r="N4463">
        <v>0</v>
      </c>
      <c r="O4463">
        <v>0.99980740000000001</v>
      </c>
      <c r="P4463">
        <v>-0.1077838</v>
      </c>
      <c r="Q4463">
        <v>2.7773200000000001E-2</v>
      </c>
      <c r="R4463">
        <v>0.99378630000000001</v>
      </c>
      <c r="S4463">
        <v>0.45080569999999998</v>
      </c>
      <c r="T4463">
        <v>-0.69999419999999901</v>
      </c>
      <c r="U4463">
        <v>3.0882869999999998</v>
      </c>
      <c r="V4463">
        <v>-8.8494580000000003E-2</v>
      </c>
      <c r="W4463">
        <v>3.106602E-2</v>
      </c>
      <c r="X4463">
        <v>0.99559209999999998</v>
      </c>
      <c r="Y4463">
        <v>0.16007879999999899</v>
      </c>
      <c r="Z4463">
        <v>-0.21846170000000001</v>
      </c>
      <c r="AA4463">
        <v>0.96262619999999999</v>
      </c>
      <c r="AB4463">
        <v>42</v>
      </c>
      <c r="AC4463">
        <v>0.13049999999998299</v>
      </c>
      <c r="AD4463">
        <v>-0.188045299999999</v>
      </c>
      <c r="AE4463">
        <v>0.34898400000000002</v>
      </c>
      <c r="AF4463">
        <v>0.109371934758968</v>
      </c>
      <c r="AG4463">
        <v>-0.188045299999999</v>
      </c>
      <c r="AH4463">
        <v>0.27607003491662602</v>
      </c>
      <c r="AI4463">
        <v>122.34462656962199</v>
      </c>
      <c r="AJ4463">
        <v>68.3877872082614</v>
      </c>
      <c r="AK4463">
        <v>0.35147961412274997</v>
      </c>
      <c r="AL4463">
        <v>88.219761754691305</v>
      </c>
      <c r="AM4463">
        <v>95.079465367991702</v>
      </c>
      <c r="AN4463">
        <v>1.0000000089352099</v>
      </c>
    </row>
    <row r="4464" spans="1:40" x14ac:dyDescent="0.3">
      <c r="A4464" t="str">
        <f>"20200111154008334"</f>
        <v>20200111154008334</v>
      </c>
      <c r="B4464" t="str">
        <f>"1578728408325740"</f>
        <v>1578728408325740</v>
      </c>
      <c r="C4464" t="s">
        <v>40</v>
      </c>
      <c r="D4464">
        <v>5.1713849999999999</v>
      </c>
      <c r="E4464">
        <v>0.5986766</v>
      </c>
      <c r="F4464" t="s">
        <v>41</v>
      </c>
      <c r="G4464">
        <v>-187.48869999999999</v>
      </c>
      <c r="H4464">
        <v>0.93517019999999995</v>
      </c>
      <c r="I4464">
        <v>-1.6297299999999999</v>
      </c>
      <c r="J4464">
        <v>-187.60640000000001</v>
      </c>
      <c r="K4464">
        <v>1.1025149999999999</v>
      </c>
      <c r="L4464">
        <v>-1.933289</v>
      </c>
      <c r="M4464">
        <v>-1.921525E-2</v>
      </c>
      <c r="N4464">
        <v>0</v>
      </c>
      <c r="O4464">
        <v>0.99981010000000003</v>
      </c>
      <c r="P4464">
        <v>-0.10636660000000001</v>
      </c>
      <c r="Q4464">
        <v>2.7768930000000001E-2</v>
      </c>
      <c r="R4464">
        <v>0.99393920000000002</v>
      </c>
      <c r="S4464">
        <v>0.45834350000000001</v>
      </c>
      <c r="T4464">
        <v>-0.70155259999999997</v>
      </c>
      <c r="U4464">
        <v>3.0880740000000002</v>
      </c>
      <c r="V4464">
        <v>-8.7223159999999994E-2</v>
      </c>
      <c r="W4464">
        <v>3.1068399999999999E-2</v>
      </c>
      <c r="X4464">
        <v>0.99570420000000004</v>
      </c>
      <c r="Y4464">
        <v>0.16223199999999999</v>
      </c>
      <c r="Z4464">
        <v>-0.2188639</v>
      </c>
      <c r="AA4464">
        <v>0.96217430000000004</v>
      </c>
      <c r="AB4464">
        <v>42</v>
      </c>
      <c r="AC4464">
        <v>0.117700000000013</v>
      </c>
      <c r="AD4464">
        <v>-0.16734479999999899</v>
      </c>
      <c r="AE4464">
        <v>0.30355900000000002</v>
      </c>
      <c r="AF4464">
        <v>9.7700077502468993E-2</v>
      </c>
      <c r="AG4464">
        <v>-0.16734479999999899</v>
      </c>
      <c r="AH4464">
        <v>0.238288384402008</v>
      </c>
      <c r="AI4464">
        <v>123.015115174305</v>
      </c>
      <c r="AJ4464">
        <v>67.705992108113094</v>
      </c>
      <c r="AK4464">
        <v>0.307133426008873</v>
      </c>
      <c r="AL4464">
        <v>88.219625290283901</v>
      </c>
      <c r="AM4464">
        <v>95.006300445592302</v>
      </c>
      <c r="AN4464">
        <v>0.99999998950829205</v>
      </c>
    </row>
    <row r="4465" spans="1:40" x14ac:dyDescent="0.3">
      <c r="A4465" t="str">
        <f>"20200111154008356"</f>
        <v>20200111154008356</v>
      </c>
      <c r="B4465" t="str">
        <f>"1578728408345260"</f>
        <v>1578728408345260</v>
      </c>
      <c r="C4465" t="s">
        <v>40</v>
      </c>
      <c r="D4465">
        <v>5.1860900000000001</v>
      </c>
      <c r="E4465">
        <v>0.59897400000000001</v>
      </c>
      <c r="F4465" t="s">
        <v>41</v>
      </c>
      <c r="G4465">
        <v>-187.50239999999999</v>
      </c>
      <c r="H4465">
        <v>0.94587239999999995</v>
      </c>
      <c r="I4465">
        <v>-1.244483</v>
      </c>
      <c r="J4465">
        <v>-187.6146</v>
      </c>
      <c r="K4465">
        <v>1.1025579999999999</v>
      </c>
      <c r="L4465">
        <v>-1.5015559999999999</v>
      </c>
      <c r="M4465">
        <v>-1.9122199999999999E-2</v>
      </c>
      <c r="N4465">
        <v>0</v>
      </c>
      <c r="O4465">
        <v>0.99981180000000003</v>
      </c>
      <c r="P4465">
        <v>-0.10530689999999999</v>
      </c>
      <c r="Q4465">
        <v>2.7529930000000001E-2</v>
      </c>
      <c r="R4465">
        <v>0.99405860000000001</v>
      </c>
      <c r="S4465">
        <v>0.46565250000000002</v>
      </c>
      <c r="T4465">
        <v>-0.70218649999999905</v>
      </c>
      <c r="U4465">
        <v>3.0877379999999999</v>
      </c>
      <c r="V4465">
        <v>-8.6258000000000001E-2</v>
      </c>
      <c r="W4465">
        <v>3.0837239999999998E-2</v>
      </c>
      <c r="X4465">
        <v>0.99579549999999994</v>
      </c>
      <c r="Y4465">
        <v>0.1643781</v>
      </c>
      <c r="Z4465">
        <v>-0.21899950000000001</v>
      </c>
      <c r="AA4465">
        <v>0.9617791</v>
      </c>
      <c r="AB4465">
        <v>42</v>
      </c>
      <c r="AC4465">
        <v>0.11220000000000099</v>
      </c>
      <c r="AD4465">
        <v>-0.15668559999999901</v>
      </c>
      <c r="AE4465">
        <v>0.257072999999999</v>
      </c>
      <c r="AF4465">
        <v>8.9246308946356906E-2</v>
      </c>
      <c r="AG4465">
        <v>-0.15668559999999901</v>
      </c>
      <c r="AH4465">
        <v>0.19426175973691301</v>
      </c>
      <c r="AI4465">
        <v>126.238583302625</v>
      </c>
      <c r="AJ4465">
        <v>65.325351582690402</v>
      </c>
      <c r="AK4465">
        <v>0.26505265930375199</v>
      </c>
      <c r="AL4465">
        <v>88.232876199854502</v>
      </c>
      <c r="AM4465">
        <v>94.950728883234603</v>
      </c>
      <c r="AN4465">
        <v>1.0000000278775301</v>
      </c>
    </row>
    <row r="4466" spans="1:40" x14ac:dyDescent="0.3">
      <c r="A4466" t="str">
        <f>"20200111154008397"</f>
        <v>20200111154008397</v>
      </c>
      <c r="B4466" t="str">
        <f>"1578728408395036"</f>
        <v>1578728408395036</v>
      </c>
      <c r="C4466" t="s">
        <v>40</v>
      </c>
      <c r="D4466">
        <v>5.1728610000000002</v>
      </c>
      <c r="E4466">
        <v>0.59963659999999996</v>
      </c>
      <c r="F4466" t="s">
        <v>41</v>
      </c>
      <c r="G4466">
        <v>-187.46250000000001</v>
      </c>
      <c r="H4466">
        <v>0.87560709999999997</v>
      </c>
      <c r="I4466">
        <v>-0.50563259999999999</v>
      </c>
      <c r="J4466">
        <v>-187.62960000000001</v>
      </c>
      <c r="K4466">
        <v>1.1026199999999999</v>
      </c>
      <c r="L4466">
        <v>-0.71261600000000003</v>
      </c>
      <c r="M4466">
        <v>-1.9031289999999999E-2</v>
      </c>
      <c r="N4466">
        <v>0</v>
      </c>
      <c r="O4466">
        <v>0.99981339999999996</v>
      </c>
      <c r="P4466">
        <v>-0.1040184</v>
      </c>
      <c r="Q4466">
        <v>2.68282E-2</v>
      </c>
      <c r="R4466">
        <v>0.99421349999999997</v>
      </c>
      <c r="S4466">
        <v>0.47138980000000003</v>
      </c>
      <c r="T4466">
        <v>-0.70353849999999996</v>
      </c>
      <c r="U4466">
        <v>3.0873409999999999</v>
      </c>
      <c r="V4466">
        <v>-8.5063139999999995E-2</v>
      </c>
      <c r="W4466">
        <v>3.0154719999999999E-2</v>
      </c>
      <c r="X4466">
        <v>0.9959192</v>
      </c>
      <c r="Y4466">
        <v>0.16604099999999999</v>
      </c>
      <c r="Z4466">
        <v>-0.21936800000000001</v>
      </c>
      <c r="AA4466">
        <v>0.96140939999999997</v>
      </c>
      <c r="AB4466">
        <v>43</v>
      </c>
      <c r="AC4466">
        <v>0.167100000000004</v>
      </c>
      <c r="AD4466">
        <v>-0.22701289999999999</v>
      </c>
      <c r="AE4466">
        <v>0.20698340000000001</v>
      </c>
      <c r="AF4466">
        <v>9.8948708114413003E-2</v>
      </c>
      <c r="AG4466">
        <v>-0.22701289999999999</v>
      </c>
      <c r="AH4466">
        <v>0.117902384923457</v>
      </c>
      <c r="AI4466">
        <v>145.86156658293001</v>
      </c>
      <c r="AJ4466">
        <v>49.995192209539098</v>
      </c>
      <c r="AK4466">
        <v>0.27427481833839601</v>
      </c>
      <c r="AL4466">
        <v>88.271999948194207</v>
      </c>
      <c r="AM4466">
        <v>94.881880889228896</v>
      </c>
      <c r="AN4466">
        <v>1.00000004892678</v>
      </c>
    </row>
    <row r="4467" spans="1:40" x14ac:dyDescent="0.3">
      <c r="A4467" t="str">
        <f>"20200111154008423"</f>
        <v>20200111154008423</v>
      </c>
      <c r="B4467" t="str">
        <f>"1578728408415531"</f>
        <v>1578728408415531</v>
      </c>
      <c r="C4467" t="s">
        <v>40</v>
      </c>
      <c r="D4467">
        <v>5.1637849999999998</v>
      </c>
      <c r="E4467">
        <v>0.59987290000000004</v>
      </c>
      <c r="F4467" t="s">
        <v>41</v>
      </c>
      <c r="G4467">
        <v>-187.47710000000001</v>
      </c>
      <c r="H4467">
        <v>0.87794969999999894</v>
      </c>
      <c r="I4467">
        <v>0.26604329999999998</v>
      </c>
      <c r="J4467">
        <v>-187.6386</v>
      </c>
      <c r="K4467">
        <v>1.102649</v>
      </c>
      <c r="L4467">
        <v>-0.2359009</v>
      </c>
      <c r="M4467">
        <v>-1.9005899999999999E-2</v>
      </c>
      <c r="N4467">
        <v>0</v>
      </c>
      <c r="O4467">
        <v>0.99981390000000003</v>
      </c>
      <c r="P4467">
        <v>-0.1038642</v>
      </c>
      <c r="Q4467">
        <v>2.7469770000000001E-2</v>
      </c>
      <c r="R4467">
        <v>0.99421210000000004</v>
      </c>
      <c r="S4467">
        <v>0.4806976</v>
      </c>
      <c r="T4467">
        <v>-0.70864819999999995</v>
      </c>
      <c r="U4467">
        <v>3.086884</v>
      </c>
      <c r="V4467">
        <v>-8.493655E-2</v>
      </c>
      <c r="W4467">
        <v>3.0809599999999999E-2</v>
      </c>
      <c r="X4467">
        <v>0.99590990000000001</v>
      </c>
      <c r="Y4467">
        <v>0.16881779999999999</v>
      </c>
      <c r="Z4467">
        <v>-0.22081300000000001</v>
      </c>
      <c r="AA4467">
        <v>0.96059470000000002</v>
      </c>
      <c r="AB4467">
        <v>43</v>
      </c>
      <c r="AC4467">
        <v>0.16149999999998901</v>
      </c>
      <c r="AD4467">
        <v>-0.22469929999999999</v>
      </c>
      <c r="AE4467">
        <v>0.50194419999999995</v>
      </c>
      <c r="AF4467">
        <v>0.14472837625596299</v>
      </c>
      <c r="AG4467">
        <v>-0.22469929999999999</v>
      </c>
      <c r="AH4467">
        <v>0.42212664596368199</v>
      </c>
      <c r="AI4467">
        <v>116.72663445919299</v>
      </c>
      <c r="AJ4467">
        <v>71.075447828823798</v>
      </c>
      <c r="AK4467">
        <v>0.49962684430155002</v>
      </c>
      <c r="AL4467">
        <v>88.234460539241397</v>
      </c>
      <c r="AM4467">
        <v>94.874696064412205</v>
      </c>
      <c r="AN4467">
        <v>0.99999998894803599</v>
      </c>
    </row>
    <row r="4468" spans="1:40" x14ac:dyDescent="0.3">
      <c r="A4468" t="str">
        <f>"20200111154008443"</f>
        <v>20200111154008443</v>
      </c>
      <c r="B4468" t="str">
        <f>"1578728408435051"</f>
        <v>1578728408435051</v>
      </c>
      <c r="C4468" t="s">
        <v>40</v>
      </c>
      <c r="D4468">
        <v>5.2117959999999997</v>
      </c>
      <c r="E4468">
        <v>0.60001439999999995</v>
      </c>
      <c r="F4468" t="s">
        <v>41</v>
      </c>
      <c r="G4468">
        <v>-187.49870000000001</v>
      </c>
      <c r="H4468">
        <v>0.8969492</v>
      </c>
      <c r="I4468">
        <v>0.66035690000000002</v>
      </c>
      <c r="J4468">
        <v>-187.6464</v>
      </c>
      <c r="K4468">
        <v>1.102676</v>
      </c>
      <c r="L4468">
        <v>0.17718510000000001</v>
      </c>
      <c r="M4468">
        <v>-1.8992530000000001E-2</v>
      </c>
      <c r="N4468">
        <v>0</v>
      </c>
      <c r="O4468">
        <v>0.99981399999999998</v>
      </c>
      <c r="P4468">
        <v>-0.1036292</v>
      </c>
      <c r="Q4468">
        <v>2.7904890000000002E-2</v>
      </c>
      <c r="R4468">
        <v>0.99422449999999996</v>
      </c>
      <c r="S4468">
        <v>0.4819794</v>
      </c>
      <c r="T4468">
        <v>-0.70858559999999904</v>
      </c>
      <c r="U4468">
        <v>3.087402</v>
      </c>
      <c r="V4468">
        <v>-8.4716920000000001E-2</v>
      </c>
      <c r="W4468">
        <v>3.1257609999999998E-2</v>
      </c>
      <c r="X4468">
        <v>0.99591459999999998</v>
      </c>
      <c r="Y4468">
        <v>0.16917170000000001</v>
      </c>
      <c r="Z4468">
        <v>-0.22074630000000001</v>
      </c>
      <c r="AA4468">
        <v>0.9605477</v>
      </c>
      <c r="AB4468">
        <v>43</v>
      </c>
      <c r="AC4468">
        <v>0.14769999999998601</v>
      </c>
      <c r="AD4468">
        <v>-0.20572679999999999</v>
      </c>
      <c r="AE4468">
        <v>0.48317179999999998</v>
      </c>
      <c r="AF4468">
        <v>0.13454299269974099</v>
      </c>
      <c r="AG4468">
        <v>-0.20572679999999999</v>
      </c>
      <c r="AH4468">
        <v>0.41197453449108401</v>
      </c>
      <c r="AI4468">
        <v>115.39344323259699</v>
      </c>
      <c r="AJ4468">
        <v>71.91395369672</v>
      </c>
      <c r="AK4468">
        <v>0.47973779316621301</v>
      </c>
      <c r="AL4468">
        <v>88.208779003839794</v>
      </c>
      <c r="AM4468">
        <v>94.862128684031703</v>
      </c>
      <c r="AN4468">
        <v>0.99999994260517699</v>
      </c>
    </row>
    <row r="4469" spans="1:40" x14ac:dyDescent="0.3">
      <c r="A4469" t="str">
        <f>"20200111154008466"</f>
        <v>20200111154008466</v>
      </c>
      <c r="B4469" t="str">
        <f>"1578728408455547"</f>
        <v>1578728408455547</v>
      </c>
      <c r="C4469" t="s">
        <v>40</v>
      </c>
      <c r="D4469">
        <v>5.2774409999999996</v>
      </c>
      <c r="E4469">
        <v>0.55835259999999998</v>
      </c>
      <c r="F4469" t="s">
        <v>41</v>
      </c>
      <c r="G4469">
        <v>-187.50960000000001</v>
      </c>
      <c r="H4469">
        <v>0.90203809999999995</v>
      </c>
      <c r="I4469">
        <v>1.050921</v>
      </c>
      <c r="J4469">
        <v>-187.65479999999999</v>
      </c>
      <c r="K4469">
        <v>1.102698</v>
      </c>
      <c r="L4469">
        <v>0.617981</v>
      </c>
      <c r="M4469">
        <v>-1.8983630000000001E-2</v>
      </c>
      <c r="N4469">
        <v>0</v>
      </c>
      <c r="O4469">
        <v>0.99981419999999999</v>
      </c>
      <c r="P4469">
        <v>-0.103822</v>
      </c>
      <c r="Q4469">
        <v>2.8587890000000001E-2</v>
      </c>
      <c r="R4469">
        <v>0.99418499999999999</v>
      </c>
      <c r="S4469">
        <v>0.48312379999999999</v>
      </c>
      <c r="T4469">
        <v>-0.70901749999999997</v>
      </c>
      <c r="U4469">
        <v>3.0876769999999998</v>
      </c>
      <c r="V4469">
        <v>-8.4920190000000007E-2</v>
      </c>
      <c r="W4469">
        <v>3.1955829999999998E-2</v>
      </c>
      <c r="X4469">
        <v>0.99587519999999996</v>
      </c>
      <c r="Y4469">
        <v>0.16949400000000001</v>
      </c>
      <c r="Z4469">
        <v>-0.2208436</v>
      </c>
      <c r="AA4469">
        <v>0.96046860000000001</v>
      </c>
      <c r="AB4469">
        <v>43</v>
      </c>
      <c r="AC4469">
        <v>0.14519999999998801</v>
      </c>
      <c r="AD4469">
        <v>-0.2006599</v>
      </c>
      <c r="AE4469">
        <v>0.43293999999999899</v>
      </c>
      <c r="AF4469">
        <v>0.128566898028939</v>
      </c>
      <c r="AG4469">
        <v>-0.2006599</v>
      </c>
      <c r="AH4469">
        <v>0.360495333236306</v>
      </c>
      <c r="AI4469">
        <v>117.667055870071</v>
      </c>
      <c r="AJ4469">
        <v>70.371754597127406</v>
      </c>
      <c r="AK4469">
        <v>0.432146651059509</v>
      </c>
      <c r="AL4469">
        <v>88.168754074871998</v>
      </c>
      <c r="AM4469">
        <v>94.873930653019798</v>
      </c>
      <c r="AN4469">
        <v>1.00000001385783</v>
      </c>
    </row>
    <row r="4470" spans="1:40" x14ac:dyDescent="0.3">
      <c r="A4470" t="str">
        <f>"20200111154008489"</f>
        <v>20200111154008489</v>
      </c>
      <c r="B4470" t="str">
        <f>"1578728408485803"</f>
        <v>1578728408485803</v>
      </c>
      <c r="C4470" t="s">
        <v>40</v>
      </c>
      <c r="D4470">
        <v>5.3380169999999998</v>
      </c>
      <c r="E4470">
        <v>0.51853509999999903</v>
      </c>
      <c r="F4470" t="s">
        <v>41</v>
      </c>
      <c r="G4470">
        <v>-187.61359999999999</v>
      </c>
      <c r="H4470">
        <v>0.9204447</v>
      </c>
      <c r="I4470">
        <v>1.4435750000000001</v>
      </c>
      <c r="J4470">
        <v>-187.66309999999999</v>
      </c>
      <c r="K4470">
        <v>1.102722</v>
      </c>
      <c r="L4470">
        <v>1.058014</v>
      </c>
      <c r="M4470">
        <v>-1.8977600000000001E-2</v>
      </c>
      <c r="N4470">
        <v>0</v>
      </c>
      <c r="O4470">
        <v>0.99981419999999999</v>
      </c>
      <c r="P4470">
        <v>-0.1039465</v>
      </c>
      <c r="Q4470">
        <v>2.9440310000000001E-2</v>
      </c>
      <c r="R4470">
        <v>0.99414709999999995</v>
      </c>
      <c r="S4470">
        <v>0.15180969999999999</v>
      </c>
      <c r="T4470">
        <v>-0.6739039</v>
      </c>
      <c r="U4470">
        <v>3.052765</v>
      </c>
      <c r="V4470">
        <v>-8.5053149999999994E-2</v>
      </c>
      <c r="W4470">
        <v>3.2823699999999997E-2</v>
      </c>
      <c r="X4470">
        <v>0.99583560000000004</v>
      </c>
      <c r="Y4470">
        <v>6.7448869999999994E-2</v>
      </c>
      <c r="Z4470">
        <v>-0.21513099999999999</v>
      </c>
      <c r="AA4470">
        <v>0.97425320000000004</v>
      </c>
      <c r="AB4470">
        <v>43</v>
      </c>
      <c r="AC4470">
        <v>4.9499999999994701E-2</v>
      </c>
      <c r="AD4470">
        <v>-0.1822773</v>
      </c>
      <c r="AE4470">
        <v>0.38556099999999999</v>
      </c>
      <c r="AF4470">
        <v>4.6568766576008003E-2</v>
      </c>
      <c r="AG4470">
        <v>-0.1822773</v>
      </c>
      <c r="AH4470">
        <v>0.31523857421957102</v>
      </c>
      <c r="AI4470">
        <v>119.77009130502699</v>
      </c>
      <c r="AJ4470">
        <v>81.596729985533798</v>
      </c>
      <c r="AK4470">
        <v>0.36710900668832502</v>
      </c>
      <c r="AL4470">
        <v>88.119002633152903</v>
      </c>
      <c r="AM4470">
        <v>94.881718124748005</v>
      </c>
      <c r="AN4470">
        <v>0.99999998791698597</v>
      </c>
    </row>
    <row r="4471" spans="1:40" x14ac:dyDescent="0.3">
      <c r="A4471" t="str">
        <f>"20200111154008557"</f>
        <v>20200111154008557</v>
      </c>
      <c r="B4471" t="str">
        <f>"1578728408545340"</f>
        <v>1578728408545340</v>
      </c>
      <c r="C4471" t="s">
        <v>40</v>
      </c>
      <c r="D4471">
        <v>5.2811219999999999</v>
      </c>
      <c r="E4471">
        <v>0.51969399999999999</v>
      </c>
      <c r="F4471" t="s">
        <v>42</v>
      </c>
      <c r="G4471">
        <v>-188.3965</v>
      </c>
      <c r="H4471" s="1">
        <v>-2.814985E-6</v>
      </c>
      <c r="I4471">
        <v>15.531529999999901</v>
      </c>
      <c r="J4471">
        <v>-187.68819999999999</v>
      </c>
      <c r="K4471">
        <v>1.102762</v>
      </c>
      <c r="L4471">
        <v>2.3863829999999999</v>
      </c>
      <c r="M4471">
        <v>-1.8963540000000001E-2</v>
      </c>
      <c r="N4471">
        <v>0</v>
      </c>
      <c r="O4471">
        <v>0.99981430000000004</v>
      </c>
      <c r="P4471">
        <v>-0.1029177</v>
      </c>
      <c r="Q4471">
        <v>2.9942050000000001E-2</v>
      </c>
      <c r="R4471">
        <v>0.99423910000000004</v>
      </c>
      <c r="S4471">
        <v>-0.15858459999999999</v>
      </c>
      <c r="T4471">
        <v>-0.24397369999999999</v>
      </c>
      <c r="U4471">
        <v>3.00827</v>
      </c>
      <c r="V4471">
        <v>-8.4040130000000005E-2</v>
      </c>
      <c r="W4471">
        <v>3.3376509999999998E-2</v>
      </c>
      <c r="X4471">
        <v>0.99590330000000005</v>
      </c>
      <c r="Y4471">
        <v>-3.3524430000000001E-2</v>
      </c>
      <c r="Z4471">
        <v>-8.0735489999999993E-2</v>
      </c>
      <c r="AA4471">
        <v>0.99617160000000005</v>
      </c>
      <c r="AB4471">
        <v>44</v>
      </c>
      <c r="AC4471">
        <v>-0.70830000000000803</v>
      </c>
      <c r="AD4471">
        <v>-1.102764814985</v>
      </c>
      <c r="AE4471">
        <v>13.1451469999999</v>
      </c>
      <c r="AF4471">
        <v>-0.45569485369363999</v>
      </c>
      <c r="AG4471">
        <v>-1.102764814985</v>
      </c>
      <c r="AH4471">
        <v>13.0645361250125</v>
      </c>
      <c r="AI4471">
        <v>94.821925483621598</v>
      </c>
      <c r="AJ4471">
        <v>91.997683714390007</v>
      </c>
      <c r="AK4471">
        <v>13.1189120051401</v>
      </c>
      <c r="AL4471">
        <v>88.087311722949707</v>
      </c>
      <c r="AM4471">
        <v>94.8235243788275</v>
      </c>
      <c r="AN4471">
        <v>1.00000005891054</v>
      </c>
    </row>
    <row r="4472" spans="1:40" x14ac:dyDescent="0.3">
      <c r="A4472" t="str">
        <f>"20200111154008578"</f>
        <v>20200111154008578</v>
      </c>
      <c r="B4472" t="str">
        <f>"1578728408565367"</f>
        <v>1578728408565367</v>
      </c>
      <c r="C4472" t="s">
        <v>40</v>
      </c>
      <c r="D4472">
        <v>5.2798569999999998</v>
      </c>
      <c r="E4472">
        <v>0.52007840000000005</v>
      </c>
      <c r="F4472" t="s">
        <v>41</v>
      </c>
      <c r="G4472">
        <v>-187.7424</v>
      </c>
      <c r="H4472">
        <v>1.01881</v>
      </c>
      <c r="I4472">
        <v>3.4607459999999999</v>
      </c>
      <c r="J4472">
        <v>-187.6962</v>
      </c>
      <c r="K4472">
        <v>1.1027690000000001</v>
      </c>
      <c r="L4472">
        <v>2.8067319999999998</v>
      </c>
      <c r="M4472">
        <v>-1.8960279999999999E-2</v>
      </c>
      <c r="N4472">
        <v>0</v>
      </c>
      <c r="O4472">
        <v>0.99981430000000004</v>
      </c>
      <c r="P4472">
        <v>-0.10261960000000001</v>
      </c>
      <c r="Q4472">
        <v>2.983274E-2</v>
      </c>
      <c r="R4472">
        <v>0.99427319999999997</v>
      </c>
      <c r="S4472">
        <v>-0.15222169999999999</v>
      </c>
      <c r="T4472">
        <v>-0.23509679999999999</v>
      </c>
      <c r="U4472">
        <v>3.0086979999999999</v>
      </c>
      <c r="V4472">
        <v>-8.3745470000000002E-2</v>
      </c>
      <c r="W4472">
        <v>3.3284540000000001E-2</v>
      </c>
      <c r="X4472">
        <v>0.99593109999999996</v>
      </c>
      <c r="Y4472">
        <v>-3.1430779999999998E-2</v>
      </c>
      <c r="Z4472">
        <v>-7.7811969999999994E-2</v>
      </c>
      <c r="AA4472">
        <v>0.99647249999999998</v>
      </c>
      <c r="AB4472">
        <v>44</v>
      </c>
      <c r="AC4472">
        <v>-4.6199999999998902E-2</v>
      </c>
      <c r="AD4472">
        <v>-8.3959000000000103E-2</v>
      </c>
      <c r="AE4472">
        <v>0.65401399999999998</v>
      </c>
      <c r="AF4472">
        <v>-3.3246152558516401E-2</v>
      </c>
      <c r="AG4472">
        <v>-8.3959000000000103E-2</v>
      </c>
      <c r="AH4472">
        <v>0.64420848235829598</v>
      </c>
      <c r="AI4472">
        <v>97.415685552780403</v>
      </c>
      <c r="AJ4472">
        <v>92.954285550194996</v>
      </c>
      <c r="AK4472">
        <v>0.65050671717002495</v>
      </c>
      <c r="AL4472">
        <v>88.092583956475096</v>
      </c>
      <c r="AM4472">
        <v>94.8065580588231</v>
      </c>
      <c r="AN4472">
        <v>0.99999996014786996</v>
      </c>
    </row>
    <row r="4473" spans="1:40" x14ac:dyDescent="0.3">
      <c r="A4473" t="str">
        <f>"20200111154008599"</f>
        <v>20200111154008599</v>
      </c>
      <c r="B4473" t="str">
        <f>"1578728408595623"</f>
        <v>1578728408595623</v>
      </c>
      <c r="C4473" t="s">
        <v>40</v>
      </c>
      <c r="D4473">
        <v>5.2833550000000002</v>
      </c>
      <c r="E4473">
        <v>0.51989549999999995</v>
      </c>
      <c r="F4473" t="s">
        <v>41</v>
      </c>
      <c r="G4473">
        <v>-187.74799999999999</v>
      </c>
      <c r="H4473">
        <v>1.021085</v>
      </c>
      <c r="I4473">
        <v>3.859931</v>
      </c>
      <c r="J4473">
        <v>-187.70419999999999</v>
      </c>
      <c r="K4473">
        <v>1.1027709999999999</v>
      </c>
      <c r="L4473">
        <v>3.2343440000000001</v>
      </c>
      <c r="M4473">
        <v>-1.8957359999999999E-2</v>
      </c>
      <c r="N4473">
        <v>0</v>
      </c>
      <c r="O4473">
        <v>0.99981430000000004</v>
      </c>
      <c r="P4473">
        <v>-0.1016335</v>
      </c>
      <c r="Q4473">
        <v>2.953859E-2</v>
      </c>
      <c r="R4473">
        <v>0.99438329999999997</v>
      </c>
      <c r="S4473">
        <v>-0.14833070000000001</v>
      </c>
      <c r="T4473">
        <v>-0.23337040000000001</v>
      </c>
      <c r="U4473">
        <v>3.008972</v>
      </c>
      <c r="V4473">
        <v>-8.2760769999999997E-2</v>
      </c>
      <c r="W4473">
        <v>3.3008610000000001E-2</v>
      </c>
      <c r="X4473">
        <v>0.99602259999999998</v>
      </c>
      <c r="Y4473">
        <v>-3.0145910000000001E-2</v>
      </c>
      <c r="Z4473">
        <v>-7.7241019999999994E-2</v>
      </c>
      <c r="AA4473">
        <v>0.99655660000000001</v>
      </c>
      <c r="AB4473">
        <v>44</v>
      </c>
      <c r="AC4473">
        <v>-4.3800000000004502E-2</v>
      </c>
      <c r="AD4473">
        <v>-8.1685999999999898E-2</v>
      </c>
      <c r="AE4473">
        <v>0.625586999999999</v>
      </c>
      <c r="AF4473">
        <v>-3.1399829763811497E-2</v>
      </c>
      <c r="AG4473">
        <v>-8.1685999999999898E-2</v>
      </c>
      <c r="AH4473">
        <v>0.61585590167184101</v>
      </c>
      <c r="AI4473">
        <v>97.545817326543201</v>
      </c>
      <c r="AJ4473">
        <v>92.918736705522306</v>
      </c>
      <c r="AK4473">
        <v>0.62204263803153603</v>
      </c>
      <c r="AL4473">
        <v>88.108402285852605</v>
      </c>
      <c r="AM4473">
        <v>94.749867127116204</v>
      </c>
      <c r="AN4473">
        <v>0.99999996654794099</v>
      </c>
    </row>
    <row r="4474" spans="1:40" x14ac:dyDescent="0.3">
      <c r="A4474" t="str">
        <f>"20200111154008622"</f>
        <v>20200111154008622</v>
      </c>
      <c r="B4474" t="str">
        <f>"1578728408615143"</f>
        <v>1578728408615143</v>
      </c>
      <c r="C4474" t="s">
        <v>40</v>
      </c>
      <c r="D4474">
        <v>5.2615530000000001</v>
      </c>
      <c r="E4474">
        <v>0.51984779999999997</v>
      </c>
      <c r="F4474" t="s">
        <v>41</v>
      </c>
      <c r="G4474">
        <v>-187.75409999999999</v>
      </c>
      <c r="H4474">
        <v>1.0213559999999999</v>
      </c>
      <c r="I4474">
        <v>4.2590450000000004</v>
      </c>
      <c r="J4474">
        <v>-187.71340000000001</v>
      </c>
      <c r="K4474">
        <v>1.102773</v>
      </c>
      <c r="L4474">
        <v>3.7160030000000002</v>
      </c>
      <c r="M4474">
        <v>-1.8954749999999999E-2</v>
      </c>
      <c r="N4474">
        <v>0</v>
      </c>
      <c r="O4474">
        <v>0.99981419999999999</v>
      </c>
      <c r="P4474">
        <v>-0.1009982</v>
      </c>
      <c r="Q4474">
        <v>2.891699E-2</v>
      </c>
      <c r="R4474">
        <v>0.99446619999999997</v>
      </c>
      <c r="S4474">
        <v>-0.14701839999999999</v>
      </c>
      <c r="T4474">
        <v>-0.23906959999999999</v>
      </c>
      <c r="U4474">
        <v>3.0090330000000001</v>
      </c>
      <c r="V4474">
        <v>-8.212738E-2</v>
      </c>
      <c r="W4474">
        <v>3.240763E-2</v>
      </c>
      <c r="X4474">
        <v>0.99609479999999995</v>
      </c>
      <c r="Y4474">
        <v>-2.970679E-2</v>
      </c>
      <c r="Z4474">
        <v>-7.9115439999999995E-2</v>
      </c>
      <c r="AA4474">
        <v>0.99642269999999999</v>
      </c>
      <c r="AB4474">
        <v>45</v>
      </c>
      <c r="AC4474">
        <v>-4.0699999999986802E-2</v>
      </c>
      <c r="AD4474">
        <v>-8.1417000000000003E-2</v>
      </c>
      <c r="AE4474">
        <v>0.54304199999999903</v>
      </c>
      <c r="AF4474">
        <v>-2.9734746415826501E-2</v>
      </c>
      <c r="AG4474">
        <v>-8.1417000000000003E-2</v>
      </c>
      <c r="AH4474">
        <v>0.53182808863620901</v>
      </c>
      <c r="AI4474">
        <v>98.690410851963406</v>
      </c>
      <c r="AJ4474">
        <v>93.200100964227701</v>
      </c>
      <c r="AK4474">
        <v>0.53884506019435396</v>
      </c>
      <c r="AL4474">
        <v>88.1428544117325</v>
      </c>
      <c r="AM4474">
        <v>94.713339449538694</v>
      </c>
      <c r="AN4474">
        <v>1.0000000058074601</v>
      </c>
    </row>
    <row r="4475" spans="1:40" x14ac:dyDescent="0.3">
      <c r="A4475" t="str">
        <f>"20200111154008644"</f>
        <v>20200111154008644</v>
      </c>
      <c r="B4475" t="str">
        <f>"1578728408635640"</f>
        <v>1578728408635640</v>
      </c>
      <c r="C4475" t="s">
        <v>40</v>
      </c>
      <c r="D4475">
        <v>5.288494</v>
      </c>
      <c r="E4475">
        <v>0.51999090000000003</v>
      </c>
      <c r="F4475" t="s">
        <v>41</v>
      </c>
      <c r="G4475">
        <v>-187.75909999999999</v>
      </c>
      <c r="H4475">
        <v>1.0259160000000001</v>
      </c>
      <c r="I4475">
        <v>4.6628100000000003</v>
      </c>
      <c r="J4475">
        <v>-187.72139999999999</v>
      </c>
      <c r="K4475">
        <v>1.1027739999999999</v>
      </c>
      <c r="L4475">
        <v>4.1392819999999997</v>
      </c>
      <c r="M4475">
        <v>-1.8953190000000002E-2</v>
      </c>
      <c r="N4475">
        <v>0</v>
      </c>
      <c r="O4475">
        <v>0.99981419999999999</v>
      </c>
      <c r="P4475">
        <v>-0.1002349</v>
      </c>
      <c r="Q4475">
        <v>2.8280039999999999E-2</v>
      </c>
      <c r="R4475">
        <v>0.99456180000000005</v>
      </c>
      <c r="S4475">
        <v>-0.145416299999999</v>
      </c>
      <c r="T4475">
        <v>-0.24425479999999999</v>
      </c>
      <c r="U4475">
        <v>3.0090330000000001</v>
      </c>
      <c r="V4475">
        <v>-8.1364270000000002E-2</v>
      </c>
      <c r="W4475">
        <v>3.1789499999999998E-2</v>
      </c>
      <c r="X4475">
        <v>0.99617730000000004</v>
      </c>
      <c r="Y4475">
        <v>-2.9172420000000001E-2</v>
      </c>
      <c r="Z4475">
        <v>-8.0821959999999998E-2</v>
      </c>
      <c r="AA4475">
        <v>0.99630149999999995</v>
      </c>
      <c r="AB4475">
        <v>45</v>
      </c>
      <c r="AC4475">
        <v>-3.7700000000000899E-2</v>
      </c>
      <c r="AD4475">
        <v>-7.6857999999999801E-2</v>
      </c>
      <c r="AE4475">
        <v>0.52352799999999899</v>
      </c>
      <c r="AF4475">
        <v>-2.7187700164932799E-2</v>
      </c>
      <c r="AG4475">
        <v>-7.6857999999999801E-2</v>
      </c>
      <c r="AH4475">
        <v>0.51314595810889696</v>
      </c>
      <c r="AI4475">
        <v>98.506571876503202</v>
      </c>
      <c r="AJ4475">
        <v>93.032831700772206</v>
      </c>
      <c r="AK4475">
        <v>0.51958165626565</v>
      </c>
      <c r="AL4475">
        <v>88.178288836820101</v>
      </c>
      <c r="AM4475">
        <v>94.669353677020894</v>
      </c>
      <c r="AN4475">
        <v>0.99999996488908605</v>
      </c>
    </row>
    <row r="4476" spans="1:40" x14ac:dyDescent="0.3">
      <c r="A4476" t="str">
        <f>"20200111154008665"</f>
        <v>20200111154008665</v>
      </c>
      <c r="B4476" t="str">
        <f>"1578728408655160"</f>
        <v>1578728408655160</v>
      </c>
      <c r="C4476" t="s">
        <v>40</v>
      </c>
      <c r="D4476">
        <v>5.2400570000000002</v>
      </c>
      <c r="E4476">
        <v>0.52005670000000004</v>
      </c>
      <c r="F4476" t="s">
        <v>41</v>
      </c>
      <c r="G4476">
        <v>-187.76490000000001</v>
      </c>
      <c r="H4476">
        <v>1.026548</v>
      </c>
      <c r="I4476">
        <v>5.0648839999999904</v>
      </c>
      <c r="J4476">
        <v>-187.7296</v>
      </c>
      <c r="K4476">
        <v>1.1027750000000001</v>
      </c>
      <c r="L4476">
        <v>4.5726319999999996</v>
      </c>
      <c r="M4476">
        <v>-1.895227E-2</v>
      </c>
      <c r="N4476">
        <v>0</v>
      </c>
      <c r="O4476">
        <v>0.99981419999999999</v>
      </c>
      <c r="P4476">
        <v>-9.9911269999999996E-2</v>
      </c>
      <c r="Q4476">
        <v>2.822247E-2</v>
      </c>
      <c r="R4476">
        <v>0.99459600000000004</v>
      </c>
      <c r="S4476">
        <v>-0.1419067</v>
      </c>
      <c r="T4476">
        <v>-0.2478033</v>
      </c>
      <c r="U4476">
        <v>3.0091549999999998</v>
      </c>
      <c r="V4476">
        <v>-8.1040879999999996E-2</v>
      </c>
      <c r="W4476">
        <v>3.1751849999999998E-2</v>
      </c>
      <c r="X4476">
        <v>0.99620489999999995</v>
      </c>
      <c r="Y4476">
        <v>-2.8007560000000001E-2</v>
      </c>
      <c r="Z4476">
        <v>-8.1988610000000003E-2</v>
      </c>
      <c r="AA4476">
        <v>0.99623969999999995</v>
      </c>
      <c r="AB4476">
        <v>45</v>
      </c>
      <c r="AC4476">
        <v>-3.53000000000065E-2</v>
      </c>
      <c r="AD4476">
        <v>-7.6227000000000003E-2</v>
      </c>
      <c r="AE4476">
        <v>0.49225199999999902</v>
      </c>
      <c r="AF4476">
        <v>-2.53593130964191E-2</v>
      </c>
      <c r="AG4476">
        <v>-7.6227000000000003E-2</v>
      </c>
      <c r="AH4476">
        <v>0.48134908048653002</v>
      </c>
      <c r="AI4476">
        <v>98.986440038851498</v>
      </c>
      <c r="AJ4476">
        <v>93.015772987084404</v>
      </c>
      <c r="AK4476">
        <v>0.48800674951782202</v>
      </c>
      <c r="AL4476">
        <v>88.180447182797806</v>
      </c>
      <c r="AM4476">
        <v>94.650748177892098</v>
      </c>
      <c r="AN4476">
        <v>1.0000000034968</v>
      </c>
    </row>
    <row r="4477" spans="1:40" x14ac:dyDescent="0.3">
      <c r="A4477" t="str">
        <f>"20200111154008689"</f>
        <v>20200111154008689</v>
      </c>
      <c r="B4477" t="str">
        <f>"1578728408675656"</f>
        <v>1578728408675656</v>
      </c>
      <c r="C4477" t="s">
        <v>40</v>
      </c>
      <c r="D4477">
        <v>5.2399809999999896</v>
      </c>
      <c r="E4477">
        <v>0.52029809999999999</v>
      </c>
      <c r="F4477" t="s">
        <v>41</v>
      </c>
      <c r="G4477">
        <v>-187.7713</v>
      </c>
      <c r="H4477">
        <v>1.0286630000000001</v>
      </c>
      <c r="I4477">
        <v>5.4696020000000001</v>
      </c>
      <c r="J4477">
        <v>-187.73830000000001</v>
      </c>
      <c r="K4477">
        <v>1.102776</v>
      </c>
      <c r="L4477">
        <v>5.0315250000000002</v>
      </c>
      <c r="M4477">
        <v>-1.8951780000000001E-2</v>
      </c>
      <c r="N4477">
        <v>0</v>
      </c>
      <c r="O4477">
        <v>0.99981410000000004</v>
      </c>
      <c r="P4477">
        <v>-9.9077429999999994E-2</v>
      </c>
      <c r="Q4477">
        <v>2.8646700000000001E-2</v>
      </c>
      <c r="R4477">
        <v>0.99466730000000003</v>
      </c>
      <c r="S4477">
        <v>-0.14031979999999999</v>
      </c>
      <c r="T4477">
        <v>-0.2486322</v>
      </c>
      <c r="U4477">
        <v>3.0092469999999998</v>
      </c>
      <c r="V4477">
        <v>-8.0207000000000001E-2</v>
      </c>
      <c r="W4477">
        <v>3.2196990000000002E-2</v>
      </c>
      <c r="X4477">
        <v>0.99625810000000004</v>
      </c>
      <c r="Y4477">
        <v>-2.7481370000000001E-2</v>
      </c>
      <c r="Z4477">
        <v>-8.2260120000000006E-2</v>
      </c>
      <c r="AA4477">
        <v>0.99623189999999995</v>
      </c>
      <c r="AB4477">
        <v>45</v>
      </c>
      <c r="AC4477">
        <v>-3.2999999999986998E-2</v>
      </c>
      <c r="AD4477">
        <v>-7.4113000000000095E-2</v>
      </c>
      <c r="AE4477">
        <v>0.43807699999999899</v>
      </c>
      <c r="AF4477">
        <v>-2.4008409538642601E-2</v>
      </c>
      <c r="AG4477">
        <v>-7.4113000000000095E-2</v>
      </c>
      <c r="AH4477">
        <v>0.42648606353318003</v>
      </c>
      <c r="AI4477">
        <v>99.842901720394707</v>
      </c>
      <c r="AJ4477">
        <v>93.221981581788</v>
      </c>
      <c r="AK4477">
        <v>0.43354296544356802</v>
      </c>
      <c r="AL4477">
        <v>88.154929495409306</v>
      </c>
      <c r="AM4477">
        <v>94.602855700192507</v>
      </c>
      <c r="AN4477">
        <v>1.0000000054148299</v>
      </c>
    </row>
    <row r="4478" spans="1:40" x14ac:dyDescent="0.3">
      <c r="A4478" t="str">
        <f>"20200111154008756"</f>
        <v>20200111154008756</v>
      </c>
      <c r="B4478" t="str">
        <f>"1578728408745929"</f>
        <v>1578728408745929</v>
      </c>
      <c r="C4478" t="s">
        <v>40</v>
      </c>
      <c r="D4478">
        <v>5.1613569999999998</v>
      </c>
      <c r="E4478">
        <v>0.52072750000000001</v>
      </c>
      <c r="F4478" t="s">
        <v>42</v>
      </c>
      <c r="G4478">
        <v>-188.34610000000001</v>
      </c>
      <c r="H4478" s="1">
        <v>-4.5633979999999997E-6</v>
      </c>
      <c r="I4478">
        <v>19.586320000000001</v>
      </c>
      <c r="J4478">
        <v>-187.76410000000001</v>
      </c>
      <c r="K4478">
        <v>1.102803</v>
      </c>
      <c r="L4478">
        <v>6.3936159999999997</v>
      </c>
      <c r="M4478">
        <v>-1.8951900000000001E-2</v>
      </c>
      <c r="N4478">
        <v>0</v>
      </c>
      <c r="O4478">
        <v>0.99981390000000003</v>
      </c>
      <c r="P4478">
        <v>-9.8058510000000002E-2</v>
      </c>
      <c r="Q4478">
        <v>2.899966E-2</v>
      </c>
      <c r="R4478">
        <v>0.99475800000000003</v>
      </c>
      <c r="S4478">
        <v>-0.1303406</v>
      </c>
      <c r="T4478">
        <v>-0.24345649999999999</v>
      </c>
      <c r="U4478">
        <v>3.0100099999999999</v>
      </c>
      <c r="V4478">
        <v>-7.9186889999999996E-2</v>
      </c>
      <c r="W4478">
        <v>3.2612090000000003E-2</v>
      </c>
      <c r="X4478">
        <v>0.99632619999999905</v>
      </c>
      <c r="Y4478">
        <v>-2.4179200000000001E-2</v>
      </c>
      <c r="Z4478">
        <v>-8.0548110000000006E-2</v>
      </c>
      <c r="AA4478">
        <v>0.99645740000000005</v>
      </c>
      <c r="AB4478">
        <v>45</v>
      </c>
      <c r="AC4478">
        <v>-0.58199999999999297</v>
      </c>
      <c r="AD4478">
        <v>-1.1028075633979999</v>
      </c>
      <c r="AE4478">
        <v>13.192704000000001</v>
      </c>
      <c r="AF4478">
        <v>-0.329568597939085</v>
      </c>
      <c r="AG4478">
        <v>-1.1028075633979999</v>
      </c>
      <c r="AH4478">
        <v>13.1099347480143</v>
      </c>
      <c r="AI4478">
        <v>94.806888436067595</v>
      </c>
      <c r="AJ4478">
        <v>91.440046334296099</v>
      </c>
      <c r="AK4478">
        <v>13.1603643216983</v>
      </c>
      <c r="AL4478">
        <v>88.131133518550797</v>
      </c>
      <c r="AM4478">
        <v>94.544251904702094</v>
      </c>
      <c r="AN4478">
        <v>1.0000000043842301</v>
      </c>
    </row>
    <row r="4479" spans="1:40" x14ac:dyDescent="0.3">
      <c r="A4479" t="str">
        <f>"20200111154008780"</f>
        <v>20200111154008780</v>
      </c>
      <c r="B4479" t="str">
        <f>"1578728408775207"</f>
        <v>1578728408775207</v>
      </c>
      <c r="C4479" t="s">
        <v>40</v>
      </c>
      <c r="D4479">
        <v>5.0837770000000004</v>
      </c>
      <c r="E4479">
        <v>0.52059670000000002</v>
      </c>
      <c r="F4479" t="s">
        <v>41</v>
      </c>
      <c r="G4479">
        <v>-187.81129999999999</v>
      </c>
      <c r="H4479">
        <v>1.0140100000000001</v>
      </c>
      <c r="I4479">
        <v>7.496588</v>
      </c>
      <c r="J4479">
        <v>-187.77330000000001</v>
      </c>
      <c r="K4479">
        <v>1.1028119999999999</v>
      </c>
      <c r="L4479">
        <v>6.88076799999999</v>
      </c>
      <c r="M4479">
        <v>-1.8952299999999998E-2</v>
      </c>
      <c r="N4479">
        <v>0</v>
      </c>
      <c r="O4479">
        <v>0.99981379999999997</v>
      </c>
      <c r="P4479">
        <v>-9.7829920000000001E-2</v>
      </c>
      <c r="Q4479">
        <v>2.977055E-2</v>
      </c>
      <c r="R4479">
        <v>0.99475780000000003</v>
      </c>
      <c r="S4479">
        <v>-0.1290741</v>
      </c>
      <c r="T4479">
        <v>-0.2423254</v>
      </c>
      <c r="U4479">
        <v>3.0101619999999998</v>
      </c>
      <c r="V4479">
        <v>-7.8957739999999998E-2</v>
      </c>
      <c r="W4479">
        <v>3.3398440000000001E-2</v>
      </c>
      <c r="X4479">
        <v>0.99631829999999999</v>
      </c>
      <c r="Y4479">
        <v>-2.375944E-2</v>
      </c>
      <c r="Z4479">
        <v>-8.0173389999999997E-2</v>
      </c>
      <c r="AA4479">
        <v>0.99649779999999999</v>
      </c>
      <c r="AB4479">
        <v>46</v>
      </c>
      <c r="AC4479">
        <v>-3.7999999999982402E-2</v>
      </c>
      <c r="AD4479">
        <v>-8.8802000000000006E-2</v>
      </c>
      <c r="AE4479">
        <v>0.61582000000000103</v>
      </c>
      <c r="AF4479">
        <v>-2.57876972361606E-2</v>
      </c>
      <c r="AG4479">
        <v>-8.8802000000000006E-2</v>
      </c>
      <c r="AH4479">
        <v>0.60391932283033301</v>
      </c>
      <c r="AI4479">
        <v>98.357480495746003</v>
      </c>
      <c r="AJ4479">
        <v>92.445076900559997</v>
      </c>
      <c r="AK4479">
        <v>0.61095773096065498</v>
      </c>
      <c r="AL4479">
        <v>88.086054351047594</v>
      </c>
      <c r="AM4479">
        <v>94.531192425428699</v>
      </c>
      <c r="AN4479">
        <v>0.99999996770761501</v>
      </c>
    </row>
    <row r="4480" spans="1:40" x14ac:dyDescent="0.3">
      <c r="A4480" t="str">
        <f>"20200111154008803"</f>
        <v>20200111154008803</v>
      </c>
      <c r="B4480" t="str">
        <f>"1578728408795703"</f>
        <v>1578728408795703</v>
      </c>
      <c r="C4480" t="s">
        <v>40</v>
      </c>
      <c r="D4480">
        <v>5.0983479999999997</v>
      </c>
      <c r="E4480">
        <v>0.52031039999999995</v>
      </c>
      <c r="F4480" t="s">
        <v>41</v>
      </c>
      <c r="G4480">
        <v>-187.8177</v>
      </c>
      <c r="H4480">
        <v>1.020899</v>
      </c>
      <c r="I4480">
        <v>7.9108869999999998</v>
      </c>
      <c r="J4480">
        <v>-187.78270000000001</v>
      </c>
      <c r="K4480">
        <v>1.1028180000000001</v>
      </c>
      <c r="L4480">
        <v>7.3727720000000003</v>
      </c>
      <c r="M4480">
        <v>-1.895283E-2</v>
      </c>
      <c r="N4480">
        <v>0</v>
      </c>
      <c r="O4480">
        <v>0.99981370000000003</v>
      </c>
      <c r="P4480">
        <v>-9.7327960000000005E-2</v>
      </c>
      <c r="Q4480">
        <v>3.070641E-2</v>
      </c>
      <c r="R4480">
        <v>0.99477859999999996</v>
      </c>
      <c r="S4480">
        <v>-0.1297913</v>
      </c>
      <c r="T4480">
        <v>-0.23936650000000001</v>
      </c>
      <c r="U4480">
        <v>3.0102229999999999</v>
      </c>
      <c r="V4480">
        <v>-7.8455430000000007E-2</v>
      </c>
      <c r="W4480">
        <v>3.4343949999999998E-2</v>
      </c>
      <c r="X4480">
        <v>0.99632589999999999</v>
      </c>
      <c r="Y4480">
        <v>-2.3998370000000002E-2</v>
      </c>
      <c r="Z4480">
        <v>-7.9198389999999994E-2</v>
      </c>
      <c r="AA4480">
        <v>0.99656999999999996</v>
      </c>
      <c r="AB4480">
        <v>46</v>
      </c>
      <c r="AC4480">
        <v>-3.4999999999996499E-2</v>
      </c>
      <c r="AD4480">
        <v>-8.1919000000000006E-2</v>
      </c>
      <c r="AE4480">
        <v>0.53811499999999901</v>
      </c>
      <c r="AF4480">
        <v>-2.4235550965709701E-2</v>
      </c>
      <c r="AG4480">
        <v>-8.1919000000000006E-2</v>
      </c>
      <c r="AH4480">
        <v>0.52653076711505797</v>
      </c>
      <c r="AI4480">
        <v>98.834119274158297</v>
      </c>
      <c r="AJ4480">
        <v>92.6353927808143</v>
      </c>
      <c r="AK4480">
        <v>0.53341609762959297</v>
      </c>
      <c r="AL4480">
        <v>88.031849635446605</v>
      </c>
      <c r="AM4480">
        <v>94.502450778876096</v>
      </c>
      <c r="AN4480">
        <v>1.0000000302044401</v>
      </c>
    </row>
    <row r="4481" spans="1:40" x14ac:dyDescent="0.3">
      <c r="A4481" t="str">
        <f>"20200111154008846"</f>
        <v>20200111154008846</v>
      </c>
      <c r="B4481" t="str">
        <f>"1578728408835720"</f>
        <v>1578728408835720</v>
      </c>
      <c r="C4481" t="s">
        <v>40</v>
      </c>
      <c r="D4481">
        <v>5.0252650000000001</v>
      </c>
      <c r="E4481">
        <v>0.5202698</v>
      </c>
      <c r="F4481" t="s">
        <v>41</v>
      </c>
      <c r="G4481">
        <v>-187.82390000000001</v>
      </c>
      <c r="H4481">
        <v>1.02887</v>
      </c>
      <c r="I4481">
        <v>8.3285859999999996</v>
      </c>
      <c r="J4481">
        <v>-187.79949999999999</v>
      </c>
      <c r="K4481">
        <v>1.1028370000000001</v>
      </c>
      <c r="L4481">
        <v>8.2611690000000007</v>
      </c>
      <c r="M4481">
        <v>-1.8954100000000002E-2</v>
      </c>
      <c r="N4481">
        <v>0</v>
      </c>
      <c r="O4481">
        <v>0.99981370000000003</v>
      </c>
      <c r="P4481">
        <v>-9.6110580000000001E-2</v>
      </c>
      <c r="Q4481">
        <v>3.1771819999999999E-2</v>
      </c>
      <c r="R4481">
        <v>0.99486350000000001</v>
      </c>
      <c r="S4481">
        <v>-0.1305084</v>
      </c>
      <c r="T4481">
        <v>-0.2328781</v>
      </c>
      <c r="U4481">
        <v>3.0101619999999998</v>
      </c>
      <c r="V4481">
        <v>-7.7234819999999996E-2</v>
      </c>
      <c r="W4481">
        <v>3.5424280000000002E-2</v>
      </c>
      <c r="X4481">
        <v>0.99638340000000003</v>
      </c>
      <c r="Y4481">
        <v>-2.4242199999999998E-2</v>
      </c>
      <c r="Z4481">
        <v>-7.7065469999999997E-2</v>
      </c>
      <c r="AA4481">
        <v>0.99673129999999999</v>
      </c>
      <c r="AB4481">
        <v>46</v>
      </c>
      <c r="AC4481">
        <v>-2.4400000000014101E-2</v>
      </c>
      <c r="AD4481">
        <v>-7.3966999999999894E-2</v>
      </c>
      <c r="AE4481">
        <v>6.7416999999998894E-2</v>
      </c>
      <c r="AF4481">
        <v>-1.11986603474517E-2</v>
      </c>
      <c r="AG4481">
        <v>-7.3966999999999894E-2</v>
      </c>
      <c r="AH4481">
        <v>3.2876152505227102E-2</v>
      </c>
      <c r="AI4481">
        <v>154.84764469430201</v>
      </c>
      <c r="AJ4481">
        <v>108.810471256733</v>
      </c>
      <c r="AK4481">
        <v>8.1715166805951797E-2</v>
      </c>
      <c r="AL4481">
        <v>87.969913503434697</v>
      </c>
      <c r="AM4481">
        <v>94.432428209429006</v>
      </c>
      <c r="AN4481">
        <v>0.99999998841475501</v>
      </c>
    </row>
    <row r="4482" spans="1:40" x14ac:dyDescent="0.3">
      <c r="A4482" t="str">
        <f>"20200111154008867"</f>
        <v>20200111154008867</v>
      </c>
      <c r="B4482" t="str">
        <f>"1578728408855240"</f>
        <v>1578728408855240</v>
      </c>
      <c r="C4482" t="s">
        <v>40</v>
      </c>
      <c r="D4482">
        <v>4.9567410000000001</v>
      </c>
      <c r="E4482">
        <v>0.52029449999999999</v>
      </c>
      <c r="F4482" t="s">
        <v>41</v>
      </c>
      <c r="G4482">
        <v>-187.83770000000001</v>
      </c>
      <c r="H4482">
        <v>1.0370090000000001</v>
      </c>
      <c r="I4482">
        <v>9.1699710000000003</v>
      </c>
      <c r="J4482">
        <v>-187.80789999999999</v>
      </c>
      <c r="K4482">
        <v>1.10284</v>
      </c>
      <c r="L4482">
        <v>8.7040410000000001</v>
      </c>
      <c r="M4482">
        <v>-1.8954869999999999E-2</v>
      </c>
      <c r="N4482">
        <v>0</v>
      </c>
      <c r="O4482">
        <v>0.99981359999999997</v>
      </c>
      <c r="P4482">
        <v>-9.6063789999999996E-2</v>
      </c>
      <c r="Q4482">
        <v>3.209501E-2</v>
      </c>
      <c r="R4482">
        <v>0.99485760000000001</v>
      </c>
      <c r="S4482">
        <v>-0.12704469999999901</v>
      </c>
      <c r="T4482">
        <v>-0.21803649999999999</v>
      </c>
      <c r="U4482">
        <v>3.0101930000000001</v>
      </c>
      <c r="V4482">
        <v>-7.7187809999999996E-2</v>
      </c>
      <c r="W4482">
        <v>3.575594E-2</v>
      </c>
      <c r="X4482">
        <v>0.99637520000000002</v>
      </c>
      <c r="Y4482">
        <v>-2.3111570000000001E-2</v>
      </c>
      <c r="Z4482">
        <v>-7.2182449999999995E-2</v>
      </c>
      <c r="AA4482">
        <v>0.99712369999999995</v>
      </c>
      <c r="AB4482">
        <v>46</v>
      </c>
      <c r="AC4482">
        <v>-2.9800000000022898E-2</v>
      </c>
      <c r="AD4482">
        <v>-6.5830999999999903E-2</v>
      </c>
      <c r="AE4482">
        <v>0.46593000000000001</v>
      </c>
      <c r="AF4482">
        <v>-2.05542960964539E-2</v>
      </c>
      <c r="AG4482">
        <v>-6.5830999999999903E-2</v>
      </c>
      <c r="AH4482">
        <v>0.45731901355028998</v>
      </c>
      <c r="AI4482">
        <v>98.183298689800793</v>
      </c>
      <c r="AJ4482">
        <v>92.573438555238596</v>
      </c>
      <c r="AK4482">
        <v>0.462489869947041</v>
      </c>
      <c r="AL4482">
        <v>87.950898746288601</v>
      </c>
      <c r="AM4482">
        <v>94.429777405151498</v>
      </c>
      <c r="AN4482">
        <v>0.99999999221645897</v>
      </c>
    </row>
    <row r="4483" spans="1:40" x14ac:dyDescent="0.3">
      <c r="A4483" t="str">
        <f>"20200111154008889"</f>
        <v>20200111154008889</v>
      </c>
      <c r="B4483" t="str">
        <f>"1578728408885497"</f>
        <v>1578728408885497</v>
      </c>
      <c r="C4483" t="s">
        <v>40</v>
      </c>
      <c r="D4483">
        <v>4.9204840000000001</v>
      </c>
      <c r="E4483">
        <v>0.52030109999999996</v>
      </c>
      <c r="F4483" t="s">
        <v>42</v>
      </c>
      <c r="G4483">
        <v>-188.47130000000001</v>
      </c>
      <c r="H4483" s="1">
        <v>-2.3424619999999998E-6</v>
      </c>
      <c r="I4483">
        <v>24.461030000000001</v>
      </c>
      <c r="J4483">
        <v>-187.81639999999999</v>
      </c>
      <c r="K4483">
        <v>1.1028359999999999</v>
      </c>
      <c r="L4483">
        <v>9.1526180000000004</v>
      </c>
      <c r="M4483">
        <v>-1.8955719999999999E-2</v>
      </c>
      <c r="N4483">
        <v>0</v>
      </c>
      <c r="O4483">
        <v>0.99981359999999997</v>
      </c>
      <c r="P4483">
        <v>-9.5443349999999996E-2</v>
      </c>
      <c r="Q4483">
        <v>3.247473E-2</v>
      </c>
      <c r="R4483">
        <v>0.99490500000000004</v>
      </c>
      <c r="S4483">
        <v>-0.1267395</v>
      </c>
      <c r="T4483">
        <v>-0.2106768</v>
      </c>
      <c r="U4483">
        <v>3.0100709999999999</v>
      </c>
      <c r="V4483">
        <v>-7.6565289999999994E-2</v>
      </c>
      <c r="W4483">
        <v>3.614527E-2</v>
      </c>
      <c r="X4483">
        <v>0.99640919999999999</v>
      </c>
      <c r="Y4483">
        <v>-2.3018759999999999E-2</v>
      </c>
      <c r="Z4483">
        <v>-6.9761100000000006E-2</v>
      </c>
      <c r="AA4483">
        <v>0.99729809999999997</v>
      </c>
      <c r="AB4483">
        <v>46</v>
      </c>
      <c r="AC4483">
        <v>-0.65490000000002602</v>
      </c>
      <c r="AD4483">
        <v>-1.1028383424619901</v>
      </c>
      <c r="AE4483">
        <v>15.308412000000001</v>
      </c>
      <c r="AF4483">
        <v>-0.36271934890190299</v>
      </c>
      <c r="AG4483">
        <v>-1.1028383424619901</v>
      </c>
      <c r="AH4483">
        <v>15.2391297122744</v>
      </c>
      <c r="AI4483">
        <v>94.138045972435805</v>
      </c>
      <c r="AJ4483">
        <v>91.3634876128325</v>
      </c>
      <c r="AK4483">
        <v>15.2832880010551</v>
      </c>
      <c r="AL4483">
        <v>87.928577385674899</v>
      </c>
      <c r="AM4483">
        <v>94.394042369570201</v>
      </c>
      <c r="AN4483">
        <v>1.00000000901039</v>
      </c>
    </row>
    <row r="4484" spans="1:40" x14ac:dyDescent="0.3">
      <c r="A4484" t="str">
        <f>"20200111154008934"</f>
        <v>20200111154008934</v>
      </c>
      <c r="B4484" t="str">
        <f>"1578728408925512"</f>
        <v>1578728408925512</v>
      </c>
      <c r="C4484" t="s">
        <v>40</v>
      </c>
      <c r="D4484">
        <v>4.8622959999999997</v>
      </c>
      <c r="E4484">
        <v>0.52025619999999995</v>
      </c>
      <c r="F4484" t="s">
        <v>42</v>
      </c>
      <c r="G4484">
        <v>-188.505</v>
      </c>
      <c r="H4484" s="1">
        <v>-2.8931479999999999E-6</v>
      </c>
      <c r="I4484">
        <v>25.758620000000001</v>
      </c>
      <c r="J4484">
        <v>-187.83410000000001</v>
      </c>
      <c r="K4484">
        <v>1.102841</v>
      </c>
      <c r="L4484">
        <v>10.08478</v>
      </c>
      <c r="M4484">
        <v>-1.895784E-2</v>
      </c>
      <c r="N4484">
        <v>0</v>
      </c>
      <c r="O4484">
        <v>0.99981339999999996</v>
      </c>
      <c r="P4484">
        <v>-9.4739989999999996E-2</v>
      </c>
      <c r="Q4484">
        <v>3.3027300000000002E-2</v>
      </c>
      <c r="R4484">
        <v>0.99495400000000001</v>
      </c>
      <c r="S4484">
        <v>-0.124816899999999</v>
      </c>
      <c r="T4484">
        <v>-0.19989489999999999</v>
      </c>
      <c r="U4484">
        <v>3.0099179999999999</v>
      </c>
      <c r="V4484">
        <v>-7.5859540000000003E-2</v>
      </c>
      <c r="W4484">
        <v>3.6720429999999998E-2</v>
      </c>
      <c r="X4484">
        <v>0.9964421</v>
      </c>
      <c r="Y4484">
        <v>-2.2392849999999999E-2</v>
      </c>
      <c r="Z4484">
        <v>-6.6211640000000002E-2</v>
      </c>
      <c r="AA4484">
        <v>0.9975543</v>
      </c>
      <c r="AB4484">
        <v>47</v>
      </c>
      <c r="AC4484">
        <v>-0.67089999999998895</v>
      </c>
      <c r="AD4484">
        <v>-1.102843893148</v>
      </c>
      <c r="AE4484">
        <v>15.67384</v>
      </c>
      <c r="AF4484">
        <v>-0.371797892114133</v>
      </c>
      <c r="AG4484">
        <v>-1.102843893148</v>
      </c>
      <c r="AH4484">
        <v>15.6066177497955</v>
      </c>
      <c r="AI4484">
        <v>94.040952565075898</v>
      </c>
      <c r="AJ4484">
        <v>91.364704497009797</v>
      </c>
      <c r="AK4484">
        <v>15.649952585023</v>
      </c>
      <c r="AL4484">
        <v>87.895601147400896</v>
      </c>
      <c r="AM4484">
        <v>94.3535529929067</v>
      </c>
      <c r="AN4484">
        <v>0.99999995922040197</v>
      </c>
    </row>
    <row r="4485" spans="1:40" x14ac:dyDescent="0.3">
      <c r="A4485" t="str">
        <f>"20200111154008956"</f>
        <v>20200111154008956</v>
      </c>
      <c r="B4485" t="str">
        <f>"1578728408945031"</f>
        <v>1578728408945031</v>
      </c>
      <c r="C4485" t="s">
        <v>40</v>
      </c>
      <c r="D4485">
        <v>4.8770720000000001</v>
      </c>
      <c r="E4485">
        <v>0.52025029999999906</v>
      </c>
      <c r="F4485" t="s">
        <v>42</v>
      </c>
      <c r="G4485">
        <v>-188.56739999999999</v>
      </c>
      <c r="H4485" s="1">
        <v>-3.87243E-6</v>
      </c>
      <c r="I4485">
        <v>28.067119999999999</v>
      </c>
      <c r="J4485">
        <v>-187.84309999999999</v>
      </c>
      <c r="K4485">
        <v>1.10284</v>
      </c>
      <c r="L4485">
        <v>10.56241</v>
      </c>
      <c r="M4485">
        <v>-1.8958920000000001E-2</v>
      </c>
      <c r="N4485">
        <v>0</v>
      </c>
      <c r="O4485">
        <v>0.99981339999999996</v>
      </c>
      <c r="P4485">
        <v>-9.4640950000000001E-2</v>
      </c>
      <c r="Q4485">
        <v>3.3657099999999898E-2</v>
      </c>
      <c r="R4485">
        <v>0.9949424</v>
      </c>
      <c r="S4485">
        <v>-0.1227264</v>
      </c>
      <c r="T4485">
        <v>-0.1845793</v>
      </c>
      <c r="U4485">
        <v>3.0096440000000002</v>
      </c>
      <c r="V4485">
        <v>-7.5759370000000006E-2</v>
      </c>
      <c r="W4485">
        <v>3.7363720000000003E-2</v>
      </c>
      <c r="X4485">
        <v>0.99642589999999998</v>
      </c>
      <c r="Y4485">
        <v>-2.1716949999999999E-2</v>
      </c>
      <c r="Z4485">
        <v>-6.1165270000000001E-2</v>
      </c>
      <c r="AA4485">
        <v>0.99789139999999998</v>
      </c>
      <c r="AB4485">
        <v>47</v>
      </c>
      <c r="AC4485">
        <v>-0.72429999999999894</v>
      </c>
      <c r="AD4485">
        <v>-1.10284387242999</v>
      </c>
      <c r="AE4485">
        <v>17.504709999999999</v>
      </c>
      <c r="AF4485">
        <v>-0.390748777609016</v>
      </c>
      <c r="AG4485">
        <v>-1.10284387242999</v>
      </c>
      <c r="AH4485">
        <v>17.446164374603502</v>
      </c>
      <c r="AI4485">
        <v>93.616184731996697</v>
      </c>
      <c r="AJ4485">
        <v>91.283062156836706</v>
      </c>
      <c r="AK4485">
        <v>17.485353888321601</v>
      </c>
      <c r="AL4485">
        <v>87.858718229282005</v>
      </c>
      <c r="AM4485">
        <v>94.347896745226294</v>
      </c>
      <c r="AN4485">
        <v>1.00000005195292</v>
      </c>
    </row>
    <row r="4486" spans="1:40" x14ac:dyDescent="0.3">
      <c r="A4486" t="str">
        <f>"20200111154008979"</f>
        <v>20200111154008979</v>
      </c>
      <c r="B4486" t="str">
        <f>"1578728408975288"</f>
        <v>1578728408975288</v>
      </c>
      <c r="C4486" t="s">
        <v>40</v>
      </c>
      <c r="D4486">
        <v>4.7767379999999999</v>
      </c>
      <c r="E4486">
        <v>0.52026220000000001</v>
      </c>
      <c r="F4486" t="s">
        <v>42</v>
      </c>
      <c r="G4486">
        <v>-188.608</v>
      </c>
      <c r="H4486" s="1">
        <v>-4.3940699999999996E-6</v>
      </c>
      <c r="I4486">
        <v>29.299880000000002</v>
      </c>
      <c r="J4486">
        <v>-187.85220000000001</v>
      </c>
      <c r="K4486">
        <v>1.1028469999999999</v>
      </c>
      <c r="L4486">
        <v>11.040039999999999</v>
      </c>
      <c r="M4486">
        <v>-1.8959989999999999E-2</v>
      </c>
      <c r="N4486">
        <v>0</v>
      </c>
      <c r="O4486">
        <v>0.99981330000000002</v>
      </c>
      <c r="P4486">
        <v>-9.3706440000000002E-2</v>
      </c>
      <c r="Q4486">
        <v>3.5218529999999998E-2</v>
      </c>
      <c r="R4486">
        <v>0.99497679999999999</v>
      </c>
      <c r="S4486">
        <v>-0.1228485</v>
      </c>
      <c r="T4486">
        <v>-0.1771353</v>
      </c>
      <c r="U4486">
        <v>3.0095519999999998</v>
      </c>
      <c r="V4486">
        <v>-7.4823580000000001E-2</v>
      </c>
      <c r="W4486">
        <v>3.8939469999999997E-2</v>
      </c>
      <c r="X4486">
        <v>0.99643619999999999</v>
      </c>
      <c r="Y4486">
        <v>-2.176353E-2</v>
      </c>
      <c r="Z4486">
        <v>-5.8708910000000003E-2</v>
      </c>
      <c r="AA4486">
        <v>0.99803790000000003</v>
      </c>
      <c r="AB4486">
        <v>47</v>
      </c>
      <c r="AC4486">
        <v>-0.75579999999999303</v>
      </c>
      <c r="AD4486">
        <v>-1.10285139407</v>
      </c>
      <c r="AE4486">
        <v>18.259840000000001</v>
      </c>
      <c r="AF4486">
        <v>-0.40796967335606898</v>
      </c>
      <c r="AG4486">
        <v>-1.10285139407</v>
      </c>
      <c r="AH4486">
        <v>18.2045931663781</v>
      </c>
      <c r="AI4486">
        <v>93.465927209169905</v>
      </c>
      <c r="AJ4486">
        <v>91.283798451230396</v>
      </c>
      <c r="AK4486">
        <v>18.242530877187001</v>
      </c>
      <c r="AL4486">
        <v>87.768368451579803</v>
      </c>
      <c r="AM4486">
        <v>94.294348869506507</v>
      </c>
      <c r="AN4486">
        <v>0.99999997555916798</v>
      </c>
    </row>
    <row r="4487" spans="1:40" x14ac:dyDescent="0.3">
      <c r="A4487" t="str">
        <f>"20200111154009001"</f>
        <v>20200111154009001</v>
      </c>
      <c r="B4487" t="str">
        <f>"1578728408995785"</f>
        <v>1578728408995785</v>
      </c>
      <c r="C4487" t="s">
        <v>40</v>
      </c>
      <c r="D4487">
        <v>4.7536230000000002</v>
      </c>
      <c r="E4487">
        <v>0.52019300000000002</v>
      </c>
      <c r="F4487" t="s">
        <v>42</v>
      </c>
      <c r="G4487">
        <v>-188.64760000000001</v>
      </c>
      <c r="H4487" s="1">
        <v>-8.4482569999999999E-7</v>
      </c>
      <c r="I4487">
        <v>31.042860000000001</v>
      </c>
      <c r="J4487">
        <v>-187.8613</v>
      </c>
      <c r="K4487">
        <v>1.1028480000000001</v>
      </c>
      <c r="L4487">
        <v>11.52295</v>
      </c>
      <c r="M4487">
        <v>-1.8961080000000002E-2</v>
      </c>
      <c r="N4487">
        <v>0</v>
      </c>
      <c r="O4487">
        <v>0.99981319999999996</v>
      </c>
      <c r="P4487">
        <v>-9.2783320000000002E-2</v>
      </c>
      <c r="Q4487">
        <v>3.698953E-2</v>
      </c>
      <c r="R4487">
        <v>0.99499899999999997</v>
      </c>
      <c r="S4487">
        <v>-0.11967469999999999</v>
      </c>
      <c r="T4487">
        <v>-0.16594049999999999</v>
      </c>
      <c r="U4487">
        <v>3.009735</v>
      </c>
      <c r="V4487">
        <v>-7.3898899999999906E-2</v>
      </c>
      <c r="W4487">
        <v>4.0726190000000002E-2</v>
      </c>
      <c r="X4487">
        <v>0.99643380000000004</v>
      </c>
      <c r="Y4487">
        <v>-2.0717579999999999E-2</v>
      </c>
      <c r="Z4487">
        <v>-5.5008590000000003E-2</v>
      </c>
      <c r="AA4487">
        <v>0.99827089999999996</v>
      </c>
      <c r="AB4487">
        <v>47</v>
      </c>
      <c r="AC4487">
        <v>-0.78630000000001099</v>
      </c>
      <c r="AD4487">
        <v>-1.1028488448256999</v>
      </c>
      <c r="AE4487">
        <v>19.519909999999999</v>
      </c>
      <c r="AF4487">
        <v>-0.41471579585699703</v>
      </c>
      <c r="AG4487">
        <v>-1.1028488448256999</v>
      </c>
      <c r="AH4487">
        <v>19.469262777231201</v>
      </c>
      <c r="AI4487">
        <v>93.241357675320202</v>
      </c>
      <c r="AJ4487">
        <v>91.220275890686395</v>
      </c>
      <c r="AK4487">
        <v>19.504882923379601</v>
      </c>
      <c r="AL4487">
        <v>87.665915652089794</v>
      </c>
      <c r="AM4487">
        <v>94.241483778085794</v>
      </c>
      <c r="AN4487">
        <v>0.99999999387778304</v>
      </c>
    </row>
    <row r="4488" spans="1:40" x14ac:dyDescent="0.3">
      <c r="A4488" t="str">
        <f>"20200111154009023"</f>
        <v>20200111154009023</v>
      </c>
      <c r="B4488" t="str">
        <f>"1578728409015304"</f>
        <v>1578728409015304</v>
      </c>
      <c r="C4488" t="s">
        <v>40</v>
      </c>
      <c r="D4488">
        <v>4.7560039999999999</v>
      </c>
      <c r="E4488">
        <v>0.52017150000000001</v>
      </c>
      <c r="F4488" t="s">
        <v>42</v>
      </c>
      <c r="G4488">
        <v>-188.68270000000001</v>
      </c>
      <c r="H4488" s="1">
        <v>-1.490256E-6</v>
      </c>
      <c r="I4488">
        <v>32.561909999999997</v>
      </c>
      <c r="J4488">
        <v>-187.87020000000001</v>
      </c>
      <c r="K4488">
        <v>1.102851</v>
      </c>
      <c r="L4488">
        <v>11.99072</v>
      </c>
      <c r="M4488">
        <v>-1.8962130000000001E-2</v>
      </c>
      <c r="N4488">
        <v>0</v>
      </c>
      <c r="O4488">
        <v>0.99981310000000001</v>
      </c>
      <c r="P4488">
        <v>-9.2134289999999994E-2</v>
      </c>
      <c r="Q4488">
        <v>3.8038130000000003E-2</v>
      </c>
      <c r="R4488">
        <v>0.99501980000000001</v>
      </c>
      <c r="S4488">
        <v>-0.1175079</v>
      </c>
      <c r="T4488">
        <v>-0.15778130000000001</v>
      </c>
      <c r="U4488">
        <v>3.009979</v>
      </c>
      <c r="V4488">
        <v>-7.324804E-2</v>
      </c>
      <c r="W4488">
        <v>4.1791019999999998E-2</v>
      </c>
      <c r="X4488">
        <v>0.99643780000000004</v>
      </c>
      <c r="Y4488">
        <v>-2.0001479999999999E-2</v>
      </c>
      <c r="Z4488">
        <v>-5.230833E-2</v>
      </c>
      <c r="AA4488">
        <v>0.9984307</v>
      </c>
      <c r="AB4488">
        <v>47</v>
      </c>
      <c r="AC4488">
        <v>-0.8125</v>
      </c>
      <c r="AD4488">
        <v>-1.102852490256</v>
      </c>
      <c r="AE4488">
        <v>20.571190000000001</v>
      </c>
      <c r="AF4488">
        <v>-0.42106921404404801</v>
      </c>
      <c r="AG4488">
        <v>-1.102852490256</v>
      </c>
      <c r="AH4488">
        <v>20.524000073057</v>
      </c>
      <c r="AI4488">
        <v>93.075171732901595</v>
      </c>
      <c r="AJ4488">
        <v>91.175312062889603</v>
      </c>
      <c r="AK4488">
        <v>20.557922120124999</v>
      </c>
      <c r="AL4488">
        <v>87.604853468834406</v>
      </c>
      <c r="AM4488">
        <v>94.204244896554201</v>
      </c>
      <c r="AN4488">
        <v>1.0000000269926601</v>
      </c>
    </row>
    <row r="4489" spans="1:40" x14ac:dyDescent="0.3">
      <c r="A4489" t="str">
        <f>"20200111154009046"</f>
        <v>20200111154009046</v>
      </c>
      <c r="B4489" t="str">
        <f>"1578728409035800"</f>
        <v>1578728409035800</v>
      </c>
      <c r="C4489" t="s">
        <v>40</v>
      </c>
      <c r="D4489">
        <v>4.8205920000000004</v>
      </c>
      <c r="E4489">
        <v>0.52016399999999996</v>
      </c>
      <c r="F4489" t="s">
        <v>42</v>
      </c>
      <c r="G4489">
        <v>-188.71299999999999</v>
      </c>
      <c r="H4489" s="1">
        <v>-2.0753610000000001E-6</v>
      </c>
      <c r="I4489">
        <v>33.938319999999997</v>
      </c>
      <c r="J4489">
        <v>-187.87970000000001</v>
      </c>
      <c r="K4489">
        <v>1.1028439999999999</v>
      </c>
      <c r="L4489">
        <v>12.491820000000001</v>
      </c>
      <c r="M4489">
        <v>-1.8963219999999999E-2</v>
      </c>
      <c r="N4489">
        <v>0</v>
      </c>
      <c r="O4489">
        <v>0.99981299999999995</v>
      </c>
      <c r="P4489">
        <v>-9.1470949999999995E-2</v>
      </c>
      <c r="Q4489">
        <v>3.9010110000000001E-2</v>
      </c>
      <c r="R4489">
        <v>0.99504329999999996</v>
      </c>
      <c r="S4489">
        <v>-0.1155853</v>
      </c>
      <c r="T4489">
        <v>-0.15125569999999999</v>
      </c>
      <c r="U4489">
        <v>3.0101010000000001</v>
      </c>
      <c r="V4489">
        <v>-7.2584060000000006E-2</v>
      </c>
      <c r="W4489">
        <v>4.2781470000000002E-2</v>
      </c>
      <c r="X4489">
        <v>0.99644429999999995</v>
      </c>
      <c r="Y4489">
        <v>-1.9366290000000001E-2</v>
      </c>
      <c r="Z4489">
        <v>-5.0149399999999997E-2</v>
      </c>
      <c r="AA4489">
        <v>0.99855389999999999</v>
      </c>
      <c r="AB4489">
        <v>48</v>
      </c>
      <c r="AC4489">
        <v>-0.83329999999997995</v>
      </c>
      <c r="AD4489">
        <v>-1.1028460753610001</v>
      </c>
      <c r="AE4489">
        <v>21.4465</v>
      </c>
      <c r="AF4489">
        <v>-0.425329517844871</v>
      </c>
      <c r="AG4489">
        <v>-1.1028460753610001</v>
      </c>
      <c r="AH4489">
        <v>21.401936999766999</v>
      </c>
      <c r="AI4489">
        <v>92.949272472510003</v>
      </c>
      <c r="AJ4489">
        <v>91.1385127784785</v>
      </c>
      <c r="AK4489">
        <v>21.434553459465501</v>
      </c>
      <c r="AL4489">
        <v>87.548053922009402</v>
      </c>
      <c r="AM4489">
        <v>94.166241916992206</v>
      </c>
      <c r="AN4489">
        <v>0.99999997147196595</v>
      </c>
    </row>
    <row r="4490" spans="1:40" x14ac:dyDescent="0.3">
      <c r="A4490" t="str">
        <f>"20200111154009068"</f>
        <v>20200111154009068</v>
      </c>
      <c r="B4490" t="str">
        <f>"1578728409065080"</f>
        <v>1578728409065080</v>
      </c>
      <c r="C4490" t="s">
        <v>40</v>
      </c>
      <c r="D4490">
        <v>4.808001</v>
      </c>
      <c r="E4490">
        <v>0.52559750000000005</v>
      </c>
      <c r="F4490" t="s">
        <v>42</v>
      </c>
      <c r="G4490">
        <v>-188.7388</v>
      </c>
      <c r="H4490" s="1">
        <v>-2.6452589999999998E-6</v>
      </c>
      <c r="I4490">
        <v>35.277450000000002</v>
      </c>
      <c r="J4490">
        <v>-187.88849999999999</v>
      </c>
      <c r="K4490">
        <v>1.1028389999999999</v>
      </c>
      <c r="L4490">
        <v>12.958130000000001</v>
      </c>
      <c r="M4490">
        <v>-1.896424E-2</v>
      </c>
      <c r="N4490">
        <v>0</v>
      </c>
      <c r="O4490">
        <v>0.99981299999999995</v>
      </c>
      <c r="P4490">
        <v>-9.0414129999999995E-2</v>
      </c>
      <c r="Q4490">
        <v>4.0001710000000003E-2</v>
      </c>
      <c r="R4490">
        <v>0.9951006</v>
      </c>
      <c r="S4490">
        <v>-0.113494899999999</v>
      </c>
      <c r="T4490">
        <v>-0.14569770000000001</v>
      </c>
      <c r="U4490">
        <v>3.0102229999999999</v>
      </c>
      <c r="V4490">
        <v>-7.1525130000000006E-2</v>
      </c>
      <c r="W4490">
        <v>4.379094E-2</v>
      </c>
      <c r="X4490">
        <v>0.9964771</v>
      </c>
      <c r="Y4490">
        <v>-1.8674690000000001E-2</v>
      </c>
      <c r="Z4490">
        <v>-4.831001E-2</v>
      </c>
      <c r="AA4490">
        <v>0.99865780000000004</v>
      </c>
      <c r="AB4490">
        <v>48</v>
      </c>
      <c r="AC4490">
        <v>-0.85030000000000405</v>
      </c>
      <c r="AD4490">
        <v>-1.102841645259</v>
      </c>
      <c r="AE4490">
        <v>22.319320000000001</v>
      </c>
      <c r="AF4490">
        <v>-0.42583691740568103</v>
      </c>
      <c r="AG4490">
        <v>-1.102841645259</v>
      </c>
      <c r="AH4490">
        <v>22.277119782282501</v>
      </c>
      <c r="AI4490">
        <v>92.833629951455293</v>
      </c>
      <c r="AJ4490">
        <v>91.095100590267293</v>
      </c>
      <c r="AK4490">
        <v>22.3084661635197</v>
      </c>
      <c r="AL4490">
        <v>87.490161484387102</v>
      </c>
      <c r="AM4490">
        <v>94.105535250744396</v>
      </c>
      <c r="AN4490">
        <v>1.0000000507360001</v>
      </c>
    </row>
    <row r="4491" spans="1:40" x14ac:dyDescent="0.3">
      <c r="A4491" t="str">
        <f>"20200111154009092"</f>
        <v>20200111154009092</v>
      </c>
      <c r="B4491" t="str">
        <f>"1578728409085576"</f>
        <v>1578728409085576</v>
      </c>
      <c r="C4491" t="s">
        <v>40</v>
      </c>
      <c r="D4491">
        <v>4.7458629999999999</v>
      </c>
      <c r="E4491">
        <v>0.52676820000000002</v>
      </c>
      <c r="F4491" t="s">
        <v>42</v>
      </c>
      <c r="G4491">
        <v>-188.81489999999999</v>
      </c>
      <c r="H4491" s="1">
        <v>-2.1961500000000001E-6</v>
      </c>
      <c r="I4491">
        <v>54.262039999999999</v>
      </c>
      <c r="J4491">
        <v>-187.8982</v>
      </c>
      <c r="K4491">
        <v>1.102833</v>
      </c>
      <c r="L4491">
        <v>13.468260000000001</v>
      </c>
      <c r="M4491">
        <v>-1.8965369999999999E-2</v>
      </c>
      <c r="N4491">
        <v>0</v>
      </c>
      <c r="O4491">
        <v>0.99981279999999995</v>
      </c>
      <c r="P4491">
        <v>-8.9408009999999996E-2</v>
      </c>
      <c r="Q4491">
        <v>4.1123029999999998E-2</v>
      </c>
      <c r="R4491">
        <v>0.99514579999999997</v>
      </c>
      <c r="S4491">
        <v>-6.7550659999999998E-2</v>
      </c>
      <c r="T4491">
        <v>-8.0418939999999994E-2</v>
      </c>
      <c r="U4491">
        <v>3.0118710000000002</v>
      </c>
      <c r="V4491">
        <v>-7.0516549999999997E-2</v>
      </c>
      <c r="W4491">
        <v>4.493279E-2</v>
      </c>
      <c r="X4491">
        <v>0.99649810000000005</v>
      </c>
      <c r="Y4491">
        <v>-3.449742E-3</v>
      </c>
      <c r="Z4491">
        <v>-2.6680519999999999E-2</v>
      </c>
      <c r="AA4491">
        <v>0.99963809999999997</v>
      </c>
      <c r="AB4491">
        <v>48</v>
      </c>
      <c r="AC4491">
        <v>-0.91669999999999097</v>
      </c>
      <c r="AD4491">
        <v>-1.10283519615</v>
      </c>
      <c r="AE4491">
        <v>40.793779999999998</v>
      </c>
      <c r="AF4491">
        <v>-0.14275602913195101</v>
      </c>
      <c r="AG4491">
        <v>-1.10283519615</v>
      </c>
      <c r="AH4491">
        <v>40.7740434360568</v>
      </c>
      <c r="AI4491">
        <v>91.549319321634698</v>
      </c>
      <c r="AJ4491">
        <v>90.200600280459099</v>
      </c>
      <c r="AK4491">
        <v>40.789204979739097</v>
      </c>
      <c r="AL4491">
        <v>87.424673700307693</v>
      </c>
      <c r="AM4491">
        <v>94.047751650386004</v>
      </c>
      <c r="AN4491">
        <v>1.00000000137234</v>
      </c>
    </row>
    <row r="4492" spans="1:40" x14ac:dyDescent="0.3">
      <c r="A4492" t="str">
        <f>"20200111154009115"</f>
        <v>20200111154009115</v>
      </c>
      <c r="B4492" t="str">
        <f>"1578728409105096"</f>
        <v>1578728409105096</v>
      </c>
      <c r="C4492" t="s">
        <v>40</v>
      </c>
      <c r="D4492">
        <v>4.792173</v>
      </c>
      <c r="E4492">
        <v>0.52637029999999996</v>
      </c>
      <c r="F4492" t="s">
        <v>42</v>
      </c>
      <c r="G4492">
        <v>-188.73609999999999</v>
      </c>
      <c r="H4492" s="1">
        <v>-4.253875E-6</v>
      </c>
      <c r="I4492">
        <v>59.026040000000002</v>
      </c>
      <c r="J4492">
        <v>-187.9076</v>
      </c>
      <c r="K4492">
        <v>1.1028309999999999</v>
      </c>
      <c r="L4492">
        <v>13.962009999999999</v>
      </c>
      <c r="M4492">
        <v>-1.8966230000000001E-2</v>
      </c>
      <c r="N4492">
        <v>0</v>
      </c>
      <c r="O4492">
        <v>0.9998127</v>
      </c>
      <c r="P4492">
        <v>-8.8584650000000001E-2</v>
      </c>
      <c r="Q4492">
        <v>4.1751980000000001E-2</v>
      </c>
      <c r="R4492">
        <v>0.9951932</v>
      </c>
      <c r="S4492">
        <v>-5.5404660000000001E-2</v>
      </c>
      <c r="T4492">
        <v>-7.292891E-2</v>
      </c>
      <c r="U4492">
        <v>3.0126650000000001</v>
      </c>
      <c r="V4492">
        <v>-6.9691959999999997E-2</v>
      </c>
      <c r="W4492">
        <v>4.5582060000000001E-2</v>
      </c>
      <c r="X4492">
        <v>0.99652660000000004</v>
      </c>
      <c r="Y4492">
        <v>5.8437639999999998E-4</v>
      </c>
      <c r="Z4492">
        <v>-2.419178E-2</v>
      </c>
      <c r="AA4492">
        <v>0.99970720000000002</v>
      </c>
      <c r="AB4492">
        <v>48</v>
      </c>
      <c r="AC4492">
        <v>-0.82849999999999102</v>
      </c>
      <c r="AD4492">
        <v>-1.1028352538749999</v>
      </c>
      <c r="AE4492">
        <v>45.064029999999903</v>
      </c>
      <c r="AF4492">
        <v>2.6334364795402299E-2</v>
      </c>
      <c r="AG4492">
        <v>-1.1028352538749999</v>
      </c>
      <c r="AH4492">
        <v>45.044669053951999</v>
      </c>
      <c r="AI4492">
        <v>91.402500566208204</v>
      </c>
      <c r="AJ4492">
        <v>89.9665032995308</v>
      </c>
      <c r="AK4492">
        <v>45.058175165845597</v>
      </c>
      <c r="AL4492">
        <v>87.387435054204303</v>
      </c>
      <c r="AM4492">
        <v>94.000459547488205</v>
      </c>
      <c r="AN4492">
        <v>0.99999997899502202</v>
      </c>
    </row>
    <row r="4493" spans="1:40" x14ac:dyDescent="0.3">
      <c r="A4493" t="str">
        <f>"20200111154009139"</f>
        <v>20200111154009139</v>
      </c>
      <c r="B4493" t="str">
        <f>"1578728409135352"</f>
        <v>1578728409135352</v>
      </c>
      <c r="C4493" t="s">
        <v>40</v>
      </c>
      <c r="D4493">
        <v>4.8125910000000003</v>
      </c>
      <c r="E4493">
        <v>0.52586119999999903</v>
      </c>
      <c r="F4493" t="s">
        <v>42</v>
      </c>
      <c r="G4493">
        <v>-188.7953</v>
      </c>
      <c r="H4493" s="1">
        <v>-1.095648E-6</v>
      </c>
      <c r="I4493">
        <v>61.688630000000003</v>
      </c>
      <c r="J4493">
        <v>-187.91730000000001</v>
      </c>
      <c r="K4493">
        <v>1.1028230000000001</v>
      </c>
      <c r="L4493">
        <v>14.47406</v>
      </c>
      <c r="M4493">
        <v>-1.8966009999999998E-2</v>
      </c>
      <c r="N4493">
        <v>0</v>
      </c>
      <c r="O4493">
        <v>0.9998127</v>
      </c>
      <c r="P4493">
        <v>-8.8108309999999995E-2</v>
      </c>
      <c r="Q4493">
        <v>4.2724669999999999E-2</v>
      </c>
      <c r="R4493">
        <v>0.99519420000000003</v>
      </c>
      <c r="S4493">
        <v>-5.603027E-2</v>
      </c>
      <c r="T4493">
        <v>-6.9608809999999993E-2</v>
      </c>
      <c r="U4493">
        <v>3.0124209999999998</v>
      </c>
      <c r="V4493">
        <v>-6.9215979999999996E-2</v>
      </c>
      <c r="W4493">
        <v>4.6575680000000001E-2</v>
      </c>
      <c r="X4493">
        <v>0.99651380000000001</v>
      </c>
      <c r="Y4493">
        <v>3.7464120000000001E-4</v>
      </c>
      <c r="Z4493">
        <v>-2.309288E-2</v>
      </c>
      <c r="AA4493">
        <v>0.99973330000000005</v>
      </c>
      <c r="AB4493">
        <v>48</v>
      </c>
      <c r="AC4493">
        <v>-0.87799999999998501</v>
      </c>
      <c r="AD4493">
        <v>-1.102824095648</v>
      </c>
      <c r="AE4493">
        <v>47.214570000000002</v>
      </c>
      <c r="AF4493">
        <v>1.7626973521898001E-2</v>
      </c>
      <c r="AG4493">
        <v>-1.102824095648</v>
      </c>
      <c r="AH4493">
        <v>47.196988676346301</v>
      </c>
      <c r="AI4493">
        <v>91.338552893437395</v>
      </c>
      <c r="AJ4493">
        <v>89.9786013648378</v>
      </c>
      <c r="AK4493">
        <v>47.209874727765303</v>
      </c>
      <c r="AL4493">
        <v>87.330444204676297</v>
      </c>
      <c r="AM4493">
        <v>93.973276011324202</v>
      </c>
      <c r="AN4493">
        <v>0.99999994972262995</v>
      </c>
    </row>
    <row r="4494" spans="1:40" x14ac:dyDescent="0.3">
      <c r="A4494" t="str">
        <f>"20200111154009180"</f>
        <v>20200111154009180</v>
      </c>
      <c r="B4494" t="str">
        <f>"1578728409175367"</f>
        <v>1578728409175367</v>
      </c>
      <c r="C4494" t="s">
        <v>40</v>
      </c>
      <c r="D4494">
        <v>4.8118299999999996</v>
      </c>
      <c r="E4494">
        <v>0.52548059999999996</v>
      </c>
      <c r="F4494" t="s">
        <v>42</v>
      </c>
      <c r="G4494">
        <v>-188.9034</v>
      </c>
      <c r="H4494" s="1">
        <v>-2.5805399999999999E-6</v>
      </c>
      <c r="I4494">
        <v>65.194659999999999</v>
      </c>
      <c r="J4494">
        <v>-187.93430000000001</v>
      </c>
      <c r="K4494">
        <v>1.102797</v>
      </c>
      <c r="L4494">
        <v>15.37411</v>
      </c>
      <c r="M4494">
        <v>-1.8958829999999999E-2</v>
      </c>
      <c r="N4494">
        <v>0</v>
      </c>
      <c r="O4494">
        <v>0.9998127</v>
      </c>
      <c r="P4494">
        <v>-8.8225410000000004E-2</v>
      </c>
      <c r="Q4494">
        <v>4.3877970000000002E-2</v>
      </c>
      <c r="R4494">
        <v>0.99513359999999995</v>
      </c>
      <c r="S4494">
        <v>-5.8563230000000001E-2</v>
      </c>
      <c r="T4494">
        <v>-6.5492869999999995E-2</v>
      </c>
      <c r="U4494">
        <v>3.0121150000000001</v>
      </c>
      <c r="V4494">
        <v>-6.9340840000000001E-2</v>
      </c>
      <c r="W4494">
        <v>4.7768360000000003E-2</v>
      </c>
      <c r="X4494">
        <v>0.99644869999999997</v>
      </c>
      <c r="Y4494">
        <v>-4.7540510000000001E-4</v>
      </c>
      <c r="Z4494">
        <v>-2.1730099999999999E-2</v>
      </c>
      <c r="AA4494">
        <v>0.99976379999999998</v>
      </c>
      <c r="AB4494">
        <v>48</v>
      </c>
      <c r="AC4494">
        <v>-0.96909999999999696</v>
      </c>
      <c r="AD4494">
        <v>-1.1027995805399999</v>
      </c>
      <c r="AE4494">
        <v>49.820549999999997</v>
      </c>
      <c r="AF4494">
        <v>-2.4367399053898901E-2</v>
      </c>
      <c r="AG4494">
        <v>-1.1027995805399999</v>
      </c>
      <c r="AH4494">
        <v>49.805574139382699</v>
      </c>
      <c r="AI4494">
        <v>91.268440974907804</v>
      </c>
      <c r="AJ4494">
        <v>90.028031983090798</v>
      </c>
      <c r="AK4494">
        <v>49.817787747334997</v>
      </c>
      <c r="AL4494">
        <v>87.262032620030993</v>
      </c>
      <c r="AM4494">
        <v>93.980679672492002</v>
      </c>
      <c r="AN4494">
        <v>0.99999999002034201</v>
      </c>
    </row>
    <row r="4495" spans="1:40" x14ac:dyDescent="0.3">
      <c r="A4495" t="str">
        <f>"20200111154009202"</f>
        <v>20200111154009202</v>
      </c>
      <c r="B4495" t="str">
        <f>"1578728409195864"</f>
        <v>1578728409195864</v>
      </c>
      <c r="C4495" t="s">
        <v>40</v>
      </c>
      <c r="D4495">
        <v>4.8737560000000002</v>
      </c>
      <c r="E4495">
        <v>0.52550090000000005</v>
      </c>
      <c r="F4495" t="s">
        <v>42</v>
      </c>
      <c r="G4495">
        <v>-188.9999</v>
      </c>
      <c r="H4495" s="1">
        <v>-3.3402109999999999E-6</v>
      </c>
      <c r="I4495">
        <v>67.005369999999999</v>
      </c>
      <c r="J4495">
        <v>-187.94370000000001</v>
      </c>
      <c r="K4495">
        <v>1.102778</v>
      </c>
      <c r="L4495">
        <v>15.869109999999999</v>
      </c>
      <c r="M4495">
        <v>-1.8946009999999999E-2</v>
      </c>
      <c r="N4495">
        <v>0</v>
      </c>
      <c r="O4495">
        <v>0.99981279999999995</v>
      </c>
      <c r="P4495">
        <v>-8.8218930000000001E-2</v>
      </c>
      <c r="Q4495">
        <v>4.4029579999999999E-2</v>
      </c>
      <c r="R4495">
        <v>0.9951276</v>
      </c>
      <c r="S4495">
        <v>-6.216431E-2</v>
      </c>
      <c r="T4495">
        <v>-6.4333680000000004E-2</v>
      </c>
      <c r="U4495">
        <v>3.0119929999999999</v>
      </c>
      <c r="V4495">
        <v>-6.9346909999999998E-2</v>
      </c>
      <c r="W4495">
        <v>4.7943159999999999E-2</v>
      </c>
      <c r="X4495">
        <v>0.99643990000000005</v>
      </c>
      <c r="Y4495">
        <v>-1.6840010000000001E-3</v>
      </c>
      <c r="Z4495">
        <v>-2.1346259999999999E-2</v>
      </c>
      <c r="AA4495">
        <v>0.99977070000000001</v>
      </c>
      <c r="AB4495">
        <v>49</v>
      </c>
      <c r="AC4495">
        <v>-1.05619999999998</v>
      </c>
      <c r="AD4495">
        <v>-1.102781340211</v>
      </c>
      <c r="AE4495">
        <v>51.13626</v>
      </c>
      <c r="AF4495">
        <v>-8.7134351349941797E-2</v>
      </c>
      <c r="AG4495">
        <v>-1.102781340211</v>
      </c>
      <c r="AH4495">
        <v>51.123326324210602</v>
      </c>
      <c r="AI4495">
        <v>91.235733899678607</v>
      </c>
      <c r="AJ4495">
        <v>90.097654556298494</v>
      </c>
      <c r="AK4495">
        <v>51.135293228172898</v>
      </c>
      <c r="AL4495">
        <v>87.252005877367694</v>
      </c>
      <c r="AM4495">
        <v>93.981062060371897</v>
      </c>
      <c r="AN4495">
        <v>1.00000000741467</v>
      </c>
    </row>
    <row r="4496" spans="1:40" x14ac:dyDescent="0.3">
      <c r="A4496" t="str">
        <f>"20200111154009225"</f>
        <v>20200111154009225</v>
      </c>
      <c r="B4496" t="str">
        <f>"1578728409215384"</f>
        <v>1578728409215384</v>
      </c>
      <c r="C4496" t="s">
        <v>40</v>
      </c>
      <c r="D4496">
        <v>4.8608190000000002</v>
      </c>
      <c r="E4496">
        <v>0.52524230000000005</v>
      </c>
      <c r="F4496" t="s">
        <v>42</v>
      </c>
      <c r="G4496">
        <v>-188.98439999999999</v>
      </c>
      <c r="H4496" s="1">
        <v>-3.0444419999999999E-6</v>
      </c>
      <c r="I4496">
        <v>66.309519999999907</v>
      </c>
      <c r="J4496">
        <v>-187.953</v>
      </c>
      <c r="K4496">
        <v>1.102765</v>
      </c>
      <c r="L4496">
        <v>16.358059999999998</v>
      </c>
      <c r="M4496">
        <v>-1.892431E-2</v>
      </c>
      <c r="N4496">
        <v>0</v>
      </c>
      <c r="O4496">
        <v>0.99981310000000001</v>
      </c>
      <c r="P4496">
        <v>-8.8150469999999995E-2</v>
      </c>
      <c r="Q4496">
        <v>4.4169880000000002E-2</v>
      </c>
      <c r="R4496">
        <v>0.9951274</v>
      </c>
      <c r="S4496">
        <v>-6.2149049999999997E-2</v>
      </c>
      <c r="T4496">
        <v>-6.585336E-2</v>
      </c>
      <c r="U4496">
        <v>3.0120849999999999</v>
      </c>
      <c r="V4496">
        <v>-6.9298849999999995E-2</v>
      </c>
      <c r="W4496">
        <v>4.8106990000000002E-2</v>
      </c>
      <c r="X4496">
        <v>0.99643530000000002</v>
      </c>
      <c r="Y4496">
        <v>-1.6997850000000001E-3</v>
      </c>
      <c r="Z4496">
        <v>-2.184962E-2</v>
      </c>
      <c r="AA4496">
        <v>0.99975990000000003</v>
      </c>
      <c r="AB4496">
        <v>49</v>
      </c>
      <c r="AC4496">
        <v>-1.0313999999999901</v>
      </c>
      <c r="AD4496">
        <v>-1.1027680444420001</v>
      </c>
      <c r="AE4496">
        <v>49.951459999999898</v>
      </c>
      <c r="AF4496">
        <v>-8.5869155498166302E-2</v>
      </c>
      <c r="AG4496">
        <v>-1.1027680444420001</v>
      </c>
      <c r="AH4496">
        <v>49.937704693653401</v>
      </c>
      <c r="AI4496">
        <v>91.265048005984397</v>
      </c>
      <c r="AJ4496">
        <v>90.098521455512298</v>
      </c>
      <c r="AK4496">
        <v>49.949953162563098</v>
      </c>
      <c r="AL4496">
        <v>87.242608135663701</v>
      </c>
      <c r="AM4496">
        <v>93.978330204655606</v>
      </c>
      <c r="AN4496">
        <v>0.99999996009213499</v>
      </c>
    </row>
    <row r="4497" spans="1:40" x14ac:dyDescent="0.3">
      <c r="A4497" t="str">
        <f>"20200111154009246"</f>
        <v>20200111154009246</v>
      </c>
      <c r="B4497" t="str">
        <f>"1578728409235880"</f>
        <v>1578728409235880</v>
      </c>
      <c r="C4497" t="s">
        <v>40</v>
      </c>
      <c r="D4497">
        <v>4.9011360000000002</v>
      </c>
      <c r="E4497">
        <v>0.52502389999999999</v>
      </c>
      <c r="F4497" t="s">
        <v>42</v>
      </c>
      <c r="G4497">
        <v>-189.0829</v>
      </c>
      <c r="H4497" s="1">
        <v>-4.4430149999999998E-6</v>
      </c>
      <c r="I4497">
        <v>69.610320000000002</v>
      </c>
      <c r="J4497">
        <v>-187.96199999999999</v>
      </c>
      <c r="K4497">
        <v>1.102754</v>
      </c>
      <c r="L4497">
        <v>16.838989999999999</v>
      </c>
      <c r="M4497">
        <v>-1.8891560000000002E-2</v>
      </c>
      <c r="N4497">
        <v>0</v>
      </c>
      <c r="O4497">
        <v>0.99981370000000003</v>
      </c>
      <c r="P4497">
        <v>-8.8371489999999997E-2</v>
      </c>
      <c r="Q4497">
        <v>4.4274870000000001E-2</v>
      </c>
      <c r="R4497">
        <v>0.99510310000000002</v>
      </c>
      <c r="S4497">
        <v>-6.3903810000000005E-2</v>
      </c>
      <c r="T4497">
        <v>-6.2369819999999999E-2</v>
      </c>
      <c r="U4497">
        <v>3.0118100000000001</v>
      </c>
      <c r="V4497">
        <v>-6.9552130000000004E-2</v>
      </c>
      <c r="W4497">
        <v>4.8235109999999998E-2</v>
      </c>
      <c r="X4497">
        <v>0.99641150000000001</v>
      </c>
      <c r="Y4497">
        <v>-2.317174E-3</v>
      </c>
      <c r="Z4497">
        <v>-2.0696079999999999E-2</v>
      </c>
      <c r="AA4497">
        <v>0.99978310000000004</v>
      </c>
      <c r="AB4497">
        <v>49</v>
      </c>
      <c r="AC4497">
        <v>-1.12089999999997</v>
      </c>
      <c r="AD4497">
        <v>-1.1027584430149999</v>
      </c>
      <c r="AE4497">
        <v>52.771329999999999</v>
      </c>
      <c r="AF4497">
        <v>-0.123705403787975</v>
      </c>
      <c r="AG4497">
        <v>-1.1027584430149999</v>
      </c>
      <c r="AH4497">
        <v>52.7600589731816</v>
      </c>
      <c r="AI4497">
        <v>91.197383659386901</v>
      </c>
      <c r="AJ4497">
        <v>90.134339966436002</v>
      </c>
      <c r="AK4497">
        <v>52.7717272984708</v>
      </c>
      <c r="AL4497">
        <v>87.235258981464995</v>
      </c>
      <c r="AM4497">
        <v>93.992918700524001</v>
      </c>
      <c r="AN4497">
        <v>1.0000000009782399</v>
      </c>
    </row>
    <row r="4498" spans="1:40" x14ac:dyDescent="0.3">
      <c r="A4498" t="str">
        <f>"20200111154009269"</f>
        <v>20200111154009269</v>
      </c>
      <c r="B4498" t="str">
        <f>"1578728409255400"</f>
        <v>1578728409255400</v>
      </c>
      <c r="C4498" t="s">
        <v>40</v>
      </c>
      <c r="D4498">
        <v>4.8792970000000002</v>
      </c>
      <c r="E4498">
        <v>0.52469809999999995</v>
      </c>
      <c r="F4498" t="s">
        <v>42</v>
      </c>
      <c r="G4498">
        <v>-189.1687</v>
      </c>
      <c r="H4498" s="1">
        <v>-1.10625E-6</v>
      </c>
      <c r="I4498">
        <v>71.867739999999998</v>
      </c>
      <c r="J4498">
        <v>-187.97110000000001</v>
      </c>
      <c r="K4498">
        <v>1.1027420000000001</v>
      </c>
      <c r="L4498">
        <v>17.319089999999999</v>
      </c>
      <c r="M4498">
        <v>-1.8847550000000001E-2</v>
      </c>
      <c r="N4498">
        <v>0</v>
      </c>
      <c r="O4498">
        <v>0.99981439999999999</v>
      </c>
      <c r="P4498">
        <v>-8.7640109999999993E-2</v>
      </c>
      <c r="Q4498">
        <v>4.5440399999999999E-2</v>
      </c>
      <c r="R4498">
        <v>0.99511530000000004</v>
      </c>
      <c r="S4498">
        <v>-6.6040039999999994E-2</v>
      </c>
      <c r="T4498">
        <v>-6.0351250000000002E-2</v>
      </c>
      <c r="U4498">
        <v>3.0115970000000001</v>
      </c>
      <c r="V4498">
        <v>-6.8862969999999996E-2</v>
      </c>
      <c r="W4498">
        <v>4.9424839999999998E-2</v>
      </c>
      <c r="X4498">
        <v>0.99640110000000004</v>
      </c>
      <c r="Y4498">
        <v>-3.0718429999999999E-3</v>
      </c>
      <c r="Z4498">
        <v>-2.002781E-2</v>
      </c>
      <c r="AA4498">
        <v>0.99979470000000004</v>
      </c>
      <c r="AB4498">
        <v>49</v>
      </c>
      <c r="AC4498">
        <v>-1.19759999999999</v>
      </c>
      <c r="AD4498">
        <v>-1.1027431062499999</v>
      </c>
      <c r="AE4498">
        <v>54.548650000000002</v>
      </c>
      <c r="AF4498">
        <v>-0.169201550290697</v>
      </c>
      <c r="AG4498">
        <v>-1.1027431062499999</v>
      </c>
      <c r="AH4498">
        <v>54.539254102700603</v>
      </c>
      <c r="AI4498">
        <v>91.158314594441904</v>
      </c>
      <c r="AJ4498">
        <v>90.177752772307798</v>
      </c>
      <c r="AK4498">
        <v>54.550663695338699</v>
      </c>
      <c r="AL4498">
        <v>87.167011161421598</v>
      </c>
      <c r="AM4498">
        <v>93.953521929013604</v>
      </c>
      <c r="AN4498">
        <v>1.0000000377637199</v>
      </c>
    </row>
    <row r="4499" spans="1:40" x14ac:dyDescent="0.3">
      <c r="A4499" t="str">
        <f>"20200111154009312"</f>
        <v>20200111154009312</v>
      </c>
      <c r="B4499" t="str">
        <f>"1578728409305176"</f>
        <v>1578728409305176</v>
      </c>
      <c r="C4499" t="s">
        <v>40</v>
      </c>
      <c r="D4499">
        <v>4.9294219999999997</v>
      </c>
      <c r="E4499">
        <v>0.52425140000000003</v>
      </c>
      <c r="F4499" t="s">
        <v>42</v>
      </c>
      <c r="G4499">
        <v>-189.2741</v>
      </c>
      <c r="H4499" s="1">
        <v>-2.9142770000000002E-6</v>
      </c>
      <c r="I4499">
        <v>76.125869999999907</v>
      </c>
      <c r="J4499">
        <v>-187.9896</v>
      </c>
      <c r="K4499">
        <v>1.102727</v>
      </c>
      <c r="L4499">
        <v>18.308720000000001</v>
      </c>
      <c r="M4499">
        <v>-1.8728439999999999E-2</v>
      </c>
      <c r="N4499">
        <v>0</v>
      </c>
      <c r="O4499">
        <v>0.9998165</v>
      </c>
      <c r="P4499">
        <v>-8.6545830000000004E-2</v>
      </c>
      <c r="Q4499">
        <v>4.7816589999999999E-2</v>
      </c>
      <c r="R4499">
        <v>0.99509970000000003</v>
      </c>
      <c r="S4499">
        <v>-6.6726679999999997E-2</v>
      </c>
      <c r="T4499">
        <v>-5.6470039999999999E-2</v>
      </c>
      <c r="U4499">
        <v>3.0114139999999998</v>
      </c>
      <c r="V4499">
        <v>-6.7885329999999994E-2</v>
      </c>
      <c r="W4499">
        <v>5.1850260000000002E-2</v>
      </c>
      <c r="X4499">
        <v>0.99634489999999998</v>
      </c>
      <c r="Y4499">
        <v>-3.4207199999999999E-3</v>
      </c>
      <c r="Z4499">
        <v>-1.874143E-2</v>
      </c>
      <c r="AA4499">
        <v>0.99981850000000005</v>
      </c>
      <c r="AB4499">
        <v>49</v>
      </c>
      <c r="AC4499">
        <v>-1.2845</v>
      </c>
      <c r="AD4499">
        <v>-1.102729914277</v>
      </c>
      <c r="AE4499">
        <v>57.817149999999899</v>
      </c>
      <c r="AF4499">
        <v>-0.20136768731562499</v>
      </c>
      <c r="AG4499">
        <v>-1.102729914277</v>
      </c>
      <c r="AH4499">
        <v>57.810046917845199</v>
      </c>
      <c r="AI4499">
        <v>91.092781079734095</v>
      </c>
      <c r="AJ4499">
        <v>90.199575550736895</v>
      </c>
      <c r="AK4499">
        <v>57.820913922669902</v>
      </c>
      <c r="AL4499">
        <v>87.027866221451205</v>
      </c>
      <c r="AM4499">
        <v>93.897787614500501</v>
      </c>
      <c r="AN4499">
        <v>1.00000001362364</v>
      </c>
    </row>
    <row r="4500" spans="1:40" x14ac:dyDescent="0.3">
      <c r="A4500" t="str">
        <f>"20200111154009336"</f>
        <v>20200111154009336</v>
      </c>
      <c r="B4500" t="str">
        <f>"1578728409325672"</f>
        <v>1578728409325672</v>
      </c>
      <c r="C4500" t="s">
        <v>40</v>
      </c>
      <c r="D4500">
        <v>4.9595149999999997</v>
      </c>
      <c r="E4500">
        <v>0.52408940000000004</v>
      </c>
      <c r="F4500" t="s">
        <v>42</v>
      </c>
      <c r="G4500">
        <v>-189.3793</v>
      </c>
      <c r="H4500" s="1">
        <v>-3.624523E-7</v>
      </c>
      <c r="I4500">
        <v>80.221019999999996</v>
      </c>
      <c r="J4500">
        <v>-187.99889999999999</v>
      </c>
      <c r="K4500">
        <v>1.1027279999999999</v>
      </c>
      <c r="L4500">
        <v>18.804569999999998</v>
      </c>
      <c r="M4500">
        <v>-1.865762E-2</v>
      </c>
      <c r="N4500">
        <v>0</v>
      </c>
      <c r="O4500">
        <v>0.99981770000000003</v>
      </c>
      <c r="P4500">
        <v>-8.7195889999999998E-2</v>
      </c>
      <c r="Q4500">
        <v>4.8295480000000002E-2</v>
      </c>
      <c r="R4500">
        <v>0.99501980000000001</v>
      </c>
      <c r="S4500">
        <v>-6.7596439999999994E-2</v>
      </c>
      <c r="T4500">
        <v>-5.3637740000000003E-2</v>
      </c>
      <c r="U4500">
        <v>3.0114749999999999</v>
      </c>
      <c r="V4500">
        <v>-6.8606130000000001E-2</v>
      </c>
      <c r="W4500">
        <v>5.2354060000000001E-2</v>
      </c>
      <c r="X4500">
        <v>0.99626919999999997</v>
      </c>
      <c r="Y4500">
        <v>-3.7800989999999999E-3</v>
      </c>
      <c r="Z4500">
        <v>-1.7801350000000001E-2</v>
      </c>
      <c r="AA4500">
        <v>0.99983440000000001</v>
      </c>
      <c r="AB4500">
        <v>50</v>
      </c>
      <c r="AC4500">
        <v>-1.3804000000000001</v>
      </c>
      <c r="AD4500">
        <v>-1.1027283624523001</v>
      </c>
      <c r="AE4500">
        <v>61.416449999999998</v>
      </c>
      <c r="AF4500">
        <v>-0.23419003525186599</v>
      </c>
      <c r="AG4500">
        <v>-1.1027283624523001</v>
      </c>
      <c r="AH4500">
        <v>61.411726445844003</v>
      </c>
      <c r="AI4500">
        <v>91.028703088066493</v>
      </c>
      <c r="AJ4500">
        <v>90.218493052671903</v>
      </c>
      <c r="AK4500">
        <v>61.422072578781901</v>
      </c>
      <c r="AL4500">
        <v>86.998961408580996</v>
      </c>
      <c r="AM4500">
        <v>93.939342710771797</v>
      </c>
      <c r="AN4500">
        <v>1.0000000337703401</v>
      </c>
    </row>
    <row r="4501" spans="1:40" x14ac:dyDescent="0.3">
      <c r="A4501" t="str">
        <f>"20200111154009359"</f>
        <v>20200111154009359</v>
      </c>
      <c r="B4501" t="str">
        <f>"1578728409355928"</f>
        <v>1578728409355928</v>
      </c>
      <c r="C4501" t="s">
        <v>40</v>
      </c>
      <c r="D4501">
        <v>4.9623609999999996</v>
      </c>
      <c r="E4501">
        <v>0.52391089999999996</v>
      </c>
      <c r="F4501" t="s">
        <v>42</v>
      </c>
      <c r="G4501">
        <v>-189.4982</v>
      </c>
      <c r="H4501" s="1">
        <v>-1.4053290000000001E-6</v>
      </c>
      <c r="I4501">
        <v>82.701160000000002</v>
      </c>
      <c r="J4501">
        <v>-188.0086</v>
      </c>
      <c r="K4501">
        <v>1.102727</v>
      </c>
      <c r="L4501">
        <v>19.32779</v>
      </c>
      <c r="M4501">
        <v>-1.857698E-2</v>
      </c>
      <c r="N4501">
        <v>0</v>
      </c>
      <c r="O4501">
        <v>0.99981909999999896</v>
      </c>
      <c r="P4501">
        <v>-8.7526599999999996E-2</v>
      </c>
      <c r="Q4501">
        <v>4.9342179999999999E-2</v>
      </c>
      <c r="R4501">
        <v>0.99493940000000003</v>
      </c>
      <c r="S4501">
        <v>-7.0663450000000003E-2</v>
      </c>
      <c r="T4501">
        <v>-5.1970009999999997E-2</v>
      </c>
      <c r="U4501">
        <v>3.0113530000000002</v>
      </c>
      <c r="V4501">
        <v>-6.9017399999999895E-2</v>
      </c>
      <c r="W4501">
        <v>5.3426870000000001E-2</v>
      </c>
      <c r="X4501">
        <v>0.99618379999999995</v>
      </c>
      <c r="Y4501">
        <v>-4.879665E-3</v>
      </c>
      <c r="Z4501">
        <v>-1.724852E-2</v>
      </c>
      <c r="AA4501">
        <v>0.99983929999999999</v>
      </c>
      <c r="AB4501">
        <v>50</v>
      </c>
      <c r="AC4501">
        <v>-1.48959999999999</v>
      </c>
      <c r="AD4501">
        <v>-1.1027284053290001</v>
      </c>
      <c r="AE4501">
        <v>63.373369999999902</v>
      </c>
      <c r="AF4501">
        <v>-0.31195290403646297</v>
      </c>
      <c r="AG4501">
        <v>-1.1027284053290001</v>
      </c>
      <c r="AH4501">
        <v>63.3709294733532</v>
      </c>
      <c r="AI4501">
        <v>90.996900989538204</v>
      </c>
      <c r="AJ4501">
        <v>90.282044789069602</v>
      </c>
      <c r="AK4501">
        <v>63.381290826764896</v>
      </c>
      <c r="AL4501">
        <v>86.937407656357394</v>
      </c>
      <c r="AM4501">
        <v>93.963221332124604</v>
      </c>
      <c r="AN4501">
        <v>0.99999999766159797</v>
      </c>
    </row>
    <row r="4502" spans="1:40" x14ac:dyDescent="0.3">
      <c r="A4502" t="str">
        <f>"20200111154009381"</f>
        <v>20200111154009381</v>
      </c>
      <c r="B4502" t="str">
        <f>"1578728409375449"</f>
        <v>1578728409375449</v>
      </c>
      <c r="C4502" t="s">
        <v>40</v>
      </c>
      <c r="D4502">
        <v>4.9411209999999999</v>
      </c>
      <c r="E4502">
        <v>0.52378749999999996</v>
      </c>
      <c r="F4502" t="s">
        <v>42</v>
      </c>
      <c r="G4502">
        <v>-189.63800000000001</v>
      </c>
      <c r="H4502" s="1">
        <v>-2.9862490000000002E-6</v>
      </c>
      <c r="I4502">
        <v>86.444100000000006</v>
      </c>
      <c r="J4502">
        <v>-188.0179</v>
      </c>
      <c r="K4502">
        <v>1.1027290000000001</v>
      </c>
      <c r="L4502">
        <v>19.831630000000001</v>
      </c>
      <c r="M4502">
        <v>-1.8496019999999998E-2</v>
      </c>
      <c r="N4502">
        <v>0</v>
      </c>
      <c r="O4502">
        <v>0.9998205</v>
      </c>
      <c r="P4502">
        <v>-8.6938100000000004E-2</v>
      </c>
      <c r="Q4502">
        <v>5.125292E-2</v>
      </c>
      <c r="R4502">
        <v>0.99489439999999996</v>
      </c>
      <c r="S4502">
        <v>-7.3104859999999994E-2</v>
      </c>
      <c r="T4502">
        <v>-4.9475909999999998E-2</v>
      </c>
      <c r="U4502">
        <v>3.0112920000000001</v>
      </c>
      <c r="V4502">
        <v>-6.8509490000000006E-2</v>
      </c>
      <c r="W4502">
        <v>5.5362340000000003E-2</v>
      </c>
      <c r="X4502">
        <v>0.99611320000000003</v>
      </c>
      <c r="Y4502">
        <v>-5.7716080000000001E-3</v>
      </c>
      <c r="Z4502">
        <v>-1.6421140000000001E-2</v>
      </c>
      <c r="AA4502">
        <v>0.99984850000000003</v>
      </c>
      <c r="AB4502">
        <v>50</v>
      </c>
      <c r="AC4502">
        <v>-1.6201000000000001</v>
      </c>
      <c r="AD4502">
        <v>-1.1027319862489999</v>
      </c>
      <c r="AE4502">
        <v>66.612470000000002</v>
      </c>
      <c r="AF4502">
        <v>-0.38764071446825399</v>
      </c>
      <c r="AG4502">
        <v>-1.1027319862489999</v>
      </c>
      <c r="AH4502">
        <v>66.612795927745793</v>
      </c>
      <c r="AI4502">
        <v>90.948392087889999</v>
      </c>
      <c r="AJ4502">
        <v>90.333418315366501</v>
      </c>
      <c r="AK4502">
        <v>66.623050549104406</v>
      </c>
      <c r="AL4502">
        <v>86.826349036447596</v>
      </c>
      <c r="AM4502">
        <v>93.934425240572807</v>
      </c>
      <c r="AN4502">
        <v>1.0000000230622801</v>
      </c>
    </row>
    <row r="4503" spans="1:40" x14ac:dyDescent="0.3">
      <c r="A4503" t="str">
        <f>"20200111154009404"</f>
        <v>20200111154009404</v>
      </c>
      <c r="B4503" t="str">
        <f>"1578728409395944"</f>
        <v>1578728409395944</v>
      </c>
      <c r="C4503" t="s">
        <v>40</v>
      </c>
      <c r="D4503">
        <v>4.9308759999999996</v>
      </c>
      <c r="E4503">
        <v>0.52366619999999997</v>
      </c>
      <c r="F4503" t="s">
        <v>42</v>
      </c>
      <c r="G4503">
        <v>-189.8056</v>
      </c>
      <c r="H4503" s="1">
        <v>-1.8668719999999999E-6</v>
      </c>
      <c r="I4503">
        <v>93.904120000000006</v>
      </c>
      <c r="J4503">
        <v>-188.0275</v>
      </c>
      <c r="K4503">
        <v>1.102724</v>
      </c>
      <c r="L4503">
        <v>20.353000000000002</v>
      </c>
      <c r="M4503">
        <v>-1.841025E-2</v>
      </c>
      <c r="N4503">
        <v>0</v>
      </c>
      <c r="O4503">
        <v>0.99982199999999999</v>
      </c>
      <c r="P4503">
        <v>-8.7061029999999998E-2</v>
      </c>
      <c r="Q4503">
        <v>5.320424E-2</v>
      </c>
      <c r="R4503">
        <v>0.99478129999999998</v>
      </c>
      <c r="S4503">
        <v>-7.2677610000000004E-2</v>
      </c>
      <c r="T4503">
        <v>-4.4830559999999998E-2</v>
      </c>
      <c r="U4503">
        <v>3.0113530000000002</v>
      </c>
      <c r="V4503">
        <v>-6.8718399999999999E-2</v>
      </c>
      <c r="W4503">
        <v>5.7339500000000002E-2</v>
      </c>
      <c r="X4503">
        <v>0.99598690000000001</v>
      </c>
      <c r="Y4503">
        <v>-5.7157070000000004E-3</v>
      </c>
      <c r="Z4503">
        <v>-1.4879460000000001E-2</v>
      </c>
      <c r="AA4503">
        <v>0.99987300000000001</v>
      </c>
      <c r="AB4503">
        <v>50</v>
      </c>
      <c r="AC4503">
        <v>-1.77809999999999</v>
      </c>
      <c r="AD4503">
        <v>-1.1027258668719999</v>
      </c>
      <c r="AE4503">
        <v>73.551119999999997</v>
      </c>
      <c r="AF4503">
        <v>-0.42359743882076101</v>
      </c>
      <c r="AG4503">
        <v>-1.1027258668719999</v>
      </c>
      <c r="AH4503">
        <v>73.554865703590096</v>
      </c>
      <c r="AI4503">
        <v>90.858892980393406</v>
      </c>
      <c r="AJ4503">
        <v>90.329958826232897</v>
      </c>
      <c r="AK4503">
        <v>73.564350794395097</v>
      </c>
      <c r="AL4503">
        <v>86.712885634898896</v>
      </c>
      <c r="AM4503">
        <v>93.946883717567303</v>
      </c>
      <c r="AN4503">
        <v>0.99999997086520898</v>
      </c>
    </row>
    <row r="4504" spans="1:40" x14ac:dyDescent="0.3">
      <c r="A4504" t="str">
        <f>"20200111154009447"</f>
        <v>20200111154009447</v>
      </c>
      <c r="B4504" t="str">
        <f>"1578728409435960"</f>
        <v>1578728409435960</v>
      </c>
      <c r="C4504" t="s">
        <v>40</v>
      </c>
      <c r="D4504">
        <v>4.8980870000000003</v>
      </c>
      <c r="E4504">
        <v>0.52360470000000003</v>
      </c>
      <c r="F4504" t="s">
        <v>42</v>
      </c>
      <c r="G4504">
        <v>-190.0592</v>
      </c>
      <c r="H4504" s="1">
        <v>-1.4092789999999901E-6</v>
      </c>
      <c r="I4504">
        <v>102.83750000000001</v>
      </c>
      <c r="J4504">
        <v>-188.04519999999999</v>
      </c>
      <c r="K4504">
        <v>1.1027100000000001</v>
      </c>
      <c r="L4504">
        <v>21.316099999999999</v>
      </c>
      <c r="M4504">
        <v>-1.8249230000000002E-2</v>
      </c>
      <c r="N4504">
        <v>0</v>
      </c>
      <c r="O4504">
        <v>0.99982470000000001</v>
      </c>
      <c r="P4504">
        <v>-8.7301340000000005E-2</v>
      </c>
      <c r="Q4504">
        <v>5.228356E-2</v>
      </c>
      <c r="R4504">
        <v>0.99480900000000005</v>
      </c>
      <c r="S4504">
        <v>-7.4172970000000005E-2</v>
      </c>
      <c r="T4504">
        <v>-4.0259240000000002E-2</v>
      </c>
      <c r="U4504">
        <v>3.0114139999999998</v>
      </c>
      <c r="V4504">
        <v>-6.9117440000000002E-2</v>
      </c>
      <c r="W4504">
        <v>5.6467349999999999E-2</v>
      </c>
      <c r="X4504">
        <v>0.99600920000000004</v>
      </c>
      <c r="Y4504">
        <v>-6.3729909999999997E-3</v>
      </c>
      <c r="Z4504">
        <v>-1.3362189999999999E-2</v>
      </c>
      <c r="AA4504">
        <v>0.99989039999999996</v>
      </c>
      <c r="AB4504">
        <v>50</v>
      </c>
      <c r="AC4504">
        <v>-2.01400000000001</v>
      </c>
      <c r="AD4504">
        <v>-1.102711409279</v>
      </c>
      <c r="AE4504">
        <v>81.5214</v>
      </c>
      <c r="AF4504">
        <v>-0.52585262182511905</v>
      </c>
      <c r="AG4504">
        <v>-1.102711409279</v>
      </c>
      <c r="AH4504">
        <v>81.529669783253894</v>
      </c>
      <c r="AI4504">
        <v>90.774877953764005</v>
      </c>
      <c r="AJ4504">
        <v>90.369542991809595</v>
      </c>
      <c r="AK4504">
        <v>81.538822338800401</v>
      </c>
      <c r="AL4504">
        <v>86.762937521722804</v>
      </c>
      <c r="AM4504">
        <v>93.969641164454004</v>
      </c>
      <c r="AN4504">
        <v>1.0000000543064</v>
      </c>
    </row>
    <row r="4505" spans="1:40" x14ac:dyDescent="0.3">
      <c r="A4505" t="str">
        <f>"20200111154009471"</f>
        <v>20200111154009471</v>
      </c>
      <c r="B4505" t="str">
        <f>"1578728409465239"</f>
        <v>1578728409465239</v>
      </c>
      <c r="C4505" t="s">
        <v>40</v>
      </c>
      <c r="D4505">
        <v>4.9214500000000001</v>
      </c>
      <c r="E4505">
        <v>0.52359829999999996</v>
      </c>
      <c r="F4505" t="s">
        <v>42</v>
      </c>
      <c r="G4505">
        <v>-189.84620000000001</v>
      </c>
      <c r="H4505" s="1">
        <v>-1.6819970000000001E-6</v>
      </c>
      <c r="I4505">
        <v>93.489959999999996</v>
      </c>
      <c r="J4505">
        <v>-188.0547</v>
      </c>
      <c r="K4505">
        <v>1.102692</v>
      </c>
      <c r="L4505">
        <v>21.841370000000001</v>
      </c>
      <c r="M4505">
        <v>-1.8160869999999999E-2</v>
      </c>
      <c r="N4505">
        <v>0</v>
      </c>
      <c r="O4505">
        <v>0.99982629999999995</v>
      </c>
      <c r="P4505">
        <v>-8.6442019999999994E-2</v>
      </c>
      <c r="Q4505">
        <v>5.0499019999999999E-2</v>
      </c>
      <c r="R4505">
        <v>0.99497619999999998</v>
      </c>
      <c r="S4505">
        <v>-7.5149540000000001E-2</v>
      </c>
      <c r="T4505">
        <v>-4.6010969999999998E-2</v>
      </c>
      <c r="U4505">
        <v>3.0114749999999999</v>
      </c>
      <c r="V4505">
        <v>-6.8343329999999994E-2</v>
      </c>
      <c r="W4505">
        <v>5.4709580000000001E-2</v>
      </c>
      <c r="X4505">
        <v>0.99616059999999995</v>
      </c>
      <c r="Y4505">
        <v>-6.7842290000000001E-3</v>
      </c>
      <c r="Z4505">
        <v>-1.527044E-2</v>
      </c>
      <c r="AA4505">
        <v>0.99986039999999998</v>
      </c>
      <c r="AB4505">
        <v>51</v>
      </c>
      <c r="AC4505">
        <v>-1.7915000000000101</v>
      </c>
      <c r="AD4505">
        <v>-1.1026936819969999</v>
      </c>
      <c r="AE4505">
        <v>71.648589999999999</v>
      </c>
      <c r="AF4505">
        <v>-0.48987642775550699</v>
      </c>
      <c r="AG4505">
        <v>-1.1026936819969999</v>
      </c>
      <c r="AH4505">
        <v>71.652347755130094</v>
      </c>
      <c r="AI4505">
        <v>90.881663097136695</v>
      </c>
      <c r="AJ4505">
        <v>90.391716606142396</v>
      </c>
      <c r="AK4505">
        <v>71.662506592309995</v>
      </c>
      <c r="AL4505">
        <v>86.863805955145395</v>
      </c>
      <c r="AM4505">
        <v>93.924726539438495</v>
      </c>
      <c r="AN4505">
        <v>0.99999994494581101</v>
      </c>
    </row>
    <row r="4506" spans="1:40" x14ac:dyDescent="0.3">
      <c r="A4506" t="str">
        <f>"20200111154009495"</f>
        <v>20200111154009495</v>
      </c>
      <c r="B4506" t="str">
        <f>"1578728409485735"</f>
        <v>1578728409485735</v>
      </c>
      <c r="C4506" t="s">
        <v>40</v>
      </c>
      <c r="D4506">
        <v>4.8996069999999996</v>
      </c>
      <c r="E4506">
        <v>0.52352920000000003</v>
      </c>
      <c r="F4506" t="s">
        <v>42</v>
      </c>
      <c r="G4506">
        <v>-189.53049999999999</v>
      </c>
      <c r="H4506" s="1">
        <v>-1.537374E-6</v>
      </c>
      <c r="I4506">
        <v>83.022310000000004</v>
      </c>
      <c r="J4506">
        <v>-188.06479999999999</v>
      </c>
      <c r="K4506">
        <v>1.102678</v>
      </c>
      <c r="L4506">
        <v>22.402010000000001</v>
      </c>
      <c r="M4506">
        <v>-1.806642E-2</v>
      </c>
      <c r="N4506">
        <v>0</v>
      </c>
      <c r="O4506">
        <v>0.99982780000000004</v>
      </c>
      <c r="P4506">
        <v>-8.5514160000000006E-2</v>
      </c>
      <c r="Q4506">
        <v>5.0064829999999998E-2</v>
      </c>
      <c r="R4506">
        <v>0.99507829999999997</v>
      </c>
      <c r="S4506">
        <v>-7.2647089999999998E-2</v>
      </c>
      <c r="T4506">
        <v>-5.427945E-2</v>
      </c>
      <c r="U4506">
        <v>3.0115970000000001</v>
      </c>
      <c r="V4506">
        <v>-6.750689E-2</v>
      </c>
      <c r="W4506">
        <v>5.4303450000000003E-2</v>
      </c>
      <c r="X4506">
        <v>0.99623989999999996</v>
      </c>
      <c r="Y4506">
        <v>-6.046259E-3</v>
      </c>
      <c r="Z4506">
        <v>-1.8013359999999999E-2</v>
      </c>
      <c r="AA4506">
        <v>0.99981949999999997</v>
      </c>
      <c r="AB4506">
        <v>51</v>
      </c>
      <c r="AC4506">
        <v>-1.46569999999999</v>
      </c>
      <c r="AD4506">
        <v>-1.1026795373739999</v>
      </c>
      <c r="AE4506">
        <v>60.6203</v>
      </c>
      <c r="AF4506">
        <v>-0.37013673679757703</v>
      </c>
      <c r="AG4506">
        <v>-1.1026795373739999</v>
      </c>
      <c r="AH4506">
        <v>60.616841296340802</v>
      </c>
      <c r="AI4506">
        <v>91.042131813600903</v>
      </c>
      <c r="AJ4506">
        <v>90.349853420936299</v>
      </c>
      <c r="AK4506">
        <v>60.627999737017902</v>
      </c>
      <c r="AL4506">
        <v>86.887110280592907</v>
      </c>
      <c r="AM4506">
        <v>93.876532343417793</v>
      </c>
      <c r="AN4506">
        <v>0.99999999161569197</v>
      </c>
    </row>
    <row r="4507" spans="1:40" x14ac:dyDescent="0.3">
      <c r="A4507" t="str">
        <f>"20200111154009516"</f>
        <v>20200111154009516</v>
      </c>
      <c r="B4507" t="str">
        <f>"1578728409505256"</f>
        <v>1578728409505256</v>
      </c>
      <c r="C4507" t="s">
        <v>40</v>
      </c>
      <c r="D4507">
        <v>4.9311480000000003</v>
      </c>
      <c r="E4507">
        <v>0.52351700000000001</v>
      </c>
      <c r="F4507" t="s">
        <v>42</v>
      </c>
      <c r="G4507">
        <v>-189.41390000000001</v>
      </c>
      <c r="H4507" s="1">
        <v>-3.0446120000000003E-7</v>
      </c>
      <c r="I4507">
        <v>80.084459999999893</v>
      </c>
      <c r="J4507">
        <v>-188.07400000000001</v>
      </c>
      <c r="K4507">
        <v>1.102665</v>
      </c>
      <c r="L4507">
        <v>22.911529999999999</v>
      </c>
      <c r="M4507">
        <v>-1.7980469999999998E-2</v>
      </c>
      <c r="N4507">
        <v>0</v>
      </c>
      <c r="O4507">
        <v>0.99982930000000003</v>
      </c>
      <c r="P4507">
        <v>-8.4209199999999998E-2</v>
      </c>
      <c r="Q4507">
        <v>5.0294730000000003E-2</v>
      </c>
      <c r="R4507">
        <v>0.99517800000000001</v>
      </c>
      <c r="S4507">
        <v>-7.0434570000000002E-2</v>
      </c>
      <c r="T4507">
        <v>-5.7572480000000002E-2</v>
      </c>
      <c r="U4507">
        <v>3.0116879999999999</v>
      </c>
      <c r="V4507">
        <v>-6.6285529999999995E-2</v>
      </c>
      <c r="W4507">
        <v>5.4559139999999999E-2</v>
      </c>
      <c r="X4507">
        <v>0.99630799999999997</v>
      </c>
      <c r="Y4507">
        <v>-5.3969100000000004E-3</v>
      </c>
      <c r="Z4507">
        <v>-1.9105480000000001E-2</v>
      </c>
      <c r="AA4507">
        <v>0.99980290000000005</v>
      </c>
      <c r="AB4507">
        <v>51</v>
      </c>
      <c r="AC4507">
        <v>-1.3399000000000001</v>
      </c>
      <c r="AD4507">
        <v>-1.1026653044612</v>
      </c>
      <c r="AE4507">
        <v>57.172930000000001</v>
      </c>
      <c r="AF4507">
        <v>-0.311562115200262</v>
      </c>
      <c r="AG4507">
        <v>-1.1026653044612</v>
      </c>
      <c r="AH4507">
        <v>57.166526916345703</v>
      </c>
      <c r="AI4507">
        <v>91.105004977702194</v>
      </c>
      <c r="AJ4507">
        <v>90.312263460391094</v>
      </c>
      <c r="AK4507">
        <v>57.178009246584999</v>
      </c>
      <c r="AL4507">
        <v>86.872438758107805</v>
      </c>
      <c r="AM4507">
        <v>93.806345332737806</v>
      </c>
      <c r="AN4507">
        <v>1.00000005105445</v>
      </c>
    </row>
    <row r="4508" spans="1:40" x14ac:dyDescent="0.3">
      <c r="A4508" t="str">
        <f>"20200111154009537"</f>
        <v>20200111154009537</v>
      </c>
      <c r="B4508" t="str">
        <f>"1578728409525752"</f>
        <v>1578728409525752</v>
      </c>
      <c r="C4508" t="s">
        <v>40</v>
      </c>
      <c r="D4508">
        <v>4.9401199999999896</v>
      </c>
      <c r="E4508">
        <v>0.52352390000000004</v>
      </c>
      <c r="F4508" t="s">
        <v>42</v>
      </c>
      <c r="G4508">
        <v>-189.33029999999999</v>
      </c>
      <c r="H4508" s="1">
        <v>-4.3405979999999999E-6</v>
      </c>
      <c r="I4508">
        <v>79.4739</v>
      </c>
      <c r="J4508">
        <v>-188.08250000000001</v>
      </c>
      <c r="K4508">
        <v>1.1026579999999999</v>
      </c>
      <c r="L4508">
        <v>23.383299999999998</v>
      </c>
      <c r="M4508">
        <v>-1.790075E-2</v>
      </c>
      <c r="N4508">
        <v>0</v>
      </c>
      <c r="O4508">
        <v>0.99983060000000001</v>
      </c>
      <c r="P4508">
        <v>-8.2454349999999996E-2</v>
      </c>
      <c r="Q4508">
        <v>5.1234689999999999E-2</v>
      </c>
      <c r="R4508">
        <v>0.99527699999999997</v>
      </c>
      <c r="S4508">
        <v>-6.6894529999999994E-2</v>
      </c>
      <c r="T4508">
        <v>-5.8715110000000001E-2</v>
      </c>
      <c r="U4508">
        <v>3.011841</v>
      </c>
      <c r="V4508">
        <v>-6.4608310000000002E-2</v>
      </c>
      <c r="W4508">
        <v>5.552232E-2</v>
      </c>
      <c r="X4508">
        <v>0.9963649</v>
      </c>
      <c r="Y4508">
        <v>-4.3007599999999998E-3</v>
      </c>
      <c r="Z4508">
        <v>-1.9483879999999999E-2</v>
      </c>
      <c r="AA4508">
        <v>0.99980089999999999</v>
      </c>
      <c r="AB4508">
        <v>51</v>
      </c>
      <c r="AC4508">
        <v>-1.24779999999998</v>
      </c>
      <c r="AD4508">
        <v>-1.1026623405979901</v>
      </c>
      <c r="AE4508">
        <v>56.090600000000002</v>
      </c>
      <c r="AF4508">
        <v>-0.24343301654042299</v>
      </c>
      <c r="AG4508">
        <v>-1.1026623405979901</v>
      </c>
      <c r="AH4508">
        <v>56.0822862704347</v>
      </c>
      <c r="AI4508">
        <v>91.126365711923398</v>
      </c>
      <c r="AJ4508">
        <v>90.248698791964401</v>
      </c>
      <c r="AK4508">
        <v>56.0936534484063</v>
      </c>
      <c r="AL4508">
        <v>86.817168625340003</v>
      </c>
      <c r="AM4508">
        <v>93.710094745160703</v>
      </c>
      <c r="AN4508">
        <v>0.99999998784562405</v>
      </c>
    </row>
    <row r="4509" spans="1:40" x14ac:dyDescent="0.3">
      <c r="A4509" t="str">
        <f>"20200111154009559"</f>
        <v>20200111154009559</v>
      </c>
      <c r="B4509" t="str">
        <f>"1578728409556007"</f>
        <v>1578728409556007</v>
      </c>
      <c r="C4509" t="s">
        <v>40</v>
      </c>
      <c r="D4509">
        <v>4.928471</v>
      </c>
      <c r="E4509">
        <v>0.52348700000000004</v>
      </c>
      <c r="F4509" t="s">
        <v>42</v>
      </c>
      <c r="G4509">
        <v>-189.2655</v>
      </c>
      <c r="H4509" s="1">
        <v>-8.6007700000000003E-7</v>
      </c>
      <c r="I4509">
        <v>81.333939999999998</v>
      </c>
      <c r="J4509">
        <v>-188.0916</v>
      </c>
      <c r="K4509">
        <v>1.10266</v>
      </c>
      <c r="L4509">
        <v>23.894780000000001</v>
      </c>
      <c r="M4509">
        <v>-1.7814030000000002E-2</v>
      </c>
      <c r="N4509">
        <v>0</v>
      </c>
      <c r="O4509">
        <v>0.99983200000000005</v>
      </c>
      <c r="P4509">
        <v>-8.0958310000000006E-2</v>
      </c>
      <c r="Q4509">
        <v>5.2416209999999998E-2</v>
      </c>
      <c r="R4509">
        <v>0.99533830000000001</v>
      </c>
      <c r="S4509">
        <v>-6.149292E-2</v>
      </c>
      <c r="T4509">
        <v>-5.731261E-2</v>
      </c>
      <c r="U4509">
        <v>3.0120849999999999</v>
      </c>
      <c r="V4509">
        <v>-6.3196680000000005E-2</v>
      </c>
      <c r="W4509">
        <v>5.6729189999999999E-2</v>
      </c>
      <c r="X4509">
        <v>0.99638749999999998</v>
      </c>
      <c r="Y4509">
        <v>-2.5937299999999998E-3</v>
      </c>
      <c r="Z4509">
        <v>-1.9017579999999999E-2</v>
      </c>
      <c r="AA4509">
        <v>0.99981580000000003</v>
      </c>
      <c r="AB4509">
        <v>51</v>
      </c>
      <c r="AC4509">
        <v>-1.1738999999999999</v>
      </c>
      <c r="AD4509">
        <v>-1.102660860077</v>
      </c>
      <c r="AE4509">
        <v>57.439160000000001</v>
      </c>
      <c r="AF4509">
        <v>-0.150425854637841</v>
      </c>
      <c r="AG4509">
        <v>-1.102660860077</v>
      </c>
      <c r="AH4509">
        <v>57.4298018091675</v>
      </c>
      <c r="AI4509">
        <v>91.099948688480097</v>
      </c>
      <c r="AJ4509">
        <v>90.150074466890402</v>
      </c>
      <c r="AK4509">
        <v>57.440583429752401</v>
      </c>
      <c r="AL4509">
        <v>86.747911048363605</v>
      </c>
      <c r="AM4509">
        <v>93.629169675454705</v>
      </c>
      <c r="AN4509">
        <v>1.00000003575866</v>
      </c>
    </row>
    <row r="4510" spans="1:40" x14ac:dyDescent="0.3">
      <c r="A4510" t="str">
        <f>"20200111154009583"</f>
        <v>20200111154009583</v>
      </c>
      <c r="B4510" t="str">
        <f>"1578728409575528"</f>
        <v>1578728409575528</v>
      </c>
      <c r="C4510" t="s">
        <v>40</v>
      </c>
      <c r="D4510">
        <v>4.9116920000000004</v>
      </c>
      <c r="E4510">
        <v>0.5234143</v>
      </c>
      <c r="F4510" t="s">
        <v>42</v>
      </c>
      <c r="G4510">
        <v>-189.2251</v>
      </c>
      <c r="H4510" s="1">
        <v>-1.6773739999999999E-6</v>
      </c>
      <c r="I4510">
        <v>83.222369999999998</v>
      </c>
      <c r="J4510">
        <v>-188.10120000000001</v>
      </c>
      <c r="K4510">
        <v>1.102665</v>
      </c>
      <c r="L4510">
        <v>24.43591</v>
      </c>
      <c r="M4510">
        <v>-1.7722189999999999E-2</v>
      </c>
      <c r="N4510">
        <v>0</v>
      </c>
      <c r="O4510">
        <v>0.99983350000000004</v>
      </c>
      <c r="P4510">
        <v>-7.9630010000000001E-2</v>
      </c>
      <c r="Q4510">
        <v>5.3767679999999998E-2</v>
      </c>
      <c r="R4510">
        <v>0.99537339999999996</v>
      </c>
      <c r="S4510">
        <v>-5.755615E-2</v>
      </c>
      <c r="T4510">
        <v>-5.5987120000000001E-2</v>
      </c>
      <c r="U4510">
        <v>3.0123289999999998</v>
      </c>
      <c r="V4510">
        <v>-6.195879E-2</v>
      </c>
      <c r="W4510">
        <v>5.810688E-2</v>
      </c>
      <c r="X4510">
        <v>0.99638579999999999</v>
      </c>
      <c r="Y4510">
        <v>-1.377959E-3</v>
      </c>
      <c r="Z4510">
        <v>-1.8576700000000002E-2</v>
      </c>
      <c r="AA4510">
        <v>0.99982649999999995</v>
      </c>
      <c r="AB4510">
        <v>51</v>
      </c>
      <c r="AC4510">
        <v>-1.1238999999999899</v>
      </c>
      <c r="AD4510">
        <v>-1.1026666773739999</v>
      </c>
      <c r="AE4510">
        <v>58.786459999999998</v>
      </c>
      <c r="AF4510">
        <v>-8.1860040440392398E-2</v>
      </c>
      <c r="AG4510">
        <v>-1.1026666773739999</v>
      </c>
      <c r="AH4510">
        <v>58.776473730124401</v>
      </c>
      <c r="AI4510">
        <v>91.074761231310603</v>
      </c>
      <c r="AJ4510">
        <v>90.0797977744799</v>
      </c>
      <c r="AK4510">
        <v>58.786873016138699</v>
      </c>
      <c r="AL4510">
        <v>86.668844600800099</v>
      </c>
      <c r="AM4510">
        <v>93.558272391204696</v>
      </c>
      <c r="AN4510">
        <v>0.99999998180161898</v>
      </c>
    </row>
    <row r="4511" spans="1:40" x14ac:dyDescent="0.3">
      <c r="A4511" t="str">
        <f>"20200111154009605"</f>
        <v>20200111154009605</v>
      </c>
      <c r="B4511" t="str">
        <f>"1578728409596024"</f>
        <v>1578728409596024</v>
      </c>
      <c r="C4511" t="s">
        <v>40</v>
      </c>
      <c r="D4511">
        <v>4.9617250000000004</v>
      </c>
      <c r="E4511">
        <v>0.52338130000000005</v>
      </c>
      <c r="F4511" t="s">
        <v>42</v>
      </c>
      <c r="G4511">
        <v>-189.20869999999999</v>
      </c>
      <c r="H4511" s="1">
        <v>-2.8539950000000002E-6</v>
      </c>
      <c r="I4511">
        <v>85.958299999999994</v>
      </c>
      <c r="J4511">
        <v>-188.1103</v>
      </c>
      <c r="K4511">
        <v>1.1026750000000001</v>
      </c>
      <c r="L4511">
        <v>24.952300000000001</v>
      </c>
      <c r="M4511">
        <v>-1.7634460000000001E-2</v>
      </c>
      <c r="N4511">
        <v>0</v>
      </c>
      <c r="O4511">
        <v>0.99983500000000003</v>
      </c>
      <c r="P4511">
        <v>-7.8149040000000003E-2</v>
      </c>
      <c r="Q4511">
        <v>5.590912E-2</v>
      </c>
      <c r="R4511">
        <v>0.99537279999999995</v>
      </c>
      <c r="S4511">
        <v>-5.4229739999999999E-2</v>
      </c>
      <c r="T4511">
        <v>-5.3993340000000001E-2</v>
      </c>
      <c r="U4511">
        <v>3.0125120000000001</v>
      </c>
      <c r="V4511">
        <v>-6.0564569999999998E-2</v>
      </c>
      <c r="W4511">
        <v>6.0273649999999998E-2</v>
      </c>
      <c r="X4511">
        <v>0.99634279999999997</v>
      </c>
      <c r="Y4511">
        <v>-3.6112299999999998E-4</v>
      </c>
      <c r="Z4511">
        <v>-1.791452E-2</v>
      </c>
      <c r="AA4511">
        <v>0.99983949999999999</v>
      </c>
      <c r="AB4511">
        <v>52</v>
      </c>
      <c r="AC4511">
        <v>-1.0983999999999901</v>
      </c>
      <c r="AD4511">
        <v>-1.102677853995</v>
      </c>
      <c r="AE4511">
        <v>61.005999999999901</v>
      </c>
      <c r="AF4511">
        <v>-2.2403793131838799E-2</v>
      </c>
      <c r="AG4511">
        <v>-1.102677853995</v>
      </c>
      <c r="AH4511">
        <v>60.9959622478111</v>
      </c>
      <c r="AI4511">
        <v>91.035673501559501</v>
      </c>
      <c r="AJ4511">
        <v>90.021044716510801</v>
      </c>
      <c r="AK4511">
        <v>61.005932587872401</v>
      </c>
      <c r="AL4511">
        <v>86.544479736586595</v>
      </c>
      <c r="AM4511">
        <v>93.478551406795702</v>
      </c>
      <c r="AN4511">
        <v>0.99999997756772296</v>
      </c>
    </row>
    <row r="4512" spans="1:40" x14ac:dyDescent="0.3">
      <c r="A4512" t="str">
        <f>"20200111154009628"</f>
        <v>20200111154009628</v>
      </c>
      <c r="B4512" t="str">
        <f>"1578728409615544"</f>
        <v>1578728409615544</v>
      </c>
      <c r="C4512" t="s">
        <v>40</v>
      </c>
      <c r="D4512">
        <v>4.8894869999999999</v>
      </c>
      <c r="E4512">
        <v>0.52335449999999994</v>
      </c>
      <c r="F4512" t="s">
        <v>42</v>
      </c>
      <c r="G4512">
        <v>-189.2354</v>
      </c>
      <c r="H4512" s="1">
        <v>-1.3199479999999999E-6</v>
      </c>
      <c r="I4512">
        <v>92.393460000000005</v>
      </c>
      <c r="J4512">
        <v>-188.11930000000001</v>
      </c>
      <c r="K4512">
        <v>1.102697</v>
      </c>
      <c r="L4512">
        <v>25.462129999999998</v>
      </c>
      <c r="M4512">
        <v>-1.7547900000000002E-2</v>
      </c>
      <c r="N4512">
        <v>0</v>
      </c>
      <c r="O4512">
        <v>0.99983639999999996</v>
      </c>
      <c r="P4512">
        <v>-7.6797229999999994E-2</v>
      </c>
      <c r="Q4512">
        <v>5.8074729999999998E-2</v>
      </c>
      <c r="R4512">
        <v>0.99535390000000001</v>
      </c>
      <c r="S4512">
        <v>-5.026245E-2</v>
      </c>
      <c r="T4512">
        <v>-4.9259190000000001E-2</v>
      </c>
      <c r="U4512">
        <v>3.012756</v>
      </c>
      <c r="V4512">
        <v>-5.9298940000000001E-2</v>
      </c>
      <c r="W4512">
        <v>6.2463909999999997E-2</v>
      </c>
      <c r="X4512">
        <v>0.99628410000000001</v>
      </c>
      <c r="Y4512">
        <v>8.6953219999999997E-4</v>
      </c>
      <c r="Z4512">
        <v>-1.6343110000000001E-2</v>
      </c>
      <c r="AA4512">
        <v>0.99986609999999998</v>
      </c>
      <c r="AB4512">
        <v>52</v>
      </c>
      <c r="AC4512">
        <v>-1.1160999999999801</v>
      </c>
      <c r="AD4512">
        <v>-1.102698319948</v>
      </c>
      <c r="AE4512">
        <v>66.931330000000003</v>
      </c>
      <c r="AF4512">
        <v>5.8571549876607502E-2</v>
      </c>
      <c r="AG4512">
        <v>-1.102698319948</v>
      </c>
      <c r="AH4512">
        <v>66.922449794315398</v>
      </c>
      <c r="AI4512">
        <v>90.943991425265295</v>
      </c>
      <c r="AJ4512">
        <v>89.949853871743898</v>
      </c>
      <c r="AK4512">
        <v>66.931559526757894</v>
      </c>
      <c r="AL4512">
        <v>86.418750355677503</v>
      </c>
      <c r="AM4512">
        <v>93.406232580726297</v>
      </c>
      <c r="AN4512">
        <v>1.0000000561252</v>
      </c>
    </row>
    <row r="4513" spans="1:40" x14ac:dyDescent="0.3">
      <c r="A4513" t="str">
        <f>"20200111154009647"</f>
        <v>20200111154009647</v>
      </c>
      <c r="B4513" t="str">
        <f>"1578728409636040"</f>
        <v>1578728409636040</v>
      </c>
      <c r="C4513" t="s">
        <v>40</v>
      </c>
      <c r="D4513">
        <v>4.9328419999999999</v>
      </c>
      <c r="E4513">
        <v>0.51956599999999997</v>
      </c>
      <c r="F4513" t="s">
        <v>42</v>
      </c>
      <c r="G4513">
        <v>-189.2911</v>
      </c>
      <c r="H4513" s="1">
        <v>-1.0887170000000001E-6</v>
      </c>
      <c r="I4513">
        <v>101.8775</v>
      </c>
      <c r="J4513">
        <v>-188.1275</v>
      </c>
      <c r="K4513">
        <v>1.1027119999999999</v>
      </c>
      <c r="L4513">
        <v>25.934049999999999</v>
      </c>
      <c r="M4513">
        <v>-1.7467860000000002E-2</v>
      </c>
      <c r="N4513">
        <v>0</v>
      </c>
      <c r="O4513">
        <v>0.99983770000000005</v>
      </c>
      <c r="P4513">
        <v>-7.4638800000000005E-2</v>
      </c>
      <c r="Q4513">
        <v>6.026401E-2</v>
      </c>
      <c r="R4513">
        <v>0.99538800000000005</v>
      </c>
      <c r="S4513">
        <v>-4.6203609999999999E-2</v>
      </c>
      <c r="T4513">
        <v>-4.3478129999999997E-2</v>
      </c>
      <c r="U4513">
        <v>3.0129700000000001</v>
      </c>
      <c r="V4513">
        <v>-5.7218980000000003E-2</v>
      </c>
      <c r="W4513">
        <v>6.4676230000000001E-2</v>
      </c>
      <c r="X4513">
        <v>0.9962645</v>
      </c>
      <c r="Y4513">
        <v>2.1368049999999999E-3</v>
      </c>
      <c r="Z4513">
        <v>-1.4424660000000001E-2</v>
      </c>
      <c r="AA4513">
        <v>0.9998937</v>
      </c>
      <c r="AB4513">
        <v>52</v>
      </c>
      <c r="AC4513">
        <v>-1.1636</v>
      </c>
      <c r="AD4513">
        <v>-1.102713088717</v>
      </c>
      <c r="AE4513">
        <v>75.943449999999999</v>
      </c>
      <c r="AF4513">
        <v>0.163125606683621</v>
      </c>
      <c r="AG4513">
        <v>-1.102713088717</v>
      </c>
      <c r="AH4513">
        <v>75.936182214438006</v>
      </c>
      <c r="AI4513">
        <v>90.831964655814204</v>
      </c>
      <c r="AJ4513">
        <v>89.876917773004905</v>
      </c>
      <c r="AK4513">
        <v>75.944363552695094</v>
      </c>
      <c r="AL4513">
        <v>86.291736592345003</v>
      </c>
      <c r="AM4513">
        <v>93.287087367302206</v>
      </c>
      <c r="AN4513">
        <v>0.99999999017975105</v>
      </c>
    </row>
    <row r="4514" spans="1:40" x14ac:dyDescent="0.3">
      <c r="A4514" t="str">
        <f>"20200111154009674"</f>
        <v>20200111154009674</v>
      </c>
      <c r="B4514" t="str">
        <f>"1578728409665320"</f>
        <v>1578728409665320</v>
      </c>
      <c r="C4514" t="s">
        <v>40</v>
      </c>
      <c r="D4514">
        <v>4.9990050000000004</v>
      </c>
      <c r="E4514">
        <v>0.52073950000000002</v>
      </c>
      <c r="F4514" t="s">
        <v>42</v>
      </c>
      <c r="G4514">
        <v>-188.989</v>
      </c>
      <c r="H4514" s="1">
        <v>-1.5784940000000001E-6</v>
      </c>
      <c r="I4514">
        <v>62.894240000000003</v>
      </c>
      <c r="J4514">
        <v>-188.13829999999999</v>
      </c>
      <c r="K4514">
        <v>1.1027279999999999</v>
      </c>
      <c r="L4514">
        <v>26.550540000000002</v>
      </c>
      <c r="M4514">
        <v>-1.7363219999999999E-2</v>
      </c>
      <c r="N4514">
        <v>0</v>
      </c>
      <c r="O4514">
        <v>0.99983940000000004</v>
      </c>
      <c r="P4514">
        <v>-7.3436769999999998E-2</v>
      </c>
      <c r="Q4514">
        <v>6.188751E-2</v>
      </c>
      <c r="R4514">
        <v>0.99537779999999998</v>
      </c>
      <c r="S4514">
        <v>-7.0251460000000002E-2</v>
      </c>
      <c r="T4514">
        <v>-8.9925290000000005E-2</v>
      </c>
      <c r="U4514">
        <v>3.0140690000000001</v>
      </c>
      <c r="V4514">
        <v>-5.6120679999999999E-2</v>
      </c>
      <c r="W4514">
        <v>6.6329680000000002E-2</v>
      </c>
      <c r="X4514">
        <v>0.9962183</v>
      </c>
      <c r="Y4514">
        <v>-5.9289750000000004E-3</v>
      </c>
      <c r="Z4514">
        <v>-2.981087E-2</v>
      </c>
      <c r="AA4514">
        <v>0.99953789999999998</v>
      </c>
      <c r="AB4514">
        <v>52</v>
      </c>
      <c r="AC4514">
        <v>-0.850700000000017</v>
      </c>
      <c r="AD4514">
        <v>-1.1027295784939899</v>
      </c>
      <c r="AE4514">
        <v>36.343699999999998</v>
      </c>
      <c r="AF4514">
        <v>-0.21932008078385701</v>
      </c>
      <c r="AG4514">
        <v>-1.1027295784939899</v>
      </c>
      <c r="AH4514">
        <v>36.319573873253702</v>
      </c>
      <c r="AI4514">
        <v>91.739040120448493</v>
      </c>
      <c r="AJ4514">
        <v>90.345983196217205</v>
      </c>
      <c r="AK4514">
        <v>36.336972358134901</v>
      </c>
      <c r="AL4514">
        <v>86.196797127810498</v>
      </c>
      <c r="AM4514">
        <v>93.224276388673402</v>
      </c>
      <c r="AN4514">
        <v>1.0000000292137201</v>
      </c>
    </row>
    <row r="4515" spans="1:40" x14ac:dyDescent="0.3">
      <c r="A4515" t="str">
        <f>"20200111154009694"</f>
        <v>20200111154009694</v>
      </c>
      <c r="B4515" t="str">
        <f>"1578728409685815"</f>
        <v>1578728409685815</v>
      </c>
      <c r="C4515" t="s">
        <v>40</v>
      </c>
      <c r="D4515">
        <v>5.0225210000000002</v>
      </c>
      <c r="E4515">
        <v>0.52079179999999903</v>
      </c>
      <c r="F4515" t="s">
        <v>42</v>
      </c>
      <c r="G4515">
        <v>-188.83920000000001</v>
      </c>
      <c r="H4515" s="1">
        <v>-1.8140609999999999E-6</v>
      </c>
      <c r="I4515">
        <v>63.381439999999998</v>
      </c>
      <c r="J4515">
        <v>-188.1465</v>
      </c>
      <c r="K4515">
        <v>1.102741</v>
      </c>
      <c r="L4515">
        <v>27.024380000000001</v>
      </c>
      <c r="M4515">
        <v>-1.7283010000000001E-2</v>
      </c>
      <c r="N4515">
        <v>0</v>
      </c>
      <c r="O4515">
        <v>0.99984070000000003</v>
      </c>
      <c r="P4515">
        <v>-7.2423249999999995E-2</v>
      </c>
      <c r="Q4515">
        <v>6.2515409999999993E-2</v>
      </c>
      <c r="R4515">
        <v>0.99541279999999999</v>
      </c>
      <c r="S4515">
        <v>-5.7388309999999998E-2</v>
      </c>
      <c r="T4515">
        <v>-9.0279700000000004E-2</v>
      </c>
      <c r="U4515">
        <v>3.01532</v>
      </c>
      <c r="V4515">
        <v>-5.518576E-2</v>
      </c>
      <c r="W4515">
        <v>6.698055E-2</v>
      </c>
      <c r="X4515">
        <v>0.99622699999999997</v>
      </c>
      <c r="Y4515">
        <v>-1.7373790000000001E-3</v>
      </c>
      <c r="Z4515">
        <v>-2.99175E-2</v>
      </c>
      <c r="AA4515">
        <v>0.99955090000000002</v>
      </c>
      <c r="AB4515">
        <v>52</v>
      </c>
      <c r="AC4515">
        <v>-0.69270000000000198</v>
      </c>
      <c r="AD4515">
        <v>-1.1027428140610001</v>
      </c>
      <c r="AE4515">
        <v>36.357059999999997</v>
      </c>
      <c r="AF4515">
        <v>-6.4171845164476604E-2</v>
      </c>
      <c r="AG4515">
        <v>-1.1027428140610001</v>
      </c>
      <c r="AH4515">
        <v>36.3301912257268</v>
      </c>
      <c r="AI4515">
        <v>91.738582026755196</v>
      </c>
      <c r="AJ4515">
        <v>90.101204313646804</v>
      </c>
      <c r="AK4515">
        <v>36.3469799878552</v>
      </c>
      <c r="AL4515">
        <v>86.159421980080793</v>
      </c>
      <c r="AM4515">
        <v>93.170645732827893</v>
      </c>
      <c r="AN4515">
        <v>1.00000004885703</v>
      </c>
    </row>
    <row r="4516" spans="1:40" x14ac:dyDescent="0.3">
      <c r="A4516" t="str">
        <f>"20200111154009717"</f>
        <v>20200111154009717</v>
      </c>
      <c r="B4516" t="str">
        <f>"1578728409705336"</f>
        <v>1578728409705336</v>
      </c>
      <c r="C4516" t="s">
        <v>40</v>
      </c>
      <c r="D4516">
        <v>5.0565059999999997</v>
      </c>
      <c r="E4516">
        <v>0.52079569999999997</v>
      </c>
      <c r="F4516" t="s">
        <v>42</v>
      </c>
      <c r="G4516">
        <v>-188.79220000000001</v>
      </c>
      <c r="H4516" s="1">
        <v>-1.7433439999999901E-6</v>
      </c>
      <c r="I4516">
        <v>63.197150000000001</v>
      </c>
      <c r="J4516">
        <v>-188.15530000000001</v>
      </c>
      <c r="K4516">
        <v>1.102749</v>
      </c>
      <c r="L4516">
        <v>27.53558</v>
      </c>
      <c r="M4516">
        <v>-1.71965E-2</v>
      </c>
      <c r="N4516">
        <v>0</v>
      </c>
      <c r="O4516">
        <v>0.99984200000000001</v>
      </c>
      <c r="P4516">
        <v>-7.2278510000000004E-2</v>
      </c>
      <c r="Q4516">
        <v>6.3385709999999998E-2</v>
      </c>
      <c r="R4516">
        <v>0.99536829999999998</v>
      </c>
      <c r="S4516">
        <v>-5.3833010000000001E-2</v>
      </c>
      <c r="T4516">
        <v>-9.1934559999999999E-2</v>
      </c>
      <c r="U4516">
        <v>3.0156860000000001</v>
      </c>
      <c r="V4516">
        <v>-5.5127780000000001E-2</v>
      </c>
      <c r="W4516">
        <v>6.7875920000000006E-2</v>
      </c>
      <c r="X4516">
        <v>0.99616959999999999</v>
      </c>
      <c r="Y4516">
        <v>-6.4329410000000002E-4</v>
      </c>
      <c r="Z4516">
        <v>-3.0462119999999999E-2</v>
      </c>
      <c r="AA4516">
        <v>0.99953570000000003</v>
      </c>
      <c r="AB4516">
        <v>52</v>
      </c>
      <c r="AC4516">
        <v>-0.63689999999999702</v>
      </c>
      <c r="AD4516">
        <v>-1.102750743344</v>
      </c>
      <c r="AE4516">
        <v>35.661569999999998</v>
      </c>
      <c r="AF4516">
        <v>-2.35229340379263E-2</v>
      </c>
      <c r="AG4516">
        <v>-1.102750743344</v>
      </c>
      <c r="AH4516">
        <v>35.633187166164397</v>
      </c>
      <c r="AI4516">
        <v>91.772583242047006</v>
      </c>
      <c r="AJ4516">
        <v>90.037823297704804</v>
      </c>
      <c r="AK4516">
        <v>35.650254419138101</v>
      </c>
      <c r="AL4516">
        <v>86.108004012488607</v>
      </c>
      <c r="AM4516">
        <v>93.167503464287407</v>
      </c>
      <c r="AN4516">
        <v>1.00000004230386</v>
      </c>
    </row>
    <row r="4517" spans="1:40" x14ac:dyDescent="0.3">
      <c r="A4517" t="str">
        <f>"20200111154009739"</f>
        <v>20200111154009739</v>
      </c>
      <c r="B4517" t="str">
        <f>"1578728409735592"</f>
        <v>1578728409735592</v>
      </c>
      <c r="C4517" t="s">
        <v>40</v>
      </c>
      <c r="D4517">
        <v>5.0660860000000003</v>
      </c>
      <c r="E4517">
        <v>0.53481709999999905</v>
      </c>
      <c r="F4517" t="s">
        <v>42</v>
      </c>
      <c r="G4517">
        <v>-188.7602</v>
      </c>
      <c r="H4517" s="1">
        <v>-1.1691960000000001E-6</v>
      </c>
      <c r="I4517">
        <v>61.845559999999999</v>
      </c>
      <c r="J4517">
        <v>-188.1644</v>
      </c>
      <c r="K4517">
        <v>1.1027530000000001</v>
      </c>
      <c r="L4517">
        <v>28.0654</v>
      </c>
      <c r="M4517">
        <v>-1.7106619999999999E-2</v>
      </c>
      <c r="N4517">
        <v>0</v>
      </c>
      <c r="O4517">
        <v>0.9998435</v>
      </c>
      <c r="P4517">
        <v>-7.1601819999999997E-2</v>
      </c>
      <c r="Q4517">
        <v>6.3595390000000002E-2</v>
      </c>
      <c r="R4517">
        <v>0.99540379999999995</v>
      </c>
      <c r="S4517">
        <v>-5.3176880000000003E-2</v>
      </c>
      <c r="T4517">
        <v>-9.6945169999999997E-2</v>
      </c>
      <c r="U4517">
        <v>3.0162659999999999</v>
      </c>
      <c r="V4517">
        <v>-5.454026E-2</v>
      </c>
      <c r="W4517">
        <v>6.811188E-2</v>
      </c>
      <c r="X4517">
        <v>0.99618580000000001</v>
      </c>
      <c r="Y4517">
        <v>-5.1148809999999997E-4</v>
      </c>
      <c r="Z4517">
        <v>-3.2114660000000003E-2</v>
      </c>
      <c r="AA4517">
        <v>0.99948409999999999</v>
      </c>
      <c r="AB4517">
        <v>52</v>
      </c>
      <c r="AC4517">
        <v>-0.595799999999997</v>
      </c>
      <c r="AD4517">
        <v>-1.1027541691959999</v>
      </c>
      <c r="AE4517">
        <v>33.780159999999903</v>
      </c>
      <c r="AF4517">
        <v>-1.7823589441853201E-2</v>
      </c>
      <c r="AG4517">
        <v>-1.1027541691959999</v>
      </c>
      <c r="AH4517">
        <v>33.749453584105403</v>
      </c>
      <c r="AI4517">
        <v>91.871457847266299</v>
      </c>
      <c r="AJ4517">
        <v>90.030258752287807</v>
      </c>
      <c r="AK4517">
        <v>33.767469577445503</v>
      </c>
      <c r="AL4517">
        <v>86.094453006977901</v>
      </c>
      <c r="AM4517">
        <v>93.133762829866996</v>
      </c>
      <c r="AN4517">
        <v>1.0000000081398199</v>
      </c>
    </row>
    <row r="4518" spans="1:40" x14ac:dyDescent="0.3">
      <c r="A4518" t="str">
        <f>"20200111154009762"</f>
        <v>20200111154009762</v>
      </c>
      <c r="B4518" t="str">
        <f>"1578728409755112"</f>
        <v>1578728409755112</v>
      </c>
      <c r="C4518" t="s">
        <v>40</v>
      </c>
      <c r="D4518">
        <v>5.0692380000000004</v>
      </c>
      <c r="E4518">
        <v>0.54973109999999903</v>
      </c>
      <c r="F4518" t="s">
        <v>41</v>
      </c>
      <c r="G4518">
        <v>-188.1431</v>
      </c>
      <c r="H4518">
        <v>1.009088</v>
      </c>
      <c r="I4518">
        <v>29.146100000000001</v>
      </c>
      <c r="J4518">
        <v>-188.1739</v>
      </c>
      <c r="K4518">
        <v>1.1027530000000001</v>
      </c>
      <c r="L4518">
        <v>28.62115</v>
      </c>
      <c r="M4518">
        <v>-1.7012200000000002E-2</v>
      </c>
      <c r="N4518">
        <v>0</v>
      </c>
      <c r="O4518">
        <v>0.99984499999999998</v>
      </c>
      <c r="P4518">
        <v>-7.1035600000000004E-2</v>
      </c>
      <c r="Q4518">
        <v>6.39348E-2</v>
      </c>
      <c r="R4518">
        <v>0.99542269999999999</v>
      </c>
      <c r="S4518">
        <v>5.9799190000000002E-2</v>
      </c>
      <c r="T4518">
        <v>-0.2630382</v>
      </c>
      <c r="U4518">
        <v>3.0349430000000002</v>
      </c>
      <c r="V4518">
        <v>-5.4067200000000003E-2</v>
      </c>
      <c r="W4518">
        <v>6.8479139999999994E-2</v>
      </c>
      <c r="X4518">
        <v>0.99618640000000003</v>
      </c>
      <c r="Y4518">
        <v>3.663247E-2</v>
      </c>
      <c r="Z4518">
        <v>-8.6290169999999999E-2</v>
      </c>
      <c r="AA4518">
        <v>0.99559629999999999</v>
      </c>
      <c r="AB4518">
        <v>53</v>
      </c>
      <c r="AC4518">
        <v>3.07999999999992E-2</v>
      </c>
      <c r="AD4518">
        <v>-9.3665000000000095E-2</v>
      </c>
      <c r="AE4518">
        <v>0.52495000000000003</v>
      </c>
      <c r="AF4518">
        <v>3.8504562084535503E-2</v>
      </c>
      <c r="AG4518">
        <v>-9.3665000000000095E-2</v>
      </c>
      <c r="AH4518">
        <v>0.50822567110219896</v>
      </c>
      <c r="AI4518">
        <v>100.41313808285599</v>
      </c>
      <c r="AJ4518">
        <v>85.667392634001601</v>
      </c>
      <c r="AK4518">
        <v>0.51821719992065296</v>
      </c>
      <c r="AL4518">
        <v>86.073361277402697</v>
      </c>
      <c r="AM4518">
        <v>93.106633454184205</v>
      </c>
      <c r="AN4518">
        <v>0.999999999137969</v>
      </c>
    </row>
    <row r="4519" spans="1:40" x14ac:dyDescent="0.3">
      <c r="A4519" t="str">
        <f>"20200111154009827"</f>
        <v>20200111154009827</v>
      </c>
      <c r="B4519" t="str">
        <f>"1578728409815158"</f>
        <v>1578728409815158</v>
      </c>
      <c r="C4519" t="s">
        <v>40</v>
      </c>
      <c r="D4519">
        <v>5.0719250000000002</v>
      </c>
      <c r="E4519">
        <v>0.56009629999999999</v>
      </c>
      <c r="F4519" t="s">
        <v>41</v>
      </c>
      <c r="G4519">
        <v>-188.1146</v>
      </c>
      <c r="H4519">
        <v>0.98119089999999998</v>
      </c>
      <c r="I4519">
        <v>30.55593</v>
      </c>
      <c r="J4519">
        <v>-188.20009999999999</v>
      </c>
      <c r="K4519">
        <v>1.1027180000000001</v>
      </c>
      <c r="L4519">
        <v>30.170870000000001</v>
      </c>
      <c r="M4519">
        <v>-1.6748639999999999E-2</v>
      </c>
      <c r="N4519">
        <v>0</v>
      </c>
      <c r="O4519">
        <v>0.99984910000000005</v>
      </c>
      <c r="P4519">
        <v>-6.8594970000000005E-2</v>
      </c>
      <c r="Q4519">
        <v>6.5632289999999996E-2</v>
      </c>
      <c r="R4519">
        <v>0.99548329999999996</v>
      </c>
      <c r="S4519">
        <v>0.25851439999999998</v>
      </c>
      <c r="T4519">
        <v>-0.41029599999999999</v>
      </c>
      <c r="U4519">
        <v>3.0587460000000002</v>
      </c>
      <c r="V4519">
        <v>-5.1887929999999999E-2</v>
      </c>
      <c r="W4519">
        <v>7.0252019999999998E-2</v>
      </c>
      <c r="X4519">
        <v>0.99617889999999998</v>
      </c>
      <c r="Y4519">
        <v>0.1001524</v>
      </c>
      <c r="Z4519">
        <v>-0.13235359999999999</v>
      </c>
      <c r="AA4519">
        <v>0.98612979999999995</v>
      </c>
      <c r="AB4519">
        <v>53</v>
      </c>
      <c r="AC4519">
        <v>8.5499999999996107E-2</v>
      </c>
      <c r="AD4519">
        <v>-0.1215271</v>
      </c>
      <c r="AE4519">
        <v>0.38505999999999901</v>
      </c>
      <c r="AF4519">
        <v>8.3966630430145905E-2</v>
      </c>
      <c r="AG4519">
        <v>-0.1215271</v>
      </c>
      <c r="AH4519">
        <v>0.35031930315416399</v>
      </c>
      <c r="AI4519">
        <v>108.64176530579699</v>
      </c>
      <c r="AJ4519">
        <v>76.521279289339503</v>
      </c>
      <c r="AK4519">
        <v>0.38018790778064199</v>
      </c>
      <c r="AL4519">
        <v>85.971537673989104</v>
      </c>
      <c r="AM4519">
        <v>92.981668420824604</v>
      </c>
      <c r="AN4519">
        <v>1.0000000521994801</v>
      </c>
    </row>
    <row r="4520" spans="1:40" x14ac:dyDescent="0.3">
      <c r="A4520" t="str">
        <f>"20200111154009850"</f>
        <v>20200111154009850</v>
      </c>
      <c r="B4520" t="str">
        <f>"1578728409845415"</f>
        <v>1578728409845415</v>
      </c>
      <c r="C4520" t="s">
        <v>40</v>
      </c>
      <c r="D4520">
        <v>5.1056350000000004</v>
      </c>
      <c r="E4520">
        <v>0.58930769999999899</v>
      </c>
      <c r="F4520" t="s">
        <v>41</v>
      </c>
      <c r="G4520">
        <v>-188.12389999999999</v>
      </c>
      <c r="H4520">
        <v>0.98286130000000005</v>
      </c>
      <c r="I4520">
        <v>31.03323</v>
      </c>
      <c r="J4520">
        <v>-188.209</v>
      </c>
      <c r="K4520">
        <v>1.102695</v>
      </c>
      <c r="L4520">
        <v>30.7041</v>
      </c>
      <c r="M4520">
        <v>-1.6658079999999999E-2</v>
      </c>
      <c r="N4520">
        <v>0</v>
      </c>
      <c r="O4520">
        <v>0.99985049999999998</v>
      </c>
      <c r="P4520">
        <v>-6.7939470000000002E-2</v>
      </c>
      <c r="Q4520">
        <v>6.4086439999999995E-2</v>
      </c>
      <c r="R4520">
        <v>0.99562899999999999</v>
      </c>
      <c r="S4520">
        <v>0.27029419999999998</v>
      </c>
      <c r="T4520">
        <v>-0.42534040000000001</v>
      </c>
      <c r="U4520">
        <v>3.0602719999999999</v>
      </c>
      <c r="V4520">
        <v>-5.132097E-2</v>
      </c>
      <c r="W4520">
        <v>6.8733169999999996E-2</v>
      </c>
      <c r="X4520">
        <v>0.99631420000000004</v>
      </c>
      <c r="Y4520">
        <v>0.1037324</v>
      </c>
      <c r="Z4520">
        <v>-0.1370025</v>
      </c>
      <c r="AA4520">
        <v>0.98512429999999995</v>
      </c>
      <c r="AB4520">
        <v>53</v>
      </c>
      <c r="AC4520">
        <v>8.5100000000011194E-2</v>
      </c>
      <c r="AD4520">
        <v>-0.119833699999999</v>
      </c>
      <c r="AE4520">
        <v>0.32912999999999898</v>
      </c>
      <c r="AF4520">
        <v>8.0560748660693501E-2</v>
      </c>
      <c r="AG4520">
        <v>-0.119833699999999</v>
      </c>
      <c r="AH4520">
        <v>0.29145198466938599</v>
      </c>
      <c r="AI4520">
        <v>111.61843820545199</v>
      </c>
      <c r="AJ4520">
        <v>74.548576447558602</v>
      </c>
      <c r="AK4520">
        <v>0.32526052519201498</v>
      </c>
      <c r="AL4520">
        <v>86.058772208572904</v>
      </c>
      <c r="AM4520">
        <v>92.948746887101706</v>
      </c>
      <c r="AN4520">
        <v>1.00000003787081</v>
      </c>
    </row>
    <row r="4521" spans="1:40" x14ac:dyDescent="0.3">
      <c r="A4521" t="str">
        <f>"20200111154009873"</f>
        <v>20200111154009873</v>
      </c>
      <c r="B4521" t="str">
        <f>"1578728409865909"</f>
        <v>1578728409865909</v>
      </c>
      <c r="C4521" t="s">
        <v>40</v>
      </c>
      <c r="D4521">
        <v>5.0455480000000001</v>
      </c>
      <c r="E4521">
        <v>0.58519209999999899</v>
      </c>
      <c r="F4521" t="s">
        <v>41</v>
      </c>
      <c r="G4521">
        <v>-188.07980000000001</v>
      </c>
      <c r="H4521">
        <v>0.94123880000000004</v>
      </c>
      <c r="I4521">
        <v>31.493659999999998</v>
      </c>
      <c r="J4521">
        <v>-188.2184</v>
      </c>
      <c r="K4521">
        <v>1.102671</v>
      </c>
      <c r="L4521">
        <v>31.266200000000001</v>
      </c>
      <c r="M4521">
        <v>-1.6563049999999999E-2</v>
      </c>
      <c r="N4521">
        <v>0</v>
      </c>
      <c r="O4521">
        <v>0.99985190000000002</v>
      </c>
      <c r="P4521">
        <v>-6.7054580000000003E-2</v>
      </c>
      <c r="Q4521">
        <v>6.1742999999999902E-2</v>
      </c>
      <c r="R4521">
        <v>0.99583710000000003</v>
      </c>
      <c r="S4521">
        <v>0.50465389999999999</v>
      </c>
      <c r="T4521">
        <v>-0.63151119999999905</v>
      </c>
      <c r="U4521">
        <v>3.088257</v>
      </c>
      <c r="V4521">
        <v>-5.0527900000000001E-2</v>
      </c>
      <c r="W4521">
        <v>6.6418169999999999E-2</v>
      </c>
      <c r="X4521">
        <v>0.9965117</v>
      </c>
      <c r="Y4521">
        <v>0.17441609999999999</v>
      </c>
      <c r="Z4521">
        <v>-0.1975054</v>
      </c>
      <c r="AA4521">
        <v>0.96466090000000004</v>
      </c>
      <c r="AB4521">
        <v>53</v>
      </c>
      <c r="AC4521">
        <v>0.138599999999996</v>
      </c>
      <c r="AD4521">
        <v>-0.161432199999999</v>
      </c>
      <c r="AE4521">
        <v>0.227459999999997</v>
      </c>
      <c r="AF4521">
        <v>0.1041079288481</v>
      </c>
      <c r="AG4521">
        <v>-0.161432199999999</v>
      </c>
      <c r="AH4521">
        <v>0.164653304454281</v>
      </c>
      <c r="AI4521">
        <v>129.64800311463401</v>
      </c>
      <c r="AJ4521">
        <v>57.695418018972198</v>
      </c>
      <c r="AK4521">
        <v>0.25300104093381798</v>
      </c>
      <c r="AL4521">
        <v>86.191715727300107</v>
      </c>
      <c r="AM4521">
        <v>92.902683648887901</v>
      </c>
      <c r="AN4521">
        <v>1.0000000051107201</v>
      </c>
    </row>
    <row r="4522" spans="1:40" x14ac:dyDescent="0.3">
      <c r="A4522" t="str">
        <f>"20200111154009896"</f>
        <v>20200111154009896</v>
      </c>
      <c r="B4522" t="str">
        <f>"1578728409885430"</f>
        <v>1578728409885430</v>
      </c>
      <c r="C4522" t="s">
        <v>40</v>
      </c>
      <c r="D4522">
        <v>5.0969360000000004</v>
      </c>
      <c r="E4522">
        <v>0.58351160000000002</v>
      </c>
      <c r="F4522" t="s">
        <v>41</v>
      </c>
      <c r="G4522">
        <v>-188.1096</v>
      </c>
      <c r="H4522">
        <v>0.94645170000000001</v>
      </c>
      <c r="I4522">
        <v>31.97383</v>
      </c>
      <c r="J4522">
        <v>-188.227</v>
      </c>
      <c r="K4522">
        <v>1.1026560000000001</v>
      </c>
      <c r="L4522">
        <v>31.789729999999999</v>
      </c>
      <c r="M4522">
        <v>-1.6474349999999999E-2</v>
      </c>
      <c r="N4522">
        <v>0</v>
      </c>
      <c r="O4522">
        <v>0.99985329999999994</v>
      </c>
      <c r="P4522">
        <v>-6.7053349999999998E-2</v>
      </c>
      <c r="Q4522">
        <v>5.8715530000000002E-2</v>
      </c>
      <c r="R4522">
        <v>0.99602029999999997</v>
      </c>
      <c r="S4522">
        <v>0.47459410000000002</v>
      </c>
      <c r="T4522">
        <v>-0.68144830000000001</v>
      </c>
      <c r="U4522">
        <v>3.0867610000000001</v>
      </c>
      <c r="V4522">
        <v>-5.0613360000000003E-2</v>
      </c>
      <c r="W4522">
        <v>6.3418069999999993E-2</v>
      </c>
      <c r="X4522">
        <v>0.9967028</v>
      </c>
      <c r="Y4522">
        <v>0.16474240000000001</v>
      </c>
      <c r="Z4522">
        <v>-0.21286179999999999</v>
      </c>
      <c r="AA4522">
        <v>0.96309389999999995</v>
      </c>
      <c r="AB4522">
        <v>53</v>
      </c>
      <c r="AC4522">
        <v>0.117400000000003</v>
      </c>
      <c r="AD4522">
        <v>-0.15620429999999899</v>
      </c>
      <c r="AE4522">
        <v>0.18410000000000001</v>
      </c>
      <c r="AF4522">
        <v>7.9652061294387094E-2</v>
      </c>
      <c r="AG4522">
        <v>-0.15620429999999899</v>
      </c>
      <c r="AH4522">
        <v>0.120480456449042</v>
      </c>
      <c r="AI4522">
        <v>137.242857881698</v>
      </c>
      <c r="AJ4522">
        <v>56.530504607566598</v>
      </c>
      <c r="AK4522">
        <v>0.21274344782649399</v>
      </c>
      <c r="AL4522">
        <v>86.363972264691199</v>
      </c>
      <c r="AM4522">
        <v>92.907028143523306</v>
      </c>
      <c r="AN4522">
        <v>1.00000001767042</v>
      </c>
    </row>
    <row r="4523" spans="1:40" x14ac:dyDescent="0.3">
      <c r="A4523" t="str">
        <f>"20200111154009939"</f>
        <v>20200111154009939</v>
      </c>
      <c r="B4523" t="str">
        <f>"1578728409935204"</f>
        <v>1578728409935204</v>
      </c>
      <c r="C4523" t="s">
        <v>40</v>
      </c>
      <c r="D4523">
        <v>5.13767</v>
      </c>
      <c r="E4523">
        <v>0.58364589999999905</v>
      </c>
      <c r="F4523" t="s">
        <v>41</v>
      </c>
      <c r="G4523">
        <v>-188.06100000000001</v>
      </c>
      <c r="H4523">
        <v>0.85160389999999997</v>
      </c>
      <c r="I4523">
        <v>32.89875</v>
      </c>
      <c r="J4523">
        <v>-188.24420000000001</v>
      </c>
      <c r="K4523">
        <v>1.1026069999999999</v>
      </c>
      <c r="L4523">
        <v>32.839019999999998</v>
      </c>
      <c r="M4523">
        <v>-1.62972999999999E-2</v>
      </c>
      <c r="N4523">
        <v>0</v>
      </c>
      <c r="O4523">
        <v>0.99985590000000002</v>
      </c>
      <c r="P4523">
        <v>-6.6543660000000004E-2</v>
      </c>
      <c r="Q4523">
        <v>5.0845139999999997E-2</v>
      </c>
      <c r="R4523">
        <v>0.99648720000000002</v>
      </c>
      <c r="S4523">
        <v>0.46144099999999999</v>
      </c>
      <c r="T4523">
        <v>-0.69817719999999905</v>
      </c>
      <c r="U4523">
        <v>3.0841980000000002</v>
      </c>
      <c r="V4523">
        <v>-5.0275130000000001E-2</v>
      </c>
      <c r="W4523">
        <v>5.5601820000000003E-2</v>
      </c>
      <c r="X4523">
        <v>0.99718649999999998</v>
      </c>
      <c r="Y4523">
        <v>0.16049910000000001</v>
      </c>
      <c r="Z4523">
        <v>-0.21815290000000001</v>
      </c>
      <c r="AA4523">
        <v>0.96262630000000005</v>
      </c>
      <c r="AB4523">
        <v>54</v>
      </c>
      <c r="AC4523">
        <v>0.18320000000002701</v>
      </c>
      <c r="AD4523">
        <v>-0.25100309999999898</v>
      </c>
      <c r="AE4523">
        <v>5.9730000000001802E-2</v>
      </c>
      <c r="AF4523">
        <v>6.8283951757897199E-2</v>
      </c>
      <c r="AG4523">
        <v>-0.25100309999999898</v>
      </c>
      <c r="AH4523">
        <v>2.10382947889486E-2</v>
      </c>
      <c r="AI4523">
        <v>164.11027781935701</v>
      </c>
      <c r="AJ4523">
        <v>17.1240724199703</v>
      </c>
      <c r="AK4523">
        <v>0.26097483427509099</v>
      </c>
      <c r="AL4523">
        <v>86.812606708953794</v>
      </c>
      <c r="AM4523">
        <v>92.886236239529694</v>
      </c>
      <c r="AN4523">
        <v>1.0000000334330299</v>
      </c>
    </row>
    <row r="4524" spans="1:40" x14ac:dyDescent="0.3">
      <c r="A4524" t="str">
        <f>"20200111154009962"</f>
        <v>20200111154009962</v>
      </c>
      <c r="B4524" t="str">
        <f>"1578728409955701"</f>
        <v>1578728409955701</v>
      </c>
      <c r="C4524" t="s">
        <v>40</v>
      </c>
      <c r="D4524">
        <v>5.1608749999999999</v>
      </c>
      <c r="E4524">
        <v>0.58298430000000001</v>
      </c>
      <c r="F4524" t="s">
        <v>41</v>
      </c>
      <c r="G4524">
        <v>-188.08879999999999</v>
      </c>
      <c r="H4524">
        <v>0.86495569999999899</v>
      </c>
      <c r="I4524">
        <v>33.869619999999998</v>
      </c>
      <c r="J4524">
        <v>-188.2535</v>
      </c>
      <c r="K4524">
        <v>1.1025830000000001</v>
      </c>
      <c r="L4524">
        <v>33.40634</v>
      </c>
      <c r="M4524">
        <v>-1.6201699999999999E-2</v>
      </c>
      <c r="N4524">
        <v>0</v>
      </c>
      <c r="O4524">
        <v>0.99985729999999995</v>
      </c>
      <c r="P4524">
        <v>-6.6644159999999994E-2</v>
      </c>
      <c r="Q4524">
        <v>4.7470650000000003E-2</v>
      </c>
      <c r="R4524">
        <v>0.9966469</v>
      </c>
      <c r="S4524">
        <v>0.46376040000000002</v>
      </c>
      <c r="T4524">
        <v>-0.70971010000000001</v>
      </c>
      <c r="U4524">
        <v>3.0777589999999999</v>
      </c>
      <c r="V4524">
        <v>-5.0469239999999999E-2</v>
      </c>
      <c r="W4524">
        <v>5.2255490000000002E-2</v>
      </c>
      <c r="X4524">
        <v>0.99735759999999996</v>
      </c>
      <c r="Y4524">
        <v>0.1612797</v>
      </c>
      <c r="Z4524">
        <v>-0.22198850000000001</v>
      </c>
      <c r="AA4524">
        <v>0.96161839999999998</v>
      </c>
      <c r="AB4524">
        <v>54</v>
      </c>
      <c r="AC4524">
        <v>0.16470000000001001</v>
      </c>
      <c r="AD4524">
        <v>-0.23762730000000001</v>
      </c>
      <c r="AE4524">
        <v>0.46327999999999703</v>
      </c>
      <c r="AF4524">
        <v>0.13958211215741201</v>
      </c>
      <c r="AG4524">
        <v>-0.23762730000000001</v>
      </c>
      <c r="AH4524">
        <v>0.373347691999665</v>
      </c>
      <c r="AI4524">
        <v>120.80230243151701</v>
      </c>
      <c r="AJ4524">
        <v>69.500925004648593</v>
      </c>
      <c r="AK4524">
        <v>0.46404568617873299</v>
      </c>
      <c r="AL4524">
        <v>87.004616637486095</v>
      </c>
      <c r="AM4524">
        <v>92.896864710467398</v>
      </c>
      <c r="AN4524">
        <v>0.99999998134953805</v>
      </c>
    </row>
    <row r="4525" spans="1:40" x14ac:dyDescent="0.3">
      <c r="A4525" t="str">
        <f>"20200111154009983"</f>
        <v>20200111154009983</v>
      </c>
      <c r="B4525" t="str">
        <f>"1578728409975063"</f>
        <v>1578728409975063</v>
      </c>
      <c r="C4525" t="s">
        <v>40</v>
      </c>
      <c r="D4525">
        <v>5.178839</v>
      </c>
      <c r="E4525">
        <v>0.58298070000000002</v>
      </c>
      <c r="F4525" t="s">
        <v>41</v>
      </c>
      <c r="G4525">
        <v>-188.11099999999999</v>
      </c>
      <c r="H4525">
        <v>0.88007389999999996</v>
      </c>
      <c r="I4525">
        <v>34.359810000000003</v>
      </c>
      <c r="J4525">
        <v>-188.26169999999999</v>
      </c>
      <c r="K4525">
        <v>1.10256</v>
      </c>
      <c r="L4525">
        <v>33.914580000000001</v>
      </c>
      <c r="M4525">
        <v>-1.6116020000000002E-2</v>
      </c>
      <c r="N4525">
        <v>0</v>
      </c>
      <c r="O4525">
        <v>0.99985860000000004</v>
      </c>
      <c r="P4525">
        <v>-6.6936200000000001E-2</v>
      </c>
      <c r="Q4525">
        <v>4.5821849999999997E-2</v>
      </c>
      <c r="R4525">
        <v>0.99670449999999999</v>
      </c>
      <c r="S4525">
        <v>0.45896910000000002</v>
      </c>
      <c r="T4525">
        <v>-0.71759669999999998</v>
      </c>
      <c r="U4525">
        <v>3.0749819999999999</v>
      </c>
      <c r="V4525">
        <v>-5.0846339999999997E-2</v>
      </c>
      <c r="W4525">
        <v>5.0632099999999999E-2</v>
      </c>
      <c r="X4525">
        <v>0.99742220000000004</v>
      </c>
      <c r="Y4525">
        <v>0.1597703</v>
      </c>
      <c r="Z4525">
        <v>-0.22457289999999999</v>
      </c>
      <c r="AA4525">
        <v>0.96127030000000002</v>
      </c>
      <c r="AB4525">
        <v>54</v>
      </c>
      <c r="AC4525">
        <v>0.1507</v>
      </c>
      <c r="AD4525">
        <v>-0.22248609999999999</v>
      </c>
      <c r="AE4525">
        <v>0.44522999999999502</v>
      </c>
      <c r="AF4525">
        <v>0.12896268797961899</v>
      </c>
      <c r="AG4525">
        <v>-0.22248609999999999</v>
      </c>
      <c r="AH4525">
        <v>0.36170587624193001</v>
      </c>
      <c r="AI4525">
        <v>120.08706244107699</v>
      </c>
      <c r="AJ4525">
        <v>70.376805066093894</v>
      </c>
      <c r="AK4525">
        <v>0.44380466479306002</v>
      </c>
      <c r="AL4525">
        <v>87.097753429486005</v>
      </c>
      <c r="AM4525">
        <v>92.918283754188593</v>
      </c>
      <c r="AN4525">
        <v>1.0000000024473199</v>
      </c>
    </row>
    <row r="4526" spans="1:40" x14ac:dyDescent="0.3">
      <c r="A4526" t="str">
        <f>"20200111154010006"</f>
        <v>20200111154010006</v>
      </c>
      <c r="B4526" t="str">
        <f>"1578728409995557"</f>
        <v>1578728409995557</v>
      </c>
      <c r="C4526" t="s">
        <v>40</v>
      </c>
      <c r="D4526">
        <v>5.1379720000000004</v>
      </c>
      <c r="E4526">
        <v>0.58338080000000003</v>
      </c>
      <c r="F4526" t="s">
        <v>41</v>
      </c>
      <c r="G4526">
        <v>-188.1224</v>
      </c>
      <c r="H4526">
        <v>0.88422069999999997</v>
      </c>
      <c r="I4526">
        <v>34.847270000000002</v>
      </c>
      <c r="J4526">
        <v>-188.2706</v>
      </c>
      <c r="K4526">
        <v>1.1025389999999999</v>
      </c>
      <c r="L4526">
        <v>34.470030000000001</v>
      </c>
      <c r="M4526">
        <v>-1.6022560000000002E-2</v>
      </c>
      <c r="N4526">
        <v>0</v>
      </c>
      <c r="O4526">
        <v>0.99985990000000002</v>
      </c>
      <c r="P4526">
        <v>-6.7477029999999993E-2</v>
      </c>
      <c r="Q4526">
        <v>4.4999659999999997E-2</v>
      </c>
      <c r="R4526">
        <v>0.99670550000000002</v>
      </c>
      <c r="S4526">
        <v>0.45883180000000001</v>
      </c>
      <c r="T4526">
        <v>-0.71956089999999995</v>
      </c>
      <c r="U4526">
        <v>3.0738219999999998</v>
      </c>
      <c r="V4526">
        <v>-5.1480480000000002E-2</v>
      </c>
      <c r="W4526">
        <v>4.9838220000000003E-2</v>
      </c>
      <c r="X4526">
        <v>0.99742969999999997</v>
      </c>
      <c r="Y4526">
        <v>0.15966629999999901</v>
      </c>
      <c r="Z4526">
        <v>-0.22523889999999999</v>
      </c>
      <c r="AA4526">
        <v>0.96113170000000003</v>
      </c>
      <c r="AB4526">
        <v>54</v>
      </c>
      <c r="AC4526">
        <v>0.148200000000002</v>
      </c>
      <c r="AD4526">
        <v>-0.21831829999999899</v>
      </c>
      <c r="AE4526">
        <v>0.37724000000000002</v>
      </c>
      <c r="AF4526">
        <v>0.119541238140298</v>
      </c>
      <c r="AG4526">
        <v>-0.21831829999999899</v>
      </c>
      <c r="AH4526">
        <v>0.29052341195182801</v>
      </c>
      <c r="AI4526">
        <v>124.796830439871</v>
      </c>
      <c r="AJ4526">
        <v>67.634376518790503</v>
      </c>
      <c r="AK4526">
        <v>0.38256612581766503</v>
      </c>
      <c r="AL4526">
        <v>87.143297034429693</v>
      </c>
      <c r="AM4526">
        <v>92.954593426006596</v>
      </c>
      <c r="AN4526">
        <v>1.00000004721794</v>
      </c>
    </row>
    <row r="4527" spans="1:40" x14ac:dyDescent="0.3">
      <c r="A4527" t="str">
        <f>"20200111154010027"</f>
        <v>20200111154010027</v>
      </c>
      <c r="B4527" t="str">
        <f>"1578728410016053"</f>
        <v>1578728410016053</v>
      </c>
      <c r="C4527" t="s">
        <v>40</v>
      </c>
      <c r="D4527">
        <v>5.1849179999999997</v>
      </c>
      <c r="E4527">
        <v>0.58361509999999905</v>
      </c>
      <c r="F4527" t="s">
        <v>41</v>
      </c>
      <c r="G4527">
        <v>-188.1403</v>
      </c>
      <c r="H4527">
        <v>0.89807079999999995</v>
      </c>
      <c r="I4527">
        <v>35.339570000000002</v>
      </c>
      <c r="J4527">
        <v>-188.279</v>
      </c>
      <c r="K4527">
        <v>1.102509</v>
      </c>
      <c r="L4527">
        <v>34.991209999999903</v>
      </c>
      <c r="M4527">
        <v>-1.5935040000000001E-2</v>
      </c>
      <c r="N4527">
        <v>0</v>
      </c>
      <c r="O4527">
        <v>0.99986120000000001</v>
      </c>
      <c r="P4527">
        <v>-6.8138080000000004E-2</v>
      </c>
      <c r="Q4527">
        <v>4.3304580000000002E-2</v>
      </c>
      <c r="R4527">
        <v>0.99673560000000005</v>
      </c>
      <c r="S4527">
        <v>0.46026610000000001</v>
      </c>
      <c r="T4527">
        <v>-0.72275919999999905</v>
      </c>
      <c r="U4527">
        <v>3.0737000000000001</v>
      </c>
      <c r="V4527">
        <v>-5.2229070000000002E-2</v>
      </c>
      <c r="W4527">
        <v>4.8169389999999999E-2</v>
      </c>
      <c r="X4527">
        <v>0.99747269999999999</v>
      </c>
      <c r="Y4527">
        <v>0.15999179999999999</v>
      </c>
      <c r="Z4527">
        <v>-0.22618369999999999</v>
      </c>
      <c r="AA4527">
        <v>0.96085569999999998</v>
      </c>
      <c r="AB4527">
        <v>54</v>
      </c>
      <c r="AC4527">
        <v>0.138700000000028</v>
      </c>
      <c r="AD4527">
        <v>-0.20443819999999899</v>
      </c>
      <c r="AE4527">
        <v>0.348360000000006</v>
      </c>
      <c r="AF4527">
        <v>0.11118173557585501</v>
      </c>
      <c r="AG4527">
        <v>-0.20443819999999899</v>
      </c>
      <c r="AH4527">
        <v>0.266793728356997</v>
      </c>
      <c r="AI4527">
        <v>125.272419291782</v>
      </c>
      <c r="AJ4527">
        <v>67.376899515680407</v>
      </c>
      <c r="AK4527">
        <v>0.35402718742425199</v>
      </c>
      <c r="AL4527">
        <v>87.239028774738202</v>
      </c>
      <c r="AM4527">
        <v>92.997350104905195</v>
      </c>
      <c r="AN4527">
        <v>0.99999997656566297</v>
      </c>
    </row>
    <row r="4528" spans="1:40" x14ac:dyDescent="0.3">
      <c r="A4528" t="str">
        <f>"20200111154010094"</f>
        <v>20200111154010094</v>
      </c>
      <c r="B4528" t="str">
        <f>"1578728410085572"</f>
        <v>1578728410085572</v>
      </c>
      <c r="C4528" t="s">
        <v>40</v>
      </c>
      <c r="D4528">
        <v>5.1902309999999998</v>
      </c>
      <c r="E4528">
        <v>0.5842482</v>
      </c>
      <c r="F4528" t="s">
        <v>41</v>
      </c>
      <c r="G4528">
        <v>-188.18559999999999</v>
      </c>
      <c r="H4528">
        <v>0.92271639999999999</v>
      </c>
      <c r="I4528">
        <v>36.816879999999998</v>
      </c>
      <c r="J4528">
        <v>-188.30500000000001</v>
      </c>
      <c r="K4528">
        <v>1.102441</v>
      </c>
      <c r="L4528">
        <v>36.636049999999997</v>
      </c>
      <c r="M4528">
        <v>-1.5659180000000002E-2</v>
      </c>
      <c r="N4528">
        <v>0</v>
      </c>
      <c r="O4528">
        <v>0.99986520000000001</v>
      </c>
      <c r="P4528">
        <v>-6.9651779999999996E-2</v>
      </c>
      <c r="Q4528">
        <v>4.0272950000000002E-2</v>
      </c>
      <c r="R4528">
        <v>0.99675809999999998</v>
      </c>
      <c r="S4528">
        <v>0.46038820000000003</v>
      </c>
      <c r="T4528">
        <v>-0.74819899999999995</v>
      </c>
      <c r="U4528">
        <v>3.071564</v>
      </c>
      <c r="V4528">
        <v>-5.4018160000000003E-2</v>
      </c>
      <c r="W4528">
        <v>4.5220030000000001E-2</v>
      </c>
      <c r="X4528">
        <v>0.9975155</v>
      </c>
      <c r="Y4528">
        <v>0.15958530000000001</v>
      </c>
      <c r="Z4528">
        <v>-0.23387169999999999</v>
      </c>
      <c r="AA4528">
        <v>0.95908110000000002</v>
      </c>
      <c r="AB4528">
        <v>55</v>
      </c>
      <c r="AC4528">
        <v>0.119400000000013</v>
      </c>
      <c r="AD4528">
        <v>-0.17972459999999901</v>
      </c>
      <c r="AE4528">
        <v>0.18082999999999999</v>
      </c>
      <c r="AF4528">
        <v>7.2407748395801705E-2</v>
      </c>
      <c r="AG4528">
        <v>-0.17972459999999901</v>
      </c>
      <c r="AH4528">
        <v>0.106012258381702</v>
      </c>
      <c r="AI4528">
        <v>144.46115993638901</v>
      </c>
      <c r="AJ4528">
        <v>55.666416841354902</v>
      </c>
      <c r="AK4528">
        <v>0.220867409999978</v>
      </c>
      <c r="AL4528">
        <v>87.408199292635501</v>
      </c>
      <c r="AM4528">
        <v>93.099693695667796</v>
      </c>
      <c r="AN4528">
        <v>0.99999999273161799</v>
      </c>
    </row>
    <row r="4529" spans="1:40" x14ac:dyDescent="0.3">
      <c r="A4529" t="str">
        <f>"20200111154010118"</f>
        <v>20200111154010118</v>
      </c>
      <c r="B4529" t="str">
        <f>"1578728410115829"</f>
        <v>1578728410115829</v>
      </c>
      <c r="C4529" t="s">
        <v>40</v>
      </c>
      <c r="D4529">
        <v>5.2235079999999998</v>
      </c>
      <c r="E4529">
        <v>0.58434589999999997</v>
      </c>
      <c r="F4529" t="s">
        <v>41</v>
      </c>
      <c r="G4529">
        <v>-188.20259999999999</v>
      </c>
      <c r="H4529">
        <v>0.93762769999999995</v>
      </c>
      <c r="I4529">
        <v>37.315019999999997</v>
      </c>
      <c r="J4529">
        <v>-188.31389999999999</v>
      </c>
      <c r="K4529">
        <v>1.1024430000000001</v>
      </c>
      <c r="L4529">
        <v>37.209499999999998</v>
      </c>
      <c r="M4529">
        <v>-1.5565290000000001E-2</v>
      </c>
      <c r="N4529">
        <v>0</v>
      </c>
      <c r="O4529">
        <v>0.99986649999999999</v>
      </c>
      <c r="P4529">
        <v>-6.8949220000000006E-2</v>
      </c>
      <c r="Q4529">
        <v>4.1756349999999998E-2</v>
      </c>
      <c r="R4529">
        <v>0.99674589999999996</v>
      </c>
      <c r="S4529">
        <v>0.46257019999999999</v>
      </c>
      <c r="T4529">
        <v>-0.74574269999999998</v>
      </c>
      <c r="U4529">
        <v>3.0722049999999999</v>
      </c>
      <c r="V4529">
        <v>-5.340893E-2</v>
      </c>
      <c r="W4529">
        <v>4.6730969999999997E-2</v>
      </c>
      <c r="X4529">
        <v>0.99747870000000005</v>
      </c>
      <c r="Y4529">
        <v>0.16015779999999999</v>
      </c>
      <c r="Z4529">
        <v>-0.23307890000000001</v>
      </c>
      <c r="AA4529">
        <v>0.95917870000000005</v>
      </c>
      <c r="AB4529">
        <v>55</v>
      </c>
      <c r="AC4529">
        <v>0.111299999999999</v>
      </c>
      <c r="AD4529">
        <v>-0.1648153</v>
      </c>
      <c r="AE4529">
        <v>0.105520000000005</v>
      </c>
      <c r="AF4529">
        <v>5.2407389708744E-2</v>
      </c>
      <c r="AG4529">
        <v>-0.1648153</v>
      </c>
      <c r="AH4529">
        <v>4.8159161292795703E-2</v>
      </c>
      <c r="AI4529">
        <v>156.64312643429699</v>
      </c>
      <c r="AJ4529">
        <v>42.581095026658602</v>
      </c>
      <c r="AK4529">
        <v>0.17952694067075101</v>
      </c>
      <c r="AL4529">
        <v>87.321537251531794</v>
      </c>
      <c r="AM4529">
        <v>93.0649144732634</v>
      </c>
      <c r="AN4529">
        <v>1.00000002715728</v>
      </c>
    </row>
    <row r="4530" spans="1:40" x14ac:dyDescent="0.3">
      <c r="A4530" t="str">
        <f>"20200111154010141"</f>
        <v>20200111154010141</v>
      </c>
      <c r="B4530" t="str">
        <f>"1578728410135348"</f>
        <v>1578728410135348</v>
      </c>
      <c r="C4530" t="s">
        <v>40</v>
      </c>
      <c r="D4530">
        <v>5.2118779999999996</v>
      </c>
      <c r="E4530">
        <v>0.58440249999999905</v>
      </c>
      <c r="F4530" t="s">
        <v>41</v>
      </c>
      <c r="G4530">
        <v>-188.15360000000001</v>
      </c>
      <c r="H4530">
        <v>0.84731569999999901</v>
      </c>
      <c r="I4530">
        <v>38.267600000000002</v>
      </c>
      <c r="J4530">
        <v>-188.3228</v>
      </c>
      <c r="K4530">
        <v>1.102457</v>
      </c>
      <c r="L4530">
        <v>37.77957</v>
      </c>
      <c r="M4530">
        <v>-1.54772E-2</v>
      </c>
      <c r="N4530">
        <v>0</v>
      </c>
      <c r="O4530">
        <v>0.99986770000000003</v>
      </c>
      <c r="P4530">
        <v>-6.7965780000000003E-2</v>
      </c>
      <c r="Q4530">
        <v>4.4247790000000002E-2</v>
      </c>
      <c r="R4530">
        <v>0.99670590000000003</v>
      </c>
      <c r="S4530">
        <v>0.46504210000000001</v>
      </c>
      <c r="T4530">
        <v>-0.74095029999999995</v>
      </c>
      <c r="U4530">
        <v>3.0729980000000001</v>
      </c>
      <c r="V4530">
        <v>-5.2513579999999997E-2</v>
      </c>
      <c r="W4530">
        <v>4.9249569999999999E-2</v>
      </c>
      <c r="X4530">
        <v>0.99740510000000004</v>
      </c>
      <c r="Y4530">
        <v>0.1608424</v>
      </c>
      <c r="Z4530">
        <v>-0.23158129999999999</v>
      </c>
      <c r="AA4530">
        <v>0.95942680000000002</v>
      </c>
      <c r="AB4530">
        <v>55</v>
      </c>
      <c r="AC4530">
        <v>0.169199999999989</v>
      </c>
      <c r="AD4530">
        <v>-0.25514130000000002</v>
      </c>
      <c r="AE4530">
        <v>0.48803000000000202</v>
      </c>
      <c r="AF4530">
        <v>0.142069567717442</v>
      </c>
      <c r="AG4530">
        <v>-0.25514130000000002</v>
      </c>
      <c r="AH4530">
        <v>0.39015799758751601</v>
      </c>
      <c r="AI4530">
        <v>121.569630282414</v>
      </c>
      <c r="AJ4530">
        <v>69.991744081909104</v>
      </c>
      <c r="AK4530">
        <v>0.48734393206298399</v>
      </c>
      <c r="AL4530">
        <v>87.177065713460493</v>
      </c>
      <c r="AM4530">
        <v>93.013851578410396</v>
      </c>
      <c r="AN4530">
        <v>1.0000000648678</v>
      </c>
    </row>
    <row r="4531" spans="1:40" x14ac:dyDescent="0.3">
      <c r="A4531" t="str">
        <f>"20200111154010163"</f>
        <v>20200111154010163</v>
      </c>
      <c r="B4531" t="str">
        <f>"1578728410155844"</f>
        <v>1578728410155844</v>
      </c>
      <c r="C4531" t="s">
        <v>40</v>
      </c>
      <c r="D4531">
        <v>5.2270699999999897</v>
      </c>
      <c r="E4531">
        <v>0.58480500000000002</v>
      </c>
      <c r="F4531" t="s">
        <v>41</v>
      </c>
      <c r="G4531">
        <v>-188.17189999999999</v>
      </c>
      <c r="H4531">
        <v>0.86602029999999997</v>
      </c>
      <c r="I4531">
        <v>38.770029999999998</v>
      </c>
      <c r="J4531">
        <v>-188.3313</v>
      </c>
      <c r="K4531">
        <v>1.102471</v>
      </c>
      <c r="L4531">
        <v>38.330719999999999</v>
      </c>
      <c r="M4531">
        <v>-1.539841E-2</v>
      </c>
      <c r="N4531">
        <v>0</v>
      </c>
      <c r="O4531">
        <v>0.9998688</v>
      </c>
      <c r="P4531">
        <v>-6.7333980000000002E-2</v>
      </c>
      <c r="Q4531">
        <v>4.6790989999999998E-2</v>
      </c>
      <c r="R4531">
        <v>0.99663270000000004</v>
      </c>
      <c r="S4531">
        <v>0.46797179999999999</v>
      </c>
      <c r="T4531">
        <v>-0.73389769999999999</v>
      </c>
      <c r="U4531">
        <v>3.0744020000000001</v>
      </c>
      <c r="V4531">
        <v>-5.196083E-2</v>
      </c>
      <c r="W4531">
        <v>5.1818349999999999E-2</v>
      </c>
      <c r="X4531">
        <v>0.99730379999999996</v>
      </c>
      <c r="Y4531">
        <v>0.1616725</v>
      </c>
      <c r="Z4531">
        <v>-0.2293665</v>
      </c>
      <c r="AA4531">
        <v>0.95981930000000004</v>
      </c>
      <c r="AB4531">
        <v>55</v>
      </c>
      <c r="AC4531">
        <v>0.15940000000000501</v>
      </c>
      <c r="AD4531">
        <v>-0.23645069999999899</v>
      </c>
      <c r="AE4531">
        <v>0.43930999999999898</v>
      </c>
      <c r="AF4531">
        <v>0.13228264612604301</v>
      </c>
      <c r="AG4531">
        <v>-0.23645069999999899</v>
      </c>
      <c r="AH4531">
        <v>0.34777577827399397</v>
      </c>
      <c r="AI4531">
        <v>122.434988591456</v>
      </c>
      <c r="AJ4531">
        <v>69.174805740254996</v>
      </c>
      <c r="AK4531">
        <v>0.44085782736691898</v>
      </c>
      <c r="AL4531">
        <v>87.029696859299506</v>
      </c>
      <c r="AM4531">
        <v>92.982488164844895</v>
      </c>
      <c r="AN4531">
        <v>0.99999996937272495</v>
      </c>
    </row>
    <row r="4532" spans="1:40" x14ac:dyDescent="0.3">
      <c r="A4532" t="str">
        <f>"20200111154010186"</f>
        <v>20200111154010186</v>
      </c>
      <c r="B4532" t="str">
        <f>"1578728410175364"</f>
        <v>1578728410175364</v>
      </c>
      <c r="C4532" t="s">
        <v>40</v>
      </c>
      <c r="D4532">
        <v>5.3332110000000004</v>
      </c>
      <c r="E4532">
        <v>0.58479890000000001</v>
      </c>
      <c r="F4532" t="s">
        <v>41</v>
      </c>
      <c r="G4532">
        <v>-188.18620000000001</v>
      </c>
      <c r="H4532">
        <v>0.88049419999999901</v>
      </c>
      <c r="I4532">
        <v>39.272089999999999</v>
      </c>
      <c r="J4532">
        <v>-188.34010000000001</v>
      </c>
      <c r="K4532">
        <v>1.1024929999999999</v>
      </c>
      <c r="L4532">
        <v>38.89819</v>
      </c>
      <c r="M4532">
        <v>-1.532596E-2</v>
      </c>
      <c r="N4532">
        <v>0</v>
      </c>
      <c r="O4532">
        <v>0.99986980000000003</v>
      </c>
      <c r="P4532">
        <v>-6.7433789999999993E-2</v>
      </c>
      <c r="Q4532">
        <v>4.9363310000000001E-2</v>
      </c>
      <c r="R4532">
        <v>0.99650190000000005</v>
      </c>
      <c r="S4532">
        <v>0.47375489999999998</v>
      </c>
      <c r="T4532">
        <v>-0.72536489999999998</v>
      </c>
      <c r="U4532">
        <v>3.0762019999999999</v>
      </c>
      <c r="V4532">
        <v>-5.213479E-2</v>
      </c>
      <c r="W4532">
        <v>5.4417729999999997E-2</v>
      </c>
      <c r="X4532">
        <v>0.9971563</v>
      </c>
      <c r="Y4532">
        <v>0.1633771</v>
      </c>
      <c r="Z4532">
        <v>-0.2266533</v>
      </c>
      <c r="AA4532">
        <v>0.96017509999999995</v>
      </c>
      <c r="AB4532">
        <v>55</v>
      </c>
      <c r="AC4532">
        <v>0.15389999999999299</v>
      </c>
      <c r="AD4532">
        <v>-0.2219988</v>
      </c>
      <c r="AE4532">
        <v>0.37390000000000601</v>
      </c>
      <c r="AF4532">
        <v>0.12264167588136</v>
      </c>
      <c r="AG4532">
        <v>-0.2219988</v>
      </c>
      <c r="AH4532">
        <v>0.28544818537414901</v>
      </c>
      <c r="AI4532">
        <v>125.54805533067</v>
      </c>
      <c r="AJ4532">
        <v>66.749414222749294</v>
      </c>
      <c r="AK4532">
        <v>0.38184435886604801</v>
      </c>
      <c r="AL4532">
        <v>86.880552868175599</v>
      </c>
      <c r="AM4532">
        <v>92.992896979489998</v>
      </c>
      <c r="AN4532">
        <v>1.00000000614819</v>
      </c>
    </row>
    <row r="4533" spans="1:40" x14ac:dyDescent="0.3">
      <c r="A4533" t="str">
        <f>"20200111154010207"</f>
        <v>20200111154010207</v>
      </c>
      <c r="B4533" t="str">
        <f>"1578728410195860"</f>
        <v>1578728410195860</v>
      </c>
      <c r="C4533" t="s">
        <v>40</v>
      </c>
      <c r="D4533">
        <v>5.3004619999999996</v>
      </c>
      <c r="E4533">
        <v>0.53326090000000004</v>
      </c>
      <c r="F4533" t="s">
        <v>41</v>
      </c>
      <c r="G4533">
        <v>-188.20500000000001</v>
      </c>
      <c r="H4533">
        <v>0.89760569999999895</v>
      </c>
      <c r="I4533">
        <v>39.77608</v>
      </c>
      <c r="J4533">
        <v>-188.34809999999999</v>
      </c>
      <c r="K4533">
        <v>1.1025119999999999</v>
      </c>
      <c r="L4533">
        <v>39.42313</v>
      </c>
      <c r="M4533">
        <v>-1.526887E-2</v>
      </c>
      <c r="N4533">
        <v>0</v>
      </c>
      <c r="O4533">
        <v>0.9998705</v>
      </c>
      <c r="P4533">
        <v>-6.6840720000000006E-2</v>
      </c>
      <c r="Q4533">
        <v>5.1093300000000001E-2</v>
      </c>
      <c r="R4533">
        <v>0.99645459999999997</v>
      </c>
      <c r="S4533">
        <v>0.47334290000000001</v>
      </c>
      <c r="T4533">
        <v>-0.71839989999999998</v>
      </c>
      <c r="U4533">
        <v>3.0781559999999999</v>
      </c>
      <c r="V4533">
        <v>-5.1600069999999998E-2</v>
      </c>
      <c r="W4533">
        <v>5.6172180000000002E-2</v>
      </c>
      <c r="X4533">
        <v>0.99708680000000005</v>
      </c>
      <c r="Y4533">
        <v>0.16318079999999999</v>
      </c>
      <c r="Z4533">
        <v>-0.2244613</v>
      </c>
      <c r="AA4533">
        <v>0.9607232</v>
      </c>
      <c r="AB4533">
        <v>56</v>
      </c>
      <c r="AC4533">
        <v>0.143099999999975</v>
      </c>
      <c r="AD4533">
        <v>-0.20490630000000001</v>
      </c>
      <c r="AE4533">
        <v>0.35294999999999899</v>
      </c>
      <c r="AF4533">
        <v>0.115143163807364</v>
      </c>
      <c r="AG4533">
        <v>-0.20490630000000001</v>
      </c>
      <c r="AH4533">
        <v>0.27199275435703102</v>
      </c>
      <c r="AI4533">
        <v>124.750945142674</v>
      </c>
      <c r="AJ4533">
        <v>67.055517698932803</v>
      </c>
      <c r="AK4533">
        <v>0.35947823073724999</v>
      </c>
      <c r="AL4533">
        <v>86.779876174777002</v>
      </c>
      <c r="AM4533">
        <v>92.962461423979406</v>
      </c>
      <c r="AN4533">
        <v>0.99999998388209799</v>
      </c>
    </row>
    <row r="4534" spans="1:40" x14ac:dyDescent="0.3">
      <c r="A4534" t="str">
        <f>"20200111154010230"</f>
        <v>20200111154010230</v>
      </c>
      <c r="B4534" t="str">
        <f>"1578728410225139"</f>
        <v>1578728410225139</v>
      </c>
      <c r="C4534" t="s">
        <v>40</v>
      </c>
      <c r="D4534">
        <v>5.2268619999999997</v>
      </c>
      <c r="E4534">
        <v>0.5190977</v>
      </c>
      <c r="F4534" t="s">
        <v>41</v>
      </c>
      <c r="G4534">
        <v>-188.32929999999999</v>
      </c>
      <c r="H4534">
        <v>0.95421610000000001</v>
      </c>
      <c r="I4534">
        <v>40.296169999999996</v>
      </c>
      <c r="J4534">
        <v>-188.35669999999999</v>
      </c>
      <c r="K4534">
        <v>1.102525</v>
      </c>
      <c r="L4534">
        <v>39.986539999999998</v>
      </c>
      <c r="M4534">
        <v>-1.521873E-2</v>
      </c>
      <c r="N4534">
        <v>0</v>
      </c>
      <c r="O4534">
        <v>0.99987110000000001</v>
      </c>
      <c r="P4534">
        <v>-6.6208569999999994E-2</v>
      </c>
      <c r="Q4534">
        <v>5.1920149999999998E-2</v>
      </c>
      <c r="R4534">
        <v>0.99645410000000001</v>
      </c>
      <c r="S4534">
        <v>6.4880370000000007E-2</v>
      </c>
      <c r="T4534">
        <v>-0.51664160000000003</v>
      </c>
      <c r="U4534">
        <v>3.0415040000000002</v>
      </c>
      <c r="V4534">
        <v>-5.1018979999999998E-2</v>
      </c>
      <c r="W4534">
        <v>5.7025310000000003E-2</v>
      </c>
      <c r="X4534">
        <v>0.99706830000000002</v>
      </c>
      <c r="Y4534">
        <v>3.6238909999999999E-2</v>
      </c>
      <c r="Z4534">
        <v>-0.16736239999999999</v>
      </c>
      <c r="AA4534">
        <v>0.98522920000000003</v>
      </c>
      <c r="AB4534">
        <v>56</v>
      </c>
      <c r="AC4534">
        <v>2.7400000000000001E-2</v>
      </c>
      <c r="AD4534">
        <v>-0.14830889999999899</v>
      </c>
      <c r="AE4534">
        <v>0.30962999999999802</v>
      </c>
      <c r="AF4534">
        <v>2.6154978642786399E-2</v>
      </c>
      <c r="AG4534">
        <v>-0.14830889999999899</v>
      </c>
      <c r="AH4534">
        <v>0.251845448002122</v>
      </c>
      <c r="AI4534">
        <v>120.359138925525</v>
      </c>
      <c r="AJ4534">
        <v>84.070899878144402</v>
      </c>
      <c r="AK4534">
        <v>0.29343779989361302</v>
      </c>
      <c r="AL4534">
        <v>86.730917023602203</v>
      </c>
      <c r="AM4534">
        <v>92.929212588064701</v>
      </c>
      <c r="AN4534">
        <v>1.00000000858286</v>
      </c>
    </row>
    <row r="4535" spans="1:40" x14ac:dyDescent="0.3">
      <c r="A4535" t="str">
        <f>"20200111154010251"</f>
        <v>20200111154010251</v>
      </c>
      <c r="B4535" t="str">
        <f>"1578728410245636"</f>
        <v>1578728410245636</v>
      </c>
      <c r="C4535" t="s">
        <v>40</v>
      </c>
      <c r="D4535">
        <v>5.3006769999999896</v>
      </c>
      <c r="E4535">
        <v>0.51680249999999905</v>
      </c>
      <c r="F4535" t="s">
        <v>41</v>
      </c>
      <c r="G4535">
        <v>-188.36940000000001</v>
      </c>
      <c r="H4535">
        <v>1.0120039999999999</v>
      </c>
      <c r="I4535">
        <v>40.823749999999997</v>
      </c>
      <c r="J4535">
        <v>-188.3648</v>
      </c>
      <c r="K4535">
        <v>1.1025370000000001</v>
      </c>
      <c r="L4535">
        <v>40.520020000000002</v>
      </c>
      <c r="M4535">
        <v>-1.5182319999999999E-2</v>
      </c>
      <c r="N4535">
        <v>0</v>
      </c>
      <c r="O4535">
        <v>0.99987159999999997</v>
      </c>
      <c r="P4535">
        <v>-6.505234E-2</v>
      </c>
      <c r="Q4535">
        <v>5.1477000000000002E-2</v>
      </c>
      <c r="R4535">
        <v>0.99655320000000003</v>
      </c>
      <c r="S4535">
        <v>-4.6203609999999999E-2</v>
      </c>
      <c r="T4535">
        <v>-0.32704349999999999</v>
      </c>
      <c r="U4535">
        <v>3.0246580000000001</v>
      </c>
      <c r="V4535">
        <v>-4.9899060000000002E-2</v>
      </c>
      <c r="W4535">
        <v>5.6606829999999997E-2</v>
      </c>
      <c r="X4535">
        <v>0.99714879999999995</v>
      </c>
      <c r="Y4535" s="1">
        <v>-2.8803990000000002E-6</v>
      </c>
      <c r="Z4535">
        <v>-0.1074745</v>
      </c>
      <c r="AA4535">
        <v>0.99420790000000003</v>
      </c>
      <c r="AB4535">
        <v>56</v>
      </c>
      <c r="AC4535">
        <v>-4.6000000000105904E-3</v>
      </c>
      <c r="AD4535">
        <v>-9.0532999999999905E-2</v>
      </c>
      <c r="AE4535">
        <v>0.303729999999994</v>
      </c>
      <c r="AF4535" s="1">
        <v>1.0944680798166601E-5</v>
      </c>
      <c r="AG4535">
        <v>-9.0532999999999905E-2</v>
      </c>
      <c r="AH4535">
        <v>0.27898388131056401</v>
      </c>
      <c r="AI4535">
        <v>107.97875409803</v>
      </c>
      <c r="AJ4535">
        <v>89.997752257174895</v>
      </c>
      <c r="AK4535">
        <v>0.293305694182525</v>
      </c>
      <c r="AL4535">
        <v>86.754932892794798</v>
      </c>
      <c r="AM4535">
        <v>92.864790726280901</v>
      </c>
      <c r="AN4535">
        <v>0.99999998936648604</v>
      </c>
    </row>
    <row r="4536" spans="1:40" x14ac:dyDescent="0.3">
      <c r="A4536" t="str">
        <f>"20200111154010273"</f>
        <v>20200111154010273</v>
      </c>
      <c r="B4536" t="str">
        <f>"1578728410265155"</f>
        <v>1578728410265155</v>
      </c>
      <c r="C4536" t="s">
        <v>40</v>
      </c>
      <c r="D4536">
        <v>5.3155989999999997</v>
      </c>
      <c r="E4536">
        <v>0.51606629999999998</v>
      </c>
      <c r="F4536" t="s">
        <v>41</v>
      </c>
      <c r="G4536">
        <v>-188.3811</v>
      </c>
      <c r="H4536">
        <v>1.0283180000000001</v>
      </c>
      <c r="I4536">
        <v>41.33249</v>
      </c>
      <c r="J4536">
        <v>-188.37350000000001</v>
      </c>
      <c r="K4536">
        <v>1.1025370000000001</v>
      </c>
      <c r="L4536">
        <v>41.09216</v>
      </c>
      <c r="M4536">
        <v>-1.5153460000000001E-2</v>
      </c>
      <c r="N4536">
        <v>0</v>
      </c>
      <c r="O4536">
        <v>0.99987190000000004</v>
      </c>
      <c r="P4536">
        <v>-6.3605610000000007E-2</v>
      </c>
      <c r="Q4536">
        <v>5.0218350000000002E-2</v>
      </c>
      <c r="R4536">
        <v>0.99671080000000001</v>
      </c>
      <c r="S4536">
        <v>-6.1172490000000003E-2</v>
      </c>
      <c r="T4536">
        <v>-0.27594629999999998</v>
      </c>
      <c r="U4536">
        <v>3.0206300000000001</v>
      </c>
      <c r="V4536">
        <v>-4.8480669999999997E-2</v>
      </c>
      <c r="W4536">
        <v>5.5375199999999902E-2</v>
      </c>
      <c r="X4536">
        <v>0.9972879</v>
      </c>
      <c r="Y4536">
        <v>-5.0106090000000001E-3</v>
      </c>
      <c r="Z4536">
        <v>-9.0949639999999998E-2</v>
      </c>
      <c r="AA4536">
        <v>0.99584289999999998</v>
      </c>
      <c r="AB4536">
        <v>56</v>
      </c>
      <c r="AC4536">
        <v>-7.5999999999964898E-3</v>
      </c>
      <c r="AD4536">
        <v>-7.4218999999999993E-2</v>
      </c>
      <c r="AE4536">
        <v>0.24032999999999999</v>
      </c>
      <c r="AF4536">
        <v>-3.6130168310619798E-3</v>
      </c>
      <c r="AG4536">
        <v>-7.4218999999999993E-2</v>
      </c>
      <c r="AH4536">
        <v>0.21950424834929999</v>
      </c>
      <c r="AI4536">
        <v>108.67912130544801</v>
      </c>
      <c r="AJ4536">
        <v>90.942997346632296</v>
      </c>
      <c r="AK4536">
        <v>0.23174043431178001</v>
      </c>
      <c r="AL4536">
        <v>86.825610917842795</v>
      </c>
      <c r="AM4536">
        <v>92.783100829294099</v>
      </c>
      <c r="AN4536">
        <v>0.99999997181254896</v>
      </c>
    </row>
    <row r="4537" spans="1:40" x14ac:dyDescent="0.3">
      <c r="A4537" t="str">
        <f>"20200111154010343"</f>
        <v>20200111154010343</v>
      </c>
      <c r="B4537" t="str">
        <f>"1578728410335428"</f>
        <v>1578728410335428</v>
      </c>
      <c r="C4537" t="s">
        <v>40</v>
      </c>
      <c r="D4537">
        <v>5.3093849999999998</v>
      </c>
      <c r="E4537">
        <v>0.51392380000000004</v>
      </c>
      <c r="F4537" t="s">
        <v>41</v>
      </c>
      <c r="G4537">
        <v>-188.4152</v>
      </c>
      <c r="H4537">
        <v>1.016513</v>
      </c>
      <c r="I4537">
        <v>43.341900000000003</v>
      </c>
      <c r="J4537">
        <v>-188.3999</v>
      </c>
      <c r="K4537">
        <v>1.1025480000000001</v>
      </c>
      <c r="L4537">
        <v>42.836979999999997</v>
      </c>
      <c r="M4537">
        <v>-1.511095E-2</v>
      </c>
      <c r="N4537">
        <v>0</v>
      </c>
      <c r="O4537">
        <v>0.99987210000000004</v>
      </c>
      <c r="P4537">
        <v>-6.1111060000000002E-2</v>
      </c>
      <c r="Q4537">
        <v>4.6595360000000002E-2</v>
      </c>
      <c r="R4537">
        <v>0.99704280000000001</v>
      </c>
      <c r="S4537">
        <v>-6.6436770000000006E-2</v>
      </c>
      <c r="T4537">
        <v>-0.233097</v>
      </c>
      <c r="U4537">
        <v>3.0159609999999999</v>
      </c>
      <c r="V4537">
        <v>-4.602788E-2</v>
      </c>
      <c r="W4537">
        <v>5.1835010000000001E-2</v>
      </c>
      <c r="X4537">
        <v>0.99759439999999999</v>
      </c>
      <c r="Y4537">
        <v>-6.8475929999999999E-3</v>
      </c>
      <c r="Z4537">
        <v>-7.703467E-2</v>
      </c>
      <c r="AA4537">
        <v>0.99700489999999997</v>
      </c>
      <c r="AB4537">
        <v>56</v>
      </c>
      <c r="AC4537">
        <v>-1.5299999999996299E-2</v>
      </c>
      <c r="AD4537">
        <v>-8.6034999999999806E-2</v>
      </c>
      <c r="AE4537">
        <v>0.50492000000000503</v>
      </c>
      <c r="AF4537">
        <v>-7.4521607694143501E-3</v>
      </c>
      <c r="AG4537">
        <v>-8.6034999999999806E-2</v>
      </c>
      <c r="AH4537">
        <v>0.490855188614578</v>
      </c>
      <c r="AI4537">
        <v>99.940450657978303</v>
      </c>
      <c r="AJ4537">
        <v>90.869797385640496</v>
      </c>
      <c r="AK4537">
        <v>0.49839379221152702</v>
      </c>
      <c r="AL4537">
        <v>87.028741149211498</v>
      </c>
      <c r="AM4537">
        <v>92.641689142485305</v>
      </c>
      <c r="AN4537">
        <v>1.0000000104551701</v>
      </c>
    </row>
    <row r="4538" spans="1:40" x14ac:dyDescent="0.3">
      <c r="A4538" t="str">
        <f>"20200111154010362"</f>
        <v>20200111154010362</v>
      </c>
      <c r="B4538" t="str">
        <f>"1578728410355924"</f>
        <v>1578728410355924</v>
      </c>
      <c r="C4538" t="s">
        <v>40</v>
      </c>
      <c r="D4538">
        <v>5.3233079999999999</v>
      </c>
      <c r="E4538">
        <v>0.5133972</v>
      </c>
      <c r="F4538" t="s">
        <v>41</v>
      </c>
      <c r="G4538">
        <v>-188.42400000000001</v>
      </c>
      <c r="H4538">
        <v>1.026859</v>
      </c>
      <c r="I4538">
        <v>43.853389999999997</v>
      </c>
      <c r="J4538">
        <v>-188.4076</v>
      </c>
      <c r="K4538">
        <v>1.1025450000000001</v>
      </c>
      <c r="L4538">
        <v>43.34451</v>
      </c>
      <c r="M4538">
        <v>-1.510558E-2</v>
      </c>
      <c r="N4538">
        <v>0</v>
      </c>
      <c r="O4538">
        <v>0.99987199999999998</v>
      </c>
      <c r="P4538">
        <v>-6.115694E-2</v>
      </c>
      <c r="Q4538">
        <v>4.6531969999999999E-2</v>
      </c>
      <c r="R4538">
        <v>0.99704300000000001</v>
      </c>
      <c r="S4538">
        <v>-7.1487430000000005E-2</v>
      </c>
      <c r="T4538">
        <v>-0.22452359999999999</v>
      </c>
      <c r="U4538">
        <v>3.015015</v>
      </c>
      <c r="V4538">
        <v>-4.6080299999999998E-2</v>
      </c>
      <c r="W4538">
        <v>5.179549E-2</v>
      </c>
      <c r="X4538">
        <v>0.99759399999999998</v>
      </c>
      <c r="Y4538">
        <v>-8.5341459999999994E-3</v>
      </c>
      <c r="Z4538">
        <v>-7.4238460000000006E-2</v>
      </c>
      <c r="AA4538">
        <v>0.99720399999999998</v>
      </c>
      <c r="AB4538">
        <v>57</v>
      </c>
      <c r="AC4538">
        <v>-1.6400000000004401E-2</v>
      </c>
      <c r="AD4538">
        <v>-7.56860000000001E-2</v>
      </c>
      <c r="AE4538">
        <v>0.508880000000004</v>
      </c>
      <c r="AF4538">
        <v>-8.5227599090120804E-3</v>
      </c>
      <c r="AG4538">
        <v>-7.56860000000001E-2</v>
      </c>
      <c r="AH4538">
        <v>0.49806355161862598</v>
      </c>
      <c r="AI4538">
        <v>98.639346349933206</v>
      </c>
      <c r="AJ4538">
        <v>90.9803377848785</v>
      </c>
      <c r="AK4538">
        <v>0.50385346032693501</v>
      </c>
      <c r="AL4538">
        <v>87.031008427248807</v>
      </c>
      <c r="AM4538">
        <v>92.644694485886106</v>
      </c>
      <c r="AN4538">
        <v>0.99999997783421402</v>
      </c>
    </row>
    <row r="4539" spans="1:40" x14ac:dyDescent="0.3">
      <c r="A4539" t="str">
        <f>"20200111154010387"</f>
        <v>20200111154010387</v>
      </c>
      <c r="B4539" t="str">
        <f>"1578728410375294"</f>
        <v>1578728410375294</v>
      </c>
      <c r="C4539" t="s">
        <v>40</v>
      </c>
      <c r="D4539">
        <v>5.3355189999999997</v>
      </c>
      <c r="E4539">
        <v>0.51286969999999998</v>
      </c>
      <c r="F4539" t="s">
        <v>41</v>
      </c>
      <c r="G4539">
        <v>-188.4331</v>
      </c>
      <c r="H4539">
        <v>1.028834</v>
      </c>
      <c r="I4539">
        <v>44.362009999999998</v>
      </c>
      <c r="J4539">
        <v>-188.41659999999999</v>
      </c>
      <c r="K4539">
        <v>1.1025370000000001</v>
      </c>
      <c r="L4539">
        <v>43.937739999999998</v>
      </c>
      <c r="M4539">
        <v>-1.510132E-2</v>
      </c>
      <c r="N4539">
        <v>0</v>
      </c>
      <c r="O4539">
        <v>0.99987190000000004</v>
      </c>
      <c r="P4539">
        <v>-6.1220749999999997E-2</v>
      </c>
      <c r="Q4539">
        <v>4.7218490000000002E-2</v>
      </c>
      <c r="R4539">
        <v>0.99700670000000002</v>
      </c>
      <c r="S4539">
        <v>-7.5790410000000002E-2</v>
      </c>
      <c r="T4539">
        <v>-0.2183996</v>
      </c>
      <c r="U4539">
        <v>3.0144350000000002</v>
      </c>
      <c r="V4539">
        <v>-4.6149450000000002E-2</v>
      </c>
      <c r="W4539">
        <v>5.2509769999999997E-2</v>
      </c>
      <c r="X4539">
        <v>0.99755349999999998</v>
      </c>
      <c r="Y4539">
        <v>-9.9692549999999998E-3</v>
      </c>
      <c r="Z4539">
        <v>-7.2236389999999998E-2</v>
      </c>
      <c r="AA4539">
        <v>0.99733769999999999</v>
      </c>
      <c r="AB4539">
        <v>57</v>
      </c>
      <c r="AC4539">
        <v>-1.6500000000007699E-2</v>
      </c>
      <c r="AD4539">
        <v>-7.3703000000000005E-2</v>
      </c>
      <c r="AE4539">
        <v>0.42426999999999199</v>
      </c>
      <c r="AF4539">
        <v>-9.7958226061289101E-3</v>
      </c>
      <c r="AG4539">
        <v>-7.3703000000000005E-2</v>
      </c>
      <c r="AH4539">
        <v>0.41205472179779001</v>
      </c>
      <c r="AI4539">
        <v>100.138278536231</v>
      </c>
      <c r="AJ4539">
        <v>91.361842406910995</v>
      </c>
      <c r="AK4539">
        <v>0.41870894915846302</v>
      </c>
      <c r="AL4539">
        <v>86.990027542628695</v>
      </c>
      <c r="AM4539">
        <v>92.648764956640406</v>
      </c>
      <c r="AN4539">
        <v>1.0000000165214999</v>
      </c>
    </row>
    <row r="4540" spans="1:40" x14ac:dyDescent="0.3">
      <c r="A4540" t="str">
        <f>"20200111154010407"</f>
        <v>20200111154010407</v>
      </c>
      <c r="B4540" t="str">
        <f>"1578728410395790"</f>
        <v>1578728410395790</v>
      </c>
      <c r="C4540" t="s">
        <v>40</v>
      </c>
      <c r="D4540">
        <v>5.3027189999999997</v>
      </c>
      <c r="E4540">
        <v>0.51248249999999995</v>
      </c>
      <c r="F4540" t="s">
        <v>41</v>
      </c>
      <c r="G4540">
        <v>-188.4417</v>
      </c>
      <c r="H4540">
        <v>1.0368660000000001</v>
      </c>
      <c r="I4540">
        <v>44.877220000000001</v>
      </c>
      <c r="J4540">
        <v>-188.42490000000001</v>
      </c>
      <c r="K4540">
        <v>1.1025400000000001</v>
      </c>
      <c r="L4540">
        <v>44.483519999999999</v>
      </c>
      <c r="M4540">
        <v>-1.5098429999999999E-2</v>
      </c>
      <c r="N4540">
        <v>0</v>
      </c>
      <c r="O4540">
        <v>0.99987190000000004</v>
      </c>
      <c r="P4540">
        <v>-6.1272399999999998E-2</v>
      </c>
      <c r="Q4540">
        <v>4.6934789999999997E-2</v>
      </c>
      <c r="R4540">
        <v>0.99701700000000004</v>
      </c>
      <c r="S4540">
        <v>-8.0444340000000003E-2</v>
      </c>
      <c r="T4540">
        <v>-0.21068609999999999</v>
      </c>
      <c r="U4540">
        <v>3.0140380000000002</v>
      </c>
      <c r="V4540">
        <v>-4.6204769999999999E-2</v>
      </c>
      <c r="W4540">
        <v>5.2252149999999997E-2</v>
      </c>
      <c r="X4540">
        <v>0.99756440000000002</v>
      </c>
      <c r="Y4540">
        <v>-1.151918E-2</v>
      </c>
      <c r="Z4540">
        <v>-6.9704879999999997E-2</v>
      </c>
      <c r="AA4540">
        <v>0.99750110000000003</v>
      </c>
      <c r="AB4540">
        <v>57</v>
      </c>
      <c r="AC4540">
        <v>-1.6799999999989199E-2</v>
      </c>
      <c r="AD4540">
        <v>-6.5673999999999705E-2</v>
      </c>
      <c r="AE4540">
        <v>0.39370000000000199</v>
      </c>
      <c r="AF4540">
        <v>-1.0560425298701199E-2</v>
      </c>
      <c r="AG4540">
        <v>-6.5673999999999705E-2</v>
      </c>
      <c r="AH4540">
        <v>0.38326334659258698</v>
      </c>
      <c r="AI4540">
        <v>99.719851683947297</v>
      </c>
      <c r="AJ4540">
        <v>91.578326620157597</v>
      </c>
      <c r="AK4540">
        <v>0.38899278875043197</v>
      </c>
      <c r="AL4540">
        <v>87.004808173353894</v>
      </c>
      <c r="AM4540">
        <v>92.651906603390898</v>
      </c>
      <c r="AN4540">
        <v>0.99999995004886599</v>
      </c>
    </row>
    <row r="4541" spans="1:40" x14ac:dyDescent="0.3">
      <c r="A4541" t="str">
        <f>"20200111154010475"</f>
        <v>20200111154010475</v>
      </c>
      <c r="B4541" t="str">
        <f>"1578728410465087"</f>
        <v>1578728410465087</v>
      </c>
      <c r="C4541" t="s">
        <v>40</v>
      </c>
      <c r="D4541">
        <v>5.2705209999999996</v>
      </c>
      <c r="E4541">
        <v>0.51178769999999996</v>
      </c>
      <c r="F4541" t="s">
        <v>42</v>
      </c>
      <c r="G4541">
        <v>-188.91130000000001</v>
      </c>
      <c r="H4541" s="1">
        <v>-1.1764409999999999E-6</v>
      </c>
      <c r="I4541">
        <v>61.924919999999901</v>
      </c>
      <c r="J4541">
        <v>-188.45089999999999</v>
      </c>
      <c r="K4541">
        <v>1.102535</v>
      </c>
      <c r="L4541">
        <v>46.208889999999997</v>
      </c>
      <c r="M4541">
        <v>-1.509755E-2</v>
      </c>
      <c r="N4541">
        <v>0</v>
      </c>
      <c r="O4541">
        <v>0.99987139999999997</v>
      </c>
      <c r="P4541">
        <v>-5.9043440000000003E-2</v>
      </c>
      <c r="Q4541">
        <v>4.6907589999999999E-2</v>
      </c>
      <c r="R4541">
        <v>0.9971527</v>
      </c>
      <c r="S4541">
        <v>-8.6730959999999996E-2</v>
      </c>
      <c r="T4541">
        <v>-0.20377880000000001</v>
      </c>
      <c r="U4541">
        <v>3.0129700000000001</v>
      </c>
      <c r="V4541">
        <v>-4.3977420000000003E-2</v>
      </c>
      <c r="W4541">
        <v>5.230692E-2</v>
      </c>
      <c r="X4541">
        <v>0.99766220000000005</v>
      </c>
      <c r="Y4541">
        <v>-1.361362E-2</v>
      </c>
      <c r="Z4541">
        <v>-6.7451159999999996E-2</v>
      </c>
      <c r="AA4541">
        <v>0.99762969999999895</v>
      </c>
      <c r="AB4541">
        <v>57</v>
      </c>
      <c r="AC4541">
        <v>-0.46040000000002101</v>
      </c>
      <c r="AD4541">
        <v>-1.102536176441</v>
      </c>
      <c r="AE4541">
        <v>15.7160299999999</v>
      </c>
      <c r="AF4541">
        <v>-0.22197896693219701</v>
      </c>
      <c r="AG4541">
        <v>-1.102536176441</v>
      </c>
      <c r="AH4541">
        <v>15.644262072719</v>
      </c>
      <c r="AI4541">
        <v>94.030875223972998</v>
      </c>
      <c r="AJ4541">
        <v>90.812924537082097</v>
      </c>
      <c r="AK4541">
        <v>15.684635682158399</v>
      </c>
      <c r="AL4541">
        <v>87.001665774943902</v>
      </c>
      <c r="AM4541">
        <v>92.523991033274001</v>
      </c>
      <c r="AN4541">
        <v>0.99999994632929001</v>
      </c>
    </row>
    <row r="4542" spans="1:40" x14ac:dyDescent="0.3">
      <c r="A4542" t="str">
        <f>"20200111154010497"</f>
        <v>20200111154010497</v>
      </c>
      <c r="B4542" t="str">
        <f>"1578728410485584"</f>
        <v>1578728410485584</v>
      </c>
      <c r="C4542" t="s">
        <v>40</v>
      </c>
      <c r="D4542">
        <v>5.2735430000000001</v>
      </c>
      <c r="E4542">
        <v>0.51165059999999996</v>
      </c>
      <c r="F4542" t="s">
        <v>41</v>
      </c>
      <c r="G4542">
        <v>-188.4846</v>
      </c>
      <c r="H4542">
        <v>1.0220020000000001</v>
      </c>
      <c r="I4542">
        <v>47.428109999999997</v>
      </c>
      <c r="J4542">
        <v>-188.45949999999999</v>
      </c>
      <c r="K4542">
        <v>1.102544</v>
      </c>
      <c r="L4542">
        <v>46.778350000000003</v>
      </c>
      <c r="M4542">
        <v>-1.511242E-2</v>
      </c>
      <c r="N4542">
        <v>0</v>
      </c>
      <c r="O4542">
        <v>0.99987099999999995</v>
      </c>
      <c r="P4542">
        <v>-5.712043E-2</v>
      </c>
      <c r="Q4542">
        <v>4.6906410000000003E-2</v>
      </c>
      <c r="R4542">
        <v>0.99726479999999995</v>
      </c>
      <c r="S4542">
        <v>-8.3602910000000002E-2</v>
      </c>
      <c r="T4542">
        <v>-0.19903390000000001</v>
      </c>
      <c r="U4542">
        <v>3.0129700000000001</v>
      </c>
      <c r="V4542">
        <v>-4.2039189999999997E-2</v>
      </c>
      <c r="W4542">
        <v>5.2332150000000001E-2</v>
      </c>
      <c r="X4542">
        <v>0.99774450000000003</v>
      </c>
      <c r="Y4542">
        <v>-1.256672E-2</v>
      </c>
      <c r="Z4542">
        <v>-6.5888879999999997E-2</v>
      </c>
      <c r="AA4542">
        <v>0.99774779999999996</v>
      </c>
      <c r="AB4542">
        <v>57</v>
      </c>
      <c r="AC4542">
        <v>-2.5100000000009001E-2</v>
      </c>
      <c r="AD4542">
        <v>-8.0541999999999794E-2</v>
      </c>
      <c r="AE4542">
        <v>0.64975999999999301</v>
      </c>
      <c r="AF4542">
        <v>-1.5046690898474499E-2</v>
      </c>
      <c r="AG4542">
        <v>-8.0541999999999794E-2</v>
      </c>
      <c r="AH4542">
        <v>0.64024231509461305</v>
      </c>
      <c r="AI4542">
        <v>97.168142074251804</v>
      </c>
      <c r="AJ4542">
        <v>91.346292169270001</v>
      </c>
      <c r="AK4542">
        <v>0.64546389419448102</v>
      </c>
      <c r="AL4542">
        <v>87.000218433011497</v>
      </c>
      <c r="AM4542">
        <v>92.412686127292503</v>
      </c>
      <c r="AN4542">
        <v>1.00000001734986</v>
      </c>
    </row>
    <row r="4543" spans="1:40" x14ac:dyDescent="0.3">
      <c r="A4543" t="str">
        <f>"20200111154010518"</f>
        <v>20200111154010518</v>
      </c>
      <c r="B4543" t="str">
        <f>"1578728410515838"</f>
        <v>1578728410515838</v>
      </c>
      <c r="C4543" t="s">
        <v>40</v>
      </c>
      <c r="D4543">
        <v>5.2510979999999998</v>
      </c>
      <c r="E4543">
        <v>0.51127420000000001</v>
      </c>
      <c r="F4543" t="s">
        <v>41</v>
      </c>
      <c r="G4543">
        <v>-188.49</v>
      </c>
      <c r="H4543">
        <v>1.027722</v>
      </c>
      <c r="I4543">
        <v>47.946210000000001</v>
      </c>
      <c r="J4543">
        <v>-188.46799999999999</v>
      </c>
      <c r="K4543">
        <v>1.102557</v>
      </c>
      <c r="L4543">
        <v>47.340060000000001</v>
      </c>
      <c r="M4543">
        <v>-1.514106E-2</v>
      </c>
      <c r="N4543">
        <v>0</v>
      </c>
      <c r="O4543">
        <v>0.99987040000000005</v>
      </c>
      <c r="P4543">
        <v>-5.6140969999999998E-2</v>
      </c>
      <c r="Q4543">
        <v>4.6496160000000002E-2</v>
      </c>
      <c r="R4543">
        <v>0.99733959999999999</v>
      </c>
      <c r="S4543">
        <v>-7.8689579999999995E-2</v>
      </c>
      <c r="T4543">
        <v>-0.19302250000000001</v>
      </c>
      <c r="U4543">
        <v>3.0127869999999999</v>
      </c>
      <c r="V4543">
        <v>-4.1031860000000003E-2</v>
      </c>
      <c r="W4543">
        <v>5.1948340000000003E-2</v>
      </c>
      <c r="X4543">
        <v>0.99780650000000004</v>
      </c>
      <c r="Y4543">
        <v>-1.0917130000000001E-2</v>
      </c>
      <c r="Z4543">
        <v>-6.3912940000000001E-2</v>
      </c>
      <c r="AA4543">
        <v>0.9978958</v>
      </c>
      <c r="AB4543">
        <v>58</v>
      </c>
      <c r="AC4543">
        <v>-2.2000000000019702E-2</v>
      </c>
      <c r="AD4543">
        <v>-7.4834999999999902E-2</v>
      </c>
      <c r="AE4543">
        <v>0.60614999999999897</v>
      </c>
      <c r="AF4543">
        <v>-1.2627370702753301E-2</v>
      </c>
      <c r="AG4543">
        <v>-7.4834999999999902E-2</v>
      </c>
      <c r="AH4543">
        <v>0.59732107746531204</v>
      </c>
      <c r="AI4543">
        <v>97.139480135001506</v>
      </c>
      <c r="AJ4543">
        <v>91.211052693757296</v>
      </c>
      <c r="AK4543">
        <v>0.602123074877708</v>
      </c>
      <c r="AL4543">
        <v>87.022239109253604</v>
      </c>
      <c r="AM4543">
        <v>92.354793814470199</v>
      </c>
      <c r="AN4543">
        <v>1.0000000275030301</v>
      </c>
    </row>
    <row r="4544" spans="1:40" x14ac:dyDescent="0.3">
      <c r="A4544" t="str">
        <f>"20200111154010544"</f>
        <v>20200111154010544</v>
      </c>
      <c r="B4544" t="str">
        <f>"1578728410535358"</f>
        <v>1578728410535358</v>
      </c>
      <c r="C4544" t="s">
        <v>40</v>
      </c>
      <c r="D4544">
        <v>5.2210710000000002</v>
      </c>
      <c r="E4544">
        <v>0.51108900000000002</v>
      </c>
      <c r="F4544" t="s">
        <v>41</v>
      </c>
      <c r="G4544">
        <v>-188.49719999999999</v>
      </c>
      <c r="H4544">
        <v>1.033396</v>
      </c>
      <c r="I4544">
        <v>48.467010000000002</v>
      </c>
      <c r="J4544">
        <v>-188.4778</v>
      </c>
      <c r="K4544">
        <v>1.1025780000000001</v>
      </c>
      <c r="L4544">
        <v>47.984340000000003</v>
      </c>
      <c r="M4544">
        <v>-1.5193379999999999E-2</v>
      </c>
      <c r="N4544">
        <v>0</v>
      </c>
      <c r="O4544">
        <v>0.99986949999999997</v>
      </c>
      <c r="P4544">
        <v>-5.5551370000000003E-2</v>
      </c>
      <c r="Q4544">
        <v>4.645871E-2</v>
      </c>
      <c r="R4544">
        <v>0.99737439999999999</v>
      </c>
      <c r="S4544">
        <v>-7.8338619999999998E-2</v>
      </c>
      <c r="T4544">
        <v>-0.18488099999999999</v>
      </c>
      <c r="U4544">
        <v>3.0122070000000001</v>
      </c>
      <c r="V4544">
        <v>-4.0391919999999998E-2</v>
      </c>
      <c r="W4544">
        <v>5.194025E-2</v>
      </c>
      <c r="X4544">
        <v>0.99783299999999997</v>
      </c>
      <c r="Y4544">
        <v>-1.075798E-2</v>
      </c>
      <c r="Z4544">
        <v>-6.1239290000000002E-2</v>
      </c>
      <c r="AA4544">
        <v>0.99806510000000004</v>
      </c>
      <c r="AB4544">
        <v>58</v>
      </c>
      <c r="AC4544">
        <v>-1.93999999999903E-2</v>
      </c>
      <c r="AD4544">
        <v>-6.9181999999999994E-2</v>
      </c>
      <c r="AE4544">
        <v>0.482669999999991</v>
      </c>
      <c r="AF4544">
        <v>-1.1821786014440099E-2</v>
      </c>
      <c r="AG4544">
        <v>-6.9181999999999994E-2</v>
      </c>
      <c r="AH4544">
        <v>0.47320322069548298</v>
      </c>
      <c r="AI4544">
        <v>98.315119866601805</v>
      </c>
      <c r="AJ4544">
        <v>91.431092506759796</v>
      </c>
      <c r="AK4544">
        <v>0.47837975691405399</v>
      </c>
      <c r="AL4544">
        <v>87.022703165811805</v>
      </c>
      <c r="AM4544">
        <v>92.3180469272084</v>
      </c>
      <c r="AN4544">
        <v>0.999999996330174</v>
      </c>
    </row>
    <row r="4545" spans="1:40" x14ac:dyDescent="0.3">
      <c r="A4545" t="str">
        <f>"20200111154010586"</f>
        <v>20200111154010586</v>
      </c>
      <c r="B4545" t="str">
        <f>"1578728410575882"</f>
        <v>1578728410575882</v>
      </c>
      <c r="C4545" t="s">
        <v>40</v>
      </c>
      <c r="D4545">
        <v>5.2302229999999996</v>
      </c>
      <c r="E4545">
        <v>0.51083109999999998</v>
      </c>
      <c r="F4545" t="s">
        <v>42</v>
      </c>
      <c r="G4545">
        <v>-188.9504</v>
      </c>
      <c r="H4545" s="1">
        <v>-3.0661420000000001E-6</v>
      </c>
      <c r="I4545">
        <v>66.346040000000002</v>
      </c>
      <c r="J4545">
        <v>-188.49440000000001</v>
      </c>
      <c r="K4545">
        <v>1.102606</v>
      </c>
      <c r="L4545">
        <v>49.075069999999997</v>
      </c>
      <c r="M4545">
        <v>-1.5323969999999999E-2</v>
      </c>
      <c r="N4545">
        <v>0</v>
      </c>
      <c r="O4545">
        <v>0.99986719999999896</v>
      </c>
      <c r="P4545">
        <v>-5.4929980000000003E-2</v>
      </c>
      <c r="Q4545">
        <v>4.7640170000000003E-2</v>
      </c>
      <c r="R4545">
        <v>0.99735309999999999</v>
      </c>
      <c r="S4545">
        <v>-7.7529909999999994E-2</v>
      </c>
      <c r="T4545">
        <v>-0.18086389999999999</v>
      </c>
      <c r="U4545">
        <v>3.0119929999999999</v>
      </c>
      <c r="V4545">
        <v>-3.9644230000000003E-2</v>
      </c>
      <c r="W4545">
        <v>5.3171650000000001E-2</v>
      </c>
      <c r="X4545">
        <v>0.99779810000000002</v>
      </c>
      <c r="Y4545">
        <v>-1.036348E-2</v>
      </c>
      <c r="Z4545">
        <v>-5.991788E-2</v>
      </c>
      <c r="AA4545">
        <v>0.99814950000000002</v>
      </c>
      <c r="AB4545">
        <v>58</v>
      </c>
      <c r="AC4545">
        <v>-0.45599999999998803</v>
      </c>
      <c r="AD4545">
        <v>-1.102609066142</v>
      </c>
      <c r="AE4545">
        <v>17.270969999999998</v>
      </c>
      <c r="AF4545">
        <v>-0.190506638506377</v>
      </c>
      <c r="AG4545">
        <v>-1.102609066142</v>
      </c>
      <c r="AH4545">
        <v>17.205851596202699</v>
      </c>
      <c r="AI4545">
        <v>93.666469062610801</v>
      </c>
      <c r="AJ4545">
        <v>90.634364435942103</v>
      </c>
      <c r="AK4545">
        <v>17.242197327562501</v>
      </c>
      <c r="AL4545">
        <v>86.952051412370096</v>
      </c>
      <c r="AM4545">
        <v>92.275262850726705</v>
      </c>
      <c r="AN4545">
        <v>0.99999996884981202</v>
      </c>
    </row>
    <row r="4546" spans="1:40" x14ac:dyDescent="0.3">
      <c r="A4546" t="str">
        <f>"20200111154010608"</f>
        <v>20200111154010608</v>
      </c>
      <c r="B4546" t="str">
        <f>"1578728410605161"</f>
        <v>1578728410605161</v>
      </c>
      <c r="C4546" t="s">
        <v>40</v>
      </c>
      <c r="D4546">
        <v>5.2739520000000004</v>
      </c>
      <c r="E4546">
        <v>0.51074430000000004</v>
      </c>
      <c r="F4546" t="s">
        <v>42</v>
      </c>
      <c r="G4546">
        <v>-189.00020000000001</v>
      </c>
      <c r="H4546" s="1">
        <v>-4.0558899999999997E-6</v>
      </c>
      <c r="I4546">
        <v>68.673730000000006</v>
      </c>
      <c r="J4546">
        <v>-188.5034</v>
      </c>
      <c r="K4546">
        <v>1.1026069999999999</v>
      </c>
      <c r="L4546">
        <v>49.657380000000003</v>
      </c>
      <c r="M4546">
        <v>-1.5410709999999999E-2</v>
      </c>
      <c r="N4546">
        <v>0</v>
      </c>
      <c r="O4546">
        <v>0.99986569999999997</v>
      </c>
      <c r="P4546">
        <v>-5.4922619999999998E-2</v>
      </c>
      <c r="Q4546">
        <v>4.753719E-2</v>
      </c>
      <c r="R4546">
        <v>0.99735839999999998</v>
      </c>
      <c r="S4546">
        <v>-7.7713009999999999E-2</v>
      </c>
      <c r="T4546">
        <v>-0.16944110000000001</v>
      </c>
      <c r="U4546">
        <v>3.0117799999999999</v>
      </c>
      <c r="V4546">
        <v>-3.955256E-2</v>
      </c>
      <c r="W4546">
        <v>5.3095459999999997E-2</v>
      </c>
      <c r="X4546">
        <v>0.99780579999999996</v>
      </c>
      <c r="Y4546">
        <v>-1.0344860000000001E-2</v>
      </c>
      <c r="Z4546">
        <v>-5.6149829999999998E-2</v>
      </c>
      <c r="AA4546">
        <v>0.9983687</v>
      </c>
      <c r="AB4546">
        <v>58</v>
      </c>
      <c r="AC4546">
        <v>-0.49680000000000701</v>
      </c>
      <c r="AD4546">
        <v>-1.10261105589</v>
      </c>
      <c r="AE4546">
        <v>19.016349999999999</v>
      </c>
      <c r="AF4546">
        <v>-0.202998985531367</v>
      </c>
      <c r="AG4546">
        <v>-1.10261105589</v>
      </c>
      <c r="AH4546">
        <v>18.958055425815601</v>
      </c>
      <c r="AI4546">
        <v>93.3284142607842</v>
      </c>
      <c r="AJ4546">
        <v>90.613488058850706</v>
      </c>
      <c r="AK4546">
        <v>18.991177563726598</v>
      </c>
      <c r="AL4546">
        <v>86.9564229678804</v>
      </c>
      <c r="AM4546">
        <v>92.2699897342779</v>
      </c>
      <c r="AN4546">
        <v>0.99999997369440197</v>
      </c>
    </row>
    <row r="4547" spans="1:40" x14ac:dyDescent="0.3">
      <c r="A4547" t="str">
        <f>"20200111154010632"</f>
        <v>20200111154010632</v>
      </c>
      <c r="B4547" t="str">
        <f>"1578728410625658"</f>
        <v>1578728410625658</v>
      </c>
      <c r="C4547" t="s">
        <v>40</v>
      </c>
      <c r="D4547">
        <v>5.2345110000000004</v>
      </c>
      <c r="E4547">
        <v>0.51067439999999997</v>
      </c>
      <c r="F4547" t="s">
        <v>42</v>
      </c>
      <c r="G4547">
        <v>-189.03229999999999</v>
      </c>
      <c r="H4547" s="1">
        <v>-3.813264E-7</v>
      </c>
      <c r="I4547">
        <v>70.011969999999906</v>
      </c>
      <c r="J4547">
        <v>-188.51320000000001</v>
      </c>
      <c r="K4547">
        <v>1.102608</v>
      </c>
      <c r="L4547">
        <v>50.288420000000002</v>
      </c>
      <c r="M4547">
        <v>-1.551402E-2</v>
      </c>
      <c r="N4547">
        <v>0</v>
      </c>
      <c r="O4547">
        <v>0.99986390000000003</v>
      </c>
      <c r="P4547">
        <v>-5.4859459999999999E-2</v>
      </c>
      <c r="Q4547">
        <v>4.6754419999999998E-2</v>
      </c>
      <c r="R4547">
        <v>0.99739889999999998</v>
      </c>
      <c r="S4547">
        <v>-7.8247070000000002E-2</v>
      </c>
      <c r="T4547">
        <v>-0.1631283</v>
      </c>
      <c r="U4547">
        <v>3.0114139999999998</v>
      </c>
      <c r="V4547">
        <v>-3.9387129999999999E-2</v>
      </c>
      <c r="W4547">
        <v>5.2341680000000002E-2</v>
      </c>
      <c r="X4547">
        <v>0.99785219999999997</v>
      </c>
      <c r="Y4547">
        <v>-1.0424579999999999E-2</v>
      </c>
      <c r="Z4547">
        <v>-5.4070380000000001E-2</v>
      </c>
      <c r="AA4547">
        <v>0.99848269999999995</v>
      </c>
      <c r="AB4547">
        <v>58</v>
      </c>
      <c r="AC4547">
        <v>-0.51909999999998002</v>
      </c>
      <c r="AD4547">
        <v>-1.1026083813263901</v>
      </c>
      <c r="AE4547">
        <v>19.7235499999999</v>
      </c>
      <c r="AF4547">
        <v>-0.212377900660214</v>
      </c>
      <c r="AG4547">
        <v>-1.1026083813263901</v>
      </c>
      <c r="AH4547">
        <v>19.667807138042999</v>
      </c>
      <c r="AI4547">
        <v>93.2085466078954</v>
      </c>
      <c r="AJ4547">
        <v>90.618670112276604</v>
      </c>
      <c r="AK4547">
        <v>19.6998347006902</v>
      </c>
      <c r="AL4547">
        <v>86.999671618567106</v>
      </c>
      <c r="AM4547">
        <v>92.260400286565201</v>
      </c>
      <c r="AN4547">
        <v>1.0000000052598399</v>
      </c>
    </row>
    <row r="4548" spans="1:40" x14ac:dyDescent="0.3">
      <c r="A4548" t="str">
        <f>"20200111154010653"</f>
        <v>20200111154010653</v>
      </c>
      <c r="B4548" t="str">
        <f>"1578728410645178"</f>
        <v>1578728410645178</v>
      </c>
      <c r="C4548" t="s">
        <v>40</v>
      </c>
      <c r="D4548">
        <v>5.2471860000000001</v>
      </c>
      <c r="E4548">
        <v>0.51061459999999903</v>
      </c>
      <c r="F4548" t="s">
        <v>42</v>
      </c>
      <c r="G4548">
        <v>-189.0471</v>
      </c>
      <c r="H4548" s="1">
        <v>-6.3780700000000004E-7</v>
      </c>
      <c r="I4548">
        <v>70.725519999999904</v>
      </c>
      <c r="J4548">
        <v>-188.52160000000001</v>
      </c>
      <c r="K4548">
        <v>1.1026020000000001</v>
      </c>
      <c r="L4548">
        <v>50.834780000000002</v>
      </c>
      <c r="M4548">
        <v>-1.5609329999999999E-2</v>
      </c>
      <c r="N4548">
        <v>0</v>
      </c>
      <c r="O4548">
        <v>0.99986229999999998</v>
      </c>
      <c r="P4548">
        <v>-5.4374400000000003E-2</v>
      </c>
      <c r="Q4548">
        <v>4.5990049999999998E-2</v>
      </c>
      <c r="R4548">
        <v>0.99746100000000004</v>
      </c>
      <c r="S4548">
        <v>-7.8674320000000006E-2</v>
      </c>
      <c r="T4548">
        <v>-0.1624534</v>
      </c>
      <c r="U4548">
        <v>3.0111080000000001</v>
      </c>
      <c r="V4548">
        <v>-3.880716E-2</v>
      </c>
      <c r="W4548">
        <v>5.1602620000000002E-2</v>
      </c>
      <c r="X4548">
        <v>0.99791339999999995</v>
      </c>
      <c r="Y4548">
        <v>-1.047378E-2</v>
      </c>
      <c r="Z4548">
        <v>-5.3852539999999997E-2</v>
      </c>
      <c r="AA4548">
        <v>0.99849399999999999</v>
      </c>
      <c r="AB4548">
        <v>58</v>
      </c>
      <c r="AC4548">
        <v>-0.52549999999999297</v>
      </c>
      <c r="AD4548">
        <v>-1.102602637807</v>
      </c>
      <c r="AE4548">
        <v>19.890739999999901</v>
      </c>
      <c r="AF4548">
        <v>-0.21429190451010199</v>
      </c>
      <c r="AG4548">
        <v>-1.102602637807</v>
      </c>
      <c r="AH4548">
        <v>19.835610791879301</v>
      </c>
      <c r="AI4548">
        <v>93.1814424927571</v>
      </c>
      <c r="AJ4548">
        <v>90.618964760148401</v>
      </c>
      <c r="AK4548">
        <v>19.8673880790646</v>
      </c>
      <c r="AL4548">
        <v>87.042073898160297</v>
      </c>
      <c r="AM4548">
        <v>92.227013525565098</v>
      </c>
      <c r="AN4548">
        <v>0.99999998997884498</v>
      </c>
    </row>
    <row r="4549" spans="1:40" x14ac:dyDescent="0.3">
      <c r="A4549" t="str">
        <f>"20200111154010675"</f>
        <v>20200111154010675</v>
      </c>
      <c r="B4549" t="str">
        <f>"1578728410665674"</f>
        <v>1578728410665674</v>
      </c>
      <c r="C4549" t="s">
        <v>40</v>
      </c>
      <c r="D4549">
        <v>5.1697069999999998</v>
      </c>
      <c r="E4549">
        <v>0.51062980000000002</v>
      </c>
      <c r="F4549" t="s">
        <v>42</v>
      </c>
      <c r="G4549">
        <v>-189.04669999999999</v>
      </c>
      <c r="H4549" s="1">
        <v>-8.4092939999999999E-7</v>
      </c>
      <c r="I4549">
        <v>71.198830000000001</v>
      </c>
      <c r="J4549">
        <v>-188.53059999999999</v>
      </c>
      <c r="K4549">
        <v>1.102603</v>
      </c>
      <c r="L4549">
        <v>51.407530000000001</v>
      </c>
      <c r="M4549">
        <v>-1.571291E-2</v>
      </c>
      <c r="N4549">
        <v>0</v>
      </c>
      <c r="O4549">
        <v>0.99986050000000004</v>
      </c>
      <c r="P4549">
        <v>-5.3963659999999997E-2</v>
      </c>
      <c r="Q4549">
        <v>4.5060330000000003E-2</v>
      </c>
      <c r="R4549">
        <v>0.99752569999999996</v>
      </c>
      <c r="S4549">
        <v>-7.7636720000000006E-2</v>
      </c>
      <c r="T4549">
        <v>-0.16302529999999901</v>
      </c>
      <c r="U4549">
        <v>3.0109249999999999</v>
      </c>
      <c r="V4549">
        <v>-3.8293609999999999E-2</v>
      </c>
      <c r="W4549">
        <v>5.0699729999999998E-2</v>
      </c>
      <c r="X4549">
        <v>0.99797950000000002</v>
      </c>
      <c r="Y4549">
        <v>-1.0027640000000001E-2</v>
      </c>
      <c r="Z4549">
        <v>-5.4045070000000001E-2</v>
      </c>
      <c r="AA4549">
        <v>0.99848809999999999</v>
      </c>
      <c r="AB4549">
        <v>58</v>
      </c>
      <c r="AC4549">
        <v>-0.51609999999999401</v>
      </c>
      <c r="AD4549">
        <v>-1.1026038409293999</v>
      </c>
      <c r="AE4549">
        <v>19.7913</v>
      </c>
      <c r="AF4549">
        <v>-0.20441834038113599</v>
      </c>
      <c r="AG4549">
        <v>-1.1026038409293999</v>
      </c>
      <c r="AH4549">
        <v>19.735752415253099</v>
      </c>
      <c r="AI4549">
        <v>93.197525068386199</v>
      </c>
      <c r="AJ4549">
        <v>90.593435157383894</v>
      </c>
      <c r="AK4549">
        <v>19.767585727247699</v>
      </c>
      <c r="AL4549">
        <v>87.093873446591601</v>
      </c>
      <c r="AM4549">
        <v>92.197426280368504</v>
      </c>
      <c r="AN4549">
        <v>0.99999997280457698</v>
      </c>
    </row>
    <row r="4550" spans="1:40" x14ac:dyDescent="0.3">
      <c r="A4550" t="str">
        <f>"20200111154010697"</f>
        <v>20200111154010697</v>
      </c>
      <c r="B4550" t="str">
        <f>"1578728410686170"</f>
        <v>1578728410686170</v>
      </c>
      <c r="C4550" t="s">
        <v>40</v>
      </c>
      <c r="D4550">
        <v>5.1316220000000001</v>
      </c>
      <c r="E4550">
        <v>0.51063420000000004</v>
      </c>
      <c r="F4550" t="s">
        <v>41</v>
      </c>
      <c r="G4550">
        <v>-188.5616</v>
      </c>
      <c r="H4550">
        <v>1.035331</v>
      </c>
      <c r="I4550">
        <v>52.63926</v>
      </c>
      <c r="J4550">
        <v>-188.5401</v>
      </c>
      <c r="K4550">
        <v>1.1026039999999999</v>
      </c>
      <c r="L4550">
        <v>52.010309999999997</v>
      </c>
      <c r="M4550">
        <v>-1.5824419999999999E-2</v>
      </c>
      <c r="N4550">
        <v>0</v>
      </c>
      <c r="O4550">
        <v>0.99985860000000004</v>
      </c>
      <c r="P4550">
        <v>-5.3940050000000003E-2</v>
      </c>
      <c r="Q4550">
        <v>4.428108E-2</v>
      </c>
      <c r="R4550">
        <v>0.9975619</v>
      </c>
      <c r="S4550">
        <v>-7.6080320000000007E-2</v>
      </c>
      <c r="T4550">
        <v>-0.16444829999999999</v>
      </c>
      <c r="U4550">
        <v>3.010742</v>
      </c>
      <c r="V4550">
        <v>-3.8158949999999997E-2</v>
      </c>
      <c r="W4550">
        <v>4.9948699999999999E-2</v>
      </c>
      <c r="X4550">
        <v>0.99802259999999998</v>
      </c>
      <c r="Y4550">
        <v>-9.401197E-3</v>
      </c>
      <c r="Z4550">
        <v>-5.4519100000000001E-2</v>
      </c>
      <c r="AA4550">
        <v>0.99846849999999998</v>
      </c>
      <c r="AB4550">
        <v>59</v>
      </c>
      <c r="AC4550">
        <v>-2.15000000000031E-2</v>
      </c>
      <c r="AD4550">
        <v>-6.7273000000000097E-2</v>
      </c>
      <c r="AE4550">
        <v>0.62895000000000301</v>
      </c>
      <c r="AF4550">
        <v>-1.14139476152023E-2</v>
      </c>
      <c r="AG4550">
        <v>-6.7273000000000097E-2</v>
      </c>
      <c r="AH4550">
        <v>0.62210254640631002</v>
      </c>
      <c r="AI4550">
        <v>96.170844264529606</v>
      </c>
      <c r="AJ4550">
        <v>91.051109119050807</v>
      </c>
      <c r="AK4550">
        <v>0.625833454662163</v>
      </c>
      <c r="AL4550">
        <v>87.136959094478897</v>
      </c>
      <c r="AM4550">
        <v>92.189612064974995</v>
      </c>
      <c r="AN4550">
        <v>1.00000004410377</v>
      </c>
    </row>
    <row r="4551" spans="1:40" x14ac:dyDescent="0.3">
      <c r="A4551" t="str">
        <f>"20200111154010720"</f>
        <v>20200111154010720</v>
      </c>
      <c r="B4551" t="str">
        <f>"1578728410715449"</f>
        <v>1578728410715449</v>
      </c>
      <c r="C4551" t="s">
        <v>40</v>
      </c>
      <c r="D4551">
        <v>5.1317830000000004</v>
      </c>
      <c r="E4551">
        <v>0.51063689999999995</v>
      </c>
      <c r="F4551" t="s">
        <v>41</v>
      </c>
      <c r="G4551">
        <v>-188.56909999999999</v>
      </c>
      <c r="H4551">
        <v>1.039066</v>
      </c>
      <c r="I4551">
        <v>53.168320000000001</v>
      </c>
      <c r="J4551">
        <v>-188.54920000000001</v>
      </c>
      <c r="K4551">
        <v>1.1026129999999901</v>
      </c>
      <c r="L4551">
        <v>52.585749999999997</v>
      </c>
      <c r="M4551">
        <v>-1.5931959999999998E-2</v>
      </c>
      <c r="N4551">
        <v>0</v>
      </c>
      <c r="O4551">
        <v>0.99985679999999999</v>
      </c>
      <c r="P4551">
        <v>-5.3837240000000001E-2</v>
      </c>
      <c r="Q4551">
        <v>4.4091819999999997E-2</v>
      </c>
      <c r="R4551">
        <v>0.99757580000000001</v>
      </c>
      <c r="S4551">
        <v>-7.5561519999999993E-2</v>
      </c>
      <c r="T4551">
        <v>-0.16518289999999999</v>
      </c>
      <c r="U4551">
        <v>3.0105590000000002</v>
      </c>
      <c r="V4551">
        <v>-3.7949860000000002E-2</v>
      </c>
      <c r="W4551">
        <v>4.9786299999999999E-2</v>
      </c>
      <c r="X4551">
        <v>0.9980386</v>
      </c>
      <c r="Y4551">
        <v>-9.1228790000000004E-3</v>
      </c>
      <c r="Z4551">
        <v>-5.4765300000000003E-2</v>
      </c>
      <c r="AA4551">
        <v>0.99845759999999995</v>
      </c>
      <c r="AB4551">
        <v>59</v>
      </c>
      <c r="AC4551">
        <v>-1.98999999999784E-2</v>
      </c>
      <c r="AD4551">
        <v>-6.3546999999999798E-2</v>
      </c>
      <c r="AE4551">
        <v>0.58256999999999604</v>
      </c>
      <c r="AF4551">
        <v>-1.04911571445107E-2</v>
      </c>
      <c r="AG4551">
        <v>-6.3546999999999798E-2</v>
      </c>
      <c r="AH4551">
        <v>0.57596791479481202</v>
      </c>
      <c r="AI4551">
        <v>96.294988780376102</v>
      </c>
      <c r="AJ4551">
        <v>91.043517437058199</v>
      </c>
      <c r="AK4551">
        <v>0.57955786981138901</v>
      </c>
      <c r="AL4551">
        <v>87.146275271899498</v>
      </c>
      <c r="AM4551">
        <v>92.177590904106296</v>
      </c>
      <c r="AN4551">
        <v>0.99999995731583302</v>
      </c>
    </row>
    <row r="4552" spans="1:40" x14ac:dyDescent="0.3">
      <c r="A4552" t="str">
        <f>"20200111154010742"</f>
        <v>20200111154010742</v>
      </c>
      <c r="B4552" t="str">
        <f>"1578728410735946"</f>
        <v>1578728410735946</v>
      </c>
      <c r="C4552" t="s">
        <v>40</v>
      </c>
      <c r="D4552">
        <v>5.1194540000000002</v>
      </c>
      <c r="E4552">
        <v>0.5106946</v>
      </c>
      <c r="F4552" t="s">
        <v>42</v>
      </c>
      <c r="G4552">
        <v>-189.0574</v>
      </c>
      <c r="H4552" s="1">
        <v>-1.5868429999999999E-6</v>
      </c>
      <c r="I4552">
        <v>72.941969999999998</v>
      </c>
      <c r="J4552">
        <v>-188.55879999999999</v>
      </c>
      <c r="K4552">
        <v>1.1026180000000001</v>
      </c>
      <c r="L4552">
        <v>53.189030000000002</v>
      </c>
      <c r="M4552">
        <v>-1.604525E-2</v>
      </c>
      <c r="N4552">
        <v>0</v>
      </c>
      <c r="O4552">
        <v>0.99985469999999999</v>
      </c>
      <c r="P4552">
        <v>-5.342322E-2</v>
      </c>
      <c r="Q4552">
        <v>4.39318E-2</v>
      </c>
      <c r="R4552">
        <v>0.99760510000000002</v>
      </c>
      <c r="S4552">
        <v>-7.5149540000000001E-2</v>
      </c>
      <c r="T4552">
        <v>-0.16306329999999999</v>
      </c>
      <c r="U4552">
        <v>3.010437</v>
      </c>
      <c r="V4552">
        <v>-3.7423280000000003E-2</v>
      </c>
      <c r="W4552">
        <v>4.965439E-2</v>
      </c>
      <c r="X4552">
        <v>0.99806510000000004</v>
      </c>
      <c r="Y4552">
        <v>-8.8749880000000003E-3</v>
      </c>
      <c r="Z4552">
        <v>-5.406681E-2</v>
      </c>
      <c r="AA4552">
        <v>0.99849790000000005</v>
      </c>
      <c r="AB4552">
        <v>59</v>
      </c>
      <c r="AC4552">
        <v>-0.49860000000000998</v>
      </c>
      <c r="AD4552">
        <v>-1.102619586843</v>
      </c>
      <c r="AE4552">
        <v>19.752939999999899</v>
      </c>
      <c r="AF4552">
        <v>-0.181025995381387</v>
      </c>
      <c r="AG4552">
        <v>-1.102619586843</v>
      </c>
      <c r="AH4552">
        <v>19.697061731254301</v>
      </c>
      <c r="AI4552">
        <v>93.203874984403996</v>
      </c>
      <c r="AJ4552">
        <v>90.526562471497201</v>
      </c>
      <c r="AK4552">
        <v>19.728729842773401</v>
      </c>
      <c r="AL4552">
        <v>87.153842645359703</v>
      </c>
      <c r="AM4552">
        <v>92.147346879440803</v>
      </c>
      <c r="AN4552">
        <v>1.0000000020851201</v>
      </c>
    </row>
    <row r="4553" spans="1:40" x14ac:dyDescent="0.3">
      <c r="A4553" t="str">
        <f>"20200111154010766"</f>
        <v>20200111154010766</v>
      </c>
      <c r="B4553" t="str">
        <f>"1578728410755466"</f>
        <v>1578728410755466</v>
      </c>
      <c r="C4553" t="s">
        <v>40</v>
      </c>
      <c r="D4553">
        <v>5.0646639999999996</v>
      </c>
      <c r="E4553">
        <v>0.51074019999999998</v>
      </c>
      <c r="F4553" t="s">
        <v>42</v>
      </c>
      <c r="G4553">
        <v>-189.05950000000001</v>
      </c>
      <c r="H4553" s="1">
        <v>-1.938255E-6</v>
      </c>
      <c r="I4553">
        <v>73.761989999999997</v>
      </c>
      <c r="J4553">
        <v>-188.56870000000001</v>
      </c>
      <c r="K4553">
        <v>1.1026260000000001</v>
      </c>
      <c r="L4553">
        <v>53.802799999999998</v>
      </c>
      <c r="M4553">
        <v>-1.6160830000000001E-2</v>
      </c>
      <c r="N4553">
        <v>0</v>
      </c>
      <c r="O4553">
        <v>0.99985270000000004</v>
      </c>
      <c r="P4553">
        <v>-5.2700280000000002E-2</v>
      </c>
      <c r="Q4553">
        <v>4.4588889999999999E-2</v>
      </c>
      <c r="R4553">
        <v>0.99761440000000001</v>
      </c>
      <c r="S4553">
        <v>-7.3257450000000002E-2</v>
      </c>
      <c r="T4553">
        <v>-0.16134279999999901</v>
      </c>
      <c r="U4553">
        <v>3.0103759999999999</v>
      </c>
      <c r="V4553">
        <v>-3.6586300000000002E-2</v>
      </c>
      <c r="W4553">
        <v>5.0340169999999997E-2</v>
      </c>
      <c r="X4553">
        <v>0.9980618</v>
      </c>
      <c r="Y4553">
        <v>-8.1334459999999904E-3</v>
      </c>
      <c r="Z4553">
        <v>-5.3499499999999998E-2</v>
      </c>
      <c r="AA4553">
        <v>0.9985347</v>
      </c>
      <c r="AB4553">
        <v>59</v>
      </c>
      <c r="AC4553">
        <v>-0.49080000000000701</v>
      </c>
      <c r="AD4553">
        <v>-1.1026279382549999</v>
      </c>
      <c r="AE4553">
        <v>19.95919</v>
      </c>
      <c r="AF4553">
        <v>-0.16766205684281099</v>
      </c>
      <c r="AG4553">
        <v>-1.1026279382549999</v>
      </c>
      <c r="AH4553">
        <v>19.903807234675</v>
      </c>
      <c r="AI4553">
        <v>93.170709176742903</v>
      </c>
      <c r="AJ4553">
        <v>90.482626309873893</v>
      </c>
      <c r="AK4553">
        <v>19.9350305083947</v>
      </c>
      <c r="AL4553">
        <v>87.114501204080895</v>
      </c>
      <c r="AM4553">
        <v>92.099371386972507</v>
      </c>
      <c r="AN4553">
        <v>1.00000002334127</v>
      </c>
    </row>
    <row r="4554" spans="1:40" x14ac:dyDescent="0.3">
      <c r="A4554" t="str">
        <f>"20200111154010788"</f>
        <v>20200111154010788</v>
      </c>
      <c r="B4554" t="str">
        <f>"1578728410775962"</f>
        <v>1578728410775962</v>
      </c>
      <c r="C4554" t="s">
        <v>40</v>
      </c>
      <c r="D4554">
        <v>5.0498029999999998</v>
      </c>
      <c r="E4554">
        <v>0.51080959999999997</v>
      </c>
      <c r="F4554" t="s">
        <v>42</v>
      </c>
      <c r="G4554">
        <v>-189.06379999999999</v>
      </c>
      <c r="H4554" s="1">
        <v>-2.4057839999999999E-6</v>
      </c>
      <c r="I4554">
        <v>74.853629999999995</v>
      </c>
      <c r="J4554">
        <v>-188.578</v>
      </c>
      <c r="K4554">
        <v>1.1026339999999999</v>
      </c>
      <c r="L4554">
        <v>54.37894</v>
      </c>
      <c r="M4554">
        <v>-1.6269539999999999E-2</v>
      </c>
      <c r="N4554">
        <v>0</v>
      </c>
      <c r="O4554">
        <v>0.99985080000000004</v>
      </c>
      <c r="P4554">
        <v>-5.176526E-2</v>
      </c>
      <c r="Q4554">
        <v>4.4518439999999999E-2</v>
      </c>
      <c r="R4554">
        <v>0.99766650000000001</v>
      </c>
      <c r="S4554">
        <v>-7.0816039999999997E-2</v>
      </c>
      <c r="T4554">
        <v>-0.157686299999999</v>
      </c>
      <c r="U4554">
        <v>3.0104679999999999</v>
      </c>
      <c r="V4554">
        <v>-3.554268E-2</v>
      </c>
      <c r="W4554">
        <v>5.0297309999999998E-2</v>
      </c>
      <c r="X4554">
        <v>0.99810169999999998</v>
      </c>
      <c r="Y4554">
        <v>-7.2161619999999999E-3</v>
      </c>
      <c r="Z4554">
        <v>-5.2289370000000002E-2</v>
      </c>
      <c r="AA4554">
        <v>0.99860590000000005</v>
      </c>
      <c r="AB4554">
        <v>59</v>
      </c>
      <c r="AC4554">
        <v>-0.48579999999998302</v>
      </c>
      <c r="AD4554">
        <v>-1.1026364057839999</v>
      </c>
      <c r="AE4554">
        <v>20.474689999999999</v>
      </c>
      <c r="AF4554">
        <v>-0.15217520847230001</v>
      </c>
      <c r="AG4554">
        <v>-1.1026364057839999</v>
      </c>
      <c r="AH4554">
        <v>20.420692752490201</v>
      </c>
      <c r="AI4554">
        <v>93.090657740546206</v>
      </c>
      <c r="AJ4554">
        <v>90.426960823869607</v>
      </c>
      <c r="AK4554">
        <v>20.4510062546819</v>
      </c>
      <c r="AL4554">
        <v>87.116960100123407</v>
      </c>
      <c r="AM4554">
        <v>92.039456911905603</v>
      </c>
      <c r="AN4554">
        <v>1.0000000525188499</v>
      </c>
    </row>
    <row r="4555" spans="1:40" x14ac:dyDescent="0.3">
      <c r="A4555" t="str">
        <f>"20200111154010832"</f>
        <v>20200111154010832</v>
      </c>
      <c r="B4555" t="str">
        <f>"1578728410825737"</f>
        <v>1578728410825737</v>
      </c>
      <c r="C4555" t="s">
        <v>40</v>
      </c>
      <c r="D4555">
        <v>4.9971959999999997</v>
      </c>
      <c r="E4555">
        <v>0.51091059999999999</v>
      </c>
      <c r="F4555" t="s">
        <v>42</v>
      </c>
      <c r="G4555">
        <v>-189.05670000000001</v>
      </c>
      <c r="H4555" s="1">
        <v>-2.7460419999999999E-6</v>
      </c>
      <c r="I4555">
        <v>75.643829999999994</v>
      </c>
      <c r="J4555">
        <v>-188.59729999999999</v>
      </c>
      <c r="K4555">
        <v>1.1026370000000001</v>
      </c>
      <c r="L4555">
        <v>55.565089999999998</v>
      </c>
      <c r="M4555">
        <v>-1.648647E-2</v>
      </c>
      <c r="N4555">
        <v>0</v>
      </c>
      <c r="O4555">
        <v>0.99984689999999998</v>
      </c>
      <c r="P4555">
        <v>-5.2028650000000003E-2</v>
      </c>
      <c r="Q4555">
        <v>4.4507419999999999E-2</v>
      </c>
      <c r="R4555">
        <v>0.99765329999999997</v>
      </c>
      <c r="S4555">
        <v>-6.7779539999999999E-2</v>
      </c>
      <c r="T4555">
        <v>-0.15609999999999999</v>
      </c>
      <c r="U4555">
        <v>3.0104679999999999</v>
      </c>
      <c r="V4555">
        <v>-3.5590669999999998E-2</v>
      </c>
      <c r="W4555">
        <v>5.03416E-2</v>
      </c>
      <c r="X4555">
        <v>0.99809769999999998</v>
      </c>
      <c r="Y4555">
        <v>-5.9931019999999897E-3</v>
      </c>
      <c r="Z4555">
        <v>-5.17653E-2</v>
      </c>
      <c r="AA4555">
        <v>0.99864129999999995</v>
      </c>
      <c r="AB4555">
        <v>59</v>
      </c>
      <c r="AC4555">
        <v>-0.45940000000001602</v>
      </c>
      <c r="AD4555">
        <v>-1.1026397460420001</v>
      </c>
      <c r="AE4555">
        <v>20.07874</v>
      </c>
      <c r="AF4555">
        <v>-0.12791875802677499</v>
      </c>
      <c r="AG4555">
        <v>-1.1026397460420001</v>
      </c>
      <c r="AH4555">
        <v>20.023231664727899</v>
      </c>
      <c r="AI4555">
        <v>93.151917470058706</v>
      </c>
      <c r="AJ4555">
        <v>90.366030088016402</v>
      </c>
      <c r="AK4555">
        <v>20.053976760671802</v>
      </c>
      <c r="AL4555">
        <v>87.114419087024302</v>
      </c>
      <c r="AM4555">
        <v>92.042216449685</v>
      </c>
      <c r="AN4555">
        <v>0.99999999561344899</v>
      </c>
    </row>
    <row r="4556" spans="1:40" x14ac:dyDescent="0.3">
      <c r="A4556" t="str">
        <f>"20200111154010855"</f>
        <v>20200111154010855</v>
      </c>
      <c r="B4556" t="str">
        <f>"1578728410845258"</f>
        <v>1578728410845258</v>
      </c>
      <c r="C4556" t="s">
        <v>40</v>
      </c>
      <c r="D4556">
        <v>4.9941300000000002</v>
      </c>
      <c r="E4556">
        <v>0.51092929999999903</v>
      </c>
      <c r="F4556" t="s">
        <v>42</v>
      </c>
      <c r="G4556">
        <v>-189.0881</v>
      </c>
      <c r="H4556" s="1">
        <v>-3.521275E-6</v>
      </c>
      <c r="I4556">
        <v>77.46387</v>
      </c>
      <c r="J4556">
        <v>-188.607</v>
      </c>
      <c r="K4556">
        <v>1.102638</v>
      </c>
      <c r="L4556">
        <v>56.1524</v>
      </c>
      <c r="M4556">
        <v>-1.6584020000000001E-2</v>
      </c>
      <c r="N4556">
        <v>0</v>
      </c>
      <c r="O4556">
        <v>0.99984510000000004</v>
      </c>
      <c r="P4556">
        <v>-5.3071210000000001E-2</v>
      </c>
      <c r="Q4556">
        <v>4.4247420000000003E-2</v>
      </c>
      <c r="R4556">
        <v>0.99761</v>
      </c>
      <c r="S4556">
        <v>-6.7459110000000003E-2</v>
      </c>
      <c r="T4556">
        <v>-0.1515744</v>
      </c>
      <c r="U4556">
        <v>3.0103149999999999</v>
      </c>
      <c r="V4556">
        <v>-3.6536279999999997E-2</v>
      </c>
      <c r="W4556">
        <v>5.01092E-2</v>
      </c>
      <c r="X4556">
        <v>0.99807520000000005</v>
      </c>
      <c r="Y4556">
        <v>-5.792134E-3</v>
      </c>
      <c r="Z4556">
        <v>-5.0270879999999997E-2</v>
      </c>
      <c r="AA4556">
        <v>0.99871880000000002</v>
      </c>
      <c r="AB4556">
        <v>59</v>
      </c>
      <c r="AC4556">
        <v>-0.48109999999999697</v>
      </c>
      <c r="AD4556">
        <v>-1.102641521275</v>
      </c>
      <c r="AE4556">
        <v>21.31147</v>
      </c>
      <c r="AF4556">
        <v>-0.127257360360224</v>
      </c>
      <c r="AG4556">
        <v>-1.102641521275</v>
      </c>
      <c r="AH4556">
        <v>21.259635559069199</v>
      </c>
      <c r="AI4556">
        <v>92.968960532512</v>
      </c>
      <c r="AJ4556">
        <v>90.342960845128701</v>
      </c>
      <c r="AK4556">
        <v>21.288591237201299</v>
      </c>
      <c r="AL4556">
        <v>87.1277513743333</v>
      </c>
      <c r="AM4556">
        <v>92.096475612502203</v>
      </c>
      <c r="AN4556">
        <v>0.99999996826795801</v>
      </c>
    </row>
    <row r="4557" spans="1:40" x14ac:dyDescent="0.3">
      <c r="A4557" t="str">
        <f>"20200111154010877"</f>
        <v>20200111154010877</v>
      </c>
      <c r="B4557" t="str">
        <f>"1578728410865753"</f>
        <v>1578728410865753</v>
      </c>
      <c r="C4557" t="s">
        <v>40</v>
      </c>
      <c r="D4557">
        <v>4.9347490000000001</v>
      </c>
      <c r="E4557">
        <v>0.51090579999999997</v>
      </c>
      <c r="F4557" t="s">
        <v>42</v>
      </c>
      <c r="G4557">
        <v>-189.1216</v>
      </c>
      <c r="H4557" s="1">
        <v>-3.8142560000000001E-6</v>
      </c>
      <c r="I4557">
        <v>78.160709999999995</v>
      </c>
      <c r="J4557">
        <v>-188.61699999999999</v>
      </c>
      <c r="K4557">
        <v>1.102622</v>
      </c>
      <c r="L4557">
        <v>56.758180000000003</v>
      </c>
      <c r="M4557">
        <v>-1.6666420000000001E-2</v>
      </c>
      <c r="N4557">
        <v>0</v>
      </c>
      <c r="O4557">
        <v>0.99984360000000005</v>
      </c>
      <c r="P4557">
        <v>-5.4018940000000001E-2</v>
      </c>
      <c r="Q4557">
        <v>4.4132829999999998E-2</v>
      </c>
      <c r="R4557">
        <v>0.99756409999999995</v>
      </c>
      <c r="S4557">
        <v>-7.0388790000000007E-2</v>
      </c>
      <c r="T4557">
        <v>-0.1508111</v>
      </c>
      <c r="U4557">
        <v>3.010132</v>
      </c>
      <c r="V4557">
        <v>-3.7401650000000002E-2</v>
      </c>
      <c r="W4557">
        <v>5.0022999999999998E-2</v>
      </c>
      <c r="X4557">
        <v>0.99804749999999998</v>
      </c>
      <c r="Y4557">
        <v>-6.6828900000000004E-3</v>
      </c>
      <c r="Z4557">
        <v>-5.0020599999999998E-2</v>
      </c>
      <c r="AA4557">
        <v>0.9987258</v>
      </c>
      <c r="AB4557">
        <v>60</v>
      </c>
      <c r="AC4557">
        <v>-0.50459999999998195</v>
      </c>
      <c r="AD4557">
        <v>-1.1026258142559999</v>
      </c>
      <c r="AE4557">
        <v>21.402529999999899</v>
      </c>
      <c r="AF4557">
        <v>-0.14742903189760501</v>
      </c>
      <c r="AG4557">
        <v>-1.1026258142559999</v>
      </c>
      <c r="AH4557">
        <v>21.351328998779401</v>
      </c>
      <c r="AI4557">
        <v>92.956173458878396</v>
      </c>
      <c r="AJ4557">
        <v>90.395615985496207</v>
      </c>
      <c r="AK4557">
        <v>21.380289264175801</v>
      </c>
      <c r="AL4557">
        <v>87.132696557921903</v>
      </c>
      <c r="AM4557">
        <v>92.146144721440294</v>
      </c>
      <c r="AN4557">
        <v>0.99999999810398599</v>
      </c>
    </row>
    <row r="4558" spans="1:40" x14ac:dyDescent="0.3">
      <c r="A4558" t="str">
        <f>"20200111154010900"</f>
        <v>20200111154010900</v>
      </c>
      <c r="B4558" t="str">
        <f>"1578728410896009"</f>
        <v>1578728410896009</v>
      </c>
      <c r="C4558" t="s">
        <v>40</v>
      </c>
      <c r="D4558">
        <v>4.9118139999999997</v>
      </c>
      <c r="E4558">
        <v>0.51087819999999995</v>
      </c>
      <c r="F4558" t="s">
        <v>42</v>
      </c>
      <c r="G4558">
        <v>-189.15899999999999</v>
      </c>
      <c r="H4558" s="1">
        <v>-4.1256349999999998E-6</v>
      </c>
      <c r="I4558">
        <v>78.901989999999998</v>
      </c>
      <c r="J4558">
        <v>-188.6276</v>
      </c>
      <c r="K4558">
        <v>1.102609</v>
      </c>
      <c r="L4558">
        <v>57.39246</v>
      </c>
      <c r="M4558">
        <v>-1.6732770000000001E-2</v>
      </c>
      <c r="N4558">
        <v>0</v>
      </c>
      <c r="O4558">
        <v>0.99984229999999996</v>
      </c>
      <c r="P4558">
        <v>-5.5356139999999998E-2</v>
      </c>
      <c r="Q4558">
        <v>4.4400750000000003E-2</v>
      </c>
      <c r="R4558">
        <v>0.997479</v>
      </c>
      <c r="S4558">
        <v>-7.3669429999999994E-2</v>
      </c>
      <c r="T4558">
        <v>-0.1498786</v>
      </c>
      <c r="U4558">
        <v>3.009979</v>
      </c>
      <c r="V4558">
        <v>-3.8672190000000002E-2</v>
      </c>
      <c r="W4558">
        <v>5.0321600000000001E-2</v>
      </c>
      <c r="X4558">
        <v>0.99798410000000004</v>
      </c>
      <c r="Y4558">
        <v>-7.7059950000000002E-3</v>
      </c>
      <c r="Z4558">
        <v>-4.9713670000000001E-2</v>
      </c>
      <c r="AA4558">
        <v>0.9987338</v>
      </c>
      <c r="AB4558">
        <v>60</v>
      </c>
      <c r="AC4558">
        <v>-0.53140000000001897</v>
      </c>
      <c r="AD4558">
        <v>-1.102613125635</v>
      </c>
      <c r="AE4558">
        <v>21.509530000000002</v>
      </c>
      <c r="AF4558">
        <v>-0.170956256199922</v>
      </c>
      <c r="AG4558">
        <v>-1.102613125635</v>
      </c>
      <c r="AH4558">
        <v>21.459055761388001</v>
      </c>
      <c r="AI4558">
        <v>92.941302309133306</v>
      </c>
      <c r="AJ4558">
        <v>90.456444349497502</v>
      </c>
      <c r="AK4558">
        <v>21.488044487963901</v>
      </c>
      <c r="AL4558">
        <v>87.115566564133204</v>
      </c>
      <c r="AM4558">
        <v>92.219118742898203</v>
      </c>
      <c r="AN4558">
        <v>1.0000000327793801</v>
      </c>
    </row>
    <row r="4559" spans="1:40" x14ac:dyDescent="0.3">
      <c r="A4559" t="str">
        <f>"20200111154010923"</f>
        <v>20200111154010923</v>
      </c>
      <c r="B4559" t="str">
        <f>"1578728410915529"</f>
        <v>1578728410915529</v>
      </c>
      <c r="C4559" t="s">
        <v>40</v>
      </c>
      <c r="D4559">
        <v>5.0097610000000001</v>
      </c>
      <c r="E4559">
        <v>0.51087490000000002</v>
      </c>
      <c r="F4559" t="s">
        <v>42</v>
      </c>
      <c r="G4559">
        <v>-189.21010000000001</v>
      </c>
      <c r="H4559" s="1">
        <v>-3.1386430000000001E-7</v>
      </c>
      <c r="I4559">
        <v>79.952770000000001</v>
      </c>
      <c r="J4559">
        <v>-188.63759999999999</v>
      </c>
      <c r="K4559">
        <v>1.1025959999999999</v>
      </c>
      <c r="L4559">
        <v>57.994750000000003</v>
      </c>
      <c r="M4559">
        <v>-1.6780150000000001E-2</v>
      </c>
      <c r="N4559">
        <v>0</v>
      </c>
      <c r="O4559">
        <v>0.99984139999999999</v>
      </c>
      <c r="P4559">
        <v>-5.7031289999999998E-2</v>
      </c>
      <c r="Q4559">
        <v>4.4795260000000003E-2</v>
      </c>
      <c r="R4559">
        <v>0.997367</v>
      </c>
      <c r="S4559">
        <v>-7.7713009999999999E-2</v>
      </c>
      <c r="T4559">
        <v>-0.14710190000000001</v>
      </c>
      <c r="U4559">
        <v>3.009827</v>
      </c>
      <c r="V4559">
        <v>-4.0300669999999997E-2</v>
      </c>
      <c r="W4559">
        <v>5.0744499999999998E-2</v>
      </c>
      <c r="X4559">
        <v>0.99789819999999996</v>
      </c>
      <c r="Y4559">
        <v>-9.0019119999999904E-3</v>
      </c>
      <c r="Z4559">
        <v>-4.8796199999999998E-2</v>
      </c>
      <c r="AA4559">
        <v>0.99876819999999999</v>
      </c>
      <c r="AB4559">
        <v>60</v>
      </c>
      <c r="AC4559">
        <v>-0.57250000000001899</v>
      </c>
      <c r="AD4559">
        <v>-1.1025963138643</v>
      </c>
      <c r="AE4559">
        <v>21.958020000000001</v>
      </c>
      <c r="AF4559">
        <v>-0.20344134832837901</v>
      </c>
      <c r="AG4559">
        <v>-1.1025963138643</v>
      </c>
      <c r="AH4559">
        <v>21.909329792245</v>
      </c>
      <c r="AI4559">
        <v>92.880879868265197</v>
      </c>
      <c r="AJ4559">
        <v>90.532010597911196</v>
      </c>
      <c r="AK4559">
        <v>21.937999885105999</v>
      </c>
      <c r="AL4559">
        <v>87.091305037848699</v>
      </c>
      <c r="AM4559">
        <v>92.312664936247003</v>
      </c>
      <c r="AN4559">
        <v>0.99999998292296899</v>
      </c>
    </row>
    <row r="4560" spans="1:40" x14ac:dyDescent="0.3">
      <c r="A4560" t="str">
        <f>"20200111154010943"</f>
        <v>20200111154010943</v>
      </c>
      <c r="B4560" t="str">
        <f>"1578728410936025"</f>
        <v>1578728410936025</v>
      </c>
      <c r="C4560" t="s">
        <v>40</v>
      </c>
      <c r="D4560">
        <v>5.0162990000000001</v>
      </c>
      <c r="E4560">
        <v>0.51087590000000005</v>
      </c>
      <c r="F4560" t="s">
        <v>42</v>
      </c>
      <c r="G4560">
        <v>-189.2705</v>
      </c>
      <c r="H4560" s="1">
        <v>-6.830043E-7</v>
      </c>
      <c r="I4560">
        <v>80.923220000000001</v>
      </c>
      <c r="J4560">
        <v>-188.64680000000001</v>
      </c>
      <c r="K4560">
        <v>1.1026020000000001</v>
      </c>
      <c r="L4560">
        <v>58.54504</v>
      </c>
      <c r="M4560">
        <v>-1.681237E-2</v>
      </c>
      <c r="N4560">
        <v>0</v>
      </c>
      <c r="O4560">
        <v>0.99984070000000003</v>
      </c>
      <c r="P4560">
        <v>-5.7664140000000003E-2</v>
      </c>
      <c r="Q4560">
        <v>4.4457129999999997E-2</v>
      </c>
      <c r="R4560">
        <v>0.9973457</v>
      </c>
      <c r="S4560">
        <v>-8.306885E-2</v>
      </c>
      <c r="T4560">
        <v>-0.1447309</v>
      </c>
      <c r="U4560">
        <v>3.009674</v>
      </c>
      <c r="V4560">
        <v>-4.0900390000000002E-2</v>
      </c>
      <c r="W4560">
        <v>5.0433520000000003E-2</v>
      </c>
      <c r="X4560">
        <v>0.99788960000000004</v>
      </c>
      <c r="Y4560">
        <v>-1.074811E-2</v>
      </c>
      <c r="Z4560">
        <v>-4.8012369999999999E-2</v>
      </c>
      <c r="AA4560">
        <v>0.99878889999999998</v>
      </c>
      <c r="AB4560">
        <v>60</v>
      </c>
      <c r="AC4560">
        <v>-0.62369999999998504</v>
      </c>
      <c r="AD4560">
        <v>-1.1026026830043001</v>
      </c>
      <c r="AE4560">
        <v>22.37818</v>
      </c>
      <c r="AF4560">
        <v>-0.24677622052831899</v>
      </c>
      <c r="AG4560">
        <v>-1.1026026830043001</v>
      </c>
      <c r="AH4560">
        <v>22.331332175128001</v>
      </c>
      <c r="AI4560">
        <v>92.826493744781104</v>
      </c>
      <c r="AJ4560">
        <v>90.633131078034197</v>
      </c>
      <c r="AK4560">
        <v>22.359897761293301</v>
      </c>
      <c r="AL4560">
        <v>87.109145824687005</v>
      </c>
      <c r="AM4560">
        <v>92.347062031762107</v>
      </c>
      <c r="AN4560">
        <v>1.00000001781495</v>
      </c>
    </row>
    <row r="4561" spans="1:40" x14ac:dyDescent="0.3">
      <c r="A4561" t="str">
        <f>"20200111154010967"</f>
        <v>20200111154010967</v>
      </c>
      <c r="B4561" t="str">
        <f>"1578728410955545"</f>
        <v>1578728410955545</v>
      </c>
      <c r="C4561" t="s">
        <v>40</v>
      </c>
      <c r="D4561">
        <v>5.0007149999999996</v>
      </c>
      <c r="E4561">
        <v>0.51093599999999995</v>
      </c>
      <c r="F4561" t="s">
        <v>42</v>
      </c>
      <c r="G4561">
        <v>-189.29740000000001</v>
      </c>
      <c r="H4561" s="1">
        <v>-9.2450299999999998E-7</v>
      </c>
      <c r="I4561">
        <v>81.497280000000003</v>
      </c>
      <c r="J4561">
        <v>-188.65710000000001</v>
      </c>
      <c r="K4561">
        <v>1.102608</v>
      </c>
      <c r="L4561">
        <v>59.156619999999997</v>
      </c>
      <c r="M4561">
        <v>-1.683834E-2</v>
      </c>
      <c r="N4561">
        <v>0</v>
      </c>
      <c r="O4561">
        <v>0.99984010000000001</v>
      </c>
      <c r="P4561">
        <v>-5.7468249999999999E-2</v>
      </c>
      <c r="Q4561">
        <v>4.4096490000000002E-2</v>
      </c>
      <c r="R4561">
        <v>0.99737299999999995</v>
      </c>
      <c r="S4561">
        <v>-8.5296629999999998E-2</v>
      </c>
      <c r="T4561">
        <v>-0.14457300000000001</v>
      </c>
      <c r="U4561">
        <v>3.0094910000000001</v>
      </c>
      <c r="V4561">
        <v>-4.0675990000000002E-2</v>
      </c>
      <c r="W4561">
        <v>5.0103010000000003E-2</v>
      </c>
      <c r="X4561">
        <v>0.99791540000000001</v>
      </c>
      <c r="Y4561">
        <v>-1.146266E-2</v>
      </c>
      <c r="Z4561">
        <v>-4.7962320000000003E-2</v>
      </c>
      <c r="AA4561">
        <v>0.99878330000000004</v>
      </c>
      <c r="AB4561">
        <v>60</v>
      </c>
      <c r="AC4561">
        <v>-0.64029999999999598</v>
      </c>
      <c r="AD4561">
        <v>-1.102608924503</v>
      </c>
      <c r="AE4561">
        <v>22.34066</v>
      </c>
      <c r="AF4561">
        <v>-0.26338173935533299</v>
      </c>
      <c r="AG4561">
        <v>-1.102608924503</v>
      </c>
      <c r="AH4561">
        <v>22.2940139640816</v>
      </c>
      <c r="AI4561">
        <v>92.831208690785601</v>
      </c>
      <c r="AJ4561">
        <v>90.676861514337304</v>
      </c>
      <c r="AK4561">
        <v>22.322817362772199</v>
      </c>
      <c r="AL4561">
        <v>87.1281065628921</v>
      </c>
      <c r="AM4561">
        <v>92.334138876610396</v>
      </c>
      <c r="AN4561">
        <v>0.99999999666535</v>
      </c>
    </row>
    <row r="4562" spans="1:40" x14ac:dyDescent="0.3">
      <c r="A4562" t="str">
        <f>"20200111154010988"</f>
        <v>20200111154010988</v>
      </c>
      <c r="B4562" t="str">
        <f>"1578728410976042"</f>
        <v>1578728410976042</v>
      </c>
      <c r="C4562" t="s">
        <v>40</v>
      </c>
      <c r="D4562">
        <v>4.9569390000000002</v>
      </c>
      <c r="E4562">
        <v>0.51101859999999999</v>
      </c>
      <c r="F4562" t="s">
        <v>42</v>
      </c>
      <c r="G4562">
        <v>-189.2996</v>
      </c>
      <c r="H4562" s="1">
        <v>-1.1758569999999999E-6</v>
      </c>
      <c r="I4562">
        <v>82.084109999999995</v>
      </c>
      <c r="J4562">
        <v>-188.6671</v>
      </c>
      <c r="K4562">
        <v>1.102619</v>
      </c>
      <c r="L4562">
        <v>59.750489999999999</v>
      </c>
      <c r="M4562">
        <v>-1.6855999999999999E-2</v>
      </c>
      <c r="N4562">
        <v>0</v>
      </c>
      <c r="O4562">
        <v>0.99983960000000005</v>
      </c>
      <c r="P4562">
        <v>-5.693811E-2</v>
      </c>
      <c r="Q4562">
        <v>4.396473E-2</v>
      </c>
      <c r="R4562">
        <v>0.9974092</v>
      </c>
      <c r="S4562">
        <v>-8.433533E-2</v>
      </c>
      <c r="T4562">
        <v>-0.14472689999999999</v>
      </c>
      <c r="U4562">
        <v>3.00943</v>
      </c>
      <c r="V4562">
        <v>-4.0126589999999997E-2</v>
      </c>
      <c r="W4562">
        <v>5.0000139999999998E-2</v>
      </c>
      <c r="X4562">
        <v>0.99794280000000002</v>
      </c>
      <c r="Y4562">
        <v>-1.112671E-2</v>
      </c>
      <c r="Z4562">
        <v>-4.8014500000000002E-2</v>
      </c>
      <c r="AA4562">
        <v>0.99878469999999997</v>
      </c>
      <c r="AB4562">
        <v>60</v>
      </c>
      <c r="AC4562">
        <v>-0.63249999999999296</v>
      </c>
      <c r="AD4562">
        <v>-1.102620175857</v>
      </c>
      <c r="AE4562">
        <v>22.33362</v>
      </c>
      <c r="AF4562">
        <v>-0.25532589614645501</v>
      </c>
      <c r="AG4562">
        <v>-1.102620175857</v>
      </c>
      <c r="AH4562">
        <v>22.286829271028999</v>
      </c>
      <c r="AI4562">
        <v>92.832160530580694</v>
      </c>
      <c r="AJ4562">
        <v>90.656372250542901</v>
      </c>
      <c r="AK4562">
        <v>22.3155488734077</v>
      </c>
      <c r="AL4562">
        <v>87.134007970596002</v>
      </c>
      <c r="AM4562">
        <v>92.302583283835602</v>
      </c>
      <c r="AN4562">
        <v>0.99999999464844302</v>
      </c>
    </row>
    <row r="4563" spans="1:40" x14ac:dyDescent="0.3">
      <c r="A4563" t="str">
        <f>"20200111154011015"</f>
        <v>20200111154011015</v>
      </c>
      <c r="B4563" t="str">
        <f>"1578728411005321"</f>
        <v>1578728411005321</v>
      </c>
      <c r="C4563" t="s">
        <v>40</v>
      </c>
      <c r="D4563">
        <v>5.0070649999999999</v>
      </c>
      <c r="E4563">
        <v>0.51108390000000004</v>
      </c>
      <c r="F4563" t="s">
        <v>42</v>
      </c>
      <c r="G4563">
        <v>-189.29499999999999</v>
      </c>
      <c r="H4563" s="1">
        <v>-1.4587990000000001E-6</v>
      </c>
      <c r="I4563">
        <v>82.741769999999903</v>
      </c>
      <c r="J4563">
        <v>-188.6789</v>
      </c>
      <c r="K4563">
        <v>1.102644</v>
      </c>
      <c r="L4563">
        <v>60.45355</v>
      </c>
      <c r="M4563">
        <v>-1.6870400000000001E-2</v>
      </c>
      <c r="N4563">
        <v>0</v>
      </c>
      <c r="O4563">
        <v>0.99983909999999998</v>
      </c>
      <c r="P4563">
        <v>-5.5376540000000002E-2</v>
      </c>
      <c r="Q4563">
        <v>4.3373120000000001E-2</v>
      </c>
      <c r="R4563">
        <v>0.99752300000000005</v>
      </c>
      <c r="S4563">
        <v>-8.2199099999999997E-2</v>
      </c>
      <c r="T4563">
        <v>-0.1443284</v>
      </c>
      <c r="U4563">
        <v>3.0094599999999998</v>
      </c>
      <c r="V4563">
        <v>-3.8547770000000002E-2</v>
      </c>
      <c r="W4563">
        <v>4.944341E-2</v>
      </c>
      <c r="X4563">
        <v>0.99803269999999999</v>
      </c>
      <c r="Y4563">
        <v>-1.040376E-2</v>
      </c>
      <c r="Z4563">
        <v>-4.788274E-2</v>
      </c>
      <c r="AA4563">
        <v>0.99879879999999999</v>
      </c>
      <c r="AB4563">
        <v>60</v>
      </c>
      <c r="AC4563">
        <v>-0.61609999999998799</v>
      </c>
      <c r="AD4563">
        <v>-1.102645458799</v>
      </c>
      <c r="AE4563">
        <v>22.2882199999999</v>
      </c>
      <c r="AF4563">
        <v>-0.239408639414325</v>
      </c>
      <c r="AG4563">
        <v>-1.102645458799</v>
      </c>
      <c r="AH4563">
        <v>22.241048779815401</v>
      </c>
      <c r="AI4563">
        <v>92.838067420087995</v>
      </c>
      <c r="AJ4563">
        <v>90.616723383507605</v>
      </c>
      <c r="AK4563">
        <v>22.269651868194199</v>
      </c>
      <c r="AL4563">
        <v>87.165945558881603</v>
      </c>
      <c r="AM4563">
        <v>92.211878670294894</v>
      </c>
      <c r="AN4563">
        <v>0.99999992581684205</v>
      </c>
    </row>
    <row r="4564" spans="1:40" x14ac:dyDescent="0.3">
      <c r="A4564" t="str">
        <f>"20200111154011036"</f>
        <v>20200111154011036</v>
      </c>
      <c r="B4564" t="str">
        <f>"1578728411025818"</f>
        <v>1578728411025818</v>
      </c>
      <c r="C4564" t="s">
        <v>40</v>
      </c>
      <c r="D4564">
        <v>5.0685769999999897</v>
      </c>
      <c r="E4564">
        <v>0.51115080000000002</v>
      </c>
      <c r="F4564" t="s">
        <v>42</v>
      </c>
      <c r="G4564">
        <v>-189.2647</v>
      </c>
      <c r="H4564" s="1">
        <v>-1.74447E-6</v>
      </c>
      <c r="I4564">
        <v>83.395129999999995</v>
      </c>
      <c r="J4564">
        <v>-188.68889999999999</v>
      </c>
      <c r="K4564">
        <v>1.10267</v>
      </c>
      <c r="L4564">
        <v>61.05048</v>
      </c>
      <c r="M4564">
        <v>-1.6878750000000001E-2</v>
      </c>
      <c r="N4564">
        <v>0</v>
      </c>
      <c r="O4564">
        <v>0.99983880000000003</v>
      </c>
      <c r="P4564">
        <v>-5.4068049999999999E-2</v>
      </c>
      <c r="Q4564">
        <v>4.448216E-2</v>
      </c>
      <c r="R4564">
        <v>0.99754600000000004</v>
      </c>
      <c r="S4564">
        <v>-7.6843259999999997E-2</v>
      </c>
      <c r="T4564">
        <v>-0.1446443</v>
      </c>
      <c r="U4564">
        <v>3.0094599999999998</v>
      </c>
      <c r="V4564">
        <v>-3.7229749999999999E-2</v>
      </c>
      <c r="W4564">
        <v>5.0581149999999998E-2</v>
      </c>
      <c r="X4564">
        <v>0.99802579999999996</v>
      </c>
      <c r="Y4564">
        <v>-8.6189590000000007E-3</v>
      </c>
      <c r="Z4564">
        <v>-4.7988830000000003E-2</v>
      </c>
      <c r="AA4564">
        <v>0.99881070000000005</v>
      </c>
      <c r="AB4564">
        <v>60</v>
      </c>
      <c r="AC4564">
        <v>-0.57580000000001497</v>
      </c>
      <c r="AD4564">
        <v>-1.10267174447</v>
      </c>
      <c r="AE4564">
        <v>22.344650000000001</v>
      </c>
      <c r="AF4564">
        <v>-0.19807908708126401</v>
      </c>
      <c r="AG4564">
        <v>-1.10267174447</v>
      </c>
      <c r="AH4564">
        <v>22.296922934844101</v>
      </c>
      <c r="AI4564">
        <v>92.831086642903699</v>
      </c>
      <c r="AJ4564">
        <v>90.508984902973793</v>
      </c>
      <c r="AK4564">
        <v>22.325050787471099</v>
      </c>
      <c r="AL4564">
        <v>87.100676394153595</v>
      </c>
      <c r="AM4564">
        <v>92.136336490991397</v>
      </c>
      <c r="AN4564">
        <v>1.00000000224301</v>
      </c>
    </row>
    <row r="4565" spans="1:40" x14ac:dyDescent="0.3">
      <c r="A4565" t="str">
        <f>"20200111154011078"</f>
        <v>20200111154011078</v>
      </c>
      <c r="B4565" t="str">
        <f>"1578728411065834"</f>
        <v>1578728411065834</v>
      </c>
      <c r="C4565" t="s">
        <v>40</v>
      </c>
      <c r="D4565">
        <v>5.0868599999999997</v>
      </c>
      <c r="E4565">
        <v>0.51130810000000004</v>
      </c>
      <c r="F4565" t="s">
        <v>42</v>
      </c>
      <c r="G4565">
        <v>-189.2586</v>
      </c>
      <c r="H4565" s="1">
        <v>-2.342153E-6</v>
      </c>
      <c r="I4565">
        <v>84.785830000000004</v>
      </c>
      <c r="J4565">
        <v>-188.7079</v>
      </c>
      <c r="K4565">
        <v>1.1027260000000001</v>
      </c>
      <c r="L4565">
        <v>62.17145</v>
      </c>
      <c r="M4565">
        <v>-1.6890949999999998E-2</v>
      </c>
      <c r="N4565">
        <v>0</v>
      </c>
      <c r="O4565">
        <v>0.99983820000000001</v>
      </c>
      <c r="P4565">
        <v>-5.2343199999999999E-2</v>
      </c>
      <c r="Q4565">
        <v>4.8118699999999903E-2</v>
      </c>
      <c r="R4565">
        <v>0.99746919999999994</v>
      </c>
      <c r="S4565">
        <v>-7.2235110000000005E-2</v>
      </c>
      <c r="T4565">
        <v>-0.13982169999999999</v>
      </c>
      <c r="U4565">
        <v>3.0097049999999999</v>
      </c>
      <c r="V4565">
        <v>-3.5492900000000001E-2</v>
      </c>
      <c r="W4565">
        <v>5.4284880000000001E-2</v>
      </c>
      <c r="X4565">
        <v>0.99789450000000002</v>
      </c>
      <c r="Y4565">
        <v>-7.0781489999999997E-3</v>
      </c>
      <c r="Z4565">
        <v>-4.6389739999999999E-2</v>
      </c>
      <c r="AA4565">
        <v>0.99889830000000002</v>
      </c>
      <c r="AB4565">
        <v>61</v>
      </c>
      <c r="AC4565">
        <v>-0.55070000000000596</v>
      </c>
      <c r="AD4565">
        <v>-1.1027283421529901</v>
      </c>
      <c r="AE4565">
        <v>22.614380000000001</v>
      </c>
      <c r="AF4565">
        <v>-0.16823597432020701</v>
      </c>
      <c r="AG4565">
        <v>-1.1027283421529901</v>
      </c>
      <c r="AH4565">
        <v>22.566829018349701</v>
      </c>
      <c r="AI4565">
        <v>92.797456043689493</v>
      </c>
      <c r="AJ4565">
        <v>90.427132793689296</v>
      </c>
      <c r="AK4565">
        <v>22.5943817149988</v>
      </c>
      <c r="AL4565">
        <v>86.888175903536194</v>
      </c>
      <c r="AM4565">
        <v>92.037025435735202</v>
      </c>
      <c r="AN4565">
        <v>1.00000001363863</v>
      </c>
    </row>
    <row r="4566" spans="1:40" x14ac:dyDescent="0.3">
      <c r="A4566" t="str">
        <f>"20200111154011100"</f>
        <v>20200111154011100</v>
      </c>
      <c r="B4566" t="str">
        <f>"1578728411096090"</f>
        <v>1578728411096090</v>
      </c>
      <c r="C4566" t="s">
        <v>40</v>
      </c>
      <c r="D4566">
        <v>5.0875430000000001</v>
      </c>
      <c r="E4566">
        <v>0.51142129999999997</v>
      </c>
      <c r="F4566" t="s">
        <v>42</v>
      </c>
      <c r="G4566">
        <v>-189.28030000000001</v>
      </c>
      <c r="H4566" s="1">
        <v>-3.8751810000000003E-6</v>
      </c>
      <c r="I4566">
        <v>88.36833</v>
      </c>
      <c r="J4566">
        <v>-188.71850000000001</v>
      </c>
      <c r="K4566">
        <v>1.1027439999999999</v>
      </c>
      <c r="L4566">
        <v>62.801760000000002</v>
      </c>
      <c r="M4566">
        <v>-1.6897260000000001E-2</v>
      </c>
      <c r="N4566">
        <v>0</v>
      </c>
      <c r="O4566">
        <v>0.9998378</v>
      </c>
      <c r="P4566">
        <v>-5.1991269999999999E-2</v>
      </c>
      <c r="Q4566">
        <v>4.9925810000000001E-2</v>
      </c>
      <c r="R4566">
        <v>0.99739880000000003</v>
      </c>
      <c r="S4566">
        <v>-6.5780640000000001E-2</v>
      </c>
      <c r="T4566">
        <v>-0.12671479999999999</v>
      </c>
      <c r="U4566">
        <v>3.010284</v>
      </c>
      <c r="V4566">
        <v>-3.5134789999999999E-2</v>
      </c>
      <c r="W4566">
        <v>5.6143129999999999E-2</v>
      </c>
      <c r="X4566">
        <v>0.99780429999999998</v>
      </c>
      <c r="Y4566">
        <v>-4.930757E-3</v>
      </c>
      <c r="Z4566">
        <v>-4.2042450000000002E-2</v>
      </c>
      <c r="AA4566">
        <v>0.99910370000000004</v>
      </c>
      <c r="AB4566">
        <v>61</v>
      </c>
      <c r="AC4566">
        <v>-0.56180000000000496</v>
      </c>
      <c r="AD4566">
        <v>-1.102747875181</v>
      </c>
      <c r="AE4566">
        <v>25.566569999999999</v>
      </c>
      <c r="AF4566">
        <v>-0.129465673065424</v>
      </c>
      <c r="AG4566">
        <v>-1.102747875181</v>
      </c>
      <c r="AH4566">
        <v>25.524948985042801</v>
      </c>
      <c r="AI4566">
        <v>92.473764870592504</v>
      </c>
      <c r="AJ4566">
        <v>90.290608731571396</v>
      </c>
      <c r="AK4566">
        <v>25.5490867728331</v>
      </c>
      <c r="AL4566">
        <v>86.781543180081897</v>
      </c>
      <c r="AM4566">
        <v>92.016671806928997</v>
      </c>
      <c r="AN4566">
        <v>0.99999996280651404</v>
      </c>
    </row>
    <row r="4567" spans="1:40" x14ac:dyDescent="0.3">
      <c r="A4567" t="str">
        <f>"20200111154011122"</f>
        <v>20200111154011122</v>
      </c>
      <c r="B4567" t="str">
        <f>"1578728411115609"</f>
        <v>1578728411115609</v>
      </c>
      <c r="C4567" t="s">
        <v>40</v>
      </c>
      <c r="D4567">
        <v>5.1220220000000003</v>
      </c>
      <c r="E4567">
        <v>0.51151329999999995</v>
      </c>
      <c r="F4567" t="s">
        <v>42</v>
      </c>
      <c r="G4567">
        <v>-189.3004</v>
      </c>
      <c r="H4567" s="1">
        <v>-3.7967050000000002E-7</v>
      </c>
      <c r="I4567">
        <v>90.21678</v>
      </c>
      <c r="J4567">
        <v>-188.72829999999999</v>
      </c>
      <c r="K4567">
        <v>1.1027499999999999</v>
      </c>
      <c r="L4567">
        <v>63.380800000000001</v>
      </c>
      <c r="M4567">
        <v>-1.6903060000000001E-2</v>
      </c>
      <c r="N4567">
        <v>0</v>
      </c>
      <c r="O4567">
        <v>0.99983730000000004</v>
      </c>
      <c r="P4567">
        <v>-5.1994459999999999E-2</v>
      </c>
      <c r="Q4567">
        <v>5.1719969999999997E-2</v>
      </c>
      <c r="R4567">
        <v>0.99730719999999995</v>
      </c>
      <c r="S4567">
        <v>-6.3903810000000005E-2</v>
      </c>
      <c r="T4567">
        <v>-0.121097</v>
      </c>
      <c r="U4567">
        <v>3.0105590000000002</v>
      </c>
      <c r="V4567">
        <v>-3.5132959999999998E-2</v>
      </c>
      <c r="W4567">
        <v>5.8000240000000002E-2</v>
      </c>
      <c r="X4567">
        <v>0.99769819999999998</v>
      </c>
      <c r="Y4567">
        <v>-4.3020250000000001E-3</v>
      </c>
      <c r="Z4567">
        <v>-4.0178279999999997E-2</v>
      </c>
      <c r="AA4567">
        <v>0.99918320000000005</v>
      </c>
      <c r="AB4567">
        <v>61</v>
      </c>
      <c r="AC4567">
        <v>-0.57210000000000505</v>
      </c>
      <c r="AD4567">
        <v>-1.1027503796704901</v>
      </c>
      <c r="AE4567">
        <v>26.835979999999999</v>
      </c>
      <c r="AF4567">
        <v>-0.118199589295908</v>
      </c>
      <c r="AG4567">
        <v>-1.1027503796704901</v>
      </c>
      <c r="AH4567">
        <v>26.796588898726998</v>
      </c>
      <c r="AI4567">
        <v>92.3565199965239</v>
      </c>
      <c r="AJ4567">
        <v>90.252729692951505</v>
      </c>
      <c r="AK4567">
        <v>26.8195303118856</v>
      </c>
      <c r="AL4567">
        <v>86.674965090451295</v>
      </c>
      <c r="AM4567">
        <v>92.016781129329701</v>
      </c>
      <c r="AN4567">
        <v>1.0000000255008199</v>
      </c>
    </row>
    <row r="4568" spans="1:40" x14ac:dyDescent="0.3">
      <c r="A4568" t="str">
        <f>"20200111154011144"</f>
        <v>20200111154011144</v>
      </c>
      <c r="B4568" t="str">
        <f>"1578728411136106"</f>
        <v>1578728411136106</v>
      </c>
      <c r="C4568" t="s">
        <v>40</v>
      </c>
      <c r="D4568">
        <v>5.139672</v>
      </c>
      <c r="E4568">
        <v>0.51162429999999903</v>
      </c>
      <c r="F4568" t="s">
        <v>42</v>
      </c>
      <c r="G4568">
        <v>-189.32839999999999</v>
      </c>
      <c r="H4568" s="1">
        <v>-1.1379750000000001E-6</v>
      </c>
      <c r="I4568">
        <v>92.007710000000003</v>
      </c>
      <c r="J4568">
        <v>-188.73910000000001</v>
      </c>
      <c r="K4568">
        <v>1.102759</v>
      </c>
      <c r="L4568">
        <v>64.020780000000002</v>
      </c>
      <c r="M4568">
        <v>-1.6909279999999999E-2</v>
      </c>
      <c r="N4568">
        <v>0</v>
      </c>
      <c r="O4568">
        <v>0.99983639999999996</v>
      </c>
      <c r="P4568">
        <v>-5.129119E-2</v>
      </c>
      <c r="Q4568">
        <v>5.2275799999999997E-2</v>
      </c>
      <c r="R4568">
        <v>0.99731460000000005</v>
      </c>
      <c r="S4568">
        <v>-6.3110349999999996E-2</v>
      </c>
      <c r="T4568">
        <v>-0.1159818</v>
      </c>
      <c r="U4568">
        <v>3.010834</v>
      </c>
      <c r="V4568">
        <v>-3.4422719999999997E-2</v>
      </c>
      <c r="W4568">
        <v>5.8681440000000001E-2</v>
      </c>
      <c r="X4568">
        <v>0.99768310000000004</v>
      </c>
      <c r="Y4568">
        <v>-4.0320470000000004E-3</v>
      </c>
      <c r="Z4568">
        <v>-3.8480319999999998E-2</v>
      </c>
      <c r="AA4568">
        <v>0.99925120000000001</v>
      </c>
      <c r="AB4568">
        <v>61</v>
      </c>
      <c r="AC4568">
        <v>-0.58929999999997995</v>
      </c>
      <c r="AD4568">
        <v>-1.1027601379750001</v>
      </c>
      <c r="AE4568">
        <v>27.986929999999901</v>
      </c>
      <c r="AF4568">
        <v>-0.11578745799335401</v>
      </c>
      <c r="AG4568">
        <v>-1.1027601379750001</v>
      </c>
      <c r="AH4568">
        <v>27.9495189347886</v>
      </c>
      <c r="AI4568">
        <v>92.259437973166598</v>
      </c>
      <c r="AJ4568">
        <v>90.237359888991605</v>
      </c>
      <c r="AK4568">
        <v>27.971505060390299</v>
      </c>
      <c r="AL4568">
        <v>86.635868532832802</v>
      </c>
      <c r="AM4568">
        <v>91.976072875762696</v>
      </c>
      <c r="AN4568">
        <v>1.0000000015391399</v>
      </c>
    </row>
    <row r="4569" spans="1:40" x14ac:dyDescent="0.3">
      <c r="A4569" t="str">
        <f>"20200111154011167"</f>
        <v>20200111154011167</v>
      </c>
      <c r="B4569" t="str">
        <f>"1578728411155626"</f>
        <v>1578728411155626</v>
      </c>
      <c r="C4569" t="s">
        <v>40</v>
      </c>
      <c r="D4569">
        <v>5.2035879999999999</v>
      </c>
      <c r="E4569">
        <v>0.51173389999999996</v>
      </c>
      <c r="F4569" t="s">
        <v>42</v>
      </c>
      <c r="G4569">
        <v>-189.31720000000001</v>
      </c>
      <c r="H4569" s="1">
        <v>-1.5489089999999999E-6</v>
      </c>
      <c r="I4569">
        <v>92.960999999999999</v>
      </c>
      <c r="J4569">
        <v>-188.7492</v>
      </c>
      <c r="K4569">
        <v>1.1027709999999999</v>
      </c>
      <c r="L4569">
        <v>64.615719999999996</v>
      </c>
      <c r="M4569">
        <v>-1.6914189999999999E-2</v>
      </c>
      <c r="N4569">
        <v>0</v>
      </c>
      <c r="O4569">
        <v>0.99983500000000003</v>
      </c>
      <c r="P4569">
        <v>-5.0088639999999997E-2</v>
      </c>
      <c r="Q4569">
        <v>5.0119740000000003E-2</v>
      </c>
      <c r="R4569">
        <v>0.9974864</v>
      </c>
      <c r="S4569">
        <v>-6.0150149999999999E-2</v>
      </c>
      <c r="T4569">
        <v>-0.114734199999999</v>
      </c>
      <c r="U4569">
        <v>3.0110169999999998</v>
      </c>
      <c r="V4569">
        <v>-3.3211909999999997E-2</v>
      </c>
      <c r="W4569">
        <v>5.6729189999999999E-2</v>
      </c>
      <c r="X4569">
        <v>0.99783710000000003</v>
      </c>
      <c r="Y4569">
        <v>-3.0441859999999999E-3</v>
      </c>
      <c r="Z4569">
        <v>-3.8065109999999999E-2</v>
      </c>
      <c r="AA4569">
        <v>0.99927060000000001</v>
      </c>
      <c r="AB4569">
        <v>61</v>
      </c>
      <c r="AC4569">
        <v>-0.56800000000001205</v>
      </c>
      <c r="AD4569">
        <v>-1.1027725489089999</v>
      </c>
      <c r="AE4569">
        <v>28.345279999999999</v>
      </c>
      <c r="AF4569">
        <v>-8.8337116509917005E-2</v>
      </c>
      <c r="AG4569">
        <v>-1.1027725489089999</v>
      </c>
      <c r="AH4569">
        <v>28.308002631816301</v>
      </c>
      <c r="AI4569">
        <v>92.2308876056304</v>
      </c>
      <c r="AJ4569">
        <v>90.178794936090796</v>
      </c>
      <c r="AK4569">
        <v>28.329612135426402</v>
      </c>
      <c r="AL4569">
        <v>86.747911111168804</v>
      </c>
      <c r="AM4569">
        <v>91.906323236012199</v>
      </c>
      <c r="AN4569">
        <v>1.00000005505015</v>
      </c>
    </row>
    <row r="4570" spans="1:40" x14ac:dyDescent="0.3">
      <c r="A4570" t="str">
        <f>"20200111154011211"</f>
        <v>20200111154011211</v>
      </c>
      <c r="B4570" t="str">
        <f>"1578728411205401"</f>
        <v>1578728411205401</v>
      </c>
      <c r="C4570" t="s">
        <v>40</v>
      </c>
      <c r="D4570">
        <v>5.1813659999999997</v>
      </c>
      <c r="E4570">
        <v>0.51199589999999995</v>
      </c>
      <c r="F4570" t="s">
        <v>42</v>
      </c>
      <c r="G4570">
        <v>-189.2561</v>
      </c>
      <c r="H4570" s="1">
        <v>-1.09815E-6</v>
      </c>
      <c r="I4570">
        <v>91.884990000000002</v>
      </c>
      <c r="J4570">
        <v>-188.7697</v>
      </c>
      <c r="K4570">
        <v>1.10287</v>
      </c>
      <c r="L4570">
        <v>65.827879999999993</v>
      </c>
      <c r="M4570">
        <v>-1.6904140000000002E-2</v>
      </c>
      <c r="N4570">
        <v>0</v>
      </c>
      <c r="O4570">
        <v>0.99982979999999999</v>
      </c>
      <c r="P4570">
        <v>-4.8827259999999997E-2</v>
      </c>
      <c r="Q4570">
        <v>4.2010319999999997E-2</v>
      </c>
      <c r="R4570">
        <v>0.99792340000000002</v>
      </c>
      <c r="S4570">
        <v>-5.5969240000000003E-2</v>
      </c>
      <c r="T4570">
        <v>-0.1217597</v>
      </c>
      <c r="U4570">
        <v>3.0108640000000002</v>
      </c>
      <c r="V4570">
        <v>-3.1950630000000001E-2</v>
      </c>
      <c r="W4570">
        <v>4.9389599999999999E-2</v>
      </c>
      <c r="X4570">
        <v>0.99826839999999994</v>
      </c>
      <c r="Y4570">
        <v>-1.666379E-3</v>
      </c>
      <c r="Z4570">
        <v>-4.0394909999999999E-2</v>
      </c>
      <c r="AA4570">
        <v>0.99918240000000003</v>
      </c>
      <c r="AB4570">
        <v>61</v>
      </c>
      <c r="AC4570">
        <v>-0.486400000000003</v>
      </c>
      <c r="AD4570">
        <v>-1.1028710981500001</v>
      </c>
      <c r="AE4570">
        <v>26.057109999999899</v>
      </c>
      <c r="AF4570">
        <v>-4.5763478386388001E-2</v>
      </c>
      <c r="AG4570">
        <v>-1.1028710981500001</v>
      </c>
      <c r="AH4570">
        <v>26.015021466298901</v>
      </c>
      <c r="AI4570">
        <v>92.427518546398105</v>
      </c>
      <c r="AJ4570">
        <v>90.100789901946996</v>
      </c>
      <c r="AK4570">
        <v>26.038428540276399</v>
      </c>
      <c r="AL4570">
        <v>87.169032589392501</v>
      </c>
      <c r="AM4570">
        <v>91.833185886851595</v>
      </c>
      <c r="AN4570">
        <v>0.99999998689205805</v>
      </c>
    </row>
    <row r="4571" spans="1:40" x14ac:dyDescent="0.3">
      <c r="A4571" t="str">
        <f>"20200111154011232"</f>
        <v>20200111154011232</v>
      </c>
      <c r="B4571" t="str">
        <f>"1578728411225897"</f>
        <v>1578728411225897</v>
      </c>
      <c r="C4571" t="s">
        <v>40</v>
      </c>
      <c r="D4571">
        <v>5.1930059999999996</v>
      </c>
      <c r="E4571">
        <v>0.51209280000000001</v>
      </c>
      <c r="F4571" t="s">
        <v>42</v>
      </c>
      <c r="G4571">
        <v>-189.13820000000001</v>
      </c>
      <c r="H4571" s="1">
        <v>-3.8762850000000003E-6</v>
      </c>
      <c r="I4571">
        <v>88.312150000000003</v>
      </c>
      <c r="J4571">
        <v>-188.7799</v>
      </c>
      <c r="K4571">
        <v>1.102946</v>
      </c>
      <c r="L4571">
        <v>66.430660000000003</v>
      </c>
      <c r="M4571">
        <v>-1.687756E-2</v>
      </c>
      <c r="N4571">
        <v>0</v>
      </c>
      <c r="O4571">
        <v>0.99982610000000005</v>
      </c>
      <c r="P4571">
        <v>-4.8714689999999998E-2</v>
      </c>
      <c r="Q4571">
        <v>3.9398080000000002E-2</v>
      </c>
      <c r="R4571">
        <v>0.99803540000000002</v>
      </c>
      <c r="S4571">
        <v>-4.9331670000000001E-2</v>
      </c>
      <c r="T4571">
        <v>-0.1476452</v>
      </c>
      <c r="U4571">
        <v>3.01004</v>
      </c>
      <c r="V4571">
        <v>-3.1861010000000002E-2</v>
      </c>
      <c r="W4571">
        <v>4.7313010000000003E-2</v>
      </c>
      <c r="X4571">
        <v>0.99837180000000003</v>
      </c>
      <c r="Y4571">
        <v>5.1098820000000005E-4</v>
      </c>
      <c r="Z4571">
        <v>-4.8978269999999997E-2</v>
      </c>
      <c r="AA4571">
        <v>0.99879969999999996</v>
      </c>
      <c r="AB4571">
        <v>61</v>
      </c>
      <c r="AC4571">
        <v>-0.358300000000014</v>
      </c>
      <c r="AD4571">
        <v>-1.1029498762850001</v>
      </c>
      <c r="AE4571">
        <v>21.881489999999999</v>
      </c>
      <c r="AF4571">
        <v>1.10407728968904E-2</v>
      </c>
      <c r="AG4571">
        <v>-1.1029498762850001</v>
      </c>
      <c r="AH4571">
        <v>21.828973941479799</v>
      </c>
      <c r="AI4571">
        <v>92.892516596429104</v>
      </c>
      <c r="AJ4571">
        <v>89.971020642687606</v>
      </c>
      <c r="AK4571">
        <v>21.856823274805201</v>
      </c>
      <c r="AL4571">
        <v>87.288151672437806</v>
      </c>
      <c r="AM4571">
        <v>91.827858181310901</v>
      </c>
      <c r="AN4571">
        <v>0.99999994795435798</v>
      </c>
    </row>
    <row r="4572" spans="1:40" x14ac:dyDescent="0.3">
      <c r="A4572" t="str">
        <f>"20200111154011256"</f>
        <v>20200111154011256</v>
      </c>
      <c r="B4572" t="str">
        <f>"1578728411245417"</f>
        <v>1578728411245417</v>
      </c>
      <c r="C4572" t="s">
        <v>40</v>
      </c>
      <c r="D4572">
        <v>5.2202489999999999</v>
      </c>
      <c r="E4572">
        <v>0.51215329999999903</v>
      </c>
      <c r="F4572" t="s">
        <v>42</v>
      </c>
      <c r="G4572">
        <v>-189.1174</v>
      </c>
      <c r="H4572" s="1">
        <v>-3.6114930000000001E-6</v>
      </c>
      <c r="I4572">
        <v>87.686300000000003</v>
      </c>
      <c r="J4572">
        <v>-188.7903</v>
      </c>
      <c r="K4572">
        <v>1.1030310000000001</v>
      </c>
      <c r="L4572">
        <v>67.048859999999905</v>
      </c>
      <c r="M4572">
        <v>-1.681558E-2</v>
      </c>
      <c r="N4572">
        <v>0</v>
      </c>
      <c r="O4572">
        <v>0.99982199999999999</v>
      </c>
      <c r="P4572">
        <v>-4.887391E-2</v>
      </c>
      <c r="Q4572">
        <v>3.708388E-2</v>
      </c>
      <c r="R4572">
        <v>0.99811629999999996</v>
      </c>
      <c r="S4572">
        <v>-4.7790529999999998E-2</v>
      </c>
      <c r="T4572">
        <v>-0.15617439999999999</v>
      </c>
      <c r="U4572">
        <v>3.009735</v>
      </c>
      <c r="V4572">
        <v>-3.2078229999999999E-2</v>
      </c>
      <c r="W4572">
        <v>4.56335E-2</v>
      </c>
      <c r="X4572">
        <v>0.99844310000000003</v>
      </c>
      <c r="Y4572">
        <v>9.6099840000000005E-4</v>
      </c>
      <c r="Z4572">
        <v>-5.1805780000000003E-2</v>
      </c>
      <c r="AA4572">
        <v>0.99865669999999995</v>
      </c>
      <c r="AB4572">
        <v>61</v>
      </c>
      <c r="AC4572">
        <v>-0.327100000000001</v>
      </c>
      <c r="AD4572">
        <v>-1.1030346114930001</v>
      </c>
      <c r="AE4572">
        <v>20.637440000000002</v>
      </c>
      <c r="AF4572">
        <v>1.9932551508570599E-2</v>
      </c>
      <c r="AG4572">
        <v>-1.1030346114930001</v>
      </c>
      <c r="AH4572">
        <v>20.581242458549902</v>
      </c>
      <c r="AI4572">
        <v>93.067783334806606</v>
      </c>
      <c r="AJ4572">
        <v>89.9445101178122</v>
      </c>
      <c r="AK4572">
        <v>20.610789014455001</v>
      </c>
      <c r="AL4572">
        <v>87.384484813631104</v>
      </c>
      <c r="AM4572">
        <v>91.840180169768601</v>
      </c>
      <c r="AN4572">
        <v>1.0000000265498901</v>
      </c>
    </row>
    <row r="4573" spans="1:40" x14ac:dyDescent="0.3">
      <c r="A4573" t="str">
        <f>"20200111154011278"</f>
        <v>20200111154011278</v>
      </c>
      <c r="B4573" t="str">
        <f>"1578728411275675"</f>
        <v>1578728411275675</v>
      </c>
      <c r="C4573" t="s">
        <v>40</v>
      </c>
      <c r="D4573">
        <v>5.2488419999999998</v>
      </c>
      <c r="E4573">
        <v>0.51218580000000002</v>
      </c>
      <c r="F4573" t="s">
        <v>41</v>
      </c>
      <c r="G4573">
        <v>-188.8099</v>
      </c>
      <c r="H4573">
        <v>1.035247</v>
      </c>
      <c r="I4573">
        <v>68.297019999999904</v>
      </c>
      <c r="J4573">
        <v>-188.80080000000001</v>
      </c>
      <c r="K4573">
        <v>1.103116</v>
      </c>
      <c r="L4573">
        <v>67.674219999999906</v>
      </c>
      <c r="M4573">
        <v>-1.6699530000000001E-2</v>
      </c>
      <c r="N4573">
        <v>0</v>
      </c>
      <c r="O4573">
        <v>0.99981739999999997</v>
      </c>
      <c r="P4573">
        <v>-4.923077E-2</v>
      </c>
      <c r="Q4573">
        <v>3.5713849999999998E-2</v>
      </c>
      <c r="R4573">
        <v>0.9981487</v>
      </c>
      <c r="S4573">
        <v>-4.7409060000000003E-2</v>
      </c>
      <c r="T4573">
        <v>-0.163443</v>
      </c>
      <c r="U4573">
        <v>3.00943</v>
      </c>
      <c r="V4573">
        <v>-3.2545730000000002E-2</v>
      </c>
      <c r="W4573">
        <v>4.4995670000000001E-2</v>
      </c>
      <c r="X4573">
        <v>0.99845689999999998</v>
      </c>
      <c r="Y4573">
        <v>9.7199839999999999E-4</v>
      </c>
      <c r="Z4573">
        <v>-5.4215659999999999E-2</v>
      </c>
      <c r="AA4573">
        <v>0.99852879999999999</v>
      </c>
      <c r="AB4573">
        <v>61</v>
      </c>
      <c r="AC4573">
        <v>-9.0999999999894499E-3</v>
      </c>
      <c r="AD4573">
        <v>-6.7868999999999902E-2</v>
      </c>
      <c r="AE4573">
        <v>0.62279999999999702</v>
      </c>
      <c r="AF4573">
        <v>1.28690595840772E-3</v>
      </c>
      <c r="AG4573">
        <v>-6.7868999999999902E-2</v>
      </c>
      <c r="AH4573">
        <v>0.61555673807187405</v>
      </c>
      <c r="AI4573">
        <v>96.291793020025693</v>
      </c>
      <c r="AJ4573">
        <v>89.880215473145199</v>
      </c>
      <c r="AK4573">
        <v>0.61928826492485101</v>
      </c>
      <c r="AL4573">
        <v>87.421067311294706</v>
      </c>
      <c r="AM4573">
        <v>91.866953860432304</v>
      </c>
      <c r="AN4573">
        <v>1.0000000080087901</v>
      </c>
    </row>
    <row r="4574" spans="1:40" x14ac:dyDescent="0.3">
      <c r="A4574" t="str">
        <f>"20200111154011301"</f>
        <v>20200111154011301</v>
      </c>
      <c r="B4574" t="str">
        <f>"1578728411295193"</f>
        <v>1578728411295193</v>
      </c>
      <c r="C4574" t="s">
        <v>40</v>
      </c>
      <c r="D4574">
        <v>5.2625460000000004</v>
      </c>
      <c r="E4574">
        <v>0.51220259999999995</v>
      </c>
      <c r="F4574" t="s">
        <v>41</v>
      </c>
      <c r="G4574">
        <v>-188.8192</v>
      </c>
      <c r="H4574">
        <v>1.0378670000000001</v>
      </c>
      <c r="I4574">
        <v>68.847560000000001</v>
      </c>
      <c r="J4574">
        <v>-188.81110000000001</v>
      </c>
      <c r="K4574">
        <v>1.103189</v>
      </c>
      <c r="L4574">
        <v>68.299930000000003</v>
      </c>
      <c r="M4574">
        <v>-1.6530119999999999E-2</v>
      </c>
      <c r="N4574">
        <v>0</v>
      </c>
      <c r="O4574">
        <v>0.99981299999999995</v>
      </c>
      <c r="P4574">
        <v>-4.896669E-2</v>
      </c>
      <c r="Q4574">
        <v>3.4928720000000003E-2</v>
      </c>
      <c r="R4574">
        <v>0.99818949999999995</v>
      </c>
      <c r="S4574">
        <v>-4.7973630000000003E-2</v>
      </c>
      <c r="T4574">
        <v>-0.167354</v>
      </c>
      <c r="U4574">
        <v>3.0091860000000001</v>
      </c>
      <c r="V4574">
        <v>-3.244437E-2</v>
      </c>
      <c r="W4574">
        <v>4.4964240000000003E-2</v>
      </c>
      <c r="X4574">
        <v>0.99846159999999995</v>
      </c>
      <c r="Y4574">
        <v>6.1524460000000002E-4</v>
      </c>
      <c r="Z4574">
        <v>-5.5513699999999902E-2</v>
      </c>
      <c r="AA4574">
        <v>0.9984577</v>
      </c>
      <c r="AB4574">
        <v>61</v>
      </c>
      <c r="AC4574">
        <v>-8.0999999999846698E-3</v>
      </c>
      <c r="AD4574">
        <v>-6.5321999999999797E-2</v>
      </c>
      <c r="AE4574">
        <v>0.54762999999999795</v>
      </c>
      <c r="AF4574">
        <v>9.40572795973938E-4</v>
      </c>
      <c r="AG4574">
        <v>-6.5321999999999797E-2</v>
      </c>
      <c r="AH4574">
        <v>0.54000751206890596</v>
      </c>
      <c r="AI4574">
        <v>96.897261450983606</v>
      </c>
      <c r="AJ4574">
        <v>89.900203616001605</v>
      </c>
      <c r="AK4574">
        <v>0.54394481471196499</v>
      </c>
      <c r="AL4574">
        <v>87.422869904286102</v>
      </c>
      <c r="AM4574">
        <v>91.861134784392505</v>
      </c>
      <c r="AN4574">
        <v>0.99999999334901701</v>
      </c>
    </row>
    <row r="4575" spans="1:40" x14ac:dyDescent="0.3">
      <c r="A4575" t="str">
        <f>"20200111154011322"</f>
        <v>20200111154011322</v>
      </c>
      <c r="B4575" t="str">
        <f>"1578728411315689"</f>
        <v>1578728411315689</v>
      </c>
      <c r="C4575" t="s">
        <v>40</v>
      </c>
      <c r="D4575">
        <v>5.27623</v>
      </c>
      <c r="E4575">
        <v>0.51221349999999999</v>
      </c>
      <c r="F4575" t="s">
        <v>41</v>
      </c>
      <c r="G4575">
        <v>-188.82820000000001</v>
      </c>
      <c r="H4575">
        <v>1.041312</v>
      </c>
      <c r="I4575">
        <v>69.398340000000005</v>
      </c>
      <c r="J4575">
        <v>-188.82050000000001</v>
      </c>
      <c r="K4575">
        <v>1.103229</v>
      </c>
      <c r="L4575">
        <v>68.879429999999999</v>
      </c>
      <c r="M4575">
        <v>-1.6314639999999998E-2</v>
      </c>
      <c r="N4575">
        <v>0</v>
      </c>
      <c r="O4575">
        <v>0.99980970000000002</v>
      </c>
      <c r="P4575">
        <v>-4.8999359999999999E-2</v>
      </c>
      <c r="Q4575">
        <v>3.5483309999999997E-2</v>
      </c>
      <c r="R4575">
        <v>0.99816830000000001</v>
      </c>
      <c r="S4575">
        <v>-4.7103880000000001E-2</v>
      </c>
      <c r="T4575">
        <v>-0.169516</v>
      </c>
      <c r="U4575">
        <v>3.009064</v>
      </c>
      <c r="V4575">
        <v>-3.2686310000000003E-2</v>
      </c>
      <c r="W4575">
        <v>4.6183660000000001E-2</v>
      </c>
      <c r="X4575">
        <v>0.99839809999999996</v>
      </c>
      <c r="Y4575">
        <v>6.8834850000000004E-4</v>
      </c>
      <c r="Z4575">
        <v>-5.6231280000000002E-2</v>
      </c>
      <c r="AA4575">
        <v>0.99841760000000002</v>
      </c>
      <c r="AB4575">
        <v>61</v>
      </c>
      <c r="AC4575">
        <v>-7.6999999999998103E-3</v>
      </c>
      <c r="AD4575">
        <v>-6.1916999999999903E-2</v>
      </c>
      <c r="AE4575">
        <v>0.51891000000000498</v>
      </c>
      <c r="AF4575">
        <v>7.5656970470025498E-4</v>
      </c>
      <c r="AG4575">
        <v>-6.1916999999999903E-2</v>
      </c>
      <c r="AH4575">
        <v>0.51168304192897596</v>
      </c>
      <c r="AI4575">
        <v>96.899611592785703</v>
      </c>
      <c r="AJ4575">
        <v>89.915283064231204</v>
      </c>
      <c r="AK4575">
        <v>0.51541616455482597</v>
      </c>
      <c r="AL4575">
        <v>87.352929748449995</v>
      </c>
      <c r="AM4575">
        <v>91.875122699039494</v>
      </c>
      <c r="AN4575">
        <v>1.0000000456980001</v>
      </c>
    </row>
    <row r="4576" spans="1:40" x14ac:dyDescent="0.3">
      <c r="A4576" t="str">
        <f>"20200111154011343"</f>
        <v>20200111154011343</v>
      </c>
      <c r="B4576" t="str">
        <f>"1578728411335210"</f>
        <v>1578728411335210</v>
      </c>
      <c r="C4576" t="s">
        <v>40</v>
      </c>
      <c r="D4576">
        <v>5.2982500000000003</v>
      </c>
      <c r="E4576">
        <v>0.51222869999999998</v>
      </c>
      <c r="F4576" t="s">
        <v>42</v>
      </c>
      <c r="G4576">
        <v>-189.13120000000001</v>
      </c>
      <c r="H4576" s="1">
        <v>-4.0439210000000003E-6</v>
      </c>
      <c r="I4576">
        <v>88.700009999999907</v>
      </c>
      <c r="J4576">
        <v>-188.83019999999999</v>
      </c>
      <c r="K4576">
        <v>1.103232</v>
      </c>
      <c r="L4576">
        <v>69.480069999999998</v>
      </c>
      <c r="M4576">
        <v>-1.6018060000000001E-2</v>
      </c>
      <c r="N4576">
        <v>0</v>
      </c>
      <c r="O4576">
        <v>0.99980749999999996</v>
      </c>
      <c r="P4576">
        <v>-4.9051089999999999E-2</v>
      </c>
      <c r="Q4576">
        <v>3.6554129999999997E-2</v>
      </c>
      <c r="R4576">
        <v>0.99812719999999999</v>
      </c>
      <c r="S4576">
        <v>-4.7164919999999999E-2</v>
      </c>
      <c r="T4576">
        <v>-0.16749249999999999</v>
      </c>
      <c r="U4576">
        <v>3.0091549999999998</v>
      </c>
      <c r="V4576">
        <v>-3.3025480000000003E-2</v>
      </c>
      <c r="W4576">
        <v>4.7884570000000001E-2</v>
      </c>
      <c r="X4576">
        <v>0.99830680000000005</v>
      </c>
      <c r="Y4576">
        <v>3.7146070000000002E-4</v>
      </c>
      <c r="Z4576">
        <v>-5.5560859999999997E-2</v>
      </c>
      <c r="AA4576">
        <v>0.99845519999999999</v>
      </c>
      <c r="AB4576">
        <v>61</v>
      </c>
      <c r="AC4576">
        <v>-0.30100000000001598</v>
      </c>
      <c r="AD4576">
        <v>-1.1032360439210001</v>
      </c>
      <c r="AE4576">
        <v>19.219939999999902</v>
      </c>
      <c r="AF4576">
        <v>6.9018044462200697E-3</v>
      </c>
      <c r="AG4576">
        <v>-1.1032360439210001</v>
      </c>
      <c r="AH4576">
        <v>19.159184809744801</v>
      </c>
      <c r="AI4576">
        <v>93.295601584997499</v>
      </c>
      <c r="AJ4576">
        <v>89.979360069198407</v>
      </c>
      <c r="AK4576">
        <v>19.190923374800501</v>
      </c>
      <c r="AL4576">
        <v>87.255366788351097</v>
      </c>
      <c r="AM4576">
        <v>91.894738972563999</v>
      </c>
      <c r="AN4576">
        <v>1.00000004064977</v>
      </c>
    </row>
    <row r="4577" spans="1:40" x14ac:dyDescent="0.3">
      <c r="A4577" t="str">
        <f>"20200111154011367"</f>
        <v>20200111154011367</v>
      </c>
      <c r="B4577" t="str">
        <f>"1578728411355706"</f>
        <v>1578728411355706</v>
      </c>
      <c r="C4577" t="s">
        <v>40</v>
      </c>
      <c r="D4577">
        <v>5.2875759999999996</v>
      </c>
      <c r="E4577">
        <v>0.5122449</v>
      </c>
      <c r="F4577" t="s">
        <v>42</v>
      </c>
      <c r="G4577">
        <v>-189.14840000000001</v>
      </c>
      <c r="H4577" s="1">
        <v>-2.3724830000000001E-7</v>
      </c>
      <c r="I4577">
        <v>89.679369999999906</v>
      </c>
      <c r="J4577">
        <v>-188.84</v>
      </c>
      <c r="K4577">
        <v>1.1032</v>
      </c>
      <c r="L4577">
        <v>70.109039999999993</v>
      </c>
      <c r="M4577">
        <v>-1.561775E-2</v>
      </c>
      <c r="N4577">
        <v>0</v>
      </c>
      <c r="O4577">
        <v>0.99980709999999995</v>
      </c>
      <c r="P4577">
        <v>-4.8636850000000002E-2</v>
      </c>
      <c r="Q4577">
        <v>3.7694030000000003E-2</v>
      </c>
      <c r="R4577">
        <v>0.99810500000000002</v>
      </c>
      <c r="S4577">
        <v>-4.7409060000000003E-2</v>
      </c>
      <c r="T4577">
        <v>-0.16436049999999999</v>
      </c>
      <c r="U4577">
        <v>3.0093079999999999</v>
      </c>
      <c r="V4577">
        <v>-3.299937E-2</v>
      </c>
      <c r="W4577">
        <v>4.961629E-2</v>
      </c>
      <c r="X4577">
        <v>0.99822310000000003</v>
      </c>
      <c r="Y4577">
        <v>-1.099093E-4</v>
      </c>
      <c r="Z4577">
        <v>-5.4522750000000002E-2</v>
      </c>
      <c r="AA4577">
        <v>0.99851250000000003</v>
      </c>
      <c r="AB4577">
        <v>61</v>
      </c>
      <c r="AC4577">
        <v>-0.308400000000006</v>
      </c>
      <c r="AD4577">
        <v>-1.1032002372483001</v>
      </c>
      <c r="AE4577">
        <v>19.570329999999899</v>
      </c>
      <c r="AF4577">
        <v>-2.6876411269836599E-3</v>
      </c>
      <c r="AG4577">
        <v>-1.1032002372483001</v>
      </c>
      <c r="AH4577">
        <v>19.510775703498702</v>
      </c>
      <c r="AI4577">
        <v>93.236236466495996</v>
      </c>
      <c r="AJ4577">
        <v>90.007892586885703</v>
      </c>
      <c r="AK4577">
        <v>19.541940193827099</v>
      </c>
      <c r="AL4577">
        <v>87.156028433622495</v>
      </c>
      <c r="AM4577">
        <v>91.8934007102294</v>
      </c>
      <c r="AN4577">
        <v>1.00000004601368</v>
      </c>
    </row>
    <row r="4578" spans="1:40" x14ac:dyDescent="0.3">
      <c r="A4578" t="str">
        <f>"20200111154011390"</f>
        <v>20200111154011390</v>
      </c>
      <c r="B4578" t="str">
        <f>"1578728411385962"</f>
        <v>1578728411385962</v>
      </c>
      <c r="C4578" t="s">
        <v>40</v>
      </c>
      <c r="D4578">
        <v>5.3189330000000004</v>
      </c>
      <c r="E4578">
        <v>0.51227929999999999</v>
      </c>
      <c r="F4578" t="s">
        <v>42</v>
      </c>
      <c r="G4578">
        <v>-189.15610000000001</v>
      </c>
      <c r="H4578" s="1">
        <v>-6.2408779999999999E-7</v>
      </c>
      <c r="I4578">
        <v>90.738590000000002</v>
      </c>
      <c r="J4578">
        <v>-188.84970000000001</v>
      </c>
      <c r="K4578">
        <v>1.103148</v>
      </c>
      <c r="L4578">
        <v>70.751499999999993</v>
      </c>
      <c r="M4578">
        <v>-1.51083E-2</v>
      </c>
      <c r="N4578">
        <v>0</v>
      </c>
      <c r="O4578">
        <v>0.99980840000000004</v>
      </c>
      <c r="P4578">
        <v>-4.7912839999999998E-2</v>
      </c>
      <c r="Q4578">
        <v>3.780348E-2</v>
      </c>
      <c r="R4578">
        <v>0.99813589999999996</v>
      </c>
      <c r="S4578">
        <v>-4.6112060000000003E-2</v>
      </c>
      <c r="T4578">
        <v>-0.16093929999999901</v>
      </c>
      <c r="U4578">
        <v>3.0095209999999999</v>
      </c>
      <c r="V4578">
        <v>-3.2770779999999999E-2</v>
      </c>
      <c r="W4578">
        <v>5.0264459999999997E-2</v>
      </c>
      <c r="X4578">
        <v>0.99819820000000004</v>
      </c>
      <c r="Y4578">
        <v>-1.8896240000000001E-4</v>
      </c>
      <c r="Z4578">
        <v>-5.3388169999999999E-2</v>
      </c>
      <c r="AA4578">
        <v>0.99857379999999996</v>
      </c>
      <c r="AB4578">
        <v>61</v>
      </c>
      <c r="AC4578">
        <v>-0.30639999999999601</v>
      </c>
      <c r="AD4578">
        <v>-1.1031486240877999</v>
      </c>
      <c r="AE4578">
        <v>19.987089999999998</v>
      </c>
      <c r="AF4578">
        <v>-4.3574096970984098E-3</v>
      </c>
      <c r="AG4578">
        <v>-1.1031486240877999</v>
      </c>
      <c r="AH4578">
        <v>19.928743779870999</v>
      </c>
      <c r="AI4578">
        <v>93.168354258266803</v>
      </c>
      <c r="AJ4578">
        <v>90.012527692865703</v>
      </c>
      <c r="AK4578">
        <v>19.959253105203899</v>
      </c>
      <c r="AL4578">
        <v>87.118844623309798</v>
      </c>
      <c r="AM4578">
        <v>91.880341248363493</v>
      </c>
      <c r="AN4578">
        <v>1.0000000432220599</v>
      </c>
    </row>
    <row r="4579" spans="1:40" x14ac:dyDescent="0.3">
      <c r="A4579" t="str">
        <f>"20200111154011412"</f>
        <v>20200111154011412</v>
      </c>
      <c r="B4579" t="str">
        <f>"1578728411405482"</f>
        <v>1578728411405482</v>
      </c>
      <c r="C4579" t="s">
        <v>40</v>
      </c>
      <c r="D4579">
        <v>5.3086769999999897</v>
      </c>
      <c r="E4579">
        <v>0.51230969999999998</v>
      </c>
      <c r="F4579" t="s">
        <v>42</v>
      </c>
      <c r="G4579">
        <v>-189.15090000000001</v>
      </c>
      <c r="H4579" s="1">
        <v>-9.1770190000000003E-7</v>
      </c>
      <c r="I4579">
        <v>91.420869999999994</v>
      </c>
      <c r="J4579">
        <v>-188.85810000000001</v>
      </c>
      <c r="K4579">
        <v>1.103065</v>
      </c>
      <c r="L4579">
        <v>71.326899999999995</v>
      </c>
      <c r="M4579">
        <v>-1.4559809999999999E-2</v>
      </c>
      <c r="N4579">
        <v>0</v>
      </c>
      <c r="O4579">
        <v>0.99981120000000001</v>
      </c>
      <c r="P4579">
        <v>-4.6580820000000002E-2</v>
      </c>
      <c r="Q4579">
        <v>3.8566749999999997E-2</v>
      </c>
      <c r="R4579">
        <v>0.99816970000000005</v>
      </c>
      <c r="S4579">
        <v>-4.3853759999999999E-2</v>
      </c>
      <c r="T4579">
        <v>-0.16062499999999999</v>
      </c>
      <c r="U4579">
        <v>3.0095830000000001</v>
      </c>
      <c r="V4579">
        <v>-3.1971560000000003E-2</v>
      </c>
      <c r="W4579">
        <v>5.1456420000000003E-2</v>
      </c>
      <c r="X4579">
        <v>0.99816329999999998</v>
      </c>
      <c r="Y4579" s="1">
        <v>1.1880110000000001E-5</v>
      </c>
      <c r="Z4579">
        <v>-5.3284060000000001E-2</v>
      </c>
      <c r="AA4579">
        <v>0.99857940000000001</v>
      </c>
      <c r="AB4579">
        <v>61</v>
      </c>
      <c r="AC4579">
        <v>-0.29279999999999901</v>
      </c>
      <c r="AD4579">
        <v>-1.10306591770189</v>
      </c>
      <c r="AE4579">
        <v>20.093969999999999</v>
      </c>
      <c r="AF4579">
        <v>-1.79807211371008E-4</v>
      </c>
      <c r="AG4579">
        <v>-1.10306591770189</v>
      </c>
      <c r="AH4579">
        <v>20.035738245854301</v>
      </c>
      <c r="AI4579">
        <v>93.151233145724404</v>
      </c>
      <c r="AJ4579">
        <v>90.000514190902805</v>
      </c>
      <c r="AK4579">
        <v>20.0660798739443</v>
      </c>
      <c r="AL4579">
        <v>87.050461592103403</v>
      </c>
      <c r="AM4579">
        <v>91.834578954268196</v>
      </c>
      <c r="AN4579">
        <v>0.99999995863746904</v>
      </c>
    </row>
    <row r="4580" spans="1:40" x14ac:dyDescent="0.3">
      <c r="A4580" t="str">
        <f>"20200111154011434"</f>
        <v>20200111154011434</v>
      </c>
      <c r="B4580" t="str">
        <f>"1578728411425977"</f>
        <v>1578728411425977</v>
      </c>
      <c r="C4580" t="s">
        <v>40</v>
      </c>
      <c r="D4580">
        <v>5.347175</v>
      </c>
      <c r="E4580">
        <v>0.51234629999999903</v>
      </c>
      <c r="F4580" t="s">
        <v>42</v>
      </c>
      <c r="G4580">
        <v>-189.1377</v>
      </c>
      <c r="H4580" s="1">
        <v>-1.339975E-6</v>
      </c>
      <c r="I4580">
        <v>92.399730000000005</v>
      </c>
      <c r="J4580">
        <v>-188.86670000000001</v>
      </c>
      <c r="K4580">
        <v>1.1029690000000001</v>
      </c>
      <c r="L4580">
        <v>71.94229</v>
      </c>
      <c r="M4580">
        <v>-1.3880719999999999E-2</v>
      </c>
      <c r="N4580">
        <v>0</v>
      </c>
      <c r="O4580">
        <v>0.99981560000000003</v>
      </c>
      <c r="P4580">
        <v>-4.4756120000000003E-2</v>
      </c>
      <c r="Q4580">
        <v>3.7177920000000003E-2</v>
      </c>
      <c r="R4580">
        <v>0.99830589999999997</v>
      </c>
      <c r="S4580">
        <v>-3.9932250000000002E-2</v>
      </c>
      <c r="T4580">
        <v>-0.15754580000000001</v>
      </c>
      <c r="U4580">
        <v>3.009735</v>
      </c>
      <c r="V4580">
        <v>-3.081031E-2</v>
      </c>
      <c r="W4580">
        <v>5.0476859999999998E-2</v>
      </c>
      <c r="X4580">
        <v>0.99824990000000002</v>
      </c>
      <c r="Y4580">
        <v>6.3360260000000002E-4</v>
      </c>
      <c r="Z4580">
        <v>-5.2263990000000003E-2</v>
      </c>
      <c r="AA4580">
        <v>0.99863310000000005</v>
      </c>
      <c r="AB4580">
        <v>61</v>
      </c>
      <c r="AC4580">
        <v>-0.27099999999998597</v>
      </c>
      <c r="AD4580">
        <v>-1.1029703399749999</v>
      </c>
      <c r="AE4580">
        <v>20.457439999999998</v>
      </c>
      <c r="AF4580">
        <v>1.2977397987994001E-2</v>
      </c>
      <c r="AG4580">
        <v>-1.1029703399749999</v>
      </c>
      <c r="AH4580">
        <v>20.3999412492239</v>
      </c>
      <c r="AI4580">
        <v>93.094815829526894</v>
      </c>
      <c r="AJ4580">
        <v>89.963551363977501</v>
      </c>
      <c r="AK4580">
        <v>20.429740941957899</v>
      </c>
      <c r="AL4580">
        <v>87.106659481729693</v>
      </c>
      <c r="AM4580">
        <v>91.767834389918093</v>
      </c>
      <c r="AN4580">
        <v>1.0000000257238799</v>
      </c>
    </row>
    <row r="4581" spans="1:40" x14ac:dyDescent="0.3">
      <c r="A4581" t="str">
        <f>"20200111154011479"</f>
        <v>20200111154011479</v>
      </c>
      <c r="B4581" t="str">
        <f>"1578728411475753"</f>
        <v>1578728411475753</v>
      </c>
      <c r="C4581" t="s">
        <v>40</v>
      </c>
      <c r="D4581">
        <v>5.3859949999999897</v>
      </c>
      <c r="E4581">
        <v>0.51248009999999999</v>
      </c>
      <c r="F4581" t="s">
        <v>42</v>
      </c>
      <c r="G4581">
        <v>-189.10140000000001</v>
      </c>
      <c r="H4581" s="1">
        <v>-1.3877300000000001E-6</v>
      </c>
      <c r="I4581">
        <v>92.496039999999994</v>
      </c>
      <c r="J4581">
        <v>-188.88220000000001</v>
      </c>
      <c r="K4581">
        <v>1.1027659999999999</v>
      </c>
      <c r="L4581">
        <v>73.152500000000003</v>
      </c>
      <c r="M4581">
        <v>-1.2266020000000001E-2</v>
      </c>
      <c r="N4581">
        <v>0</v>
      </c>
      <c r="O4581">
        <v>0.99982800000000005</v>
      </c>
      <c r="P4581">
        <v>-4.1305830000000002E-2</v>
      </c>
      <c r="Q4581">
        <v>3.4670880000000001E-2</v>
      </c>
      <c r="R4581">
        <v>0.99854480000000001</v>
      </c>
      <c r="S4581">
        <v>-3.4362789999999997E-2</v>
      </c>
      <c r="T4581">
        <v>-0.161500799999999</v>
      </c>
      <c r="U4581">
        <v>3.0095519999999998</v>
      </c>
      <c r="V4581">
        <v>-2.894412E-2</v>
      </c>
      <c r="W4581">
        <v>4.8630899999999998E-2</v>
      </c>
      <c r="X4581">
        <v>0.99839739999999999</v>
      </c>
      <c r="Y4581">
        <v>8.6650029999999997E-4</v>
      </c>
      <c r="Z4581">
        <v>-5.3577850000000003E-2</v>
      </c>
      <c r="AA4581">
        <v>0.99856330000000004</v>
      </c>
      <c r="AB4581">
        <v>61</v>
      </c>
      <c r="AC4581">
        <v>-0.21920000000000001</v>
      </c>
      <c r="AD4581">
        <v>-1.1027673877299999</v>
      </c>
      <c r="AE4581">
        <v>19.343540000000001</v>
      </c>
      <c r="AF4581">
        <v>1.8049049478370001E-2</v>
      </c>
      <c r="AG4581">
        <v>-1.1027673877299999</v>
      </c>
      <c r="AH4581">
        <v>19.282112834802501</v>
      </c>
      <c r="AI4581">
        <v>93.273247951690294</v>
      </c>
      <c r="AJ4581">
        <v>89.946368218765201</v>
      </c>
      <c r="AK4581">
        <v>19.3136298259463</v>
      </c>
      <c r="AL4581">
        <v>87.212555369973501</v>
      </c>
      <c r="AM4581">
        <v>91.660572789731006</v>
      </c>
      <c r="AN4581">
        <v>1.00000004742207</v>
      </c>
    </row>
    <row r="4582" spans="1:40" x14ac:dyDescent="0.3">
      <c r="A4582" t="str">
        <f>"20200111154011501"</f>
        <v>20200111154011501</v>
      </c>
      <c r="B4582" t="str">
        <f>"1578728411495273"</f>
        <v>1578728411495273</v>
      </c>
      <c r="C4582" t="s">
        <v>40</v>
      </c>
      <c r="D4582">
        <v>5.3849099999999996</v>
      </c>
      <c r="E4582">
        <v>0.51253879999999996</v>
      </c>
      <c r="F4582" t="s">
        <v>41</v>
      </c>
      <c r="G4582">
        <v>-188.89099999999999</v>
      </c>
      <c r="H4582">
        <v>1.038184</v>
      </c>
      <c r="I4582">
        <v>74.308260000000004</v>
      </c>
      <c r="J4582">
        <v>-188.88890000000001</v>
      </c>
      <c r="K4582">
        <v>1.1026670000000001</v>
      </c>
      <c r="L4582">
        <v>73.740780000000001</v>
      </c>
      <c r="M4582">
        <v>-1.1377979999999999E-2</v>
      </c>
      <c r="N4582">
        <v>0</v>
      </c>
      <c r="O4582">
        <v>0.99983480000000002</v>
      </c>
      <c r="P4582">
        <v>-3.8522260000000003E-2</v>
      </c>
      <c r="Q4582">
        <v>3.4117689999999999E-2</v>
      </c>
      <c r="R4582">
        <v>0.99867510000000004</v>
      </c>
      <c r="S4582">
        <v>-2.3300169999999999E-2</v>
      </c>
      <c r="T4582">
        <v>-0.1681542</v>
      </c>
      <c r="U4582">
        <v>3.0092469999999998</v>
      </c>
      <c r="V4582">
        <v>-2.7034450000000002E-2</v>
      </c>
      <c r="W4582">
        <v>4.8338949999999999E-2</v>
      </c>
      <c r="X4582">
        <v>0.99846509999999999</v>
      </c>
      <c r="Y4582">
        <v>3.6487109999999998E-3</v>
      </c>
      <c r="Z4582">
        <v>-5.5785710000000002E-2</v>
      </c>
      <c r="AA4582">
        <v>0.99843610000000005</v>
      </c>
      <c r="AB4582">
        <v>61</v>
      </c>
      <c r="AC4582">
        <v>-2.0999999999844398E-3</v>
      </c>
      <c r="AD4582">
        <v>-6.4482999999999999E-2</v>
      </c>
      <c r="AE4582">
        <v>0.56748000000000298</v>
      </c>
      <c r="AF4582">
        <v>4.3020144636124798E-3</v>
      </c>
      <c r="AG4582">
        <v>-6.4482999999999999E-2</v>
      </c>
      <c r="AH4582">
        <v>0.56023358746678598</v>
      </c>
      <c r="AI4582">
        <v>96.565670760235903</v>
      </c>
      <c r="AJ4582">
        <v>89.560036325876993</v>
      </c>
      <c r="AK4582">
        <v>0.56394878946882199</v>
      </c>
      <c r="AL4582">
        <v>87.229302535829106</v>
      </c>
      <c r="AM4582">
        <v>91.550962105140897</v>
      </c>
      <c r="AN4582">
        <v>1.00000003574595</v>
      </c>
    </row>
    <row r="4583" spans="1:40" x14ac:dyDescent="0.3">
      <c r="A4583" t="str">
        <f>"20200111154011522"</f>
        <v>20200111154011522</v>
      </c>
      <c r="B4583" t="str">
        <f>"1578728411515770"</f>
        <v>1578728411515770</v>
      </c>
      <c r="C4583" t="s">
        <v>40</v>
      </c>
      <c r="D4583">
        <v>5.3825349999999998</v>
      </c>
      <c r="E4583">
        <v>0.51258689999999996</v>
      </c>
      <c r="F4583" t="s">
        <v>41</v>
      </c>
      <c r="G4583">
        <v>-188.89449999999999</v>
      </c>
      <c r="H4583">
        <v>1.0399039999999999</v>
      </c>
      <c r="I4583">
        <v>74.853380000000001</v>
      </c>
      <c r="J4583">
        <v>-188.89529999999999</v>
      </c>
      <c r="K4583">
        <v>1.102579</v>
      </c>
      <c r="L4583">
        <v>74.337859999999907</v>
      </c>
      <c r="M4583">
        <v>-1.042565E-2</v>
      </c>
      <c r="N4583">
        <v>0</v>
      </c>
      <c r="O4583">
        <v>0.99984200000000001</v>
      </c>
      <c r="P4583">
        <v>-3.5191300000000002E-2</v>
      </c>
      <c r="Q4583">
        <v>3.3100089999999999E-2</v>
      </c>
      <c r="R4583">
        <v>0.99883230000000001</v>
      </c>
      <c r="S4583">
        <v>-1.5213010000000001E-2</v>
      </c>
      <c r="T4583">
        <v>-0.16974990000000001</v>
      </c>
      <c r="U4583">
        <v>3.0091860000000001</v>
      </c>
      <c r="V4583">
        <v>-2.4643829999999999E-2</v>
      </c>
      <c r="W4583">
        <v>4.7551160000000002E-2</v>
      </c>
      <c r="X4583">
        <v>0.99856480000000003</v>
      </c>
      <c r="Y4583">
        <v>5.3794350000000001E-3</v>
      </c>
      <c r="Z4583">
        <v>-5.6315690000000002E-2</v>
      </c>
      <c r="AA4583">
        <v>0.99839849999999997</v>
      </c>
      <c r="AB4583">
        <v>61</v>
      </c>
      <c r="AC4583">
        <v>7.9999999999813499E-4</v>
      </c>
      <c r="AD4583">
        <v>-6.2674999999999995E-2</v>
      </c>
      <c r="AE4583">
        <v>0.51552000000000897</v>
      </c>
      <c r="AF4583">
        <v>6.08520085623597E-3</v>
      </c>
      <c r="AG4583">
        <v>-6.2674999999999995E-2</v>
      </c>
      <c r="AH4583">
        <v>0.50797537574312701</v>
      </c>
      <c r="AI4583">
        <v>97.033218344309901</v>
      </c>
      <c r="AJ4583">
        <v>89.313668207639196</v>
      </c>
      <c r="AK4583">
        <v>0.51186342676131102</v>
      </c>
      <c r="AL4583">
        <v>87.274491572611893</v>
      </c>
      <c r="AM4583">
        <v>91.413729875651597</v>
      </c>
      <c r="AN4583">
        <v>1.0000000454867199</v>
      </c>
    </row>
    <row r="4584" spans="1:40" x14ac:dyDescent="0.3">
      <c r="A4584" t="str">
        <f>"20200111154011546"</f>
        <v>20200111154011546</v>
      </c>
      <c r="B4584" t="str">
        <f>"1578728411535290"</f>
        <v>1578728411535290</v>
      </c>
      <c r="C4584" t="s">
        <v>40</v>
      </c>
      <c r="D4584">
        <v>5.4323969999999999</v>
      </c>
      <c r="E4584">
        <v>0.51258549999999903</v>
      </c>
      <c r="F4584" t="s">
        <v>41</v>
      </c>
      <c r="G4584">
        <v>-188.89699999999999</v>
      </c>
      <c r="H4584">
        <v>1.041561</v>
      </c>
      <c r="I4584">
        <v>75.401910000000001</v>
      </c>
      <c r="J4584">
        <v>-188.90129999999999</v>
      </c>
      <c r="K4584">
        <v>1.1024830000000001</v>
      </c>
      <c r="L4584">
        <v>74.964079999999996</v>
      </c>
      <c r="M4584">
        <v>-9.3833449999999995E-3</v>
      </c>
      <c r="N4584">
        <v>0</v>
      </c>
      <c r="O4584">
        <v>0.99984930000000005</v>
      </c>
      <c r="P4584">
        <v>-3.1431340000000002E-2</v>
      </c>
      <c r="Q4584">
        <v>3.1105130000000002E-2</v>
      </c>
      <c r="R4584">
        <v>0.99902179999999996</v>
      </c>
      <c r="S4584">
        <v>-5.432129E-3</v>
      </c>
      <c r="T4584">
        <v>-0.17256160000000001</v>
      </c>
      <c r="U4584">
        <v>3.0090330000000001</v>
      </c>
      <c r="V4584">
        <v>-2.1917699999999998E-2</v>
      </c>
      <c r="W4584">
        <v>4.5763060000000001E-2</v>
      </c>
      <c r="X4584">
        <v>0.99871180000000004</v>
      </c>
      <c r="Y4584">
        <v>7.5820999999999996E-3</v>
      </c>
      <c r="Z4584">
        <v>-5.7249149999999999E-2</v>
      </c>
      <c r="AA4584">
        <v>0.99833110000000003</v>
      </c>
      <c r="AB4584">
        <v>61</v>
      </c>
      <c r="AC4584">
        <v>4.2999999999722097E-3</v>
      </c>
      <c r="AD4584">
        <v>-6.0922000000000101E-2</v>
      </c>
      <c r="AE4584">
        <v>0.437829999999991</v>
      </c>
      <c r="AF4584">
        <v>8.2488645268856495E-3</v>
      </c>
      <c r="AG4584">
        <v>-6.0922000000000101E-2</v>
      </c>
      <c r="AH4584">
        <v>0.42945628508584499</v>
      </c>
      <c r="AI4584">
        <v>98.072548322171002</v>
      </c>
      <c r="AJ4584">
        <v>88.899615561082499</v>
      </c>
      <c r="AK4584">
        <v>0.43383434009967098</v>
      </c>
      <c r="AL4584">
        <v>87.377053611977303</v>
      </c>
      <c r="AM4584">
        <v>91.257209695243603</v>
      </c>
      <c r="AN4584">
        <v>0.99999995134654496</v>
      </c>
    </row>
    <row r="4585" spans="1:40" x14ac:dyDescent="0.3">
      <c r="A4585" t="str">
        <f>"20200111154011569"</f>
        <v>20200111154011569</v>
      </c>
      <c r="B4585" t="str">
        <f>"1578728411565545"</f>
        <v>1578728411565545</v>
      </c>
      <c r="C4585" t="s">
        <v>40</v>
      </c>
      <c r="D4585">
        <v>5.4793320000000003</v>
      </c>
      <c r="E4585">
        <v>0.53558930000000005</v>
      </c>
      <c r="F4585" t="s">
        <v>42</v>
      </c>
      <c r="G4585">
        <v>-188.86799999999999</v>
      </c>
      <c r="H4585" s="1">
        <v>-1.8531610000000001E-6</v>
      </c>
      <c r="I4585">
        <v>93.484449999999995</v>
      </c>
      <c r="J4585">
        <v>-188.9068</v>
      </c>
      <c r="K4585">
        <v>1.1023889999999901</v>
      </c>
      <c r="L4585">
        <v>75.599239999999995</v>
      </c>
      <c r="M4585">
        <v>-8.2925680000000002E-3</v>
      </c>
      <c r="N4585">
        <v>0</v>
      </c>
      <c r="O4585">
        <v>0.99985630000000003</v>
      </c>
      <c r="P4585">
        <v>-2.7738769999999999E-2</v>
      </c>
      <c r="Q4585">
        <v>2.9273649999999998E-2</v>
      </c>
      <c r="R4585">
        <v>0.99918649999999998</v>
      </c>
      <c r="S4585">
        <v>5.4168699999999998E-3</v>
      </c>
      <c r="T4585">
        <v>-0.17910239999999999</v>
      </c>
      <c r="U4585">
        <v>3.0086979999999999</v>
      </c>
      <c r="V4585">
        <v>-1.930983E-2</v>
      </c>
      <c r="W4585">
        <v>4.4111070000000002E-2</v>
      </c>
      <c r="X4585">
        <v>0.99883999999999995</v>
      </c>
      <c r="Y4585">
        <v>1.009062E-2</v>
      </c>
      <c r="Z4585">
        <v>-5.9418390000000001E-2</v>
      </c>
      <c r="AA4585">
        <v>0.99818220000000002</v>
      </c>
      <c r="AB4585">
        <v>61</v>
      </c>
      <c r="AC4585">
        <v>3.8800000000009001E-2</v>
      </c>
      <c r="AD4585">
        <v>-1.1023908531609901</v>
      </c>
      <c r="AE4585">
        <v>17.885209999999901</v>
      </c>
      <c r="AF4585">
        <v>0.18642096762243701</v>
      </c>
      <c r="AG4585">
        <v>-1.1023908531609901</v>
      </c>
      <c r="AH4585">
        <v>17.816586068865501</v>
      </c>
      <c r="AI4585">
        <v>93.540435810632999</v>
      </c>
      <c r="AJ4585">
        <v>89.400516751836406</v>
      </c>
      <c r="AK4585">
        <v>17.8516317887076</v>
      </c>
      <c r="AL4585">
        <v>87.471801519716706</v>
      </c>
      <c r="AM4585">
        <v>91.107518684332305</v>
      </c>
      <c r="AN4585">
        <v>1.00000000081558</v>
      </c>
    </row>
    <row r="4586" spans="1:40" x14ac:dyDescent="0.3">
      <c r="A4586" t="str">
        <f>"20200111154011592"</f>
        <v>20200111154011592</v>
      </c>
      <c r="B4586" t="str">
        <f>"1578728411586041"</f>
        <v>1578728411586041</v>
      </c>
      <c r="C4586" t="s">
        <v>40</v>
      </c>
      <c r="D4586">
        <v>5.4461050000000002</v>
      </c>
      <c r="E4586">
        <v>0.5693281</v>
      </c>
      <c r="F4586" t="s">
        <v>41</v>
      </c>
      <c r="G4586">
        <v>-188.84989999999999</v>
      </c>
      <c r="H4586">
        <v>1.001323</v>
      </c>
      <c r="I4586">
        <v>76.459919999999997</v>
      </c>
      <c r="J4586">
        <v>-188.91159999999999</v>
      </c>
      <c r="K4586">
        <v>1.1023000000000001</v>
      </c>
      <c r="L4586">
        <v>76.230829999999997</v>
      </c>
      <c r="M4586">
        <v>-7.183895E-3</v>
      </c>
      <c r="N4586">
        <v>0</v>
      </c>
      <c r="O4586">
        <v>0.99986260000000005</v>
      </c>
      <c r="P4586">
        <v>-2.358002E-2</v>
      </c>
      <c r="Q4586">
        <v>2.7719480000000001E-2</v>
      </c>
      <c r="R4586">
        <v>0.99933760000000005</v>
      </c>
      <c r="S4586">
        <v>0.199295</v>
      </c>
      <c r="T4586">
        <v>-0.35442810000000002</v>
      </c>
      <c r="U4586">
        <v>3.0183719999999998</v>
      </c>
      <c r="V4586">
        <v>-1.625443E-2</v>
      </c>
      <c r="W4586">
        <v>4.2706679999999997E-2</v>
      </c>
      <c r="X4586">
        <v>0.99895540000000005</v>
      </c>
      <c r="Y4586">
        <v>7.2603810000000005E-2</v>
      </c>
      <c r="Z4586">
        <v>-0.1163389</v>
      </c>
      <c r="AA4586">
        <v>0.9905524</v>
      </c>
      <c r="AB4586">
        <v>61</v>
      </c>
      <c r="AC4586">
        <v>6.1700000000001802E-2</v>
      </c>
      <c r="AD4586">
        <v>-0.100977</v>
      </c>
      <c r="AE4586">
        <v>0.229089999999985</v>
      </c>
      <c r="AF4586">
        <v>5.3629724502375499E-2</v>
      </c>
      <c r="AG4586">
        <v>-0.100977</v>
      </c>
      <c r="AH4586">
        <v>0.193575949708613</v>
      </c>
      <c r="AI4586">
        <v>116.688870767783</v>
      </c>
      <c r="AJ4586">
        <v>74.514743198270693</v>
      </c>
      <c r="AK4586">
        <v>0.224820261953393</v>
      </c>
      <c r="AL4586">
        <v>87.552343012143396</v>
      </c>
      <c r="AM4586">
        <v>90.932201837456006</v>
      </c>
      <c r="AN4586">
        <v>0.999999979100203</v>
      </c>
    </row>
    <row r="4587" spans="1:40" x14ac:dyDescent="0.3">
      <c r="A4587" t="str">
        <f>"20200111154011613"</f>
        <v>20200111154011613</v>
      </c>
      <c r="B4587" t="str">
        <f>"1578728411605562"</f>
        <v>1578728411605562</v>
      </c>
      <c r="C4587" t="s">
        <v>40</v>
      </c>
      <c r="D4587">
        <v>5.4321390000000003</v>
      </c>
      <c r="E4587">
        <v>0.56886349999999997</v>
      </c>
      <c r="F4587" t="s">
        <v>41</v>
      </c>
      <c r="G4587">
        <v>-188.79599999999999</v>
      </c>
      <c r="H4587">
        <v>0.9183443</v>
      </c>
      <c r="I4587">
        <v>76.962940000000003</v>
      </c>
      <c r="J4587">
        <v>-188.91540000000001</v>
      </c>
      <c r="K4587">
        <v>1.1022209999999999</v>
      </c>
      <c r="L4587">
        <v>76.809169999999995</v>
      </c>
      <c r="M4587">
        <v>-6.1538840000000001E-3</v>
      </c>
      <c r="N4587">
        <v>0</v>
      </c>
      <c r="O4587">
        <v>0.99986759999999997</v>
      </c>
      <c r="P4587">
        <v>-1.9697650000000001E-2</v>
      </c>
      <c r="Q4587">
        <v>2.5783190000000001E-2</v>
      </c>
      <c r="R4587">
        <v>0.99947350000000001</v>
      </c>
      <c r="S4587">
        <v>0.4789429</v>
      </c>
      <c r="T4587">
        <v>-0.76246219999999998</v>
      </c>
      <c r="U4587">
        <v>3.034424</v>
      </c>
      <c r="V4587">
        <v>-1.340068E-2</v>
      </c>
      <c r="W4587">
        <v>4.0886749999999999E-2</v>
      </c>
      <c r="X4587">
        <v>0.99907389999999996</v>
      </c>
      <c r="Y4587">
        <v>0.15739529999999999</v>
      </c>
      <c r="Z4587">
        <v>-0.2407658</v>
      </c>
      <c r="AA4587">
        <v>0.95773609999999998</v>
      </c>
      <c r="AB4587">
        <v>61</v>
      </c>
      <c r="AC4587">
        <v>0.119400000000013</v>
      </c>
      <c r="AD4587">
        <v>-0.183876699999999</v>
      </c>
      <c r="AE4587">
        <v>0.15377000000000801</v>
      </c>
      <c r="AF4587">
        <v>6.3604671124940504E-2</v>
      </c>
      <c r="AG4587">
        <v>-0.183876699999999</v>
      </c>
      <c r="AH4587">
        <v>8.0881093217489999E-2</v>
      </c>
      <c r="AI4587">
        <v>150.76928057042599</v>
      </c>
      <c r="AJ4587">
        <v>51.8185860890461</v>
      </c>
      <c r="AK4587">
        <v>0.210708201624564</v>
      </c>
      <c r="AL4587">
        <v>87.656708542858496</v>
      </c>
      <c r="AM4587">
        <v>90.768468044387504</v>
      </c>
      <c r="AN4587">
        <v>0.99999998110561705</v>
      </c>
    </row>
    <row r="4588" spans="1:40" x14ac:dyDescent="0.3">
      <c r="A4588" t="str">
        <f>"20200111154011636"</f>
        <v>20200111154011636</v>
      </c>
      <c r="B4588" t="str">
        <f>"1578728411626058"</f>
        <v>1578728411626058</v>
      </c>
      <c r="C4588" t="s">
        <v>40</v>
      </c>
      <c r="D4588">
        <v>5.4325700000000001</v>
      </c>
      <c r="E4588">
        <v>0.56674139999999995</v>
      </c>
      <c r="F4588" t="s">
        <v>41</v>
      </c>
      <c r="G4588">
        <v>-188.80359999999999</v>
      </c>
      <c r="H4588">
        <v>0.91820990000000002</v>
      </c>
      <c r="I4588">
        <v>77.504350000000002</v>
      </c>
      <c r="J4588">
        <v>-188.9187</v>
      </c>
      <c r="K4588">
        <v>1.10216</v>
      </c>
      <c r="L4588">
        <v>77.418819999999997</v>
      </c>
      <c r="M4588">
        <v>-5.0574890000000001E-3</v>
      </c>
      <c r="N4588">
        <v>0</v>
      </c>
      <c r="O4588">
        <v>0.99987199999999998</v>
      </c>
      <c r="P4588">
        <v>-1.577259E-2</v>
      </c>
      <c r="Q4588">
        <v>2.3961630000000001E-2</v>
      </c>
      <c r="R4588">
        <v>0.99958840000000004</v>
      </c>
      <c r="S4588">
        <v>0.48620609999999997</v>
      </c>
      <c r="T4588">
        <v>-0.80247559999999996</v>
      </c>
      <c r="U4588">
        <v>3.03186</v>
      </c>
      <c r="V4588">
        <v>-1.057205E-2</v>
      </c>
      <c r="W4588">
        <v>3.9168649999999999E-2</v>
      </c>
      <c r="X4588">
        <v>0.99917670000000003</v>
      </c>
      <c r="Y4588">
        <v>0.15819269999999999</v>
      </c>
      <c r="Z4588">
        <v>-0.252743</v>
      </c>
      <c r="AA4588">
        <v>0.95451350000000001</v>
      </c>
      <c r="AB4588">
        <v>61</v>
      </c>
      <c r="AC4588">
        <v>0.115100000000012</v>
      </c>
      <c r="AD4588">
        <v>-0.18395010000000001</v>
      </c>
      <c r="AE4588">
        <v>8.5530000000005602E-2</v>
      </c>
      <c r="AF4588">
        <v>4.3670351043346899E-2</v>
      </c>
      <c r="AG4588">
        <v>-0.18395010000000001</v>
      </c>
      <c r="AH4588">
        <v>3.21095508782396E-2</v>
      </c>
      <c r="AI4588">
        <v>163.581371231265</v>
      </c>
      <c r="AJ4588">
        <v>36.325973196391097</v>
      </c>
      <c r="AK4588">
        <v>0.19177007615334901</v>
      </c>
      <c r="AL4588">
        <v>87.755227466836303</v>
      </c>
      <c r="AM4588">
        <v>90.606210335814893</v>
      </c>
      <c r="AN4588">
        <v>1.00000001460345</v>
      </c>
    </row>
    <row r="4589" spans="1:40" x14ac:dyDescent="0.3">
      <c r="A4589" t="str">
        <f>"20200111154011658"</f>
        <v>20200111154011658</v>
      </c>
      <c r="B4589" t="str">
        <f>"1578728411655338"</f>
        <v>1578728411655338</v>
      </c>
      <c r="C4589" t="s">
        <v>40</v>
      </c>
      <c r="D4589">
        <v>5.4801299999999999</v>
      </c>
      <c r="E4589">
        <v>0.56480180000000002</v>
      </c>
      <c r="F4589" t="s">
        <v>41</v>
      </c>
      <c r="G4589">
        <v>-188.74019999999999</v>
      </c>
      <c r="H4589">
        <v>0.80299290000000001</v>
      </c>
      <c r="I4589">
        <v>78.540289999999999</v>
      </c>
      <c r="J4589">
        <v>-188.9213</v>
      </c>
      <c r="K4589">
        <v>1.1021000000000001</v>
      </c>
      <c r="L4589">
        <v>78.017330000000001</v>
      </c>
      <c r="M4589">
        <v>-3.9741159999999998E-3</v>
      </c>
      <c r="N4589">
        <v>0</v>
      </c>
      <c r="O4589">
        <v>0.99987550000000003</v>
      </c>
      <c r="P4589">
        <v>-1.183916E-2</v>
      </c>
      <c r="Q4589">
        <v>2.330517E-2</v>
      </c>
      <c r="R4589">
        <v>0.9996583</v>
      </c>
      <c r="S4589">
        <v>0.48144530000000002</v>
      </c>
      <c r="T4589">
        <v>-0.80779990000000002</v>
      </c>
      <c r="U4589">
        <v>3.0281980000000002</v>
      </c>
      <c r="V4589">
        <v>-7.7182780000000003E-3</v>
      </c>
      <c r="W4589">
        <v>3.859688E-2</v>
      </c>
      <c r="X4589">
        <v>0.99922509999999998</v>
      </c>
      <c r="Y4589">
        <v>0.15576110000000001</v>
      </c>
      <c r="Z4589">
        <v>-0.25467519999999999</v>
      </c>
      <c r="AA4589">
        <v>0.95439980000000002</v>
      </c>
      <c r="AB4589">
        <v>60</v>
      </c>
      <c r="AC4589">
        <v>0.181100000000014</v>
      </c>
      <c r="AD4589">
        <v>-0.29910710000000001</v>
      </c>
      <c r="AE4589">
        <v>0.52295999999999698</v>
      </c>
      <c r="AF4589">
        <v>0.141767198270872</v>
      </c>
      <c r="AG4589">
        <v>-0.29910710000000001</v>
      </c>
      <c r="AH4589">
        <v>0.40417682444655501</v>
      </c>
      <c r="AI4589">
        <v>124.927694396411</v>
      </c>
      <c r="AJ4589">
        <v>70.671405665041206</v>
      </c>
      <c r="AK4589">
        <v>0.52241927720527703</v>
      </c>
      <c r="AL4589">
        <v>87.788012336054706</v>
      </c>
      <c r="AM4589">
        <v>90.442558898711695</v>
      </c>
      <c r="AN4589">
        <v>1.00000004571551</v>
      </c>
    </row>
    <row r="4590" spans="1:40" x14ac:dyDescent="0.3">
      <c r="A4590" t="str">
        <f>"20200111154011680"</f>
        <v>20200111154011680</v>
      </c>
      <c r="B4590" t="str">
        <f>"1578728411675834"</f>
        <v>1578728411675834</v>
      </c>
      <c r="C4590" t="s">
        <v>40</v>
      </c>
      <c r="D4590">
        <v>5.4413900000000002</v>
      </c>
      <c r="E4590">
        <v>0.56495479999999998</v>
      </c>
      <c r="F4590" t="s">
        <v>41</v>
      </c>
      <c r="G4590">
        <v>-188.75210000000001</v>
      </c>
      <c r="H4590">
        <v>0.81908110000000001</v>
      </c>
      <c r="I4590">
        <v>79.087069999999997</v>
      </c>
      <c r="J4590">
        <v>-188.92320000000001</v>
      </c>
      <c r="K4590">
        <v>1.10206</v>
      </c>
      <c r="L4590">
        <v>78.621949999999998</v>
      </c>
      <c r="M4590">
        <v>-2.8733560000000001E-3</v>
      </c>
      <c r="N4590">
        <v>0</v>
      </c>
      <c r="O4590">
        <v>0.99987800000000004</v>
      </c>
      <c r="P4590">
        <v>-8.0946819999999902E-3</v>
      </c>
      <c r="Q4590">
        <v>2.3224020000000001E-2</v>
      </c>
      <c r="R4590">
        <v>0.99969750000000002</v>
      </c>
      <c r="S4590">
        <v>0.47824100000000003</v>
      </c>
      <c r="T4590">
        <v>-0.80040610000000001</v>
      </c>
      <c r="U4590">
        <v>3.02536</v>
      </c>
      <c r="V4590">
        <v>-5.0705250000000002E-3</v>
      </c>
      <c r="W4590">
        <v>3.8587349999999999E-2</v>
      </c>
      <c r="X4590">
        <v>0.99924239999999998</v>
      </c>
      <c r="Y4590">
        <v>0.15390529999999999</v>
      </c>
      <c r="Z4590">
        <v>-0.25277240000000001</v>
      </c>
      <c r="AA4590">
        <v>0.95520640000000001</v>
      </c>
      <c r="AB4590">
        <v>60</v>
      </c>
      <c r="AC4590">
        <v>0.17109999999999501</v>
      </c>
      <c r="AD4590">
        <v>-0.28297889999999998</v>
      </c>
      <c r="AE4590">
        <v>0.46511999999999798</v>
      </c>
      <c r="AF4590">
        <v>0.13003912590700301</v>
      </c>
      <c r="AG4590">
        <v>-0.28297889999999998</v>
      </c>
      <c r="AH4590">
        <v>0.350388796215864</v>
      </c>
      <c r="AI4590">
        <v>127.131257878455</v>
      </c>
      <c r="AJ4590">
        <v>69.638695212906796</v>
      </c>
      <c r="AK4590">
        <v>0.46878517534737602</v>
      </c>
      <c r="AL4590">
        <v>87.788558745692796</v>
      </c>
      <c r="AM4590">
        <v>90.290737451595206</v>
      </c>
      <c r="AN4590">
        <v>1.00000003388077</v>
      </c>
    </row>
    <row r="4591" spans="1:40" x14ac:dyDescent="0.3">
      <c r="A4591" t="str">
        <f>"20200111154011702"</f>
        <v>20200111154011702</v>
      </c>
      <c r="B4591" t="str">
        <f>"1578728411695354"</f>
        <v>1578728411695354</v>
      </c>
      <c r="C4591" t="s">
        <v>40</v>
      </c>
      <c r="D4591">
        <v>5.4657019999999896</v>
      </c>
      <c r="E4591">
        <v>0.56489119999999904</v>
      </c>
      <c r="F4591" t="s">
        <v>41</v>
      </c>
      <c r="G4591">
        <v>-188.75909999999999</v>
      </c>
      <c r="H4591">
        <v>0.83696369999999898</v>
      </c>
      <c r="I4591">
        <v>79.63449</v>
      </c>
      <c r="J4591">
        <v>-188.92449999999999</v>
      </c>
      <c r="K4591">
        <v>1.102033</v>
      </c>
      <c r="L4591">
        <v>79.18723</v>
      </c>
      <c r="M4591">
        <v>-1.839446E-3</v>
      </c>
      <c r="N4591">
        <v>0</v>
      </c>
      <c r="O4591">
        <v>0.99987950000000003</v>
      </c>
      <c r="P4591">
        <v>-4.2288580000000003E-3</v>
      </c>
      <c r="Q4591">
        <v>2.326843E-2</v>
      </c>
      <c r="R4591">
        <v>0.99972030000000001</v>
      </c>
      <c r="S4591">
        <v>0.48950199999999999</v>
      </c>
      <c r="T4591">
        <v>-0.79150580000000004</v>
      </c>
      <c r="U4591">
        <v>3.0232540000000001</v>
      </c>
      <c r="V4591">
        <v>-2.2345160000000002E-3</v>
      </c>
      <c r="W4591">
        <v>3.8685980000000002E-2</v>
      </c>
      <c r="X4591">
        <v>0.9992489</v>
      </c>
      <c r="Y4591">
        <v>0.15656339999999999</v>
      </c>
      <c r="Z4591">
        <v>-0.25018179999999901</v>
      </c>
      <c r="AA4591">
        <v>0.95545639999999998</v>
      </c>
      <c r="AB4591">
        <v>60</v>
      </c>
      <c r="AC4591">
        <v>0.16540000000000499</v>
      </c>
      <c r="AD4591">
        <v>-0.26506930000000001</v>
      </c>
      <c r="AE4591">
        <v>0.44725999999999999</v>
      </c>
      <c r="AF4591">
        <v>0.12698626127268001</v>
      </c>
      <c r="AG4591">
        <v>-0.26506930000000001</v>
      </c>
      <c r="AH4591">
        <v>0.34145275119351098</v>
      </c>
      <c r="AI4591">
        <v>126.04000808154601</v>
      </c>
      <c r="AJ4591">
        <v>69.599834694262199</v>
      </c>
      <c r="AK4591">
        <v>0.45052993868567898</v>
      </c>
      <c r="AL4591">
        <v>87.782903323465206</v>
      </c>
      <c r="AM4591">
        <v>90.128124356854599</v>
      </c>
      <c r="AN4591">
        <v>0.99999998113076205</v>
      </c>
    </row>
    <row r="4592" spans="1:40" x14ac:dyDescent="0.3">
      <c r="A4592" t="str">
        <f>"20200111154011724"</f>
        <v>20200111154011724</v>
      </c>
      <c r="B4592" t="str">
        <f>"1578728411715849"</f>
        <v>1578728411715849</v>
      </c>
      <c r="C4592" t="s">
        <v>40</v>
      </c>
      <c r="D4592">
        <v>5.45831</v>
      </c>
      <c r="E4592">
        <v>0.56535550000000001</v>
      </c>
      <c r="F4592" t="s">
        <v>41</v>
      </c>
      <c r="G4592">
        <v>-188.76130000000001</v>
      </c>
      <c r="H4592">
        <v>0.84494829999999999</v>
      </c>
      <c r="I4592">
        <v>80.17747</v>
      </c>
      <c r="J4592">
        <v>-188.92519999999999</v>
      </c>
      <c r="K4592">
        <v>1.102004</v>
      </c>
      <c r="L4592">
        <v>79.792850000000001</v>
      </c>
      <c r="M4592">
        <v>-7.2685369999999998E-4</v>
      </c>
      <c r="N4592">
        <v>0</v>
      </c>
      <c r="O4592">
        <v>0.99987999999999999</v>
      </c>
      <c r="P4592">
        <v>4.9798559999999895E-4</v>
      </c>
      <c r="Q4592">
        <v>2.2292280000000001E-2</v>
      </c>
      <c r="R4592">
        <v>0.99975139999999996</v>
      </c>
      <c r="S4592">
        <v>0.49801640000000003</v>
      </c>
      <c r="T4592">
        <v>-0.7843521</v>
      </c>
      <c r="U4592">
        <v>3.02121</v>
      </c>
      <c r="V4592">
        <v>1.3793049999999999E-3</v>
      </c>
      <c r="W4592">
        <v>3.7755879999999999E-2</v>
      </c>
      <c r="X4592">
        <v>0.99928609999999896</v>
      </c>
      <c r="Y4592">
        <v>0.15827569999999999</v>
      </c>
      <c r="Z4592">
        <v>-0.24813170000000001</v>
      </c>
      <c r="AA4592">
        <v>0.95570889999999997</v>
      </c>
      <c r="AB4592">
        <v>60</v>
      </c>
      <c r="AC4592">
        <v>0.163899999999983</v>
      </c>
      <c r="AD4592">
        <v>-0.2570557</v>
      </c>
      <c r="AE4592">
        <v>0.38461999999999802</v>
      </c>
      <c r="AF4592">
        <v>0.119140968964926</v>
      </c>
      <c r="AG4592">
        <v>-0.2570557</v>
      </c>
      <c r="AH4592">
        <v>0.27902251844241699</v>
      </c>
      <c r="AI4592">
        <v>130.273469708894</v>
      </c>
      <c r="AJ4592">
        <v>66.877803777183999</v>
      </c>
      <c r="AK4592">
        <v>0.39765031018011299</v>
      </c>
      <c r="AL4592">
        <v>87.836233267517798</v>
      </c>
      <c r="AM4592">
        <v>89.920915236414203</v>
      </c>
      <c r="AN4592">
        <v>1.00000005930503</v>
      </c>
    </row>
    <row r="4593" spans="1:40" x14ac:dyDescent="0.3">
      <c r="A4593" t="str">
        <f>"20200111154011747"</f>
        <v>20200111154011747</v>
      </c>
      <c r="B4593" t="str">
        <f>"1578728411735369"</f>
        <v>1578728411735369</v>
      </c>
      <c r="C4593" t="s">
        <v>40</v>
      </c>
      <c r="D4593">
        <v>5.4694450000000003</v>
      </c>
      <c r="E4593">
        <v>0.56623559999999995</v>
      </c>
      <c r="F4593" t="s">
        <v>41</v>
      </c>
      <c r="G4593">
        <v>-188.76730000000001</v>
      </c>
      <c r="H4593">
        <v>0.85966830000000005</v>
      </c>
      <c r="I4593">
        <v>80.722769999999997</v>
      </c>
      <c r="J4593">
        <v>-188.92519999999999</v>
      </c>
      <c r="K4593">
        <v>1.101988</v>
      </c>
      <c r="L4593">
        <v>80.419280000000001</v>
      </c>
      <c r="M4593">
        <v>4.2919479999999999E-4</v>
      </c>
      <c r="N4593">
        <v>0</v>
      </c>
      <c r="O4593">
        <v>0.99987939999999997</v>
      </c>
      <c r="P4593">
        <v>5.526535E-3</v>
      </c>
      <c r="Q4593">
        <v>2.1207159999999999E-2</v>
      </c>
      <c r="R4593">
        <v>0.99975990000000003</v>
      </c>
      <c r="S4593">
        <v>0.5124512</v>
      </c>
      <c r="T4593">
        <v>-0.78647630000000002</v>
      </c>
      <c r="U4593">
        <v>3.0180359999999999</v>
      </c>
      <c r="V4593">
        <v>5.2502119999999998E-3</v>
      </c>
      <c r="W4593">
        <v>3.670756E-2</v>
      </c>
      <c r="X4593">
        <v>0.99931230000000004</v>
      </c>
      <c r="Y4593">
        <v>0.16171140000000001</v>
      </c>
      <c r="Z4593">
        <v>-0.2488427</v>
      </c>
      <c r="AA4593">
        <v>0.95494849999999998</v>
      </c>
      <c r="AB4593">
        <v>60</v>
      </c>
      <c r="AC4593">
        <v>0.157899999999983</v>
      </c>
      <c r="AD4593">
        <v>-0.242319699999999</v>
      </c>
      <c r="AE4593">
        <v>0.30348999999999599</v>
      </c>
      <c r="AF4593">
        <v>0.105060395589074</v>
      </c>
      <c r="AG4593">
        <v>-0.242319699999999</v>
      </c>
      <c r="AH4593">
        <v>0.20214207539550499</v>
      </c>
      <c r="AI4593">
        <v>136.76729824803999</v>
      </c>
      <c r="AJ4593">
        <v>62.537502571312601</v>
      </c>
      <c r="AK4593">
        <v>0.332592757549867</v>
      </c>
      <c r="AL4593">
        <v>87.896339214355905</v>
      </c>
      <c r="AM4593">
        <v>89.698980767645494</v>
      </c>
      <c r="AN4593">
        <v>1.00000004130924</v>
      </c>
    </row>
    <row r="4594" spans="1:40" x14ac:dyDescent="0.3">
      <c r="A4594" t="str">
        <f>"20200111154011770"</f>
        <v>20200111154011770</v>
      </c>
      <c r="B4594" t="str">
        <f>"1578728411765625"</f>
        <v>1578728411765625</v>
      </c>
      <c r="C4594" t="s">
        <v>40</v>
      </c>
      <c r="D4594">
        <v>5.5170190000000003</v>
      </c>
      <c r="E4594">
        <v>0.56582489999999996</v>
      </c>
      <c r="F4594" t="s">
        <v>41</v>
      </c>
      <c r="G4594">
        <v>-188.77500000000001</v>
      </c>
      <c r="H4594">
        <v>0.87873729999999906</v>
      </c>
      <c r="I4594">
        <v>81.269450000000006</v>
      </c>
      <c r="J4594">
        <v>-188.9246</v>
      </c>
      <c r="K4594">
        <v>1.101972</v>
      </c>
      <c r="L4594">
        <v>81.019779999999997</v>
      </c>
      <c r="M4594">
        <v>1.542142E-3</v>
      </c>
      <c r="N4594">
        <v>0</v>
      </c>
      <c r="O4594">
        <v>0.99987760000000003</v>
      </c>
      <c r="P4594">
        <v>1.0829500000000001E-2</v>
      </c>
      <c r="Q4594">
        <v>2.0192930000000001E-2</v>
      </c>
      <c r="R4594">
        <v>0.9997374</v>
      </c>
      <c r="S4594">
        <v>0.53237919999999905</v>
      </c>
      <c r="T4594">
        <v>-0.79159159999999995</v>
      </c>
      <c r="U4594">
        <v>3.0145569999999999</v>
      </c>
      <c r="V4594">
        <v>9.4382579999999997E-3</v>
      </c>
      <c r="W4594">
        <v>3.5718300000000001E-2</v>
      </c>
      <c r="X4594">
        <v>0.99931729999999996</v>
      </c>
      <c r="Y4594">
        <v>0.16685320000000001</v>
      </c>
      <c r="Z4594">
        <v>-0.2503861</v>
      </c>
      <c r="AA4594">
        <v>0.9536597</v>
      </c>
      <c r="AB4594">
        <v>60</v>
      </c>
      <c r="AC4594">
        <v>0.14959999999999199</v>
      </c>
      <c r="AD4594">
        <v>-0.22323470000000001</v>
      </c>
      <c r="AE4594">
        <v>0.24966999999999401</v>
      </c>
      <c r="AF4594">
        <v>9.3949175029656704E-2</v>
      </c>
      <c r="AG4594">
        <v>-0.22323470000000001</v>
      </c>
      <c r="AH4594">
        <v>0.15734329172917799</v>
      </c>
      <c r="AI4594">
        <v>140.61677340244501</v>
      </c>
      <c r="AJ4594">
        <v>59.158710035542299</v>
      </c>
      <c r="AK4594">
        <v>0.28882016935286198</v>
      </c>
      <c r="AL4594">
        <v>87.953056696259907</v>
      </c>
      <c r="AM4594">
        <v>89.458874302679902</v>
      </c>
      <c r="AN4594">
        <v>0.99999997187412604</v>
      </c>
    </row>
    <row r="4595" spans="1:40" x14ac:dyDescent="0.3">
      <c r="A4595" t="str">
        <f>"20200111154011793"</f>
        <v>20200111154011793</v>
      </c>
      <c r="B4595" t="str">
        <f>"1578728411786121"</f>
        <v>1578728411786121</v>
      </c>
      <c r="C4595" t="s">
        <v>40</v>
      </c>
      <c r="D4595">
        <v>5.5205349999999997</v>
      </c>
      <c r="E4595">
        <v>0.56548489999999996</v>
      </c>
      <c r="F4595" t="s">
        <v>41</v>
      </c>
      <c r="G4595">
        <v>-188.78129999999999</v>
      </c>
      <c r="H4595">
        <v>0.89143150000000004</v>
      </c>
      <c r="I4595">
        <v>81.813029999999998</v>
      </c>
      <c r="J4595">
        <v>-188.92310000000001</v>
      </c>
      <c r="K4595">
        <v>1.101955</v>
      </c>
      <c r="L4595">
        <v>81.668180000000007</v>
      </c>
      <c r="M4595">
        <v>2.748052E-3</v>
      </c>
      <c r="N4595">
        <v>0</v>
      </c>
      <c r="O4595">
        <v>0.99987440000000005</v>
      </c>
      <c r="P4595">
        <v>1.696365E-2</v>
      </c>
      <c r="Q4595">
        <v>1.9473580000000001E-2</v>
      </c>
      <c r="R4595">
        <v>0.99966650000000001</v>
      </c>
      <c r="S4595">
        <v>0.54325869999999998</v>
      </c>
      <c r="T4595">
        <v>-0.79916279999999995</v>
      </c>
      <c r="U4595">
        <v>3.011047</v>
      </c>
      <c r="V4595">
        <v>1.4365609999999999E-2</v>
      </c>
      <c r="W4595">
        <v>3.5016829999999999E-2</v>
      </c>
      <c r="X4595">
        <v>0.99928349999999999</v>
      </c>
      <c r="Y4595">
        <v>0.16908429999999999</v>
      </c>
      <c r="Z4595">
        <v>-0.2527742</v>
      </c>
      <c r="AA4595">
        <v>0.95263620000000004</v>
      </c>
      <c r="AB4595">
        <v>60</v>
      </c>
      <c r="AC4595">
        <v>0.141800000000017</v>
      </c>
      <c r="AD4595">
        <v>-0.2105235</v>
      </c>
      <c r="AE4595">
        <v>0.14484999999999101</v>
      </c>
      <c r="AF4595">
        <v>6.8025773400722397E-2</v>
      </c>
      <c r="AG4595">
        <v>-0.2105235</v>
      </c>
      <c r="AH4595">
        <v>6.9872079791254996E-2</v>
      </c>
      <c r="AI4595">
        <v>155.145809050412</v>
      </c>
      <c r="AJ4595">
        <v>45.767084047530098</v>
      </c>
      <c r="AK4595">
        <v>0.23201240792977401</v>
      </c>
      <c r="AL4595">
        <v>87.993273248408798</v>
      </c>
      <c r="AM4595">
        <v>89.176377746204693</v>
      </c>
      <c r="AN4595">
        <v>1.0000000312530799</v>
      </c>
    </row>
    <row r="4596" spans="1:40" x14ac:dyDescent="0.3">
      <c r="A4596" t="str">
        <f>"20200111154011814"</f>
        <v>20200111154011814</v>
      </c>
      <c r="B4596" t="str">
        <f>"1578728411805644"</f>
        <v>1578728411805644</v>
      </c>
      <c r="C4596" t="s">
        <v>40</v>
      </c>
      <c r="D4596">
        <v>5.4875590000000001</v>
      </c>
      <c r="E4596">
        <v>0.56498029999999999</v>
      </c>
      <c r="F4596" t="s">
        <v>41</v>
      </c>
      <c r="G4596">
        <v>-188.79480000000001</v>
      </c>
      <c r="H4596">
        <v>0.9166493</v>
      </c>
      <c r="I4596">
        <v>82.361289999999997</v>
      </c>
      <c r="J4596">
        <v>-188.9212</v>
      </c>
      <c r="K4596">
        <v>1.1019330000000001</v>
      </c>
      <c r="L4596">
        <v>82.230409999999907</v>
      </c>
      <c r="M4596">
        <v>3.7973439999999998E-3</v>
      </c>
      <c r="N4596">
        <v>0</v>
      </c>
      <c r="O4596">
        <v>0.9998705</v>
      </c>
      <c r="P4596">
        <v>2.3215099999999999E-2</v>
      </c>
      <c r="Q4596">
        <v>1.6976339999999999E-2</v>
      </c>
      <c r="R4596">
        <v>0.99958630000000004</v>
      </c>
      <c r="S4596">
        <v>0.55654910000000002</v>
      </c>
      <c r="T4596">
        <v>-0.80397919999999901</v>
      </c>
      <c r="U4596">
        <v>3.0072329999999998</v>
      </c>
      <c r="V4596">
        <v>1.9558740000000002E-2</v>
      </c>
      <c r="W4596">
        <v>3.2524869999999997E-2</v>
      </c>
      <c r="X4596">
        <v>0.99927960000000005</v>
      </c>
      <c r="Y4596">
        <v>0.17226129999999901</v>
      </c>
      <c r="Z4596">
        <v>-0.25432939999999998</v>
      </c>
      <c r="AA4596">
        <v>0.95165259999999996</v>
      </c>
      <c r="AB4596">
        <v>60</v>
      </c>
      <c r="AC4596">
        <v>0.12639999999998899</v>
      </c>
      <c r="AD4596">
        <v>-0.1852837</v>
      </c>
      <c r="AE4596">
        <v>0.13088000000000399</v>
      </c>
      <c r="AF4596">
        <v>6.1808883090152401E-2</v>
      </c>
      <c r="AG4596">
        <v>-0.1852837</v>
      </c>
      <c r="AH4596">
        <v>6.4487912689720497E-2</v>
      </c>
      <c r="AI4596">
        <v>154.26124931771301</v>
      </c>
      <c r="AJ4596">
        <v>46.215185802482097</v>
      </c>
      <c r="AK4596">
        <v>0.205691707167836</v>
      </c>
      <c r="AL4596">
        <v>88.136133622326497</v>
      </c>
      <c r="AM4596">
        <v>88.878702032867295</v>
      </c>
      <c r="AN4596">
        <v>1.00000006522753</v>
      </c>
    </row>
    <row r="4597" spans="1:40" x14ac:dyDescent="0.3">
      <c r="A4597" t="str">
        <f>"20200111154011838"</f>
        <v>20200111154011838</v>
      </c>
      <c r="B4597" t="str">
        <f>"1578728411825652"</f>
        <v>1578728411825652</v>
      </c>
      <c r="C4597" t="s">
        <v>40</v>
      </c>
      <c r="D4597">
        <v>5.4949349999999999</v>
      </c>
      <c r="E4597">
        <v>0.56449850000000001</v>
      </c>
      <c r="F4597" t="s">
        <v>41</v>
      </c>
      <c r="G4597">
        <v>-188.79390000000001</v>
      </c>
      <c r="H4597">
        <v>0.92053470000000004</v>
      </c>
      <c r="I4597">
        <v>82.900790000000001</v>
      </c>
      <c r="J4597">
        <v>-188.91849999999999</v>
      </c>
      <c r="K4597">
        <v>1.1019209999999999</v>
      </c>
      <c r="L4597">
        <v>82.83578</v>
      </c>
      <c r="M4597">
        <v>4.9301099999999997E-3</v>
      </c>
      <c r="N4597">
        <v>0</v>
      </c>
      <c r="O4597">
        <v>0.99986509999999995</v>
      </c>
      <c r="P4597">
        <v>2.9156459999999999E-2</v>
      </c>
      <c r="Q4597">
        <v>1.4783640000000001E-2</v>
      </c>
      <c r="R4597">
        <v>0.99946550000000001</v>
      </c>
      <c r="S4597">
        <v>0.56938169999999899</v>
      </c>
      <c r="T4597">
        <v>-0.81221960000000004</v>
      </c>
      <c r="U4597">
        <v>3.0018310000000001</v>
      </c>
      <c r="V4597">
        <v>2.4359639999999998E-2</v>
      </c>
      <c r="W4597">
        <v>3.033632E-2</v>
      </c>
      <c r="X4597">
        <v>0.99924279999999999</v>
      </c>
      <c r="Y4597">
        <v>0.17524960000000001</v>
      </c>
      <c r="Z4597">
        <v>-0.2570229</v>
      </c>
      <c r="AA4597">
        <v>0.95038250000000002</v>
      </c>
      <c r="AB4597">
        <v>60</v>
      </c>
      <c r="AC4597">
        <v>0.124599999999986</v>
      </c>
      <c r="AD4597">
        <v>-0.181386299999999</v>
      </c>
      <c r="AE4597">
        <v>6.50100000000009E-2</v>
      </c>
      <c r="AF4597">
        <v>4.6620257326876399E-2</v>
      </c>
      <c r="AG4597">
        <v>-0.181386299999999</v>
      </c>
      <c r="AH4597">
        <v>2.4617305777610499E-2</v>
      </c>
      <c r="AI4597">
        <v>163.79330231710401</v>
      </c>
      <c r="AJ4597">
        <v>27.8357933449137</v>
      </c>
      <c r="AK4597">
        <v>0.188892694312571</v>
      </c>
      <c r="AL4597">
        <v>88.261590063913204</v>
      </c>
      <c r="AM4597">
        <v>88.603514405323295</v>
      </c>
      <c r="AN4597">
        <v>0.99999992886195299</v>
      </c>
    </row>
    <row r="4598" spans="1:40" x14ac:dyDescent="0.3">
      <c r="A4598" t="str">
        <f>"20200111154011859"</f>
        <v>20200111154011859</v>
      </c>
      <c r="B4598" t="str">
        <f>"1578728411855907"</f>
        <v>1578728411855907</v>
      </c>
      <c r="C4598" t="s">
        <v>40</v>
      </c>
      <c r="D4598">
        <v>5.3790420000000001</v>
      </c>
      <c r="E4598">
        <v>0.56403719999999902</v>
      </c>
      <c r="F4598" t="s">
        <v>41</v>
      </c>
      <c r="G4598">
        <v>-188.7062</v>
      </c>
      <c r="H4598">
        <v>0.80309869999999905</v>
      </c>
      <c r="I4598">
        <v>83.928349999999995</v>
      </c>
      <c r="J4598">
        <v>-188.9151</v>
      </c>
      <c r="K4598">
        <v>1.101915</v>
      </c>
      <c r="L4598">
        <v>83.42792</v>
      </c>
      <c r="M4598">
        <v>6.0409119999999998E-3</v>
      </c>
      <c r="N4598">
        <v>0</v>
      </c>
      <c r="O4598">
        <v>0.99985869999999999</v>
      </c>
      <c r="P4598">
        <v>3.5775800000000003E-2</v>
      </c>
      <c r="Q4598">
        <v>1.30349E-2</v>
      </c>
      <c r="R4598">
        <v>0.99927480000000002</v>
      </c>
      <c r="S4598">
        <v>0.58201599999999998</v>
      </c>
      <c r="T4598">
        <v>-0.81961459999999997</v>
      </c>
      <c r="U4598">
        <v>2.9967350000000001</v>
      </c>
      <c r="V4598">
        <v>2.9862650000000001E-2</v>
      </c>
      <c r="W4598">
        <v>2.8582320000000001E-2</v>
      </c>
      <c r="X4598">
        <v>0.99914530000000001</v>
      </c>
      <c r="Y4598">
        <v>0.1781934</v>
      </c>
      <c r="Z4598">
        <v>-0.25944119999999998</v>
      </c>
      <c r="AA4598">
        <v>0.94917720000000005</v>
      </c>
      <c r="AB4598">
        <v>60</v>
      </c>
      <c r="AC4598">
        <v>0.208899999999999</v>
      </c>
      <c r="AD4598">
        <v>-0.29881629999999998</v>
      </c>
      <c r="AE4598">
        <v>0.50042999999999405</v>
      </c>
      <c r="AF4598">
        <v>0.157921503293496</v>
      </c>
      <c r="AG4598">
        <v>-0.29881629999999998</v>
      </c>
      <c r="AH4598">
        <v>0.38483249502823103</v>
      </c>
      <c r="AI4598">
        <v>125.69163285555</v>
      </c>
      <c r="AJ4598">
        <v>67.688505865069502</v>
      </c>
      <c r="AK4598">
        <v>0.51217812485288805</v>
      </c>
      <c r="AL4598">
        <v>88.362130681386105</v>
      </c>
      <c r="AM4598">
        <v>88.288042188994893</v>
      </c>
      <c r="AN4598">
        <v>1.00000002869684</v>
      </c>
    </row>
    <row r="4599" spans="1:40" x14ac:dyDescent="0.3">
      <c r="A4599" t="str">
        <f>"20200111154011881"</f>
        <v>20200111154011881</v>
      </c>
      <c r="B4599" t="str">
        <f>"1578728411875429"</f>
        <v>1578728411875429</v>
      </c>
      <c r="C4599" t="s">
        <v>40</v>
      </c>
      <c r="D4599">
        <v>5.3330060000000001</v>
      </c>
      <c r="E4599">
        <v>0.56373099999999998</v>
      </c>
      <c r="F4599" t="s">
        <v>41</v>
      </c>
      <c r="G4599">
        <v>-188.70740000000001</v>
      </c>
      <c r="H4599">
        <v>0.81499779999999999</v>
      </c>
      <c r="I4599">
        <v>84.469269999999995</v>
      </c>
      <c r="J4599">
        <v>-188.91120000000001</v>
      </c>
      <c r="K4599">
        <v>1.101915</v>
      </c>
      <c r="L4599">
        <v>84.006100000000004</v>
      </c>
      <c r="M4599">
        <v>7.1276519999999999E-3</v>
      </c>
      <c r="N4599">
        <v>0</v>
      </c>
      <c r="O4599">
        <v>0.9998513</v>
      </c>
      <c r="P4599">
        <v>4.2012029999999999E-2</v>
      </c>
      <c r="Q4599">
        <v>1.2881439999999999E-2</v>
      </c>
      <c r="R4599">
        <v>0.99903399999999998</v>
      </c>
      <c r="S4599">
        <v>0.59663389999999905</v>
      </c>
      <c r="T4599">
        <v>-0.82424629999999999</v>
      </c>
      <c r="U4599">
        <v>2.9915769999999999</v>
      </c>
      <c r="V4599">
        <v>3.5014009999999998E-2</v>
      </c>
      <c r="W4599">
        <v>2.8421209999999999E-2</v>
      </c>
      <c r="X4599">
        <v>0.99898260000000005</v>
      </c>
      <c r="Y4599">
        <v>0.18181240000000001</v>
      </c>
      <c r="Z4599">
        <v>-0.26101400000000002</v>
      </c>
      <c r="AA4599">
        <v>0.94805910000000004</v>
      </c>
      <c r="AB4599">
        <v>60</v>
      </c>
      <c r="AC4599">
        <v>0.20380000000000101</v>
      </c>
      <c r="AD4599">
        <v>-0.28691719999999998</v>
      </c>
      <c r="AE4599">
        <v>0.46316999999999098</v>
      </c>
      <c r="AF4599">
        <v>0.15171724713620299</v>
      </c>
      <c r="AG4599">
        <v>-0.28691719999999998</v>
      </c>
      <c r="AH4599">
        <v>0.35158070699398902</v>
      </c>
      <c r="AI4599">
        <v>126.84382192859</v>
      </c>
      <c r="AJ4599">
        <v>66.658404780908199</v>
      </c>
      <c r="AK4599">
        <v>0.47848573256140098</v>
      </c>
      <c r="AL4599">
        <v>88.371365293745797</v>
      </c>
      <c r="AM4599">
        <v>87.992623600081998</v>
      </c>
      <c r="AN4599">
        <v>0.99999999058845201</v>
      </c>
    </row>
    <row r="4600" spans="1:40" x14ac:dyDescent="0.3">
      <c r="A4600" t="str">
        <f>"20200111154011902"</f>
        <v>20200111154011902</v>
      </c>
      <c r="B4600" t="str">
        <f>"1578728411895923"</f>
        <v>1578728411895923</v>
      </c>
      <c r="C4600" t="s">
        <v>40</v>
      </c>
      <c r="D4600">
        <v>5.4098739999999896</v>
      </c>
      <c r="E4600">
        <v>0.50830909999999996</v>
      </c>
      <c r="F4600" t="s">
        <v>41</v>
      </c>
      <c r="G4600">
        <v>-188.70529999999999</v>
      </c>
      <c r="H4600">
        <v>0.82538310000000004</v>
      </c>
      <c r="I4600">
        <v>85.00967</v>
      </c>
      <c r="J4600">
        <v>-188.9066</v>
      </c>
      <c r="K4600">
        <v>1.101917</v>
      </c>
      <c r="L4600">
        <v>84.59787</v>
      </c>
      <c r="M4600">
        <v>8.2418700000000001E-3</v>
      </c>
      <c r="N4600">
        <v>0</v>
      </c>
      <c r="O4600">
        <v>0.99984249999999997</v>
      </c>
      <c r="P4600">
        <v>4.7990199999999997E-2</v>
      </c>
      <c r="Q4600">
        <v>1.278283E-2</v>
      </c>
      <c r="R4600">
        <v>0.99876600000000004</v>
      </c>
      <c r="S4600">
        <v>0.61283869999999996</v>
      </c>
      <c r="T4600">
        <v>-0.82325669999999995</v>
      </c>
      <c r="U4600">
        <v>2.9877319999999998</v>
      </c>
      <c r="V4600">
        <v>3.9880600000000002E-2</v>
      </c>
      <c r="W4600">
        <v>2.8313020000000001E-2</v>
      </c>
      <c r="X4600">
        <v>0.99880329999999995</v>
      </c>
      <c r="Y4600">
        <v>0.18590219999999999</v>
      </c>
      <c r="Z4600">
        <v>-0.26079570000000002</v>
      </c>
      <c r="AA4600">
        <v>0.94732570000000005</v>
      </c>
      <c r="AB4600">
        <v>60</v>
      </c>
      <c r="AC4600">
        <v>0.201300000000003</v>
      </c>
      <c r="AD4600">
        <v>-0.2765339</v>
      </c>
      <c r="AE4600">
        <v>0.411799999999999</v>
      </c>
      <c r="AF4600">
        <v>0.145089959066552</v>
      </c>
      <c r="AG4600">
        <v>-0.2765339</v>
      </c>
      <c r="AH4600">
        <v>0.303118464424598</v>
      </c>
      <c r="AI4600">
        <v>129.45051118795601</v>
      </c>
      <c r="AJ4600">
        <v>64.421537800434194</v>
      </c>
      <c r="AK4600">
        <v>0.435204431900998</v>
      </c>
      <c r="AL4600">
        <v>88.377566733598599</v>
      </c>
      <c r="AM4600">
        <v>87.7134868063619</v>
      </c>
      <c r="AN4600">
        <v>1.00000006072438</v>
      </c>
    </row>
    <row r="4601" spans="1:40" x14ac:dyDescent="0.3">
      <c r="A4601" t="str">
        <f>"20200111154011925"</f>
        <v>20200111154011925</v>
      </c>
      <c r="B4601" t="str">
        <f>"1578728411915443"</f>
        <v>1578728411915443</v>
      </c>
      <c r="C4601" t="s">
        <v>40</v>
      </c>
      <c r="D4601">
        <v>5.2538879999999999</v>
      </c>
      <c r="E4601">
        <v>0.50523300000000004</v>
      </c>
      <c r="F4601" t="s">
        <v>41</v>
      </c>
      <c r="G4601">
        <v>-188.84059999999999</v>
      </c>
      <c r="H4601">
        <v>0.95228409999999997</v>
      </c>
      <c r="I4601">
        <v>85.598219999999998</v>
      </c>
      <c r="J4601">
        <v>-188.90119999999999</v>
      </c>
      <c r="K4601">
        <v>1.1019219999999901</v>
      </c>
      <c r="L4601">
        <v>85.194369999999907</v>
      </c>
      <c r="M4601">
        <v>9.3666649999999997E-3</v>
      </c>
      <c r="N4601">
        <v>0</v>
      </c>
      <c r="O4601">
        <v>0.99983230000000001</v>
      </c>
      <c r="P4601">
        <v>5.3238460000000001E-2</v>
      </c>
      <c r="Q4601">
        <v>1.2494770000000001E-2</v>
      </c>
      <c r="R4601">
        <v>0.99850360000000005</v>
      </c>
      <c r="S4601">
        <v>0.19773859999999999</v>
      </c>
      <c r="T4601">
        <v>-0.44873730000000001</v>
      </c>
      <c r="U4601">
        <v>2.9999690000000001</v>
      </c>
      <c r="V4601">
        <v>4.4006179999999999E-2</v>
      </c>
      <c r="W4601">
        <v>2.8016070000000001E-2</v>
      </c>
      <c r="X4601">
        <v>0.99863829999999998</v>
      </c>
      <c r="Y4601">
        <v>5.5699560000000002E-2</v>
      </c>
      <c r="Z4601">
        <v>-0.147653799999999</v>
      </c>
      <c r="AA4601">
        <v>0.98746940000000005</v>
      </c>
      <c r="AB4601">
        <v>60</v>
      </c>
      <c r="AC4601">
        <v>6.0599999999993701E-2</v>
      </c>
      <c r="AD4601">
        <v>-0.14963789999999899</v>
      </c>
      <c r="AE4601">
        <v>0.40385000000000498</v>
      </c>
      <c r="AF4601">
        <v>5.0088817891305801E-2</v>
      </c>
      <c r="AG4601">
        <v>-0.14963789999999899</v>
      </c>
      <c r="AH4601">
        <v>0.35652946114627698</v>
      </c>
      <c r="AI4601">
        <v>112.56900770285699</v>
      </c>
      <c r="AJ4601">
        <v>82.002857181177305</v>
      </c>
      <c r="AK4601">
        <v>0.38988927589690497</v>
      </c>
      <c r="AL4601">
        <v>88.394587287286498</v>
      </c>
      <c r="AM4601">
        <v>87.476825930338904</v>
      </c>
      <c r="AN4601">
        <v>0.99999994914166201</v>
      </c>
    </row>
    <row r="4602" spans="1:40" x14ac:dyDescent="0.3">
      <c r="A4602" t="str">
        <f>"20200111154011991"</f>
        <v>20200111154011991</v>
      </c>
      <c r="B4602" t="str">
        <f>"1578728411985718"</f>
        <v>1578728411985718</v>
      </c>
      <c r="C4602" t="s">
        <v>40</v>
      </c>
      <c r="D4602">
        <v>5.2914349999999999</v>
      </c>
      <c r="E4602">
        <v>0.50225980000000003</v>
      </c>
      <c r="F4602" t="s">
        <v>41</v>
      </c>
      <c r="G4602">
        <v>-188.83019999999999</v>
      </c>
      <c r="H4602">
        <v>1.041906</v>
      </c>
      <c r="I4602">
        <v>87.249039999999994</v>
      </c>
      <c r="J4602">
        <v>-188.88140000000001</v>
      </c>
      <c r="K4602">
        <v>1.1019139999999901</v>
      </c>
      <c r="L4602">
        <v>86.971100000000007</v>
      </c>
      <c r="M4602">
        <v>1.2714319999999999E-2</v>
      </c>
      <c r="N4602">
        <v>0</v>
      </c>
      <c r="O4602">
        <v>0.99979499999999999</v>
      </c>
      <c r="P4602">
        <v>6.3674270000000005E-2</v>
      </c>
      <c r="Q4602">
        <v>1.328645E-2</v>
      </c>
      <c r="R4602">
        <v>0.9978823</v>
      </c>
      <c r="S4602">
        <v>0.2015991</v>
      </c>
      <c r="T4602">
        <v>-0.20694850000000001</v>
      </c>
      <c r="U4602">
        <v>2.9962770000000001</v>
      </c>
      <c r="V4602">
        <v>5.1107949999999999E-2</v>
      </c>
      <c r="W4602">
        <v>2.8795379999999999E-2</v>
      </c>
      <c r="X4602">
        <v>0.99827790000000005</v>
      </c>
      <c r="Y4602">
        <v>5.4279870000000001E-2</v>
      </c>
      <c r="Z4602">
        <v>-6.8767910000000002E-2</v>
      </c>
      <c r="AA4602">
        <v>0.99615500000000001</v>
      </c>
      <c r="AB4602">
        <v>60</v>
      </c>
      <c r="AC4602">
        <v>5.12000000000227E-2</v>
      </c>
      <c r="AD4602">
        <v>-6.0007999999999798E-2</v>
      </c>
      <c r="AE4602">
        <v>0.27794000000000002</v>
      </c>
      <c r="AF4602">
        <v>4.5605520252243903E-2</v>
      </c>
      <c r="AG4602">
        <v>-6.0007999999999798E-2</v>
      </c>
      <c r="AH4602">
        <v>0.26655135756195703</v>
      </c>
      <c r="AI4602">
        <v>102.511368989331</v>
      </c>
      <c r="AJ4602">
        <v>80.291006682406504</v>
      </c>
      <c r="AK4602">
        <v>0.277002616882224</v>
      </c>
      <c r="AL4602">
        <v>88.349918137510102</v>
      </c>
      <c r="AM4602">
        <v>87.069237456323705</v>
      </c>
      <c r="AN4602">
        <v>0.99999998104547805</v>
      </c>
    </row>
    <row r="4603" spans="1:40" x14ac:dyDescent="0.3">
      <c r="A4603" t="str">
        <f>"20200111154012013"</f>
        <v>20200111154012013</v>
      </c>
      <c r="B4603" t="str">
        <f>"1578728412005235"</f>
        <v>1578728412005235</v>
      </c>
      <c r="C4603" t="s">
        <v>40</v>
      </c>
      <c r="D4603">
        <v>5.3284859999999998</v>
      </c>
      <c r="E4603">
        <v>0.50128359999999905</v>
      </c>
      <c r="F4603" t="s">
        <v>41</v>
      </c>
      <c r="G4603">
        <v>-188.82589999999999</v>
      </c>
      <c r="H4603">
        <v>1.047658</v>
      </c>
      <c r="I4603">
        <v>87.788679999999999</v>
      </c>
      <c r="J4603">
        <v>-188.87370000000001</v>
      </c>
      <c r="K4603">
        <v>1.1019019999999999</v>
      </c>
      <c r="L4603">
        <v>87.552030000000002</v>
      </c>
      <c r="M4603">
        <v>1.3793980000000001E-2</v>
      </c>
      <c r="N4603">
        <v>0</v>
      </c>
      <c r="O4603">
        <v>0.99978060000000002</v>
      </c>
      <c r="P4603">
        <v>6.3925880000000004E-2</v>
      </c>
      <c r="Q4603">
        <v>1.230912E-2</v>
      </c>
      <c r="R4603">
        <v>0.99787870000000001</v>
      </c>
      <c r="S4603">
        <v>0.2028961</v>
      </c>
      <c r="T4603">
        <v>-0.19885349999999999</v>
      </c>
      <c r="U4603">
        <v>2.9960629999999999</v>
      </c>
      <c r="V4603">
        <v>5.0276500000000002E-2</v>
      </c>
      <c r="W4603">
        <v>2.7828740000000001E-2</v>
      </c>
      <c r="X4603">
        <v>0.9983476</v>
      </c>
      <c r="Y4603">
        <v>5.3647819999999999E-2</v>
      </c>
      <c r="Z4603">
        <v>-6.609342E-2</v>
      </c>
      <c r="AA4603">
        <v>0.99637019999999998</v>
      </c>
      <c r="AB4603">
        <v>60</v>
      </c>
      <c r="AC4603">
        <v>4.7800000000023601E-2</v>
      </c>
      <c r="AD4603">
        <v>-5.4243999999999903E-2</v>
      </c>
      <c r="AE4603">
        <v>0.236649999999997</v>
      </c>
      <c r="AF4603">
        <v>4.23907910531151E-2</v>
      </c>
      <c r="AG4603">
        <v>-5.4243999999999903E-2</v>
      </c>
      <c r="AH4603">
        <v>0.225884163950067</v>
      </c>
      <c r="AI4603">
        <v>103.279954012449</v>
      </c>
      <c r="AJ4603">
        <v>79.3711536013478</v>
      </c>
      <c r="AK4603">
        <v>0.236142004365021</v>
      </c>
      <c r="AL4603">
        <v>88.405324850214399</v>
      </c>
      <c r="AM4603">
        <v>87.117036423909099</v>
      </c>
      <c r="AN4603">
        <v>1.0000000478239901</v>
      </c>
    </row>
    <row r="4604" spans="1:40" x14ac:dyDescent="0.3">
      <c r="A4604" t="str">
        <f>"20200111154012037"</f>
        <v>20200111154012037</v>
      </c>
      <c r="B4604" t="str">
        <f>"1578728412025730"</f>
        <v>1578728412025730</v>
      </c>
      <c r="C4604" t="s">
        <v>40</v>
      </c>
      <c r="D4604">
        <v>8.7797260000000001</v>
      </c>
      <c r="E4604">
        <v>0.50074079999999999</v>
      </c>
      <c r="F4604" t="s">
        <v>42</v>
      </c>
      <c r="G4604">
        <v>-187.78460000000001</v>
      </c>
      <c r="H4604" s="1">
        <v>-2.3405560000000001E-6</v>
      </c>
      <c r="I4604">
        <v>104.1726</v>
      </c>
      <c r="J4604">
        <v>-188.86439999999999</v>
      </c>
      <c r="K4604">
        <v>1.1018969999999999</v>
      </c>
      <c r="L4604">
        <v>88.190609999999893</v>
      </c>
      <c r="M4604">
        <v>1.4955029999999999E-2</v>
      </c>
      <c r="N4604">
        <v>0</v>
      </c>
      <c r="O4604">
        <v>0.99976379999999998</v>
      </c>
      <c r="P4604">
        <v>6.2415600000000002E-2</v>
      </c>
      <c r="Q4604">
        <v>1.0441219999999999E-2</v>
      </c>
      <c r="R4604">
        <v>0.99799559999999998</v>
      </c>
      <c r="S4604">
        <v>0.19631960000000001</v>
      </c>
      <c r="T4604">
        <v>-0.1986434</v>
      </c>
      <c r="U4604">
        <v>2.9962460000000002</v>
      </c>
      <c r="V4604">
        <v>4.7595709999999999E-2</v>
      </c>
      <c r="W4604">
        <v>2.5981190000000001E-2</v>
      </c>
      <c r="X4604">
        <v>0.99852870000000005</v>
      </c>
      <c r="Y4604">
        <v>5.0306770000000001E-2</v>
      </c>
      <c r="Z4604">
        <v>-6.6028790000000004E-2</v>
      </c>
      <c r="AA4604">
        <v>0.99654880000000001</v>
      </c>
      <c r="AB4604">
        <v>60</v>
      </c>
      <c r="AC4604">
        <v>1.0797999999999699</v>
      </c>
      <c r="AD4604">
        <v>-1.10189934055599</v>
      </c>
      <c r="AE4604">
        <v>15.98199</v>
      </c>
      <c r="AF4604">
        <v>0.83667918682766096</v>
      </c>
      <c r="AG4604">
        <v>-1.10189934055599</v>
      </c>
      <c r="AH4604">
        <v>15.9210145537645</v>
      </c>
      <c r="AI4604">
        <v>93.9537103527325</v>
      </c>
      <c r="AJ4604">
        <v>86.991766527234802</v>
      </c>
      <c r="AK4604">
        <v>15.9810174469452</v>
      </c>
      <c r="AL4604">
        <v>88.511219895213998</v>
      </c>
      <c r="AM4604">
        <v>87.271014028764796</v>
      </c>
      <c r="AN4604">
        <v>0.99999996928395396</v>
      </c>
    </row>
    <row r="4605" spans="1:40" x14ac:dyDescent="0.3">
      <c r="A4605" t="str">
        <f>"20200111154012059"</f>
        <v>20200111154012059</v>
      </c>
      <c r="B4605" t="str">
        <f>"1578728412055987"</f>
        <v>1578728412055987</v>
      </c>
      <c r="C4605" t="s">
        <v>40</v>
      </c>
      <c r="D4605">
        <v>5.285539</v>
      </c>
      <c r="E4605">
        <v>0.49992740000000002</v>
      </c>
      <c r="F4605" t="s">
        <v>41</v>
      </c>
      <c r="G4605">
        <v>-188.7901</v>
      </c>
      <c r="H4605">
        <v>1.022607</v>
      </c>
      <c r="I4605">
        <v>89.37276</v>
      </c>
      <c r="J4605">
        <v>-188.85509999999999</v>
      </c>
      <c r="K4605">
        <v>1.1019000000000001</v>
      </c>
      <c r="L4605">
        <v>88.787899999999993</v>
      </c>
      <c r="M4605">
        <v>1.6011520000000001E-2</v>
      </c>
      <c r="N4605">
        <v>0</v>
      </c>
      <c r="O4605">
        <v>0.99974750000000001</v>
      </c>
      <c r="P4605">
        <v>6.0413460000000002E-2</v>
      </c>
      <c r="Q4605">
        <v>7.2741739999999996E-3</v>
      </c>
      <c r="R4605">
        <v>0.99814700000000001</v>
      </c>
      <c r="S4605">
        <v>0.1878967</v>
      </c>
      <c r="T4605">
        <v>-0.20097370000000001</v>
      </c>
      <c r="U4605">
        <v>2.9963679999999999</v>
      </c>
      <c r="V4605">
        <v>4.4520860000000002E-2</v>
      </c>
      <c r="W4605">
        <v>2.2835000000000001E-2</v>
      </c>
      <c r="X4605">
        <v>0.99874750000000001</v>
      </c>
      <c r="Y4605">
        <v>4.6455259999999998E-2</v>
      </c>
      <c r="Z4605">
        <v>-6.6807809999999995E-2</v>
      </c>
      <c r="AA4605">
        <v>0.99668380000000001</v>
      </c>
      <c r="AB4605">
        <v>60</v>
      </c>
      <c r="AC4605">
        <v>6.4999999999997699E-2</v>
      </c>
      <c r="AD4605">
        <v>-7.9293000000000002E-2</v>
      </c>
      <c r="AE4605">
        <v>0.58486000000000604</v>
      </c>
      <c r="AF4605">
        <v>5.46340355039251E-2</v>
      </c>
      <c r="AG4605">
        <v>-7.9293000000000002E-2</v>
      </c>
      <c r="AH4605">
        <v>0.57537896005191802</v>
      </c>
      <c r="AI4605">
        <v>97.811810104817795</v>
      </c>
      <c r="AJ4605">
        <v>84.575848718859504</v>
      </c>
      <c r="AK4605">
        <v>0.58338084075059404</v>
      </c>
      <c r="AL4605">
        <v>88.6915372183865</v>
      </c>
      <c r="AM4605">
        <v>87.447633358100504</v>
      </c>
      <c r="AN4605">
        <v>1.0000000564781899</v>
      </c>
    </row>
    <row r="4606" spans="1:40" x14ac:dyDescent="0.3">
      <c r="A4606" t="str">
        <f>"20200111154012080"</f>
        <v>20200111154012080</v>
      </c>
      <c r="B4606" t="str">
        <f>"1578728412075508"</f>
        <v>1578728412075508</v>
      </c>
      <c r="C4606" t="s">
        <v>40</v>
      </c>
      <c r="D4606">
        <v>5.2542010000000001</v>
      </c>
      <c r="E4606">
        <v>0.49909769999999998</v>
      </c>
      <c r="F4606" t="s">
        <v>41</v>
      </c>
      <c r="G4606">
        <v>-188.78960000000001</v>
      </c>
      <c r="H4606">
        <v>1.0244719999999901</v>
      </c>
      <c r="I4606">
        <v>89.906490000000005</v>
      </c>
      <c r="J4606">
        <v>-188.8459</v>
      </c>
      <c r="K4606">
        <v>1.1019129999999999</v>
      </c>
      <c r="L4606">
        <v>89.345489999999998</v>
      </c>
      <c r="M4606">
        <v>1.6972620000000001E-2</v>
      </c>
      <c r="N4606">
        <v>0</v>
      </c>
      <c r="O4606">
        <v>0.9997315</v>
      </c>
      <c r="P4606">
        <v>5.8794279999999997E-2</v>
      </c>
      <c r="Q4606">
        <v>3.8349310000000002E-3</v>
      </c>
      <c r="R4606">
        <v>0.99826280000000001</v>
      </c>
      <c r="S4606">
        <v>0.17543029999999901</v>
      </c>
      <c r="T4606">
        <v>-0.20741499999999999</v>
      </c>
      <c r="U4606">
        <v>2.9964599999999999</v>
      </c>
      <c r="V4606">
        <v>4.1923549999999997E-2</v>
      </c>
      <c r="W4606">
        <v>1.9413980000000001E-2</v>
      </c>
      <c r="X4606">
        <v>0.99893220000000005</v>
      </c>
      <c r="Y4606">
        <v>4.135254E-2</v>
      </c>
      <c r="Z4606">
        <v>-6.8951639999999995E-2</v>
      </c>
      <c r="AA4606">
        <v>0.99676260000000005</v>
      </c>
      <c r="AB4606">
        <v>60</v>
      </c>
      <c r="AC4606">
        <v>5.6299999999993099E-2</v>
      </c>
      <c r="AD4606">
        <v>-7.7441000000000093E-2</v>
      </c>
      <c r="AE4606">
        <v>0.56100000000000705</v>
      </c>
      <c r="AF4606">
        <v>4.5903087153970602E-2</v>
      </c>
      <c r="AG4606">
        <v>-7.7441000000000093E-2</v>
      </c>
      <c r="AH4606">
        <v>0.55147116974272103</v>
      </c>
      <c r="AI4606">
        <v>97.966364676602197</v>
      </c>
      <c r="AJ4606">
        <v>85.241810745876293</v>
      </c>
      <c r="AK4606">
        <v>0.55877066221185101</v>
      </c>
      <c r="AL4606">
        <v>88.887591011615697</v>
      </c>
      <c r="AM4606">
        <v>87.596800171520997</v>
      </c>
      <c r="AN4606">
        <v>1.0000000134304401</v>
      </c>
    </row>
    <row r="4607" spans="1:40" x14ac:dyDescent="0.3">
      <c r="A4607" t="str">
        <f>"20200111154012103"</f>
        <v>20200111154012103</v>
      </c>
      <c r="B4607" t="str">
        <f>"1578728412095962"</f>
        <v>1578728412095962</v>
      </c>
      <c r="C4607" t="s">
        <v>40</v>
      </c>
      <c r="D4607">
        <v>5.2842599999999997</v>
      </c>
      <c r="E4607">
        <v>0.49892340000000002</v>
      </c>
      <c r="F4607" t="s">
        <v>41</v>
      </c>
      <c r="G4607">
        <v>-188.7861</v>
      </c>
      <c r="H4607">
        <v>1.022856</v>
      </c>
      <c r="I4607">
        <v>90.438059999999993</v>
      </c>
      <c r="J4607">
        <v>-188.8349</v>
      </c>
      <c r="K4607">
        <v>1.1019509999999999</v>
      </c>
      <c r="L4607">
        <v>89.96951</v>
      </c>
      <c r="M4607">
        <v>1.8011269999999999E-2</v>
      </c>
      <c r="N4607">
        <v>0</v>
      </c>
      <c r="O4607">
        <v>0.99971339999999997</v>
      </c>
      <c r="P4607">
        <v>5.7296329999999999E-2</v>
      </c>
      <c r="Q4607">
        <v>1.8912740000000001E-3</v>
      </c>
      <c r="R4607">
        <v>0.9983554</v>
      </c>
      <c r="S4607">
        <v>0.1634216</v>
      </c>
      <c r="T4607">
        <v>-0.21684709999999999</v>
      </c>
      <c r="U4607">
        <v>2.996429</v>
      </c>
      <c r="V4607">
        <v>3.9376429999999997E-2</v>
      </c>
      <c r="W4607">
        <v>1.7486939999999999E-2</v>
      </c>
      <c r="X4607">
        <v>0.99907140000000005</v>
      </c>
      <c r="Y4607">
        <v>3.6320560000000002E-2</v>
      </c>
      <c r="Z4607">
        <v>-7.2085140000000006E-2</v>
      </c>
      <c r="AA4607">
        <v>0.99673690000000004</v>
      </c>
      <c r="AB4607">
        <v>60</v>
      </c>
      <c r="AC4607">
        <v>4.8799999999999899E-2</v>
      </c>
      <c r="AD4607">
        <v>-7.9095000000000096E-2</v>
      </c>
      <c r="AE4607">
        <v>0.46854999999999303</v>
      </c>
      <c r="AF4607">
        <v>3.9245506871278299E-2</v>
      </c>
      <c r="AG4607">
        <v>-7.9095000000000096E-2</v>
      </c>
      <c r="AH4607">
        <v>0.45648457161010197</v>
      </c>
      <c r="AI4607">
        <v>99.794603325608094</v>
      </c>
      <c r="AJ4607">
        <v>85.086172959807101</v>
      </c>
      <c r="AK4607">
        <v>0.46494558063567198</v>
      </c>
      <c r="AL4607">
        <v>88.998021049868399</v>
      </c>
      <c r="AM4607">
        <v>87.742967981556006</v>
      </c>
      <c r="AN4607">
        <v>0.99999997930403395</v>
      </c>
    </row>
    <row r="4608" spans="1:40" x14ac:dyDescent="0.3">
      <c r="A4608" t="str">
        <f>"20200111154012128"</f>
        <v>20200111154012128</v>
      </c>
      <c r="B4608" t="str">
        <f>"1578728412125242"</f>
        <v>1578728412125242</v>
      </c>
      <c r="C4608" t="s">
        <v>40</v>
      </c>
      <c r="D4608">
        <v>5.2822709999999997</v>
      </c>
      <c r="E4608">
        <v>0.49873299999999998</v>
      </c>
      <c r="F4608" t="s">
        <v>41</v>
      </c>
      <c r="G4608">
        <v>-188.78219999999999</v>
      </c>
      <c r="H4608">
        <v>1.026848</v>
      </c>
      <c r="I4608">
        <v>90.972080000000005</v>
      </c>
      <c r="J4608">
        <v>-188.8229</v>
      </c>
      <c r="K4608">
        <v>1.1020110000000001</v>
      </c>
      <c r="L4608">
        <v>90.617369999999994</v>
      </c>
      <c r="M4608">
        <v>1.903993E-2</v>
      </c>
      <c r="N4608">
        <v>0</v>
      </c>
      <c r="O4608">
        <v>0.99969430000000004</v>
      </c>
      <c r="P4608">
        <v>5.4831320000000003E-2</v>
      </c>
      <c r="Q4608">
        <v>1.8027690000000001E-3</v>
      </c>
      <c r="R4608">
        <v>0.99849399999999999</v>
      </c>
      <c r="S4608">
        <v>0.15748599999999999</v>
      </c>
      <c r="T4608">
        <v>-0.22444800000000001</v>
      </c>
      <c r="U4608">
        <v>2.9963069999999998</v>
      </c>
      <c r="V4608">
        <v>3.5878859999999999E-2</v>
      </c>
      <c r="W4608">
        <v>1.7418280000000001E-2</v>
      </c>
      <c r="X4608">
        <v>0.99920430000000005</v>
      </c>
      <c r="Y4608">
        <v>3.3315709999999998E-2</v>
      </c>
      <c r="Z4608">
        <v>-7.4606749999999999E-2</v>
      </c>
      <c r="AA4608">
        <v>0.9966564</v>
      </c>
      <c r="AB4608">
        <v>59</v>
      </c>
      <c r="AC4608">
        <v>4.0700000000015203E-2</v>
      </c>
      <c r="AD4608">
        <v>-7.5162999999999994E-2</v>
      </c>
      <c r="AE4608">
        <v>0.35471000000001102</v>
      </c>
      <c r="AF4608">
        <v>3.2497882767901998E-2</v>
      </c>
      <c r="AG4608">
        <v>-7.5162999999999994E-2</v>
      </c>
      <c r="AH4608">
        <v>0.34033759778175399</v>
      </c>
      <c r="AI4608">
        <v>102.39913136813099</v>
      </c>
      <c r="AJ4608">
        <v>84.545524193882002</v>
      </c>
      <c r="AK4608">
        <v>0.35005038125568699</v>
      </c>
      <c r="AL4608">
        <v>89.001955559269007</v>
      </c>
      <c r="AM4608">
        <v>87.943539243936996</v>
      </c>
      <c r="AN4608">
        <v>0.99999996110577305</v>
      </c>
    </row>
    <row r="4609" spans="1:40" x14ac:dyDescent="0.3">
      <c r="A4609" t="str">
        <f>"20200111154012154"</f>
        <v>20200111154012154</v>
      </c>
      <c r="B4609" t="str">
        <f>"1578728412145738"</f>
        <v>1578728412145738</v>
      </c>
      <c r="C4609" t="s">
        <v>40</v>
      </c>
      <c r="D4609">
        <v>5.2842479999999998</v>
      </c>
      <c r="E4609">
        <v>0.49855270000000002</v>
      </c>
      <c r="F4609" t="s">
        <v>41</v>
      </c>
      <c r="G4609">
        <v>-188.77850000000001</v>
      </c>
      <c r="H4609">
        <v>1.036254</v>
      </c>
      <c r="I4609">
        <v>91.508700000000005</v>
      </c>
      <c r="J4609">
        <v>-188.80940000000001</v>
      </c>
      <c r="K4609">
        <v>1.102101</v>
      </c>
      <c r="L4609">
        <v>91.305790000000002</v>
      </c>
      <c r="M4609">
        <v>2.0066170000000001E-2</v>
      </c>
      <c r="N4609">
        <v>0</v>
      </c>
      <c r="O4609">
        <v>0.9996737</v>
      </c>
      <c r="P4609">
        <v>5.3130919999999998E-2</v>
      </c>
      <c r="Q4609">
        <v>2.4916859999999999E-3</v>
      </c>
      <c r="R4609">
        <v>0.99858440000000004</v>
      </c>
      <c r="S4609">
        <v>0.14849849999999901</v>
      </c>
      <c r="T4609">
        <v>-0.22112580000000001</v>
      </c>
      <c r="U4609">
        <v>2.9967649999999999</v>
      </c>
      <c r="V4609">
        <v>3.3151559999999997E-2</v>
      </c>
      <c r="W4609">
        <v>1.816108E-2</v>
      </c>
      <c r="X4609">
        <v>0.99928530000000004</v>
      </c>
      <c r="Y4609">
        <v>2.9304259999999999E-2</v>
      </c>
      <c r="Z4609">
        <v>-7.3505299999999996E-2</v>
      </c>
      <c r="AA4609">
        <v>0.99686419999999998</v>
      </c>
      <c r="AB4609">
        <v>59</v>
      </c>
      <c r="AC4609">
        <v>3.0900000000002498E-2</v>
      </c>
      <c r="AD4609">
        <v>-6.5846999999999906E-2</v>
      </c>
      <c r="AE4609">
        <v>0.20291000000000201</v>
      </c>
      <c r="AF4609">
        <v>2.43187092505995E-2</v>
      </c>
      <c r="AG4609">
        <v>-6.5846999999999906E-2</v>
      </c>
      <c r="AH4609">
        <v>0.18450011936823099</v>
      </c>
      <c r="AI4609">
        <v>109.48549266909301</v>
      </c>
      <c r="AJ4609">
        <v>82.491206467325597</v>
      </c>
      <c r="AK4609">
        <v>0.19740192774009799</v>
      </c>
      <c r="AL4609">
        <v>88.959389536054502</v>
      </c>
      <c r="AM4609">
        <v>88.099893904046695</v>
      </c>
      <c r="AN4609">
        <v>0.99999998077664398</v>
      </c>
    </row>
    <row r="4610" spans="1:40" x14ac:dyDescent="0.3">
      <c r="A4610" t="str">
        <f>"20200111154012174"</f>
        <v>20200111154012174</v>
      </c>
      <c r="B4610" t="str">
        <f>"1578728412165258"</f>
        <v>1578728412165258</v>
      </c>
      <c r="C4610" t="s">
        <v>40</v>
      </c>
      <c r="D4610">
        <v>5.2768860000000002</v>
      </c>
      <c r="E4610">
        <v>0.49830170000000001</v>
      </c>
      <c r="F4610" t="s">
        <v>42</v>
      </c>
      <c r="G4610">
        <v>-188.08879999999999</v>
      </c>
      <c r="H4610" s="1">
        <v>-3.2845219999999998E-6</v>
      </c>
      <c r="I4610">
        <v>106.4988</v>
      </c>
      <c r="J4610">
        <v>-188.7987</v>
      </c>
      <c r="K4610">
        <v>1.1022080000000001</v>
      </c>
      <c r="L4610">
        <v>91.829620000000006</v>
      </c>
      <c r="M4610">
        <v>2.078286E-2</v>
      </c>
      <c r="N4610">
        <v>0</v>
      </c>
      <c r="O4610">
        <v>0.99965680000000001</v>
      </c>
      <c r="P4610">
        <v>5.212634E-2</v>
      </c>
      <c r="Q4610">
        <v>4.2509820000000004E-3</v>
      </c>
      <c r="R4610">
        <v>0.99863150000000001</v>
      </c>
      <c r="S4610">
        <v>0.14216609999999999</v>
      </c>
      <c r="T4610">
        <v>-0.21742110000000001</v>
      </c>
      <c r="U4610">
        <v>2.9972530000000002</v>
      </c>
      <c r="V4610">
        <v>3.1434690000000001E-2</v>
      </c>
      <c r="W4610">
        <v>2.0071889999999998E-2</v>
      </c>
      <c r="X4610">
        <v>0.99930419999999998</v>
      </c>
      <c r="Y4610">
        <v>2.6482559999999999E-2</v>
      </c>
      <c r="Z4610">
        <v>-7.2273519999999994E-2</v>
      </c>
      <c r="AA4610">
        <v>0.99703319999999995</v>
      </c>
      <c r="AB4610">
        <v>59</v>
      </c>
      <c r="AC4610">
        <v>0.70990000000000397</v>
      </c>
      <c r="AD4610">
        <v>-1.102211284522</v>
      </c>
      <c r="AE4610">
        <v>14.669180000000001</v>
      </c>
      <c r="AF4610">
        <v>0.40257284161971701</v>
      </c>
      <c r="AG4610">
        <v>-1.102211284522</v>
      </c>
      <c r="AH4610">
        <v>14.598540021951299</v>
      </c>
      <c r="AI4610">
        <v>94.316089297817499</v>
      </c>
      <c r="AJ4610">
        <v>88.4203981607874</v>
      </c>
      <c r="AK4610">
        <v>14.645624103501101</v>
      </c>
      <c r="AL4610">
        <v>88.849888126165794</v>
      </c>
      <c r="AM4610">
        <v>88.198264997389501</v>
      </c>
      <c r="AN4610">
        <v>0.99999995232060201</v>
      </c>
    </row>
    <row r="4611" spans="1:40" x14ac:dyDescent="0.3">
      <c r="A4611" t="str">
        <f>"20200111154012216"</f>
        <v>20200111154012216</v>
      </c>
      <c r="B4611" t="str">
        <f>"1578728412205279"</f>
        <v>1578728412205279</v>
      </c>
      <c r="C4611" t="s">
        <v>40</v>
      </c>
      <c r="D4611">
        <v>5.6717409999999999</v>
      </c>
      <c r="E4611">
        <v>0.49833440000000001</v>
      </c>
      <c r="F4611" t="s">
        <v>42</v>
      </c>
      <c r="G4611">
        <v>-188.08240000000001</v>
      </c>
      <c r="H4611" s="1">
        <v>-3.7268890000000002E-6</v>
      </c>
      <c r="I4611">
        <v>107.5273</v>
      </c>
      <c r="J4611">
        <v>-188.77449999999999</v>
      </c>
      <c r="K4611">
        <v>1.1024890000000001</v>
      </c>
      <c r="L4611">
        <v>92.951689999999999</v>
      </c>
      <c r="M4611">
        <v>2.2145890000000001E-2</v>
      </c>
      <c r="N4611">
        <v>0</v>
      </c>
      <c r="O4611">
        <v>0.99961809999999995</v>
      </c>
      <c r="P4611">
        <v>5.225399E-2</v>
      </c>
      <c r="Q4611">
        <v>6.1421310000000003E-3</v>
      </c>
      <c r="R4611">
        <v>0.99861500000000003</v>
      </c>
      <c r="S4611">
        <v>0.136795</v>
      </c>
      <c r="T4611">
        <v>-0.2104944</v>
      </c>
      <c r="U4611">
        <v>2.9978639999999999</v>
      </c>
      <c r="V4611">
        <v>3.0202219999999998E-2</v>
      </c>
      <c r="W4611">
        <v>2.25566E-2</v>
      </c>
      <c r="X4611">
        <v>0.99928930000000005</v>
      </c>
      <c r="Y4611">
        <v>2.3334589999999999E-2</v>
      </c>
      <c r="Z4611">
        <v>-6.9970879999999999E-2</v>
      </c>
      <c r="AA4611">
        <v>0.9972761</v>
      </c>
      <c r="AB4611">
        <v>59</v>
      </c>
      <c r="AC4611">
        <v>0.69209999999998195</v>
      </c>
      <c r="AD4611">
        <v>-1.1024927268889999</v>
      </c>
      <c r="AE4611">
        <v>14.5756099999999</v>
      </c>
      <c r="AF4611">
        <v>0.367001239389323</v>
      </c>
      <c r="AG4611">
        <v>-1.1024927268889999</v>
      </c>
      <c r="AH4611">
        <v>14.504564709464301</v>
      </c>
      <c r="AI4611">
        <v>94.345311605006302</v>
      </c>
      <c r="AJ4611">
        <v>88.550584809724498</v>
      </c>
      <c r="AK4611">
        <v>14.5510335555105</v>
      </c>
      <c r="AL4611">
        <v>88.707492450657497</v>
      </c>
      <c r="AM4611">
        <v>88.268836544467604</v>
      </c>
      <c r="AN4611">
        <v>1.00000003969548</v>
      </c>
    </row>
    <row r="4612" spans="1:40" x14ac:dyDescent="0.3">
      <c r="A4612" t="str">
        <f>"20200111154012239"</f>
        <v>20200111154012239</v>
      </c>
      <c r="B4612" t="str">
        <f>"1578728412235535"</f>
        <v>1578728412235535</v>
      </c>
      <c r="C4612" t="s">
        <v>40</v>
      </c>
      <c r="D4612">
        <v>5.6037569999999999</v>
      </c>
      <c r="E4612">
        <v>0.54451930000000004</v>
      </c>
      <c r="F4612" t="s">
        <v>41</v>
      </c>
      <c r="G4612">
        <v>-188.71969999999999</v>
      </c>
      <c r="H4612">
        <v>1.021498</v>
      </c>
      <c r="I4612">
        <v>94.145709999999994</v>
      </c>
      <c r="J4612">
        <v>-188.76130000000001</v>
      </c>
      <c r="K4612">
        <v>1.1026180000000001</v>
      </c>
      <c r="L4612">
        <v>93.531649999999999</v>
      </c>
      <c r="M4612">
        <v>2.276477E-2</v>
      </c>
      <c r="N4612">
        <v>0</v>
      </c>
      <c r="O4612">
        <v>0.99959799999999999</v>
      </c>
      <c r="P4612">
        <v>5.3367339999999999E-2</v>
      </c>
      <c r="Q4612">
        <v>4.2312399999999998E-3</v>
      </c>
      <c r="R4612">
        <v>0.99856599999999995</v>
      </c>
      <c r="S4612">
        <v>0.1375122</v>
      </c>
      <c r="T4612">
        <v>-0.2033652</v>
      </c>
      <c r="U4612">
        <v>2.99823</v>
      </c>
      <c r="V4612">
        <v>3.0688650000000001E-2</v>
      </c>
      <c r="W4612">
        <v>2.1022030000000001E-2</v>
      </c>
      <c r="X4612">
        <v>0.99930790000000003</v>
      </c>
      <c r="Y4612">
        <v>2.2955469999999999E-2</v>
      </c>
      <c r="Z4612">
        <v>-6.7602389999999998E-2</v>
      </c>
      <c r="AA4612">
        <v>0.99744820000000001</v>
      </c>
      <c r="AB4612">
        <v>59</v>
      </c>
      <c r="AC4612">
        <v>4.16000000000167E-2</v>
      </c>
      <c r="AD4612">
        <v>-8.1119999999999998E-2</v>
      </c>
      <c r="AE4612">
        <v>0.61405999999999406</v>
      </c>
      <c r="AF4612">
        <v>2.71368678054064E-2</v>
      </c>
      <c r="AG4612">
        <v>-8.1119999999999998E-2</v>
      </c>
      <c r="AH4612">
        <v>0.60434931489468802</v>
      </c>
      <c r="AI4612">
        <v>97.637342300639204</v>
      </c>
      <c r="AJ4612">
        <v>87.428996365274401</v>
      </c>
      <c r="AK4612">
        <v>0.61037280280822404</v>
      </c>
      <c r="AL4612">
        <v>88.795437670694099</v>
      </c>
      <c r="AM4612">
        <v>88.241004922318098</v>
      </c>
      <c r="AN4612">
        <v>0.99999999899327596</v>
      </c>
    </row>
    <row r="4613" spans="1:40" x14ac:dyDescent="0.3">
      <c r="A4613" t="str">
        <f>"20200111154012260"</f>
        <v>20200111154012260</v>
      </c>
      <c r="B4613" t="str">
        <f>"1578728412256031"</f>
        <v>1578728412256031</v>
      </c>
      <c r="C4613" t="s">
        <v>40</v>
      </c>
      <c r="D4613">
        <v>5.5910869999999999</v>
      </c>
      <c r="E4613">
        <v>0.55300640000000001</v>
      </c>
      <c r="F4613" t="s">
        <v>42</v>
      </c>
      <c r="G4613">
        <v>-186.0163</v>
      </c>
      <c r="H4613" s="1">
        <v>-4.9816540000000001E-6</v>
      </c>
      <c r="I4613">
        <v>109.5979</v>
      </c>
      <c r="J4613">
        <v>-188.74789999999999</v>
      </c>
      <c r="K4613">
        <v>1.1027420000000001</v>
      </c>
      <c r="L4613">
        <v>94.105130000000003</v>
      </c>
      <c r="M4613">
        <v>2.3324370000000001E-2</v>
      </c>
      <c r="N4613">
        <v>0</v>
      </c>
      <c r="O4613">
        <v>0.99957850000000004</v>
      </c>
      <c r="P4613">
        <v>5.4611380000000001E-2</v>
      </c>
      <c r="Q4613">
        <v>2.127627E-3</v>
      </c>
      <c r="R4613">
        <v>0.99850539999999999</v>
      </c>
      <c r="S4613">
        <v>0.50880429999999999</v>
      </c>
      <c r="T4613">
        <v>-0.20437849999999999</v>
      </c>
      <c r="U4613">
        <v>2.9779969999999998</v>
      </c>
      <c r="V4613">
        <v>3.1365120000000003E-2</v>
      </c>
      <c r="W4613">
        <v>1.9306719999999999E-2</v>
      </c>
      <c r="X4613">
        <v>0.99932149999999997</v>
      </c>
      <c r="Y4613">
        <v>0.1449887</v>
      </c>
      <c r="Z4613">
        <v>-6.7591559999999995E-2</v>
      </c>
      <c r="AA4613">
        <v>0.9871219</v>
      </c>
      <c r="AB4613">
        <v>59</v>
      </c>
      <c r="AC4613">
        <v>2.7315999999999798</v>
      </c>
      <c r="AD4613">
        <v>-1.1027469816540001</v>
      </c>
      <c r="AE4613">
        <v>15.492769999999901</v>
      </c>
      <c r="AF4613">
        <v>2.3578580142058501</v>
      </c>
      <c r="AG4613">
        <v>-1.1027469816540001</v>
      </c>
      <c r="AH4613">
        <v>15.476232532188799</v>
      </c>
      <c r="AI4613">
        <v>94.029338538497996</v>
      </c>
      <c r="AJ4613">
        <v>81.337402432006897</v>
      </c>
      <c r="AK4613">
        <v>15.693607574776401</v>
      </c>
      <c r="AL4613">
        <v>88.893737683298795</v>
      </c>
      <c r="AM4613">
        <v>88.202281007566896</v>
      </c>
      <c r="AN4613">
        <v>0.99999999027601105</v>
      </c>
    </row>
    <row r="4614" spans="1:40" x14ac:dyDescent="0.3">
      <c r="A4614" t="str">
        <f>"20200111154012298"</f>
        <v>20200111154012298</v>
      </c>
      <c r="B4614" t="str">
        <f>"1578728412285311"</f>
        <v>1578728412285311</v>
      </c>
      <c r="C4614" t="s">
        <v>40</v>
      </c>
      <c r="D4614">
        <v>5.5595249999999998</v>
      </c>
      <c r="E4614">
        <v>0.55590329999999999</v>
      </c>
      <c r="F4614" t="s">
        <v>42</v>
      </c>
      <c r="G4614">
        <v>-186.14590000000001</v>
      </c>
      <c r="H4614" s="1">
        <v>-4.0441690000000004E-6</v>
      </c>
      <c r="I4614">
        <v>107.4662</v>
      </c>
      <c r="J4614">
        <v>-188.72470000000001</v>
      </c>
      <c r="K4614">
        <v>1.1029549999999999</v>
      </c>
      <c r="L4614">
        <v>95.071560000000005</v>
      </c>
      <c r="M4614">
        <v>2.4152409999999999E-2</v>
      </c>
      <c r="N4614">
        <v>0</v>
      </c>
      <c r="O4614">
        <v>0.99954730000000003</v>
      </c>
      <c r="P4614">
        <v>5.7281760000000001E-2</v>
      </c>
      <c r="Q4614">
        <v>5.2037280000000001E-4</v>
      </c>
      <c r="R4614">
        <v>0.99835790000000002</v>
      </c>
      <c r="S4614">
        <v>0.57905580000000001</v>
      </c>
      <c r="T4614">
        <v>-0.2454036</v>
      </c>
      <c r="U4614">
        <v>2.9733580000000002</v>
      </c>
      <c r="V4614">
        <v>3.3201130000000002E-2</v>
      </c>
      <c r="W4614">
        <v>1.8356549999999999E-2</v>
      </c>
      <c r="X4614">
        <v>0.9992801</v>
      </c>
      <c r="Y4614">
        <v>0.1667642</v>
      </c>
      <c r="Z4614">
        <v>-8.0888249999999995E-2</v>
      </c>
      <c r="AA4614">
        <v>0.98267329999999997</v>
      </c>
      <c r="AB4614">
        <v>59</v>
      </c>
      <c r="AC4614">
        <v>2.5788000000000002</v>
      </c>
      <c r="AD4614">
        <v>-1.10295904416899</v>
      </c>
      <c r="AE4614">
        <v>12.394640000000001</v>
      </c>
      <c r="AF4614">
        <v>2.2614740925907801</v>
      </c>
      <c r="AG4614">
        <v>-1.10295904416899</v>
      </c>
      <c r="AH4614">
        <v>12.3595076981813</v>
      </c>
      <c r="AI4614">
        <v>95.016699282586302</v>
      </c>
      <c r="AJ4614">
        <v>79.631037434188798</v>
      </c>
      <c r="AK4614">
        <v>12.613017651061</v>
      </c>
      <c r="AL4614">
        <v>88.948188080678307</v>
      </c>
      <c r="AM4614">
        <v>88.097044955117994</v>
      </c>
      <c r="AN4614">
        <v>0.99999999810859397</v>
      </c>
    </row>
    <row r="4615" spans="1:40" x14ac:dyDescent="0.3">
      <c r="A4615" t="str">
        <f>"20200111154012319"</f>
        <v>20200111154012319</v>
      </c>
      <c r="B4615" t="str">
        <f>"1578728412315567"</f>
        <v>1578728412315567</v>
      </c>
      <c r="C4615" t="s">
        <v>40</v>
      </c>
      <c r="D4615">
        <v>5.5947170000000002</v>
      </c>
      <c r="E4615">
        <v>0.55632320000000002</v>
      </c>
      <c r="F4615" t="s">
        <v>42</v>
      </c>
      <c r="G4615">
        <v>-186.04990000000001</v>
      </c>
      <c r="H4615" s="1">
        <v>-4.3325529999999996E-6</v>
      </c>
      <c r="I4615">
        <v>108.0988</v>
      </c>
      <c r="J4615">
        <v>-188.71100000000001</v>
      </c>
      <c r="K4615">
        <v>1.103075</v>
      </c>
      <c r="L4615">
        <v>95.627229999999997</v>
      </c>
      <c r="M4615">
        <v>2.4559170000000002E-2</v>
      </c>
      <c r="N4615">
        <v>0</v>
      </c>
      <c r="O4615">
        <v>0.99953080000000005</v>
      </c>
      <c r="P4615">
        <v>5.9698469999999997E-2</v>
      </c>
      <c r="Q4615">
        <v>-1.2930870000000001E-4</v>
      </c>
      <c r="R4615">
        <v>0.99821649999999995</v>
      </c>
      <c r="S4615">
        <v>0.60981750000000001</v>
      </c>
      <c r="T4615">
        <v>-0.25146289999999999</v>
      </c>
      <c r="U4615">
        <v>2.970062</v>
      </c>
      <c r="V4615">
        <v>3.5208940000000001E-2</v>
      </c>
      <c r="W4615">
        <v>1.8070969999999999E-2</v>
      </c>
      <c r="X4615">
        <v>0.99921660000000001</v>
      </c>
      <c r="Y4615">
        <v>0.17631350000000001</v>
      </c>
      <c r="Z4615">
        <v>-8.2807870000000006E-2</v>
      </c>
      <c r="AA4615">
        <v>0.98084470000000001</v>
      </c>
      <c r="AB4615">
        <v>58</v>
      </c>
      <c r="AC4615">
        <v>2.66109999999997</v>
      </c>
      <c r="AD4615">
        <v>-1.1030793325529999</v>
      </c>
      <c r="AE4615">
        <v>12.4715699999999</v>
      </c>
      <c r="AF4615">
        <v>2.336472155169</v>
      </c>
      <c r="AG4615">
        <v>-1.1030793325529999</v>
      </c>
      <c r="AH4615">
        <v>12.440091816709399</v>
      </c>
      <c r="AI4615">
        <v>94.980603484125595</v>
      </c>
      <c r="AJ4615">
        <v>79.362748966491495</v>
      </c>
      <c r="AK4615">
        <v>12.7055802919011</v>
      </c>
      <c r="AL4615">
        <v>88.964553348504595</v>
      </c>
      <c r="AM4615">
        <v>87.981929671614097</v>
      </c>
      <c r="AN4615">
        <v>1.0000000215641101</v>
      </c>
    </row>
    <row r="4616" spans="1:40" x14ac:dyDescent="0.3">
      <c r="A4616" t="str">
        <f>"20200111154012349"</f>
        <v>20200111154012349</v>
      </c>
      <c r="B4616" t="str">
        <f>"1578728412345822"</f>
        <v>1578728412345822</v>
      </c>
      <c r="C4616" t="s">
        <v>40</v>
      </c>
      <c r="D4616">
        <v>5.5287709999999999</v>
      </c>
      <c r="E4616">
        <v>0.55639300000000003</v>
      </c>
      <c r="F4616" t="s">
        <v>42</v>
      </c>
      <c r="G4616">
        <v>-185.97210000000001</v>
      </c>
      <c r="H4616" s="1">
        <v>-4.618281E-6</v>
      </c>
      <c r="I4616">
        <v>108.73260000000001</v>
      </c>
      <c r="J4616">
        <v>-188.6909</v>
      </c>
      <c r="K4616">
        <v>1.1032569999999999</v>
      </c>
      <c r="L4616">
        <v>96.423310000000001</v>
      </c>
      <c r="M4616">
        <v>2.5060450000000001E-2</v>
      </c>
      <c r="N4616">
        <v>0</v>
      </c>
      <c r="O4616">
        <v>0.99950919999999999</v>
      </c>
      <c r="P4616">
        <v>6.4260730000000002E-2</v>
      </c>
      <c r="Q4616">
        <v>-1.297313E-3</v>
      </c>
      <c r="R4616">
        <v>0.99793229999999999</v>
      </c>
      <c r="S4616">
        <v>0.62031559999999997</v>
      </c>
      <c r="T4616">
        <v>-0.24983540000000001</v>
      </c>
      <c r="U4616">
        <v>2.9682309999999998</v>
      </c>
      <c r="V4616">
        <v>3.9267700000000003E-2</v>
      </c>
      <c r="W4616">
        <v>1.7394440000000001E-2</v>
      </c>
      <c r="X4616">
        <v>0.99907729999999995</v>
      </c>
      <c r="Y4616">
        <v>0.1792734</v>
      </c>
      <c r="Z4616">
        <v>-8.2272219999999993E-2</v>
      </c>
      <c r="AA4616">
        <v>0.98035320000000004</v>
      </c>
      <c r="AB4616">
        <v>58</v>
      </c>
      <c r="AC4616">
        <v>2.7187999999999799</v>
      </c>
      <c r="AD4616">
        <v>-1.103261618281</v>
      </c>
      <c r="AE4616">
        <v>12.309290000000001</v>
      </c>
      <c r="AF4616">
        <v>2.3911001655298798</v>
      </c>
      <c r="AG4616">
        <v>-1.103261618281</v>
      </c>
      <c r="AH4616">
        <v>12.279513336581401</v>
      </c>
      <c r="AI4616">
        <v>95.039837994750798</v>
      </c>
      <c r="AJ4616">
        <v>78.981097116808698</v>
      </c>
      <c r="AK4616">
        <v>12.5587019227009</v>
      </c>
      <c r="AL4616">
        <v>89.003321721586403</v>
      </c>
      <c r="AM4616">
        <v>87.749207175778494</v>
      </c>
      <c r="AN4616">
        <v>0.99999998509074595</v>
      </c>
    </row>
    <row r="4617" spans="1:40" x14ac:dyDescent="0.3">
      <c r="A4617" t="str">
        <f>"20200111154012370"</f>
        <v>20200111154012370</v>
      </c>
      <c r="B4617" t="str">
        <f>"1578728412365344"</f>
        <v>1578728412365344</v>
      </c>
      <c r="C4617" t="s">
        <v>40</v>
      </c>
      <c r="D4617">
        <v>5.5169059999999996</v>
      </c>
      <c r="E4617">
        <v>0.55642239999999998</v>
      </c>
      <c r="F4617" t="s">
        <v>42</v>
      </c>
      <c r="G4617">
        <v>-185.92339999999999</v>
      </c>
      <c r="H4617" s="1">
        <v>-4.8982699999999998E-6</v>
      </c>
      <c r="I4617">
        <v>109.3652</v>
      </c>
      <c r="J4617">
        <v>-188.67699999999999</v>
      </c>
      <c r="K4617">
        <v>1.103394</v>
      </c>
      <c r="L4617">
        <v>96.967860000000002</v>
      </c>
      <c r="M4617">
        <v>2.5331989999999999E-2</v>
      </c>
      <c r="N4617">
        <v>0</v>
      </c>
      <c r="O4617">
        <v>0.99949639999999995</v>
      </c>
      <c r="P4617">
        <v>6.775333E-2</v>
      </c>
      <c r="Q4617">
        <v>-1.573811E-3</v>
      </c>
      <c r="R4617">
        <v>0.9977009</v>
      </c>
      <c r="S4617">
        <v>0.63404850000000001</v>
      </c>
      <c r="T4617">
        <v>-0.25276409999999999</v>
      </c>
      <c r="U4617">
        <v>2.9650569999999998</v>
      </c>
      <c r="V4617">
        <v>4.248905E-2</v>
      </c>
      <c r="W4617">
        <v>1.743449E-2</v>
      </c>
      <c r="X4617">
        <v>0.99894479999999997</v>
      </c>
      <c r="Y4617">
        <v>0.1835437</v>
      </c>
      <c r="Z4617">
        <v>-8.3243360000000002E-2</v>
      </c>
      <c r="AA4617">
        <v>0.97948060000000003</v>
      </c>
      <c r="AB4617">
        <v>58</v>
      </c>
      <c r="AC4617">
        <v>2.7536000000000298</v>
      </c>
      <c r="AD4617">
        <v>-1.10339889827</v>
      </c>
      <c r="AE4617">
        <v>12.39734</v>
      </c>
      <c r="AF4617">
        <v>2.4203380284983198</v>
      </c>
      <c r="AG4617">
        <v>-1.10339889827</v>
      </c>
      <c r="AH4617">
        <v>12.369746782412999</v>
      </c>
      <c r="AI4617">
        <v>95.002997764449006</v>
      </c>
      <c r="AJ4617">
        <v>78.929038225513807</v>
      </c>
      <c r="AK4617">
        <v>12.6525159854439</v>
      </c>
      <c r="AL4617">
        <v>89.001026689581906</v>
      </c>
      <c r="AM4617">
        <v>87.564453258153605</v>
      </c>
      <c r="AN4617">
        <v>0.99999999712925103</v>
      </c>
    </row>
    <row r="4618" spans="1:40" x14ac:dyDescent="0.3">
      <c r="A4618" t="str">
        <f>"20200111154012392"</f>
        <v>20200111154012392</v>
      </c>
      <c r="B4618" t="str">
        <f>"1578728412385839"</f>
        <v>1578728412385839</v>
      </c>
      <c r="C4618" t="s">
        <v>40</v>
      </c>
      <c r="D4618">
        <v>5.5082829999999996</v>
      </c>
      <c r="E4618">
        <v>0.55645849999999997</v>
      </c>
      <c r="F4618" t="s">
        <v>42</v>
      </c>
      <c r="G4618">
        <v>-185.86</v>
      </c>
      <c r="H4618" s="1">
        <v>-1.1958029999999999E-6</v>
      </c>
      <c r="I4618">
        <v>109.925</v>
      </c>
      <c r="J4618">
        <v>-188.66200000000001</v>
      </c>
      <c r="K4618">
        <v>1.10354</v>
      </c>
      <c r="L4618">
        <v>97.551670000000001</v>
      </c>
      <c r="M4618">
        <v>2.5553360000000001E-2</v>
      </c>
      <c r="N4618">
        <v>0</v>
      </c>
      <c r="O4618">
        <v>0.9994845</v>
      </c>
      <c r="P4618">
        <v>7.0776160000000005E-2</v>
      </c>
      <c r="Q4618">
        <v>-2.2061870000000001E-3</v>
      </c>
      <c r="R4618">
        <v>0.99748979999999998</v>
      </c>
      <c r="S4618">
        <v>0.64414979999999999</v>
      </c>
      <c r="T4618">
        <v>-0.25230160000000001</v>
      </c>
      <c r="U4618">
        <v>2.9627690000000002</v>
      </c>
      <c r="V4618">
        <v>4.5289330000000003E-2</v>
      </c>
      <c r="W4618">
        <v>1.7130320000000001E-2</v>
      </c>
      <c r="X4618">
        <v>0.99882700000000002</v>
      </c>
      <c r="Y4618">
        <v>0.18667320000000001</v>
      </c>
      <c r="Z4618">
        <v>-8.3099679999999995E-2</v>
      </c>
      <c r="AA4618">
        <v>0.97890120000000003</v>
      </c>
      <c r="AB4618">
        <v>58</v>
      </c>
      <c r="AC4618">
        <v>2.8019999999999898</v>
      </c>
      <c r="AD4618">
        <v>-1.1035411958029999</v>
      </c>
      <c r="AE4618">
        <v>12.3733299999999</v>
      </c>
      <c r="AF4618">
        <v>2.46618484835524</v>
      </c>
      <c r="AG4618">
        <v>-1.1035411958029999</v>
      </c>
      <c r="AH4618">
        <v>12.347477145208099</v>
      </c>
      <c r="AI4618">
        <v>95.008761696445305</v>
      </c>
      <c r="AJ4618">
        <v>78.704839468970405</v>
      </c>
      <c r="AK4618">
        <v>12.6396227288842</v>
      </c>
      <c r="AL4618">
        <v>89.018456927101298</v>
      </c>
      <c r="AM4618">
        <v>87.403843366130303</v>
      </c>
      <c r="AN4618">
        <v>0.99999997360207504</v>
      </c>
    </row>
    <row r="4619" spans="1:40" x14ac:dyDescent="0.3">
      <c r="A4619" t="str">
        <f>"20200111154012417"</f>
        <v>20200111154012417</v>
      </c>
      <c r="B4619" t="str">
        <f>"1578728412405358"</f>
        <v>1578728412405358</v>
      </c>
      <c r="C4619" t="s">
        <v>40</v>
      </c>
      <c r="D4619">
        <v>5.4662739999999896</v>
      </c>
      <c r="E4619">
        <v>0.55643529999999997</v>
      </c>
      <c r="F4619" t="s">
        <v>42</v>
      </c>
      <c r="G4619">
        <v>-185.83029999999999</v>
      </c>
      <c r="H4619" s="1">
        <v>-1.3614769999999901E-6</v>
      </c>
      <c r="I4619">
        <v>110.3886</v>
      </c>
      <c r="J4619">
        <v>-188.6464</v>
      </c>
      <c r="K4619">
        <v>1.1036969999999999</v>
      </c>
      <c r="L4619">
        <v>98.158289999999994</v>
      </c>
      <c r="M4619">
        <v>2.568867E-2</v>
      </c>
      <c r="N4619">
        <v>0</v>
      </c>
      <c r="O4619">
        <v>0.99947470000000005</v>
      </c>
      <c r="P4619">
        <v>7.2872010000000001E-2</v>
      </c>
      <c r="Q4619">
        <v>-2.344924E-3</v>
      </c>
      <c r="R4619">
        <v>0.99733850000000002</v>
      </c>
      <c r="S4619">
        <v>0.65310669999999904</v>
      </c>
      <c r="T4619">
        <v>-0.25451590000000002</v>
      </c>
      <c r="U4619">
        <v>2.9606629999999998</v>
      </c>
      <c r="V4619">
        <v>4.7247949999999997E-2</v>
      </c>
      <c r="W4619">
        <v>1.7324840000000001E-2</v>
      </c>
      <c r="X4619">
        <v>0.99873290000000003</v>
      </c>
      <c r="Y4619">
        <v>0.18949640000000001</v>
      </c>
      <c r="Z4619">
        <v>-8.383169E-2</v>
      </c>
      <c r="AA4619">
        <v>0.97829619999999995</v>
      </c>
      <c r="AB4619">
        <v>58</v>
      </c>
      <c r="AC4619">
        <v>2.8161</v>
      </c>
      <c r="AD4619">
        <v>-1.103698361477</v>
      </c>
      <c r="AE4619">
        <v>12.2303099999999</v>
      </c>
      <c r="AF4619">
        <v>2.4817354308469599</v>
      </c>
      <c r="AG4619">
        <v>-1.103698361477</v>
      </c>
      <c r="AH4619">
        <v>12.2042437281247</v>
      </c>
      <c r="AI4619">
        <v>95.064428184193702</v>
      </c>
      <c r="AJ4619">
        <v>78.505617334410104</v>
      </c>
      <c r="AK4619">
        <v>12.5028287118284</v>
      </c>
      <c r="AL4619">
        <v>89.007310086186095</v>
      </c>
      <c r="AM4619">
        <v>87.291476732859195</v>
      </c>
      <c r="AN4619">
        <v>0.99999996220131804</v>
      </c>
    </row>
    <row r="4620" spans="1:40" x14ac:dyDescent="0.3">
      <c r="A4620" t="str">
        <f>"20200111154012439"</f>
        <v>20200111154012439</v>
      </c>
      <c r="B4620" t="str">
        <f>"1578728412435615"</f>
        <v>1578728412435615</v>
      </c>
      <c r="C4620" t="s">
        <v>40</v>
      </c>
      <c r="D4620">
        <v>5.4748640000000002</v>
      </c>
      <c r="E4620">
        <v>0.5560619</v>
      </c>
      <c r="F4620" t="s">
        <v>42</v>
      </c>
      <c r="G4620">
        <v>-185.68899999999999</v>
      </c>
      <c r="H4620" s="1">
        <v>-1.754864E-6</v>
      </c>
      <c r="I4620">
        <v>111.4342</v>
      </c>
      <c r="J4620">
        <v>-188.63130000000001</v>
      </c>
      <c r="K4620">
        <v>1.1038669999999999</v>
      </c>
      <c r="L4620">
        <v>98.744749999999996</v>
      </c>
      <c r="M4620">
        <v>2.5711210000000002E-2</v>
      </c>
      <c r="N4620">
        <v>0</v>
      </c>
      <c r="O4620">
        <v>0.99946820000000003</v>
      </c>
      <c r="P4620">
        <v>7.4963509999999997E-2</v>
      </c>
      <c r="Q4620">
        <v>-1.6949669999999999E-3</v>
      </c>
      <c r="R4620">
        <v>0.99718479999999998</v>
      </c>
      <c r="S4620">
        <v>0.65921019999999997</v>
      </c>
      <c r="T4620">
        <v>-0.2460195</v>
      </c>
      <c r="U4620">
        <v>2.9592589999999999</v>
      </c>
      <c r="V4620">
        <v>4.9315610000000003E-2</v>
      </c>
      <c r="W4620">
        <v>1.8281220000000001E-2</v>
      </c>
      <c r="X4620">
        <v>0.9986159</v>
      </c>
      <c r="Y4620">
        <v>0.19154450000000001</v>
      </c>
      <c r="Z4620">
        <v>-8.1055429999999998E-2</v>
      </c>
      <c r="AA4620">
        <v>0.97813119999999998</v>
      </c>
      <c r="AB4620">
        <v>58</v>
      </c>
      <c r="AC4620">
        <v>2.9422999999999799</v>
      </c>
      <c r="AD4620">
        <v>-1.1038687548639901</v>
      </c>
      <c r="AE4620">
        <v>12.689450000000001</v>
      </c>
      <c r="AF4620">
        <v>2.5963548343110898</v>
      </c>
      <c r="AG4620">
        <v>-1.1038687548639901</v>
      </c>
      <c r="AH4620">
        <v>12.6699314351621</v>
      </c>
      <c r="AI4620">
        <v>94.878452451708895</v>
      </c>
      <c r="AJ4620">
        <v>78.419131665770493</v>
      </c>
      <c r="AK4620">
        <v>12.9802444979023</v>
      </c>
      <c r="AL4620">
        <v>88.952504870951003</v>
      </c>
      <c r="AM4620">
        <v>87.172804188234196</v>
      </c>
      <c r="AN4620">
        <v>0.99999997406358399</v>
      </c>
    </row>
    <row r="4621" spans="1:40" x14ac:dyDescent="0.3">
      <c r="A4621" t="str">
        <f>"20200111154012460"</f>
        <v>20200111154012460</v>
      </c>
      <c r="B4621" t="str">
        <f>"1578728412455137"</f>
        <v>1578728412455137</v>
      </c>
      <c r="C4621" t="s">
        <v>40</v>
      </c>
      <c r="D4621">
        <v>5.4489989999999997</v>
      </c>
      <c r="E4621">
        <v>0.55607689999999999</v>
      </c>
      <c r="F4621" t="s">
        <v>42</v>
      </c>
      <c r="G4621">
        <v>-185.51990000000001</v>
      </c>
      <c r="H4621" s="1">
        <v>-2.2083230000000001E-6</v>
      </c>
      <c r="I4621">
        <v>112.6344</v>
      </c>
      <c r="J4621">
        <v>-188.61760000000001</v>
      </c>
      <c r="K4621">
        <v>1.104017</v>
      </c>
      <c r="L4621">
        <v>99.278930000000003</v>
      </c>
      <c r="M4621">
        <v>2.5649430000000001E-2</v>
      </c>
      <c r="N4621">
        <v>0</v>
      </c>
      <c r="O4621">
        <v>0.99946480000000004</v>
      </c>
      <c r="P4621">
        <v>7.6995019999999997E-2</v>
      </c>
      <c r="Q4621" s="1">
        <v>7.7308269999999896E-5</v>
      </c>
      <c r="R4621">
        <v>0.99703149999999996</v>
      </c>
      <c r="S4621">
        <v>0.66267399999999999</v>
      </c>
      <c r="T4621">
        <v>-0.23510400000000001</v>
      </c>
      <c r="U4621">
        <v>2.9582519999999999</v>
      </c>
      <c r="V4621">
        <v>5.1408349999999998E-2</v>
      </c>
      <c r="W4621">
        <v>2.031169E-2</v>
      </c>
      <c r="X4621">
        <v>0.99847109999999994</v>
      </c>
      <c r="Y4621">
        <v>0.19282830000000001</v>
      </c>
      <c r="Z4621">
        <v>-7.7487819999999999E-2</v>
      </c>
      <c r="AA4621">
        <v>0.97816809999999998</v>
      </c>
      <c r="AB4621">
        <v>57</v>
      </c>
      <c r="AC4621">
        <v>3.0977000000000001</v>
      </c>
      <c r="AD4621">
        <v>-1.104019208323</v>
      </c>
      <c r="AE4621">
        <v>13.355469999999899</v>
      </c>
      <c r="AF4621">
        <v>2.73630598339982</v>
      </c>
      <c r="AG4621">
        <v>-1.104019208323</v>
      </c>
      <c r="AH4621">
        <v>13.344015315050701</v>
      </c>
      <c r="AI4621">
        <v>94.633619838209</v>
      </c>
      <c r="AJ4621">
        <v>78.411648044696705</v>
      </c>
      <c r="AK4621">
        <v>13.666344557907401</v>
      </c>
      <c r="AL4621">
        <v>88.836145805200005</v>
      </c>
      <c r="AM4621">
        <v>87.052610861565299</v>
      </c>
      <c r="AN4621">
        <v>0.99999996036779304</v>
      </c>
    </row>
    <row r="4622" spans="1:40" x14ac:dyDescent="0.3">
      <c r="A4622" t="str">
        <f>"20200111154012482"</f>
        <v>20200111154012482</v>
      </c>
      <c r="B4622" t="str">
        <f>"1578728412475632"</f>
        <v>1578728412475632</v>
      </c>
      <c r="C4622" t="s">
        <v>40</v>
      </c>
      <c r="D4622">
        <v>5.4532939999999996</v>
      </c>
      <c r="E4622">
        <v>0.55605509999999903</v>
      </c>
      <c r="F4622" t="s">
        <v>42</v>
      </c>
      <c r="G4622">
        <v>-185.4127</v>
      </c>
      <c r="H4622" s="1">
        <v>-2.5166499999999999E-6</v>
      </c>
      <c r="I4622">
        <v>113.4567</v>
      </c>
      <c r="J4622">
        <v>-188.60329999999999</v>
      </c>
      <c r="K4622">
        <v>1.104174</v>
      </c>
      <c r="L4622">
        <v>99.837980000000002</v>
      </c>
      <c r="M4622">
        <v>2.5492440000000002E-2</v>
      </c>
      <c r="N4622">
        <v>0</v>
      </c>
      <c r="O4622">
        <v>0.99946400000000002</v>
      </c>
      <c r="P4622">
        <v>7.8927639999999993E-2</v>
      </c>
      <c r="Q4622">
        <v>6.9007949999999997E-4</v>
      </c>
      <c r="R4622">
        <v>0.99688010000000005</v>
      </c>
      <c r="S4622">
        <v>0.66848750000000001</v>
      </c>
      <c r="T4622">
        <v>-0.23028480000000001</v>
      </c>
      <c r="U4622">
        <v>2.957306</v>
      </c>
      <c r="V4622">
        <v>5.3494960000000001E-2</v>
      </c>
      <c r="W4622">
        <v>2.1172199999999999E-2</v>
      </c>
      <c r="X4622">
        <v>0.9983436</v>
      </c>
      <c r="Y4622">
        <v>0.19490579999999999</v>
      </c>
      <c r="Z4622">
        <v>-7.5901079999999996E-2</v>
      </c>
      <c r="AA4622">
        <v>0.97788079999999999</v>
      </c>
      <c r="AB4622">
        <v>57</v>
      </c>
      <c r="AC4622">
        <v>3.1905999999999799</v>
      </c>
      <c r="AD4622">
        <v>-1.1041765166499999</v>
      </c>
      <c r="AE4622">
        <v>13.6187199999999</v>
      </c>
      <c r="AF4622">
        <v>2.8247125822480599</v>
      </c>
      <c r="AG4622">
        <v>-1.1041765166499999</v>
      </c>
      <c r="AH4622">
        <v>13.6108285895848</v>
      </c>
      <c r="AI4622">
        <v>94.541599661492498</v>
      </c>
      <c r="AJ4622">
        <v>78.275599769746904</v>
      </c>
      <c r="AK4622">
        <v>13.9446355939225</v>
      </c>
      <c r="AL4622">
        <v>88.786831598574295</v>
      </c>
      <c r="AM4622">
        <v>86.932812492369393</v>
      </c>
      <c r="AN4622">
        <v>0.99999995822959897</v>
      </c>
    </row>
    <row r="4623" spans="1:40" x14ac:dyDescent="0.3">
      <c r="A4623" t="str">
        <f>"20200111154012505"</f>
        <v>20200111154012505</v>
      </c>
      <c r="B4623" t="str">
        <f>"1578728412495721"</f>
        <v>1578728412495721</v>
      </c>
      <c r="C4623" t="s">
        <v>40</v>
      </c>
      <c r="D4623">
        <v>5.4314920000000004</v>
      </c>
      <c r="E4623">
        <v>0.55609259999999905</v>
      </c>
      <c r="F4623" t="s">
        <v>42</v>
      </c>
      <c r="G4623">
        <v>-185.34479999999999</v>
      </c>
      <c r="H4623" s="1">
        <v>-2.7628940000000001E-6</v>
      </c>
      <c r="I4623">
        <v>114.1272</v>
      </c>
      <c r="J4623">
        <v>-188.5882</v>
      </c>
      <c r="K4623">
        <v>1.1043369999999999</v>
      </c>
      <c r="L4623">
        <v>100.43940000000001</v>
      </c>
      <c r="M4623">
        <v>2.5213949999999999E-2</v>
      </c>
      <c r="N4623">
        <v>0</v>
      </c>
      <c r="O4623">
        <v>0.99946639999999998</v>
      </c>
      <c r="P4623">
        <v>8.0543409999999996E-2</v>
      </c>
      <c r="Q4623">
        <v>9.8040710000000001E-4</v>
      </c>
      <c r="R4623">
        <v>0.99675060000000004</v>
      </c>
      <c r="S4623">
        <v>0.67411799999999999</v>
      </c>
      <c r="T4623">
        <v>-0.22843379999999999</v>
      </c>
      <c r="U4623">
        <v>2.9561769999999998</v>
      </c>
      <c r="V4623">
        <v>5.5384129999999997E-2</v>
      </c>
      <c r="W4623">
        <v>2.1703750000000001E-2</v>
      </c>
      <c r="X4623">
        <v>0.99822920000000004</v>
      </c>
      <c r="Y4623">
        <v>0.1970402</v>
      </c>
      <c r="Z4623">
        <v>-7.5291399999999994E-2</v>
      </c>
      <c r="AA4623">
        <v>0.97750009999999998</v>
      </c>
      <c r="AB4623">
        <v>57</v>
      </c>
      <c r="AC4623">
        <v>3.2433999999999998</v>
      </c>
      <c r="AD4623">
        <v>-1.1043397628939999</v>
      </c>
      <c r="AE4623">
        <v>13.6877999999999</v>
      </c>
      <c r="AF4623">
        <v>2.8794237190513998</v>
      </c>
      <c r="AG4623">
        <v>-1.1043397628939999</v>
      </c>
      <c r="AH4623">
        <v>13.680923382381099</v>
      </c>
      <c r="AI4623">
        <v>94.516447436801599</v>
      </c>
      <c r="AJ4623">
        <v>78.114432615436499</v>
      </c>
      <c r="AK4623">
        <v>14.024204500089301</v>
      </c>
      <c r="AL4623">
        <v>88.756369070394896</v>
      </c>
      <c r="AM4623">
        <v>86.824349750185803</v>
      </c>
      <c r="AN4623">
        <v>0.99999999517627902</v>
      </c>
    </row>
    <row r="4624" spans="1:40" x14ac:dyDescent="0.3">
      <c r="A4624" t="str">
        <f>"20200111154012528"</f>
        <v>20200111154012528</v>
      </c>
      <c r="B4624" t="str">
        <f>"1578728412525977"</f>
        <v>1578728412525977</v>
      </c>
      <c r="C4624" t="s">
        <v>40</v>
      </c>
      <c r="D4624">
        <v>5.3629670000000003</v>
      </c>
      <c r="E4624">
        <v>0.55618789999999996</v>
      </c>
      <c r="F4624" t="s">
        <v>42</v>
      </c>
      <c r="G4624">
        <v>-185.2901</v>
      </c>
      <c r="H4624" s="1">
        <v>-3.0474549999999999E-6</v>
      </c>
      <c r="I4624">
        <v>114.789</v>
      </c>
      <c r="J4624">
        <v>-188.5736</v>
      </c>
      <c r="K4624">
        <v>1.1045039999999999</v>
      </c>
      <c r="L4624">
        <v>101.0266</v>
      </c>
      <c r="M4624">
        <v>2.4833689999999999E-2</v>
      </c>
      <c r="N4624">
        <v>0</v>
      </c>
      <c r="O4624">
        <v>0.99947189999999997</v>
      </c>
      <c r="P4624">
        <v>8.2693760000000005E-2</v>
      </c>
      <c r="Q4624">
        <v>1.776119E-3</v>
      </c>
      <c r="R4624">
        <v>0.99657340000000005</v>
      </c>
      <c r="S4624">
        <v>0.67918400000000001</v>
      </c>
      <c r="T4624">
        <v>-0.22742609999999999</v>
      </c>
      <c r="U4624">
        <v>2.955139</v>
      </c>
      <c r="V4624">
        <v>5.7909919999999997E-2</v>
      </c>
      <c r="W4624">
        <v>2.2709630000000001E-2</v>
      </c>
      <c r="X4624">
        <v>0.99806349999999999</v>
      </c>
      <c r="Y4624">
        <v>0.19908490000000001</v>
      </c>
      <c r="Z4624">
        <v>-7.495802E-2</v>
      </c>
      <c r="AA4624">
        <v>0.97711130000000002</v>
      </c>
      <c r="AB4624">
        <v>57</v>
      </c>
      <c r="AC4624">
        <v>3.2835000000000001</v>
      </c>
      <c r="AD4624">
        <v>-1.1045070474550001</v>
      </c>
      <c r="AE4624">
        <v>13.7624</v>
      </c>
      <c r="AF4624">
        <v>2.9228288176144801</v>
      </c>
      <c r="AG4624">
        <v>-1.1045070474550001</v>
      </c>
      <c r="AH4624">
        <v>13.7558841680468</v>
      </c>
      <c r="AI4624">
        <v>94.490795679964407</v>
      </c>
      <c r="AJ4624">
        <v>78.004282587992805</v>
      </c>
      <c r="AK4624">
        <v>14.1062827619354</v>
      </c>
      <c r="AL4624">
        <v>88.698722203131695</v>
      </c>
      <c r="AM4624">
        <v>86.679291372961899</v>
      </c>
      <c r="AN4624">
        <v>1.0000000180806901</v>
      </c>
    </row>
    <row r="4625" spans="1:40" x14ac:dyDescent="0.3">
      <c r="A4625" t="str">
        <f>"20200111154012549"</f>
        <v>20200111154012549</v>
      </c>
      <c r="B4625" t="str">
        <f>"1578728412545497"</f>
        <v>1578728412545497</v>
      </c>
      <c r="C4625" t="s">
        <v>40</v>
      </c>
      <c r="D4625">
        <v>5.4302650000000003</v>
      </c>
      <c r="E4625">
        <v>0.55622240000000001</v>
      </c>
      <c r="F4625" t="s">
        <v>42</v>
      </c>
      <c r="G4625">
        <v>-185.24940000000001</v>
      </c>
      <c r="H4625" s="1">
        <v>-3.2896759999999998E-6</v>
      </c>
      <c r="I4625">
        <v>115.3368</v>
      </c>
      <c r="J4625">
        <v>-188.5609</v>
      </c>
      <c r="K4625">
        <v>1.104657</v>
      </c>
      <c r="L4625">
        <v>101.54900000000001</v>
      </c>
      <c r="M4625">
        <v>2.441016E-2</v>
      </c>
      <c r="N4625">
        <v>0</v>
      </c>
      <c r="O4625">
        <v>0.99947909999999995</v>
      </c>
      <c r="P4625">
        <v>8.5007369999999999E-2</v>
      </c>
      <c r="Q4625">
        <v>2.9338379999999998E-3</v>
      </c>
      <c r="R4625">
        <v>0.99637600000000004</v>
      </c>
      <c r="S4625">
        <v>0.68615719999999902</v>
      </c>
      <c r="T4625">
        <v>-0.22798099999999999</v>
      </c>
      <c r="U4625">
        <v>2.9537659999999999</v>
      </c>
      <c r="V4625">
        <v>6.064261E-2</v>
      </c>
      <c r="W4625">
        <v>2.403487E-2</v>
      </c>
      <c r="X4625">
        <v>0.99787009999999998</v>
      </c>
      <c r="Y4625">
        <v>0.2017853</v>
      </c>
      <c r="Z4625">
        <v>-7.5134309999999996E-2</v>
      </c>
      <c r="AA4625">
        <v>0.97654370000000001</v>
      </c>
      <c r="AB4625">
        <v>57</v>
      </c>
      <c r="AC4625">
        <v>3.3114999999999899</v>
      </c>
      <c r="AD4625">
        <v>-1.1046602896760001</v>
      </c>
      <c r="AE4625">
        <v>13.787800000000001</v>
      </c>
      <c r="AF4625">
        <v>2.9559360593386002</v>
      </c>
      <c r="AG4625">
        <v>-1.1046602896760001</v>
      </c>
      <c r="AH4625">
        <v>13.780906835421</v>
      </c>
      <c r="AI4625">
        <v>94.481456096651399</v>
      </c>
      <c r="AJ4625">
        <v>77.893776889574994</v>
      </c>
      <c r="AK4625">
        <v>14.137582026253201</v>
      </c>
      <c r="AL4625">
        <v>88.622770724688095</v>
      </c>
      <c r="AM4625">
        <v>86.522295241664295</v>
      </c>
      <c r="AN4625">
        <v>0.99999996879876896</v>
      </c>
    </row>
    <row r="4626" spans="1:40" x14ac:dyDescent="0.3">
      <c r="A4626" t="str">
        <f>"20200111154012570"</f>
        <v>20200111154012570</v>
      </c>
      <c r="B4626" t="str">
        <f>"1578728412565993"</f>
        <v>1578728412565993</v>
      </c>
      <c r="C4626" t="s">
        <v>40</v>
      </c>
      <c r="D4626">
        <v>5.4648070000000004</v>
      </c>
      <c r="E4626">
        <v>0.55633679999999996</v>
      </c>
      <c r="F4626" t="s">
        <v>42</v>
      </c>
      <c r="G4626">
        <v>-185.17789999999999</v>
      </c>
      <c r="H4626" s="1">
        <v>-3.5661780000000001E-6</v>
      </c>
      <c r="I4626">
        <v>115.95180000000001</v>
      </c>
      <c r="J4626">
        <v>-188.548</v>
      </c>
      <c r="K4626">
        <v>1.1048089999999999</v>
      </c>
      <c r="L4626">
        <v>102.0921</v>
      </c>
      <c r="M4626">
        <v>2.3899139999999999E-2</v>
      </c>
      <c r="N4626">
        <v>0</v>
      </c>
      <c r="O4626">
        <v>0.9994885</v>
      </c>
      <c r="P4626">
        <v>8.8163389999999994E-2</v>
      </c>
      <c r="Q4626">
        <v>4.2638219999999996E-3</v>
      </c>
      <c r="R4626">
        <v>0.99609689999999995</v>
      </c>
      <c r="S4626">
        <v>0.69346619999999903</v>
      </c>
      <c r="T4626">
        <v>-0.22644120000000001</v>
      </c>
      <c r="U4626">
        <v>2.9523929999999998</v>
      </c>
      <c r="V4626">
        <v>6.430574E-2</v>
      </c>
      <c r="W4626">
        <v>2.552072E-2</v>
      </c>
      <c r="X4626">
        <v>0.99760380000000004</v>
      </c>
      <c r="Y4626">
        <v>0.20468629999999999</v>
      </c>
      <c r="Z4626">
        <v>-7.4621409999999999E-2</v>
      </c>
      <c r="AA4626">
        <v>0.97597909999999999</v>
      </c>
      <c r="AB4626">
        <v>57</v>
      </c>
      <c r="AC4626">
        <v>3.3700999999999999</v>
      </c>
      <c r="AD4626">
        <v>-1.1048125661779999</v>
      </c>
      <c r="AE4626">
        <v>13.8597</v>
      </c>
      <c r="AF4626">
        <v>3.0197102165446901</v>
      </c>
      <c r="AG4626">
        <v>-1.1048125661779999</v>
      </c>
      <c r="AH4626">
        <v>13.8531867009763</v>
      </c>
      <c r="AI4626">
        <v>94.455585030900195</v>
      </c>
      <c r="AJ4626">
        <v>77.703051835058602</v>
      </c>
      <c r="AK4626">
        <v>14.2214641429916</v>
      </c>
      <c r="AL4626">
        <v>88.537611590698205</v>
      </c>
      <c r="AM4626">
        <v>86.311805266433197</v>
      </c>
      <c r="AN4626">
        <v>0.99999993856035096</v>
      </c>
    </row>
    <row r="4627" spans="1:40" x14ac:dyDescent="0.3">
      <c r="A4627" t="str">
        <f>"20200111154012593"</f>
        <v>20200111154012593</v>
      </c>
      <c r="B4627" t="str">
        <f>"1578728412585170"</f>
        <v>1578728412585170</v>
      </c>
      <c r="C4627" t="s">
        <v>40</v>
      </c>
      <c r="D4627">
        <v>5.4310749999999999</v>
      </c>
      <c r="E4627">
        <v>0.55644510000000003</v>
      </c>
      <c r="F4627" t="s">
        <v>42</v>
      </c>
      <c r="G4627">
        <v>-185.06110000000001</v>
      </c>
      <c r="H4627" s="1">
        <v>-3.9111069999999997E-6</v>
      </c>
      <c r="I4627">
        <v>116.7075</v>
      </c>
      <c r="J4627">
        <v>-188.5343</v>
      </c>
      <c r="K4627">
        <v>1.104949</v>
      </c>
      <c r="L4627">
        <v>102.6798</v>
      </c>
      <c r="M4627">
        <v>2.3297760000000001E-2</v>
      </c>
      <c r="N4627">
        <v>0</v>
      </c>
      <c r="O4627">
        <v>0.99950000000000006</v>
      </c>
      <c r="P4627">
        <v>9.1733620000000002E-2</v>
      </c>
      <c r="Q4627">
        <v>5.664171E-3</v>
      </c>
      <c r="R4627">
        <v>0.99576750000000003</v>
      </c>
      <c r="S4627">
        <v>0.70390319999999995</v>
      </c>
      <c r="T4627">
        <v>-0.22302820000000001</v>
      </c>
      <c r="U4627">
        <v>2.9504090000000001</v>
      </c>
      <c r="V4627">
        <v>6.8473699999999998E-2</v>
      </c>
      <c r="W4627">
        <v>2.7068470000000001E-2</v>
      </c>
      <c r="X4627">
        <v>0.99728570000000005</v>
      </c>
      <c r="Y4627">
        <v>0.20870810000000001</v>
      </c>
      <c r="Z4627">
        <v>-7.3491399999999998E-2</v>
      </c>
      <c r="AA4627">
        <v>0.97521279999999999</v>
      </c>
      <c r="AB4627">
        <v>57</v>
      </c>
      <c r="AC4627">
        <v>3.4731999999999901</v>
      </c>
      <c r="AD4627">
        <v>-1.104952911107</v>
      </c>
      <c r="AE4627">
        <v>14.0276999999999</v>
      </c>
      <c r="AF4627">
        <v>3.1270865285681002</v>
      </c>
      <c r="AG4627">
        <v>-1.104952911107</v>
      </c>
      <c r="AH4627">
        <v>14.0228463980305</v>
      </c>
      <c r="AI4627">
        <v>94.3978217006146</v>
      </c>
      <c r="AJ4627">
        <v>77.428764996169605</v>
      </c>
      <c r="AK4627">
        <v>14.4097124258492</v>
      </c>
      <c r="AL4627">
        <v>88.448901547094593</v>
      </c>
      <c r="AM4627">
        <v>86.072232470696406</v>
      </c>
      <c r="AN4627">
        <v>1.00000005854215</v>
      </c>
    </row>
    <row r="4628" spans="1:40" x14ac:dyDescent="0.3">
      <c r="A4628" t="str">
        <f>"20200111154012618"</f>
        <v>20200111154012618</v>
      </c>
      <c r="B4628" t="str">
        <f>"1578728412605665"</f>
        <v>1578728412605665</v>
      </c>
      <c r="C4628" t="s">
        <v>40</v>
      </c>
      <c r="D4628">
        <v>5.4904260000000003</v>
      </c>
      <c r="E4628">
        <v>0.55652639999999998</v>
      </c>
      <c r="F4628" t="s">
        <v>42</v>
      </c>
      <c r="G4628">
        <v>-184.95859999999999</v>
      </c>
      <c r="H4628" s="1">
        <v>-4.2372580000000002E-6</v>
      </c>
      <c r="I4628">
        <v>117.4254</v>
      </c>
      <c r="J4628">
        <v>-188.5213</v>
      </c>
      <c r="K4628">
        <v>1.1050420000000001</v>
      </c>
      <c r="L4628">
        <v>103.26049999999999</v>
      </c>
      <c r="M4628">
        <v>2.2708699999999998E-2</v>
      </c>
      <c r="N4628">
        <v>0</v>
      </c>
      <c r="O4628">
        <v>0.99951120000000004</v>
      </c>
      <c r="P4628">
        <v>9.5712560000000002E-2</v>
      </c>
      <c r="Q4628">
        <v>5.5364330000000003E-3</v>
      </c>
      <c r="R4628">
        <v>0.99539359999999999</v>
      </c>
      <c r="S4628">
        <v>0.71492</v>
      </c>
      <c r="T4628">
        <v>-0.22091849999999999</v>
      </c>
      <c r="U4628">
        <v>2.9481510000000002</v>
      </c>
      <c r="V4628">
        <v>7.3042940000000001E-2</v>
      </c>
      <c r="W4628">
        <v>2.706132E-2</v>
      </c>
      <c r="X4628">
        <v>0.9969616</v>
      </c>
      <c r="Y4628">
        <v>0.21290790000000001</v>
      </c>
      <c r="Z4628">
        <v>-7.2790880000000002E-2</v>
      </c>
      <c r="AA4628">
        <v>0.97435709999999998</v>
      </c>
      <c r="AB4628">
        <v>56</v>
      </c>
      <c r="AC4628">
        <v>3.5627</v>
      </c>
      <c r="AD4628">
        <v>-1.1050462372579899</v>
      </c>
      <c r="AE4628">
        <v>14.164899999999999</v>
      </c>
      <c r="AF4628">
        <v>3.22159988831871</v>
      </c>
      <c r="AG4628">
        <v>-1.1050462372579899</v>
      </c>
      <c r="AH4628">
        <v>14.161111295657101</v>
      </c>
      <c r="AI4628">
        <v>94.351234662473402</v>
      </c>
      <c r="AJ4628">
        <v>77.183555972807099</v>
      </c>
      <c r="AK4628">
        <v>14.5649203964484</v>
      </c>
      <c r="AL4628">
        <v>88.449311285173707</v>
      </c>
      <c r="AM4628">
        <v>85.809680152978103</v>
      </c>
      <c r="AN4628">
        <v>1.00000000899927</v>
      </c>
    </row>
    <row r="4629" spans="1:40" x14ac:dyDescent="0.3">
      <c r="A4629" t="str">
        <f>"20200111154012639"</f>
        <v>20200111154012639</v>
      </c>
      <c r="B4629" t="str">
        <f>"1578728412635922"</f>
        <v>1578728412635922</v>
      </c>
      <c r="C4629" t="s">
        <v>40</v>
      </c>
      <c r="D4629">
        <v>5.6267079999999998</v>
      </c>
      <c r="E4629">
        <v>0.55654579999999998</v>
      </c>
      <c r="F4629" t="s">
        <v>42</v>
      </c>
      <c r="G4629">
        <v>-184.90950000000001</v>
      </c>
      <c r="H4629" s="1">
        <v>-4.4429310000000001E-6</v>
      </c>
      <c r="I4629">
        <v>117.8845</v>
      </c>
      <c r="J4629">
        <v>-188.5093</v>
      </c>
      <c r="K4629">
        <v>1.105075</v>
      </c>
      <c r="L4629">
        <v>103.8026</v>
      </c>
      <c r="M4629">
        <v>2.2220630000000002E-2</v>
      </c>
      <c r="N4629">
        <v>0</v>
      </c>
      <c r="O4629">
        <v>0.99952019999999997</v>
      </c>
      <c r="P4629">
        <v>9.8132179999999999E-2</v>
      </c>
      <c r="Q4629">
        <v>4.5627539999999996E-3</v>
      </c>
      <c r="R4629">
        <v>0.99516289999999996</v>
      </c>
      <c r="S4629">
        <v>0.72738649999999905</v>
      </c>
      <c r="T4629">
        <v>-0.22254930000000001</v>
      </c>
      <c r="U4629">
        <v>2.9451900000000002</v>
      </c>
      <c r="V4629">
        <v>7.5953709999999994E-2</v>
      </c>
      <c r="W4629">
        <v>2.617854E-2</v>
      </c>
      <c r="X4629">
        <v>0.99676759999999998</v>
      </c>
      <c r="Y4629">
        <v>0.2174884</v>
      </c>
      <c r="Z4629">
        <v>-7.3324020000000004E-2</v>
      </c>
      <c r="AA4629">
        <v>0.97330490000000003</v>
      </c>
      <c r="AB4629">
        <v>56</v>
      </c>
      <c r="AC4629">
        <v>3.5997999999999801</v>
      </c>
      <c r="AD4629">
        <v>-1.105079442931</v>
      </c>
      <c r="AE4629">
        <v>14.081899999999999</v>
      </c>
      <c r="AF4629">
        <v>3.2670437306665798</v>
      </c>
      <c r="AG4629">
        <v>-1.105079442931</v>
      </c>
      <c r="AH4629">
        <v>14.077056067217001</v>
      </c>
      <c r="AI4629">
        <v>94.372883742184996</v>
      </c>
      <c r="AJ4629">
        <v>76.933942798590195</v>
      </c>
      <c r="AK4629">
        <v>14.493387555462901</v>
      </c>
      <c r="AL4629">
        <v>88.499908719301899</v>
      </c>
      <c r="AM4629">
        <v>85.642481390817196</v>
      </c>
      <c r="AN4629">
        <v>0.99999996521452705</v>
      </c>
    </row>
    <row r="4630" spans="1:40" x14ac:dyDescent="0.3">
      <c r="A4630" t="str">
        <f>"20200111154012661"</f>
        <v>20200111154012661</v>
      </c>
      <c r="B4630" t="str">
        <f>"1578728412655442"</f>
        <v>1578728412655442</v>
      </c>
      <c r="C4630" t="s">
        <v>40</v>
      </c>
      <c r="D4630">
        <v>5.6183940000000003</v>
      </c>
      <c r="E4630">
        <v>0.55651709999999999</v>
      </c>
      <c r="F4630" t="s">
        <v>42</v>
      </c>
      <c r="G4630">
        <v>-184.9759</v>
      </c>
      <c r="H4630" s="1">
        <v>-4.4592030000000003E-6</v>
      </c>
      <c r="I4630">
        <v>117.9499</v>
      </c>
      <c r="J4630">
        <v>-188.49760000000001</v>
      </c>
      <c r="K4630">
        <v>1.1050759999999999</v>
      </c>
      <c r="L4630">
        <v>104.34439999999999</v>
      </c>
      <c r="M4630">
        <v>2.1809720000000001E-2</v>
      </c>
      <c r="N4630">
        <v>0</v>
      </c>
      <c r="O4630">
        <v>0.99952779999999997</v>
      </c>
      <c r="P4630">
        <v>0.10044989999999999</v>
      </c>
      <c r="Q4630">
        <v>3.047573E-3</v>
      </c>
      <c r="R4630">
        <v>0.99493750000000003</v>
      </c>
      <c r="S4630">
        <v>0.73507690000000003</v>
      </c>
      <c r="T4630">
        <v>-0.2298965</v>
      </c>
      <c r="U4630">
        <v>2.943146</v>
      </c>
      <c r="V4630">
        <v>7.8688549999999996E-2</v>
      </c>
      <c r="W4630">
        <v>2.4733709999999999E-2</v>
      </c>
      <c r="X4630">
        <v>0.99659229999999999</v>
      </c>
      <c r="Y4630">
        <v>0.2203978</v>
      </c>
      <c r="Z4630">
        <v>-7.5734140000000005E-2</v>
      </c>
      <c r="AA4630">
        <v>0.97246549999999998</v>
      </c>
      <c r="AB4630">
        <v>56</v>
      </c>
      <c r="AC4630">
        <v>3.5217000000000001</v>
      </c>
      <c r="AD4630">
        <v>-1.1050804592029999</v>
      </c>
      <c r="AE4630">
        <v>13.605499999999999</v>
      </c>
      <c r="AF4630">
        <v>3.20424860963116</v>
      </c>
      <c r="AG4630">
        <v>-1.1050804592029999</v>
      </c>
      <c r="AH4630">
        <v>13.595030447619999</v>
      </c>
      <c r="AI4630">
        <v>94.523691789649703</v>
      </c>
      <c r="AJ4630">
        <v>76.737846219667205</v>
      </c>
      <c r="AK4630">
        <v>14.0111835633308</v>
      </c>
      <c r="AL4630">
        <v>88.582718173500396</v>
      </c>
      <c r="AM4630">
        <v>85.485428158065901</v>
      </c>
      <c r="AN4630">
        <v>0.99999992836537499</v>
      </c>
    </row>
    <row r="4631" spans="1:40" x14ac:dyDescent="0.3">
      <c r="A4631" t="str">
        <f>"20200111154012683"</f>
        <v>20200111154012683</v>
      </c>
      <c r="B4631" t="str">
        <f>"1578728412675938"</f>
        <v>1578728412675938</v>
      </c>
      <c r="C4631" t="s">
        <v>40</v>
      </c>
      <c r="D4631">
        <v>5.6193220000000004</v>
      </c>
      <c r="E4631">
        <v>0.55671550000000003</v>
      </c>
      <c r="F4631" t="s">
        <v>42</v>
      </c>
      <c r="G4631">
        <v>-185.05240000000001</v>
      </c>
      <c r="H4631" s="1">
        <v>-4.4669070000000004E-6</v>
      </c>
      <c r="I4631">
        <v>117.9995</v>
      </c>
      <c r="J4631">
        <v>-188.4853</v>
      </c>
      <c r="K4631">
        <v>1.1050279999999999</v>
      </c>
      <c r="L4631">
        <v>104.91679999999999</v>
      </c>
      <c r="M4631">
        <v>2.1507109999999999E-2</v>
      </c>
      <c r="N4631">
        <v>0</v>
      </c>
      <c r="O4631">
        <v>0.99953289999999995</v>
      </c>
      <c r="P4631">
        <v>0.10366839999999999</v>
      </c>
      <c r="Q4631">
        <v>2.5790660000000001E-3</v>
      </c>
      <c r="R4631">
        <v>0.99460859999999995</v>
      </c>
      <c r="S4631">
        <v>0.74201969999999995</v>
      </c>
      <c r="T4631">
        <v>-0.23801539999999999</v>
      </c>
      <c r="U4631">
        <v>2.941071</v>
      </c>
      <c r="V4631">
        <v>8.2219399999999998E-2</v>
      </c>
      <c r="W4631">
        <v>2.4316600000000001E-2</v>
      </c>
      <c r="X4631">
        <v>0.99631760000000003</v>
      </c>
      <c r="Y4631">
        <v>0.22296260000000001</v>
      </c>
      <c r="Z4631">
        <v>-7.8401059999999995E-2</v>
      </c>
      <c r="AA4631">
        <v>0.97166909999999895</v>
      </c>
      <c r="AB4631">
        <v>56</v>
      </c>
      <c r="AC4631">
        <v>3.4328999999999801</v>
      </c>
      <c r="AD4631">
        <v>-1.105032466907</v>
      </c>
      <c r="AE4631">
        <v>13.082700000000001</v>
      </c>
      <c r="AF4631">
        <v>3.1297775850968099</v>
      </c>
      <c r="AG4631">
        <v>-1.105032466907</v>
      </c>
      <c r="AH4631">
        <v>13.0663069117196</v>
      </c>
      <c r="AI4631">
        <v>94.701689864792698</v>
      </c>
      <c r="AJ4631">
        <v>76.529710705881797</v>
      </c>
      <c r="AK4631">
        <v>13.481282609468</v>
      </c>
      <c r="AL4631">
        <v>88.606624168887706</v>
      </c>
      <c r="AM4631">
        <v>85.282453726717705</v>
      </c>
      <c r="AN4631">
        <v>1.00000004342083</v>
      </c>
    </row>
    <row r="4632" spans="1:40" x14ac:dyDescent="0.3">
      <c r="A4632" t="str">
        <f>"20200111154012706"</f>
        <v>20200111154012706</v>
      </c>
      <c r="B4632" t="str">
        <f>"1578728412695457"</f>
        <v>1578728412695457</v>
      </c>
      <c r="C4632" t="s">
        <v>40</v>
      </c>
      <c r="D4632">
        <v>5.6129530000000001</v>
      </c>
      <c r="E4632">
        <v>0.57028630000000002</v>
      </c>
      <c r="F4632" t="s">
        <v>42</v>
      </c>
      <c r="G4632">
        <v>-185.02099999999999</v>
      </c>
      <c r="H4632" s="1">
        <v>-4.6576470000000003E-6</v>
      </c>
      <c r="I4632">
        <v>118.4311</v>
      </c>
      <c r="J4632">
        <v>-188.4736</v>
      </c>
      <c r="K4632">
        <v>1.1049290000000001</v>
      </c>
      <c r="L4632">
        <v>105.4609</v>
      </c>
      <c r="M4632">
        <v>2.143163E-2</v>
      </c>
      <c r="N4632">
        <v>0</v>
      </c>
      <c r="O4632">
        <v>0.99953340000000002</v>
      </c>
      <c r="P4632">
        <v>0.10615869999999999</v>
      </c>
      <c r="Q4632">
        <v>6.0355850000000004E-3</v>
      </c>
      <c r="R4632">
        <v>0.99433090000000002</v>
      </c>
      <c r="S4632">
        <v>0.75321959999999999</v>
      </c>
      <c r="T4632">
        <v>-0.2402639</v>
      </c>
      <c r="U4632">
        <v>2.9383849999999998</v>
      </c>
      <c r="V4632">
        <v>8.4794380000000003E-2</v>
      </c>
      <c r="W4632">
        <v>2.7797280000000001E-2</v>
      </c>
      <c r="X4632">
        <v>0.99601070000000003</v>
      </c>
      <c r="Y4632">
        <v>0.2267092</v>
      </c>
      <c r="Z4632">
        <v>-7.9135780000000003E-2</v>
      </c>
      <c r="AA4632">
        <v>0.9707422</v>
      </c>
      <c r="AB4632">
        <v>56</v>
      </c>
      <c r="AC4632">
        <v>3.4526000000000101</v>
      </c>
      <c r="AD4632">
        <v>-1.1049336576469999</v>
      </c>
      <c r="AE4632">
        <v>12.9702</v>
      </c>
      <c r="AF4632">
        <v>3.1524039492409401</v>
      </c>
      <c r="AG4632">
        <v>-1.1049336576469999</v>
      </c>
      <c r="AH4632">
        <v>12.9534446054064</v>
      </c>
      <c r="AI4632">
        <v>94.737920161542405</v>
      </c>
      <c r="AJ4632">
        <v>76.322152946231498</v>
      </c>
      <c r="AK4632">
        <v>13.3772290177122</v>
      </c>
      <c r="AL4632">
        <v>88.407128068575801</v>
      </c>
      <c r="AM4632">
        <v>85.133914316422107</v>
      </c>
      <c r="AN4632">
        <v>1.0000000450847299</v>
      </c>
    </row>
    <row r="4633" spans="1:40" x14ac:dyDescent="0.3">
      <c r="A4633" t="str">
        <f>"20200111154012727"</f>
        <v>20200111154012727</v>
      </c>
      <c r="B4633" t="str">
        <f>"1578728412715956"</f>
        <v>1578728412715956</v>
      </c>
      <c r="C4633" t="s">
        <v>40</v>
      </c>
      <c r="D4633">
        <v>5.6635530000000003</v>
      </c>
      <c r="E4633">
        <v>0.56714409999999904</v>
      </c>
      <c r="F4633" t="s">
        <v>62</v>
      </c>
      <c r="G4633">
        <v>-183.68729999999999</v>
      </c>
      <c r="H4633" s="1">
        <v>-2.2403270000000001E-6</v>
      </c>
      <c r="I4633">
        <v>121.5581</v>
      </c>
      <c r="J4633">
        <v>-188.46170000000001</v>
      </c>
      <c r="K4633">
        <v>1.10473</v>
      </c>
      <c r="L4633">
        <v>106.0077</v>
      </c>
      <c r="M4633">
        <v>2.1675349999999999E-2</v>
      </c>
      <c r="N4633">
        <v>0</v>
      </c>
      <c r="O4633">
        <v>0.99952719999999995</v>
      </c>
      <c r="P4633">
        <v>0.10733959999999999</v>
      </c>
      <c r="Q4633">
        <v>8.7131350000000003E-3</v>
      </c>
      <c r="R4633">
        <v>0.99418430000000002</v>
      </c>
      <c r="S4633">
        <v>0.86984249999999996</v>
      </c>
      <c r="T4633">
        <v>-0.2008065</v>
      </c>
      <c r="U4633">
        <v>2.925446</v>
      </c>
      <c r="V4633">
        <v>8.5748340000000006E-2</v>
      </c>
      <c r="W4633">
        <v>3.0472630000000001E-2</v>
      </c>
      <c r="X4633">
        <v>0.99585069999999998</v>
      </c>
      <c r="Y4633">
        <v>0.26353919999999997</v>
      </c>
      <c r="Z4633">
        <v>-6.5828319999999996E-2</v>
      </c>
      <c r="AA4633">
        <v>0.96240000000000003</v>
      </c>
      <c r="AB4633">
        <v>55</v>
      </c>
      <c r="AC4633">
        <v>4.7744000000000097</v>
      </c>
      <c r="AD4633">
        <v>-1.1047322403269999</v>
      </c>
      <c r="AE4633">
        <v>15.5503999999999</v>
      </c>
      <c r="AF4633">
        <v>4.4157708260438202</v>
      </c>
      <c r="AG4633">
        <v>-1.1047322403269999</v>
      </c>
      <c r="AH4633">
        <v>15.578405575700501</v>
      </c>
      <c r="AI4633">
        <v>93.903036522215899</v>
      </c>
      <c r="AJ4633">
        <v>74.174374157588701</v>
      </c>
      <c r="AK4633">
        <v>16.229793146925001</v>
      </c>
      <c r="AL4633">
        <v>88.253776566261806</v>
      </c>
      <c r="AM4633">
        <v>85.078650127106897</v>
      </c>
      <c r="AN4633">
        <v>0.99999998784118105</v>
      </c>
    </row>
    <row r="4634" spans="1:40" x14ac:dyDescent="0.3">
      <c r="A4634" t="str">
        <f>"20200111154012750"</f>
        <v>20200111154012750</v>
      </c>
      <c r="B4634" t="str">
        <f>"1578728412745233"</f>
        <v>1578728412745233</v>
      </c>
      <c r="C4634" t="s">
        <v>40</v>
      </c>
      <c r="D4634">
        <v>5.6873360000000002</v>
      </c>
      <c r="E4634">
        <v>0.56568219999999902</v>
      </c>
      <c r="F4634" t="s">
        <v>62</v>
      </c>
      <c r="G4634">
        <v>-183.1995</v>
      </c>
      <c r="H4634" s="1">
        <v>-3.420089E-6</v>
      </c>
      <c r="I4634">
        <v>124.13849999999999</v>
      </c>
      <c r="J4634">
        <v>-188.44970000000001</v>
      </c>
      <c r="K4634">
        <v>1.1044160000000001</v>
      </c>
      <c r="L4634">
        <v>106.5386</v>
      </c>
      <c r="M4634">
        <v>2.2318609999999999E-2</v>
      </c>
      <c r="N4634">
        <v>0</v>
      </c>
      <c r="O4634">
        <v>0.99951219999999996</v>
      </c>
      <c r="P4634">
        <v>0.1086965</v>
      </c>
      <c r="Q4634">
        <v>7.9539439999999993E-3</v>
      </c>
      <c r="R4634">
        <v>0.99404320000000002</v>
      </c>
      <c r="S4634">
        <v>0.84962459999999995</v>
      </c>
      <c r="T4634">
        <v>-0.1783691</v>
      </c>
      <c r="U4634">
        <v>2.9273829999999998</v>
      </c>
      <c r="V4634">
        <v>8.6489239999999995E-2</v>
      </c>
      <c r="W4634">
        <v>2.96843E-2</v>
      </c>
      <c r="X4634">
        <v>0.99581039999999998</v>
      </c>
      <c r="Y4634">
        <v>0.25674459999999999</v>
      </c>
      <c r="Z4634">
        <v>-5.8572449999999998E-2</v>
      </c>
      <c r="AA4634">
        <v>0.96470279999999997</v>
      </c>
      <c r="AB4634">
        <v>55</v>
      </c>
      <c r="AC4634">
        <v>5.2502000000000004</v>
      </c>
      <c r="AD4634">
        <v>-1.1044194200890001</v>
      </c>
      <c r="AE4634">
        <v>17.599899999999899</v>
      </c>
      <c r="AF4634">
        <v>4.8384966781410004</v>
      </c>
      <c r="AG4634">
        <v>-1.1044194200890001</v>
      </c>
      <c r="AH4634">
        <v>17.6489012002253</v>
      </c>
      <c r="AI4634">
        <v>93.453632013168004</v>
      </c>
      <c r="AJ4634">
        <v>74.668883674537298</v>
      </c>
      <c r="AK4634">
        <v>18.3334259192101</v>
      </c>
      <c r="AL4634">
        <v>88.298964930582002</v>
      </c>
      <c r="AM4634">
        <v>85.036139355795797</v>
      </c>
      <c r="AN4634">
        <v>0.99999994952521198</v>
      </c>
    </row>
    <row r="4635" spans="1:40" x14ac:dyDescent="0.3">
      <c r="A4635" t="str">
        <f>"20200111154012773"</f>
        <v>20200111154012773</v>
      </c>
      <c r="B4635" t="str">
        <f>"1578728412765729"</f>
        <v>1578728412765729</v>
      </c>
      <c r="C4635" t="s">
        <v>40</v>
      </c>
      <c r="D4635">
        <v>5.684094</v>
      </c>
      <c r="E4635">
        <v>0.56524949999999996</v>
      </c>
      <c r="F4635" t="s">
        <v>62</v>
      </c>
      <c r="G4635">
        <v>-183.13140000000001</v>
      </c>
      <c r="H4635" s="1">
        <v>-3.7930739999999999E-6</v>
      </c>
      <c r="I4635">
        <v>125.0074</v>
      </c>
      <c r="J4635">
        <v>-188.4359</v>
      </c>
      <c r="K4635">
        <v>1.10395</v>
      </c>
      <c r="L4635">
        <v>107.114</v>
      </c>
      <c r="M4635">
        <v>2.3524750000000001E-2</v>
      </c>
      <c r="N4635">
        <v>0</v>
      </c>
      <c r="O4635">
        <v>0.99948380000000003</v>
      </c>
      <c r="P4635">
        <v>0.11178929999999999</v>
      </c>
      <c r="Q4635">
        <v>4.4905179999999998E-3</v>
      </c>
      <c r="R4635">
        <v>0.99372179999999999</v>
      </c>
      <c r="S4635">
        <v>0.84292599999999995</v>
      </c>
      <c r="T4635">
        <v>-0.175044899999999</v>
      </c>
      <c r="U4635">
        <v>2.9272</v>
      </c>
      <c r="V4635">
        <v>8.8413459999999999E-2</v>
      </c>
      <c r="W4635">
        <v>2.615661E-2</v>
      </c>
      <c r="X4635">
        <v>0.99574039999999997</v>
      </c>
      <c r="Y4635">
        <v>0.25357269999999998</v>
      </c>
      <c r="Z4635">
        <v>-5.7527969999999998E-2</v>
      </c>
      <c r="AA4635">
        <v>0.96560420000000002</v>
      </c>
      <c r="AB4635">
        <v>55</v>
      </c>
      <c r="AC4635">
        <v>5.3044999999999902</v>
      </c>
      <c r="AD4635">
        <v>-1.103953793074</v>
      </c>
      <c r="AE4635">
        <v>17.8934</v>
      </c>
      <c r="AF4635">
        <v>4.86497060592857</v>
      </c>
      <c r="AG4635">
        <v>-1.103953793074</v>
      </c>
      <c r="AH4635">
        <v>17.950455425600499</v>
      </c>
      <c r="AI4635">
        <v>93.397013297765497</v>
      </c>
      <c r="AJ4635">
        <v>74.835854580036596</v>
      </c>
      <c r="AK4635">
        <v>18.630767642807001</v>
      </c>
      <c r="AL4635">
        <v>88.501165737588394</v>
      </c>
      <c r="AM4635">
        <v>84.925918353191705</v>
      </c>
      <c r="AN4635">
        <v>1.0000000261740101</v>
      </c>
    </row>
    <row r="4636" spans="1:40" x14ac:dyDescent="0.3">
      <c r="A4636" t="str">
        <f>"20200111154012796"</f>
        <v>20200111154012796</v>
      </c>
      <c r="B4636" t="str">
        <f>"1578728412785759"</f>
        <v>1578728412785759</v>
      </c>
      <c r="C4636" t="s">
        <v>40</v>
      </c>
      <c r="D4636">
        <v>5.7295369999999997</v>
      </c>
      <c r="E4636">
        <v>0.56507719999999995</v>
      </c>
      <c r="F4636" t="s">
        <v>62</v>
      </c>
      <c r="G4636">
        <v>-183.40110000000001</v>
      </c>
      <c r="H4636" s="1">
        <v>-3.5674770000000001E-6</v>
      </c>
      <c r="I4636">
        <v>124.4586</v>
      </c>
      <c r="J4636">
        <v>-188.42160000000001</v>
      </c>
      <c r="K4636">
        <v>1.103399</v>
      </c>
      <c r="L4636">
        <v>107.66719999999999</v>
      </c>
      <c r="M4636">
        <v>2.5249440000000001E-2</v>
      </c>
      <c r="N4636">
        <v>0</v>
      </c>
      <c r="O4636">
        <v>0.99944109999999997</v>
      </c>
      <c r="P4636">
        <v>0.11532530000000001</v>
      </c>
      <c r="Q4636">
        <v>-1.7557110000000001E-3</v>
      </c>
      <c r="R4636">
        <v>0.99332619999999905</v>
      </c>
      <c r="S4636">
        <v>0.84887699999999999</v>
      </c>
      <c r="T4636">
        <v>-0.18612590000000001</v>
      </c>
      <c r="U4636">
        <v>2.9242859999999999</v>
      </c>
      <c r="V4636">
        <v>9.0255539999999995E-2</v>
      </c>
      <c r="W4636">
        <v>1.9816360000000002E-2</v>
      </c>
      <c r="X4636">
        <v>0.99572150000000004</v>
      </c>
      <c r="Y4636">
        <v>0.25391209999999997</v>
      </c>
      <c r="Z4636">
        <v>-6.1190809999999998E-2</v>
      </c>
      <c r="AA4636">
        <v>0.96528979999999998</v>
      </c>
      <c r="AB4636">
        <v>55</v>
      </c>
      <c r="AC4636">
        <v>5.0204999999999904</v>
      </c>
      <c r="AD4636">
        <v>-1.1034025674770001</v>
      </c>
      <c r="AE4636">
        <v>16.791399999999999</v>
      </c>
      <c r="AF4636">
        <v>4.57668247134957</v>
      </c>
      <c r="AG4636">
        <v>-1.1034025674770001</v>
      </c>
      <c r="AH4636">
        <v>16.8460653805794</v>
      </c>
      <c r="AI4636">
        <v>93.616741003655093</v>
      </c>
      <c r="AJ4636">
        <v>74.800925475013798</v>
      </c>
      <c r="AK4636">
        <v>17.491524761330201</v>
      </c>
      <c r="AL4636">
        <v>88.864531916180695</v>
      </c>
      <c r="AM4636">
        <v>84.820672052164596</v>
      </c>
      <c r="AN4636">
        <v>1.0000000280932899</v>
      </c>
    </row>
    <row r="4637" spans="1:40" x14ac:dyDescent="0.3">
      <c r="A4637" t="str">
        <f>"20200111154012819"</f>
        <v>20200111154012819</v>
      </c>
      <c r="B4637" t="str">
        <f>"1578728412816016"</f>
        <v>1578728412816016</v>
      </c>
      <c r="C4637" t="s">
        <v>40</v>
      </c>
      <c r="D4637">
        <v>5.7637890000000001</v>
      </c>
      <c r="E4637">
        <v>0.56505649999999996</v>
      </c>
      <c r="F4637" t="s">
        <v>62</v>
      </c>
      <c r="G4637">
        <v>-183.8038</v>
      </c>
      <c r="H4637" s="1">
        <v>-2.9195690000000002E-6</v>
      </c>
      <c r="I4637">
        <v>123.379</v>
      </c>
      <c r="J4637">
        <v>-188.4051</v>
      </c>
      <c r="K4637">
        <v>1.1027670000000001</v>
      </c>
      <c r="L4637">
        <v>108.2449</v>
      </c>
      <c r="M4637">
        <v>2.766917E-2</v>
      </c>
      <c r="N4637">
        <v>0</v>
      </c>
      <c r="O4637">
        <v>0.99937670000000001</v>
      </c>
      <c r="P4637">
        <v>0.1183512</v>
      </c>
      <c r="Q4637">
        <v>-8.5333719999999991E-3</v>
      </c>
      <c r="R4637">
        <v>0.99293509999999996</v>
      </c>
      <c r="S4637">
        <v>0.85824579999999995</v>
      </c>
      <c r="T4637">
        <v>-0.20507549999999999</v>
      </c>
      <c r="U4637">
        <v>2.9201510000000002</v>
      </c>
      <c r="V4637">
        <v>9.0880329999999995E-2</v>
      </c>
      <c r="W4637">
        <v>1.292128E-2</v>
      </c>
      <c r="X4637">
        <v>0.99577800000000005</v>
      </c>
      <c r="Y4637">
        <v>0.25467630000000002</v>
      </c>
      <c r="Z4637">
        <v>-6.7440990000000006E-2</v>
      </c>
      <c r="AA4637">
        <v>0.96467179999999997</v>
      </c>
      <c r="AB4637">
        <v>55</v>
      </c>
      <c r="AC4637">
        <v>4.6013000000000002</v>
      </c>
      <c r="AD4637">
        <v>-1.1027699195689999</v>
      </c>
      <c r="AE4637">
        <v>15.134099999999901</v>
      </c>
      <c r="AF4637">
        <v>4.1604678430433504</v>
      </c>
      <c r="AG4637">
        <v>-1.1027699195689999</v>
      </c>
      <c r="AH4637">
        <v>15.1818597791182</v>
      </c>
      <c r="AI4637">
        <v>94.007277200431403</v>
      </c>
      <c r="AJ4637">
        <v>74.674789241913999</v>
      </c>
      <c r="AK4637">
        <v>15.780192030558799</v>
      </c>
      <c r="AL4637">
        <v>89.259644594646005</v>
      </c>
      <c r="AM4637">
        <v>84.7853096629986</v>
      </c>
      <c r="AN4637">
        <v>1.0000000095708701</v>
      </c>
    </row>
    <row r="4638" spans="1:40" x14ac:dyDescent="0.3">
      <c r="A4638" t="str">
        <f>"20200111154012840"</f>
        <v>20200111154012840</v>
      </c>
      <c r="B4638" t="str">
        <f>"1578728412835535"</f>
        <v>1578728412835535</v>
      </c>
      <c r="C4638" t="s">
        <v>40</v>
      </c>
      <c r="D4638">
        <v>5.7490560000000004</v>
      </c>
      <c r="E4638">
        <v>0.56520150000000002</v>
      </c>
      <c r="F4638" t="s">
        <v>62</v>
      </c>
      <c r="G4638">
        <v>-184.203</v>
      </c>
      <c r="H4638" s="1">
        <v>-2.3433870000000002E-6</v>
      </c>
      <c r="I4638">
        <v>122.37390000000001</v>
      </c>
      <c r="J4638">
        <v>-188.38939999999999</v>
      </c>
      <c r="K4638">
        <v>1.1022419999999999</v>
      </c>
      <c r="L4638">
        <v>108.744</v>
      </c>
      <c r="M4638">
        <v>3.0170820000000001E-2</v>
      </c>
      <c r="N4638">
        <v>0</v>
      </c>
      <c r="O4638">
        <v>0.99930419999999998</v>
      </c>
      <c r="P4638">
        <v>0.1214242</v>
      </c>
      <c r="Q4638">
        <v>-1.3978000000000001E-2</v>
      </c>
      <c r="R4638">
        <v>0.99250229999999995</v>
      </c>
      <c r="S4638">
        <v>0.86723329999999998</v>
      </c>
      <c r="T4638">
        <v>-0.2275952</v>
      </c>
      <c r="U4638">
        <v>2.9160159999999999</v>
      </c>
      <c r="V4638">
        <v>9.1458399999999995E-2</v>
      </c>
      <c r="W4638">
        <v>7.3626019999999898E-3</v>
      </c>
      <c r="X4638">
        <v>0.99578169999999999</v>
      </c>
      <c r="Y4638">
        <v>0.25520920000000002</v>
      </c>
      <c r="Z4638">
        <v>-7.4861830000000004E-2</v>
      </c>
      <c r="AA4638">
        <v>0.96398340000000005</v>
      </c>
      <c r="AB4638">
        <v>55</v>
      </c>
      <c r="AC4638">
        <v>4.1863999999999901</v>
      </c>
      <c r="AD4638">
        <v>-1.1022443433869999</v>
      </c>
      <c r="AE4638">
        <v>13.629899999999999</v>
      </c>
      <c r="AF4638">
        <v>3.7507541969773999</v>
      </c>
      <c r="AG4638">
        <v>-1.1022443433869999</v>
      </c>
      <c r="AH4638">
        <v>13.6683461447938</v>
      </c>
      <c r="AI4638">
        <v>94.446785127238499</v>
      </c>
      <c r="AJ4638">
        <v>74.655090320154102</v>
      </c>
      <c r="AK4638">
        <v>14.216426624597799</v>
      </c>
      <c r="AL4638">
        <v>89.578150176466295</v>
      </c>
      <c r="AM4638">
        <v>84.752344148266005</v>
      </c>
      <c r="AN4638">
        <v>1.00000002044683</v>
      </c>
    </row>
    <row r="4639" spans="1:40" x14ac:dyDescent="0.3">
      <c r="A4639" t="str">
        <f>"20200111154012861"</f>
        <v>20200111154012861</v>
      </c>
      <c r="B4639" t="str">
        <f>"1578728412856031"</f>
        <v>1578728412856031</v>
      </c>
      <c r="C4639" t="s">
        <v>40</v>
      </c>
      <c r="D4639">
        <v>5.7568089999999996</v>
      </c>
      <c r="E4639">
        <v>0.56532769999999899</v>
      </c>
      <c r="F4639" t="s">
        <v>62</v>
      </c>
      <c r="G4639">
        <v>-184.44990000000001</v>
      </c>
      <c r="H4639" s="1">
        <v>-2.1137350000000001E-6</v>
      </c>
      <c r="I4639">
        <v>121.8173</v>
      </c>
      <c r="J4639">
        <v>-188.37119999999999</v>
      </c>
      <c r="K4639">
        <v>1.1017269999999999</v>
      </c>
      <c r="L4639">
        <v>109.27</v>
      </c>
      <c r="M4639">
        <v>3.3216320000000001E-2</v>
      </c>
      <c r="N4639">
        <v>0</v>
      </c>
      <c r="O4639">
        <v>0.99920770000000003</v>
      </c>
      <c r="P4639">
        <v>0.1251284</v>
      </c>
      <c r="Q4639">
        <v>-1.6229609999999998E-2</v>
      </c>
      <c r="R4639">
        <v>0.9920078</v>
      </c>
      <c r="S4639">
        <v>0.87744140000000004</v>
      </c>
      <c r="T4639">
        <v>-0.24550669999999999</v>
      </c>
      <c r="U4639">
        <v>2.9118499999999998</v>
      </c>
      <c r="V4639">
        <v>9.2136090000000004E-2</v>
      </c>
      <c r="W4639">
        <v>4.98323E-3</v>
      </c>
      <c r="X4639">
        <v>0.99573400000000001</v>
      </c>
      <c r="Y4639">
        <v>0.255608</v>
      </c>
      <c r="Z4639">
        <v>-8.0769450000000007E-2</v>
      </c>
      <c r="AA4639">
        <v>0.9634007</v>
      </c>
      <c r="AB4639">
        <v>54</v>
      </c>
      <c r="AC4639">
        <v>3.9212999999999698</v>
      </c>
      <c r="AD4639">
        <v>-1.101729113735</v>
      </c>
      <c r="AE4639">
        <v>12.5473</v>
      </c>
      <c r="AF4639">
        <v>3.4778319070558799</v>
      </c>
      <c r="AG4639">
        <v>-1.101729113735</v>
      </c>
      <c r="AH4639">
        <v>12.5822788716874</v>
      </c>
      <c r="AI4639">
        <v>94.824176023160803</v>
      </c>
      <c r="AJ4639">
        <v>74.548820216598699</v>
      </c>
      <c r="AK4639">
        <v>13.100490960979201</v>
      </c>
      <c r="AL4639">
        <v>89.714480783860196</v>
      </c>
      <c r="AM4639">
        <v>84.713427667845593</v>
      </c>
      <c r="AN4639">
        <v>1.00000004520885</v>
      </c>
    </row>
    <row r="4640" spans="1:40" x14ac:dyDescent="0.3">
      <c r="A4640" t="str">
        <f>"20200111154012884"</f>
        <v>20200111154012884</v>
      </c>
      <c r="B4640" t="str">
        <f>"1578728412875551"</f>
        <v>1578728412875551</v>
      </c>
      <c r="C4640" t="s">
        <v>40</v>
      </c>
      <c r="D4640">
        <v>5.7729160000000004</v>
      </c>
      <c r="E4640">
        <v>0.56567880000000004</v>
      </c>
      <c r="F4640" t="s">
        <v>62</v>
      </c>
      <c r="G4640">
        <v>-184.45070000000001</v>
      </c>
      <c r="H4640" s="1">
        <v>-2.1938920000000001E-6</v>
      </c>
      <c r="I4640">
        <v>122.09010000000001</v>
      </c>
      <c r="J4640">
        <v>-188.3503</v>
      </c>
      <c r="K4640">
        <v>1.1012299999999999</v>
      </c>
      <c r="L4640">
        <v>109.8207</v>
      </c>
      <c r="M4640">
        <v>3.6804410000000003E-2</v>
      </c>
      <c r="N4640">
        <v>0</v>
      </c>
      <c r="O4640">
        <v>0.99908229999999998</v>
      </c>
      <c r="P4640">
        <v>0.12887850000000001</v>
      </c>
      <c r="Q4640">
        <v>-1.458603E-2</v>
      </c>
      <c r="R4640">
        <v>0.99155309999999997</v>
      </c>
      <c r="S4640">
        <v>0.88926700000000003</v>
      </c>
      <c r="T4640">
        <v>-0.2498986</v>
      </c>
      <c r="U4640">
        <v>2.9079130000000002</v>
      </c>
      <c r="V4640">
        <v>9.234349E-2</v>
      </c>
      <c r="W4640">
        <v>6.4933480000000003E-3</v>
      </c>
      <c r="X4640">
        <v>0.99570599999999998</v>
      </c>
      <c r="Y4640">
        <v>0.25604909999999997</v>
      </c>
      <c r="Z4640">
        <v>-8.2242410000000002E-2</v>
      </c>
      <c r="AA4640">
        <v>0.96315890000000004</v>
      </c>
      <c r="AB4640">
        <v>54</v>
      </c>
      <c r="AC4640">
        <v>3.8995999999999902</v>
      </c>
      <c r="AD4640">
        <v>-1.101232193892</v>
      </c>
      <c r="AE4640">
        <v>12.269399999999999</v>
      </c>
      <c r="AF4640">
        <v>3.42025516958895</v>
      </c>
      <c r="AG4640">
        <v>-1.101232193892</v>
      </c>
      <c r="AH4640">
        <v>12.314538089149799</v>
      </c>
      <c r="AI4640">
        <v>94.924656776904598</v>
      </c>
      <c r="AJ4640">
        <v>74.477832128969496</v>
      </c>
      <c r="AK4640">
        <v>12.828043737027301</v>
      </c>
      <c r="AL4640">
        <v>89.627955935726106</v>
      </c>
      <c r="AM4640">
        <v>84.701447003073298</v>
      </c>
      <c r="AN4640">
        <v>0.99999996107481304</v>
      </c>
    </row>
    <row r="4641" spans="1:40" x14ac:dyDescent="0.3">
      <c r="A4641" t="str">
        <f>"20200111154012906"</f>
        <v>20200111154012906</v>
      </c>
      <c r="B4641" t="str">
        <f>"1578728412896050"</f>
        <v>1578728412896050</v>
      </c>
      <c r="C4641" t="s">
        <v>40</v>
      </c>
      <c r="D4641">
        <v>5.7175719999999997</v>
      </c>
      <c r="E4641">
        <v>0.56599529999999998</v>
      </c>
      <c r="F4641" t="s">
        <v>62</v>
      </c>
      <c r="G4641">
        <v>-184.2747</v>
      </c>
      <c r="H4641" s="1">
        <v>-2.6089449999999999E-6</v>
      </c>
      <c r="I4641">
        <v>122.932</v>
      </c>
      <c r="J4641">
        <v>-188.327</v>
      </c>
      <c r="K4641">
        <v>1.1007819999999999</v>
      </c>
      <c r="L4641">
        <v>110.3768</v>
      </c>
      <c r="M4641">
        <v>4.0768890000000002E-2</v>
      </c>
      <c r="N4641">
        <v>0</v>
      </c>
      <c r="O4641">
        <v>0.99892899999999996</v>
      </c>
      <c r="P4641">
        <v>0.13243339999999901</v>
      </c>
      <c r="Q4641">
        <v>-1.043765E-2</v>
      </c>
      <c r="R4641">
        <v>0.99113700000000005</v>
      </c>
      <c r="S4641">
        <v>0.9028931</v>
      </c>
      <c r="T4641">
        <v>-0.24396229999999999</v>
      </c>
      <c r="U4641">
        <v>2.904617</v>
      </c>
      <c r="V4641">
        <v>9.2006000000000004E-2</v>
      </c>
      <c r="W4641">
        <v>1.0508170000000001E-2</v>
      </c>
      <c r="X4641">
        <v>0.995703</v>
      </c>
      <c r="Y4641">
        <v>0.25669209999999998</v>
      </c>
      <c r="Z4641">
        <v>-8.0308820000000003E-2</v>
      </c>
      <c r="AA4641">
        <v>0.96315090000000003</v>
      </c>
      <c r="AB4641">
        <v>54</v>
      </c>
      <c r="AC4641">
        <v>4.0522999999999998</v>
      </c>
      <c r="AD4641">
        <v>-1.100784608945</v>
      </c>
      <c r="AE4641">
        <v>12.555199999999999</v>
      </c>
      <c r="AF4641">
        <v>3.5124919845713598</v>
      </c>
      <c r="AG4641">
        <v>-1.100784608945</v>
      </c>
      <c r="AH4641">
        <v>12.622131488571901</v>
      </c>
      <c r="AI4641">
        <v>94.802605858341494</v>
      </c>
      <c r="AJ4641">
        <v>74.449156461720705</v>
      </c>
      <c r="AK4641">
        <v>13.147909720247</v>
      </c>
      <c r="AL4641">
        <v>89.397915124668302</v>
      </c>
      <c r="AM4641">
        <v>84.720686320045104</v>
      </c>
      <c r="AN4641">
        <v>0.99999999494087399</v>
      </c>
    </row>
    <row r="4642" spans="1:40" x14ac:dyDescent="0.3">
      <c r="A4642" t="str">
        <f>"20200111154012928"</f>
        <v>20200111154012928</v>
      </c>
      <c r="B4642" t="str">
        <f>"1578728412925327"</f>
        <v>1578728412925327</v>
      </c>
      <c r="C4642" t="s">
        <v>40</v>
      </c>
      <c r="D4642">
        <v>5.7961850000000004</v>
      </c>
      <c r="E4642">
        <v>0.56627519999999998</v>
      </c>
      <c r="F4642" t="s">
        <v>62</v>
      </c>
      <c r="G4642">
        <v>-183.94049999999999</v>
      </c>
      <c r="H4642" s="1">
        <v>-3.3915469999999999E-6</v>
      </c>
      <c r="I4642">
        <v>124.27460000000001</v>
      </c>
      <c r="J4642">
        <v>-188.3038</v>
      </c>
      <c r="K4642">
        <v>1.1004100000000001</v>
      </c>
      <c r="L4642">
        <v>110.8845</v>
      </c>
      <c r="M4642">
        <v>4.461963E-2</v>
      </c>
      <c r="N4642">
        <v>0</v>
      </c>
      <c r="O4642">
        <v>0.99876520000000002</v>
      </c>
      <c r="P4642">
        <v>0.13602030000000001</v>
      </c>
      <c r="Q4642">
        <v>-5.9939959999999997E-3</v>
      </c>
      <c r="R4642">
        <v>0.99068789999999995</v>
      </c>
      <c r="S4642">
        <v>0.91596979999999995</v>
      </c>
      <c r="T4642">
        <v>-0.2298567</v>
      </c>
      <c r="U4642">
        <v>2.9020229999999998</v>
      </c>
      <c r="V4642">
        <v>9.1824719999999999E-2</v>
      </c>
      <c r="W4642">
        <v>1.483082E-2</v>
      </c>
      <c r="X4642">
        <v>0.99566469999999896</v>
      </c>
      <c r="Y4642">
        <v>0.25727179999999999</v>
      </c>
      <c r="Z4642">
        <v>-7.5683680000000003E-2</v>
      </c>
      <c r="AA4642">
        <v>0.96337070000000002</v>
      </c>
      <c r="AB4642">
        <v>54</v>
      </c>
      <c r="AC4642">
        <v>4.3632999999999997</v>
      </c>
      <c r="AD4642">
        <v>-1.100413391547</v>
      </c>
      <c r="AE4642">
        <v>13.3901</v>
      </c>
      <c r="AF4642">
        <v>3.7385230882513398</v>
      </c>
      <c r="AG4642">
        <v>-1.100413391547</v>
      </c>
      <c r="AH4642">
        <v>13.489136034154299</v>
      </c>
      <c r="AI4642">
        <v>94.495024173399401</v>
      </c>
      <c r="AJ4642">
        <v>74.509251201699499</v>
      </c>
      <c r="AK4642">
        <v>14.040806795252299</v>
      </c>
      <c r="AL4642">
        <v>89.150225422652895</v>
      </c>
      <c r="AM4642">
        <v>84.730828043024005</v>
      </c>
      <c r="AN4642">
        <v>0.99999996362551902</v>
      </c>
    </row>
    <row r="4643" spans="1:40" x14ac:dyDescent="0.3">
      <c r="A4643" t="str">
        <f>"20200111154012949"</f>
        <v>20200111154012949</v>
      </c>
      <c r="B4643" t="str">
        <f>"1578728412945823"</f>
        <v>1578728412945823</v>
      </c>
      <c r="C4643" t="s">
        <v>40</v>
      </c>
      <c r="D4643">
        <v>5.7794910000000002</v>
      </c>
      <c r="E4643">
        <v>0.56644680000000003</v>
      </c>
      <c r="F4643" t="s">
        <v>62</v>
      </c>
      <c r="G4643">
        <v>-183.5008</v>
      </c>
      <c r="H4643" s="1">
        <v>-3.9680680000000001E-6</v>
      </c>
      <c r="I4643">
        <v>125.8792</v>
      </c>
      <c r="J4643">
        <v>-188.27799999999999</v>
      </c>
      <c r="K4643">
        <v>1.100063</v>
      </c>
      <c r="L4643">
        <v>111.40560000000001</v>
      </c>
      <c r="M4643">
        <v>4.874187E-2</v>
      </c>
      <c r="N4643">
        <v>0</v>
      </c>
      <c r="O4643">
        <v>0.99857340000000006</v>
      </c>
      <c r="P4643">
        <v>0.14003060000000001</v>
      </c>
      <c r="Q4643">
        <v>-3.4089720000000001E-3</v>
      </c>
      <c r="R4643">
        <v>0.9901413</v>
      </c>
      <c r="S4643">
        <v>0.92872619999999895</v>
      </c>
      <c r="T4643">
        <v>-0.2127762</v>
      </c>
      <c r="U4643">
        <v>2.899384</v>
      </c>
      <c r="V4643">
        <v>9.1786960000000001E-2</v>
      </c>
      <c r="W4643">
        <v>1.7294319999999998E-2</v>
      </c>
      <c r="X4643">
        <v>0.99562850000000003</v>
      </c>
      <c r="Y4643">
        <v>0.2575095</v>
      </c>
      <c r="Z4643">
        <v>-7.0081790000000005E-2</v>
      </c>
      <c r="AA4643">
        <v>0.963731</v>
      </c>
      <c r="AB4643">
        <v>54</v>
      </c>
      <c r="AC4643">
        <v>4.7771999999999899</v>
      </c>
      <c r="AD4643">
        <v>-1.100066968068</v>
      </c>
      <c r="AE4643">
        <v>14.4735999999999</v>
      </c>
      <c r="AF4643">
        <v>4.0448105914310197</v>
      </c>
      <c r="AG4643">
        <v>-1.100066968068</v>
      </c>
      <c r="AH4643">
        <v>14.613169773830601</v>
      </c>
      <c r="AI4643">
        <v>94.149608017780196</v>
      </c>
      <c r="AJ4643">
        <v>74.528329657436203</v>
      </c>
      <c r="AK4643">
        <v>15.2024791035404</v>
      </c>
      <c r="AL4643">
        <v>89.009059077480501</v>
      </c>
      <c r="AM4643">
        <v>84.732792207742904</v>
      </c>
      <c r="AN4643">
        <v>1.0000000247712699</v>
      </c>
    </row>
    <row r="4644" spans="1:40" x14ac:dyDescent="0.3">
      <c r="A4644" t="str">
        <f>"20200111154012973"</f>
        <v>20200111154012973</v>
      </c>
      <c r="B4644" t="str">
        <f>"1578728412965343"</f>
        <v>1578728412965343</v>
      </c>
      <c r="C4644" t="s">
        <v>40</v>
      </c>
      <c r="D4644">
        <v>5.779096</v>
      </c>
      <c r="E4644">
        <v>0.56684230000000002</v>
      </c>
      <c r="F4644" t="s">
        <v>62</v>
      </c>
      <c r="G4644">
        <v>-183.17019999999999</v>
      </c>
      <c r="H4644" s="1">
        <v>-4.3340910000000001E-6</v>
      </c>
      <c r="I4644">
        <v>127.1113</v>
      </c>
      <c r="J4644">
        <v>-188.2475</v>
      </c>
      <c r="K4644">
        <v>1.0997220000000001</v>
      </c>
      <c r="L4644">
        <v>111.9705</v>
      </c>
      <c r="M4644">
        <v>5.3350010000000003E-2</v>
      </c>
      <c r="N4644">
        <v>0</v>
      </c>
      <c r="O4644">
        <v>0.99833879999999997</v>
      </c>
      <c r="P4644">
        <v>0.145955</v>
      </c>
      <c r="Q4644">
        <v>-3.2650579999999999E-3</v>
      </c>
      <c r="R4644">
        <v>0.98928579999999999</v>
      </c>
      <c r="S4644">
        <v>0.94181820000000005</v>
      </c>
      <c r="T4644">
        <v>-0.20284070000000001</v>
      </c>
      <c r="U4644">
        <v>2.895966</v>
      </c>
      <c r="V4644">
        <v>9.3167360000000005E-2</v>
      </c>
      <c r="W4644">
        <v>1.7296229999999999E-2</v>
      </c>
      <c r="X4644">
        <v>0.99550019999999995</v>
      </c>
      <c r="Y4644">
        <v>0.2573955</v>
      </c>
      <c r="Z4644">
        <v>-6.6831639999999998E-2</v>
      </c>
      <c r="AA4644">
        <v>0.96399230000000002</v>
      </c>
      <c r="AB4644">
        <v>54</v>
      </c>
      <c r="AC4644">
        <v>5.0773000000000001</v>
      </c>
      <c r="AD4644">
        <v>-1.099726334091</v>
      </c>
      <c r="AE4644">
        <v>15.1408</v>
      </c>
      <c r="AF4644">
        <v>4.2419958818684798</v>
      </c>
      <c r="AG4644">
        <v>-1.099726334091</v>
      </c>
      <c r="AH4644">
        <v>15.317525019637401</v>
      </c>
      <c r="AI4644">
        <v>93.958045946042105</v>
      </c>
      <c r="AJ4644">
        <v>74.520598494782107</v>
      </c>
      <c r="AK4644">
        <v>15.9320588687998</v>
      </c>
      <c r="AL4644">
        <v>89.008949584147999</v>
      </c>
      <c r="AM4644">
        <v>84.653348341375505</v>
      </c>
      <c r="AN4644">
        <v>0.999999982370811</v>
      </c>
    </row>
    <row r="4645" spans="1:40" x14ac:dyDescent="0.3">
      <c r="A4645" t="str">
        <f>"20200111154012995"</f>
        <v>20200111154012995</v>
      </c>
      <c r="B4645" t="str">
        <f>"1578728412985842"</f>
        <v>1578728412985842</v>
      </c>
      <c r="C4645" t="s">
        <v>40</v>
      </c>
      <c r="D4645">
        <v>5.7959459999999998</v>
      </c>
      <c r="E4645">
        <v>0.5672431</v>
      </c>
      <c r="F4645" t="s">
        <v>62</v>
      </c>
      <c r="G4645">
        <v>-182.92330000000001</v>
      </c>
      <c r="H4645" s="1">
        <v>-4.588701E-6</v>
      </c>
      <c r="I4645">
        <v>127.9593</v>
      </c>
      <c r="J4645">
        <v>-188.21709999999999</v>
      </c>
      <c r="K4645">
        <v>1.0994459999999999</v>
      </c>
      <c r="L4645">
        <v>112.49079999999999</v>
      </c>
      <c r="M4645">
        <v>5.7699559999999997E-2</v>
      </c>
      <c r="N4645">
        <v>0</v>
      </c>
      <c r="O4645">
        <v>0.99809780000000003</v>
      </c>
      <c r="P4645">
        <v>0.1535947</v>
      </c>
      <c r="Q4645">
        <v>-4.7532599999999996E-3</v>
      </c>
      <c r="R4645">
        <v>0.98812250000000001</v>
      </c>
      <c r="S4645">
        <v>0.96231080000000002</v>
      </c>
      <c r="T4645">
        <v>-0.198768</v>
      </c>
      <c r="U4645">
        <v>2.8898619999999999</v>
      </c>
      <c r="V4645">
        <v>9.6514299999999997E-2</v>
      </c>
      <c r="W4645">
        <v>1.565327E-2</v>
      </c>
      <c r="X4645">
        <v>0.99520850000000005</v>
      </c>
      <c r="Y4645">
        <v>0.25997779999999998</v>
      </c>
      <c r="Z4645">
        <v>-6.5508960000000005E-2</v>
      </c>
      <c r="AA4645">
        <v>0.96338990000000002</v>
      </c>
      <c r="AB4645">
        <v>54</v>
      </c>
      <c r="AC4645">
        <v>5.2937999999999699</v>
      </c>
      <c r="AD4645">
        <v>-1.099450588701</v>
      </c>
      <c r="AE4645">
        <v>15.468500000000001</v>
      </c>
      <c r="AF4645">
        <v>4.3724667950392702</v>
      </c>
      <c r="AG4645">
        <v>-1.099450588701</v>
      </c>
      <c r="AH4645">
        <v>15.677342334173</v>
      </c>
      <c r="AI4645">
        <v>93.864560414679502</v>
      </c>
      <c r="AJ4645">
        <v>74.416023661769302</v>
      </c>
      <c r="AK4645">
        <v>16.312765557488</v>
      </c>
      <c r="AL4645">
        <v>89.103097060682302</v>
      </c>
      <c r="AM4645">
        <v>84.4608358415217</v>
      </c>
      <c r="AN4645">
        <v>0.99999999671921602</v>
      </c>
    </row>
    <row r="4646" spans="1:40" x14ac:dyDescent="0.3">
      <c r="A4646" t="str">
        <f>"20200111154013018"</f>
        <v>20200111154013018</v>
      </c>
      <c r="B4646" t="str">
        <f>"1578728413005362"</f>
        <v>1578728413005362</v>
      </c>
      <c r="C4646" t="s">
        <v>40</v>
      </c>
      <c r="D4646">
        <v>5.8098650000000003</v>
      </c>
      <c r="E4646">
        <v>0.56755440000000001</v>
      </c>
      <c r="F4646" t="s">
        <v>62</v>
      </c>
      <c r="G4646">
        <v>-182.8767</v>
      </c>
      <c r="H4646" s="1">
        <v>-4.6243449999999997E-6</v>
      </c>
      <c r="I4646">
        <v>128.07149999999999</v>
      </c>
      <c r="J4646">
        <v>-188.18379999999999</v>
      </c>
      <c r="K4646">
        <v>1.0991850000000001</v>
      </c>
      <c r="L4646">
        <v>113.0187</v>
      </c>
      <c r="M4646">
        <v>6.221575E-2</v>
      </c>
      <c r="N4646">
        <v>0</v>
      </c>
      <c r="O4646">
        <v>0.99782749999999998</v>
      </c>
      <c r="P4646">
        <v>0.16249739999999999</v>
      </c>
      <c r="Q4646">
        <v>-5.3040989999999996E-3</v>
      </c>
      <c r="R4646">
        <v>0.98669470000000004</v>
      </c>
      <c r="S4646">
        <v>0.98767090000000002</v>
      </c>
      <c r="T4646">
        <v>-0.20333680000000001</v>
      </c>
      <c r="U4646">
        <v>2.881561</v>
      </c>
      <c r="V4646">
        <v>0.1009848</v>
      </c>
      <c r="W4646">
        <v>1.493238E-2</v>
      </c>
      <c r="X4646">
        <v>0.99477590000000005</v>
      </c>
      <c r="Y4646">
        <v>0.2640132</v>
      </c>
      <c r="Z4646">
        <v>-6.7033229999999999E-2</v>
      </c>
      <c r="AA4646">
        <v>0.96218689999999996</v>
      </c>
      <c r="AB4646">
        <v>53</v>
      </c>
      <c r="AC4646">
        <v>5.3070999999999904</v>
      </c>
      <c r="AD4646">
        <v>-1.0991896243449999</v>
      </c>
      <c r="AE4646">
        <v>15.0527999999999</v>
      </c>
      <c r="AF4646">
        <v>4.3394916954314997</v>
      </c>
      <c r="AG4646">
        <v>-1.0991896243449999</v>
      </c>
      <c r="AH4646">
        <v>15.281412142335199</v>
      </c>
      <c r="AI4646">
        <v>93.958216662826899</v>
      </c>
      <c r="AJ4646">
        <v>74.146943235230097</v>
      </c>
      <c r="AK4646">
        <v>15.923597679824001</v>
      </c>
      <c r="AL4646">
        <v>89.144405848475998</v>
      </c>
      <c r="AM4646">
        <v>84.203469048978704</v>
      </c>
      <c r="AN4646">
        <v>0.99999999851215704</v>
      </c>
    </row>
    <row r="4647" spans="1:40" x14ac:dyDescent="0.3">
      <c r="A4647" t="str">
        <f>"20200111154013039"</f>
        <v>20200111154013039</v>
      </c>
      <c r="B4647" t="str">
        <f>"1578728413035616"</f>
        <v>1578728413035616</v>
      </c>
      <c r="C4647" t="s">
        <v>40</v>
      </c>
      <c r="D4647">
        <v>5.8061939999999996</v>
      </c>
      <c r="E4647">
        <v>0.57735800000000004</v>
      </c>
      <c r="F4647" t="s">
        <v>62</v>
      </c>
      <c r="G4647">
        <v>-182.73320000000001</v>
      </c>
      <c r="H4647" s="1">
        <v>-4.7681719999999996E-6</v>
      </c>
      <c r="I4647">
        <v>128.42529999999999</v>
      </c>
      <c r="J4647">
        <v>-188.14869999999999</v>
      </c>
      <c r="K4647">
        <v>1.0989420000000001</v>
      </c>
      <c r="L4647">
        <v>113.5385</v>
      </c>
      <c r="M4647">
        <v>6.6750130000000005E-2</v>
      </c>
      <c r="N4647">
        <v>0</v>
      </c>
      <c r="O4647">
        <v>0.99753519999999896</v>
      </c>
      <c r="P4647">
        <v>0.17098279999999999</v>
      </c>
      <c r="Q4647">
        <v>-4.477852E-3</v>
      </c>
      <c r="R4647">
        <v>0.98526380000000002</v>
      </c>
      <c r="S4647">
        <v>1.0160830000000001</v>
      </c>
      <c r="T4647">
        <v>-0.2049057</v>
      </c>
      <c r="U4647">
        <v>2.8720249999999998</v>
      </c>
      <c r="V4647">
        <v>0.10504280000000001</v>
      </c>
      <c r="W4647">
        <v>1.5597959999999999E-2</v>
      </c>
      <c r="X4647">
        <v>0.99434540000000005</v>
      </c>
      <c r="Y4647">
        <v>0.26908019999999999</v>
      </c>
      <c r="Z4647">
        <v>-6.7574049999999997E-2</v>
      </c>
      <c r="AA4647">
        <v>0.9607443</v>
      </c>
      <c r="AB4647">
        <v>53</v>
      </c>
      <c r="AC4647">
        <v>5.4154999999999802</v>
      </c>
      <c r="AD4647">
        <v>-1.098946768172</v>
      </c>
      <c r="AE4647">
        <v>14.8867999999999</v>
      </c>
      <c r="AF4647">
        <v>4.3883685943325696</v>
      </c>
      <c r="AG4647">
        <v>-1.098946768172</v>
      </c>
      <c r="AH4647">
        <v>15.1422796333612</v>
      </c>
      <c r="AI4647">
        <v>93.987434904391606</v>
      </c>
      <c r="AJ4647">
        <v>73.8379371734693</v>
      </c>
      <c r="AK4647">
        <v>15.8036102019097</v>
      </c>
      <c r="AL4647">
        <v>89.106266507258297</v>
      </c>
      <c r="AM4647">
        <v>83.969631379233803</v>
      </c>
      <c r="AN4647">
        <v>1.00000003034458</v>
      </c>
    </row>
    <row r="4648" spans="1:40" x14ac:dyDescent="0.3">
      <c r="A4648" t="str">
        <f>"20200111154013062"</f>
        <v>20200111154013062</v>
      </c>
      <c r="B4648" t="str">
        <f>"1578728413055137"</f>
        <v>1578728413055137</v>
      </c>
      <c r="C4648" t="s">
        <v>40</v>
      </c>
      <c r="D4648">
        <v>5.8248930000000003</v>
      </c>
      <c r="E4648">
        <v>0.57679859999999905</v>
      </c>
      <c r="F4648" t="s">
        <v>62</v>
      </c>
      <c r="G4648">
        <v>-182.1514</v>
      </c>
      <c r="H4648" s="1">
        <v>-4.9711830000000001E-6</v>
      </c>
      <c r="I4648">
        <v>128.8263</v>
      </c>
      <c r="J4648">
        <v>-188.10929999999999</v>
      </c>
      <c r="K4648">
        <v>1.098698</v>
      </c>
      <c r="L4648">
        <v>114.0819</v>
      </c>
      <c r="M4648">
        <v>7.1613300000000005E-2</v>
      </c>
      <c r="N4648">
        <v>0</v>
      </c>
      <c r="O4648">
        <v>0.99719869999999999</v>
      </c>
      <c r="P4648">
        <v>0.1796355</v>
      </c>
      <c r="Q4648">
        <v>-2.8517350000000002E-3</v>
      </c>
      <c r="R4648">
        <v>0.98372910000000002</v>
      </c>
      <c r="S4648">
        <v>1.117996</v>
      </c>
      <c r="T4648">
        <v>-0.20486399999999999</v>
      </c>
      <c r="U4648">
        <v>2.8499300000000001</v>
      </c>
      <c r="V4648">
        <v>0.10896409999999999</v>
      </c>
      <c r="W4648">
        <v>1.7061659999999999E-2</v>
      </c>
      <c r="X4648">
        <v>0.99389930000000004</v>
      </c>
      <c r="Y4648">
        <v>0.29674630000000002</v>
      </c>
      <c r="Z4648">
        <v>-6.7325380000000004E-2</v>
      </c>
      <c r="AA4648">
        <v>0.95258019999999999</v>
      </c>
      <c r="AB4648">
        <v>53</v>
      </c>
      <c r="AC4648">
        <v>5.9578999999999898</v>
      </c>
      <c r="AD4648">
        <v>-1.0987029711830001</v>
      </c>
      <c r="AE4648">
        <v>14.744400000000001</v>
      </c>
      <c r="AF4648">
        <v>4.8632404812714203</v>
      </c>
      <c r="AG4648">
        <v>-1.0987029711830001</v>
      </c>
      <c r="AH4648">
        <v>15.061396893027201</v>
      </c>
      <c r="AI4648">
        <v>93.971052988326505</v>
      </c>
      <c r="AJ4648">
        <v>72.105023195879397</v>
      </c>
      <c r="AK4648">
        <v>15.8651798781751</v>
      </c>
      <c r="AL4648">
        <v>89.022391502142099</v>
      </c>
      <c r="AM4648">
        <v>83.743482027020903</v>
      </c>
      <c r="AN4648">
        <v>1.0000000469356201</v>
      </c>
    </row>
    <row r="4649" spans="1:40" x14ac:dyDescent="0.3">
      <c r="A4649" t="str">
        <f>"20200111154013085"</f>
        <v>20200111154013085</v>
      </c>
      <c r="B4649" t="str">
        <f>"1578728413075631"</f>
        <v>1578728413075631</v>
      </c>
      <c r="C4649" t="s">
        <v>40</v>
      </c>
      <c r="D4649">
        <v>5.833704</v>
      </c>
      <c r="E4649">
        <v>0.57648109999999997</v>
      </c>
      <c r="F4649" t="s">
        <v>62</v>
      </c>
      <c r="G4649">
        <v>-181.9768</v>
      </c>
      <c r="H4649" s="1">
        <v>-5.2169190000000003E-6</v>
      </c>
      <c r="I4649">
        <v>129.3844</v>
      </c>
      <c r="J4649">
        <v>-188.0685</v>
      </c>
      <c r="K4649">
        <v>1.09843</v>
      </c>
      <c r="L4649">
        <v>114.6104</v>
      </c>
      <c r="M4649">
        <v>7.6513650000000002E-2</v>
      </c>
      <c r="N4649">
        <v>0</v>
      </c>
      <c r="O4649">
        <v>0.99683540000000004</v>
      </c>
      <c r="P4649">
        <v>0.18719440000000001</v>
      </c>
      <c r="Q4649">
        <v>-2.507254E-3</v>
      </c>
      <c r="R4649">
        <v>0.98231970000000002</v>
      </c>
      <c r="S4649">
        <v>1.1385959999999999</v>
      </c>
      <c r="T4649">
        <v>-0.20398910000000001</v>
      </c>
      <c r="U4649">
        <v>2.8411249999999999</v>
      </c>
      <c r="V4649">
        <v>0.1117359</v>
      </c>
      <c r="W4649">
        <v>1.7262380000000001E-2</v>
      </c>
      <c r="X4649">
        <v>0.99358800000000003</v>
      </c>
      <c r="Y4649">
        <v>0.29902810000000002</v>
      </c>
      <c r="Z4649">
        <v>-6.7083660000000003E-2</v>
      </c>
      <c r="AA4649">
        <v>0.95188340000000005</v>
      </c>
      <c r="AB4649">
        <v>53</v>
      </c>
      <c r="AC4649">
        <v>6.0917000000000003</v>
      </c>
      <c r="AD4649">
        <v>-1.0984352169189999</v>
      </c>
      <c r="AE4649">
        <v>14.773999999999999</v>
      </c>
      <c r="AF4649">
        <v>4.9199141056253897</v>
      </c>
      <c r="AG4649">
        <v>-1.0984352169189999</v>
      </c>
      <c r="AH4649">
        <v>15.1254158475925</v>
      </c>
      <c r="AI4649">
        <v>93.950588117097496</v>
      </c>
      <c r="AJ4649">
        <v>71.981607434191105</v>
      </c>
      <c r="AK4649">
        <v>15.943347179783199</v>
      </c>
      <c r="AL4649">
        <v>89.010889360707395</v>
      </c>
      <c r="AM4649">
        <v>83.583647672578394</v>
      </c>
      <c r="AN4649">
        <v>1.00000000742803</v>
      </c>
    </row>
    <row r="4650" spans="1:40" x14ac:dyDescent="0.3">
      <c r="A4650" t="str">
        <f>"20200111154013106"</f>
        <v>20200111154013106</v>
      </c>
      <c r="B4650" t="str">
        <f>"1578728413096126"</f>
        <v>1578728413096126</v>
      </c>
      <c r="C4650" t="s">
        <v>40</v>
      </c>
      <c r="D4650">
        <v>5.8492459999999999</v>
      </c>
      <c r="E4650">
        <v>0.57643979999999995</v>
      </c>
      <c r="F4650" t="s">
        <v>62</v>
      </c>
      <c r="G4650">
        <v>-181.86359999999999</v>
      </c>
      <c r="H4650" s="1">
        <v>-5.37737E-6</v>
      </c>
      <c r="I4650">
        <v>129.79140000000001</v>
      </c>
      <c r="J4650">
        <v>-188.02539999999999</v>
      </c>
      <c r="K4650">
        <v>1.0981379999999901</v>
      </c>
      <c r="L4650">
        <v>115.13330000000001</v>
      </c>
      <c r="M4650">
        <v>8.158812E-2</v>
      </c>
      <c r="N4650">
        <v>0</v>
      </c>
      <c r="O4650">
        <v>0.99643349999999997</v>
      </c>
      <c r="P4650">
        <v>0.1955778</v>
      </c>
      <c r="Q4650">
        <v>-5.2387980000000002E-3</v>
      </c>
      <c r="R4650">
        <v>0.98067420000000005</v>
      </c>
      <c r="S4650">
        <v>1.1578520000000001</v>
      </c>
      <c r="T4650">
        <v>-0.20497180000000001</v>
      </c>
      <c r="U4650">
        <v>2.8328250000000001</v>
      </c>
      <c r="V4650">
        <v>0.1151321</v>
      </c>
      <c r="W4650">
        <v>1.436834E-2</v>
      </c>
      <c r="X4650">
        <v>0.99324630000000003</v>
      </c>
      <c r="Y4650">
        <v>0.30068139999999999</v>
      </c>
      <c r="Z4650">
        <v>-6.7445649999999996E-2</v>
      </c>
      <c r="AA4650">
        <v>0.95133690000000004</v>
      </c>
      <c r="AB4650">
        <v>53</v>
      </c>
      <c r="AC4650">
        <v>6.1618000000000004</v>
      </c>
      <c r="AD4650">
        <v>-1.09814337736999</v>
      </c>
      <c r="AE4650">
        <v>14.658099999999999</v>
      </c>
      <c r="AF4650">
        <v>4.9215691188602904</v>
      </c>
      <c r="AG4650">
        <v>-1.09814337736999</v>
      </c>
      <c r="AH4650">
        <v>15.0403171882846</v>
      </c>
      <c r="AI4650">
        <v>93.969540838962402</v>
      </c>
      <c r="AJ4650">
        <v>71.880605235347701</v>
      </c>
      <c r="AK4650">
        <v>15.863130289863699</v>
      </c>
      <c r="AL4650">
        <v>89.176726455940795</v>
      </c>
      <c r="AM4650">
        <v>83.388070181280796</v>
      </c>
      <c r="AN4650">
        <v>1.0000000310542201</v>
      </c>
    </row>
    <row r="4651" spans="1:40" x14ac:dyDescent="0.3">
      <c r="A4651" t="str">
        <f>"20200111154013129"</f>
        <v>20200111154013129</v>
      </c>
      <c r="B4651" t="str">
        <f>"1578728413125407"</f>
        <v>1578728413125407</v>
      </c>
      <c r="C4651" t="s">
        <v>40</v>
      </c>
      <c r="D4651">
        <v>5.8914660000000003</v>
      </c>
      <c r="E4651">
        <v>0.57585319999999995</v>
      </c>
      <c r="F4651" t="s">
        <v>62</v>
      </c>
      <c r="G4651">
        <v>-181.88939999999999</v>
      </c>
      <c r="H4651" s="1">
        <v>-5.3755429999999997E-6</v>
      </c>
      <c r="I4651">
        <v>129.7903</v>
      </c>
      <c r="J4651">
        <v>-187.97970000000001</v>
      </c>
      <c r="K4651">
        <v>1.0978209999999999</v>
      </c>
      <c r="L4651">
        <v>115.65260000000001</v>
      </c>
      <c r="M4651">
        <v>8.6917019999999998E-2</v>
      </c>
      <c r="N4651">
        <v>0</v>
      </c>
      <c r="O4651">
        <v>0.99598359999999997</v>
      </c>
      <c r="P4651">
        <v>0.20501259999999999</v>
      </c>
      <c r="Q4651">
        <v>-5.8659319999999999E-3</v>
      </c>
      <c r="R4651">
        <v>0.9787418</v>
      </c>
      <c r="S4651">
        <v>1.1815340000000001</v>
      </c>
      <c r="T4651">
        <v>-0.2114578</v>
      </c>
      <c r="U4651">
        <v>2.8223569999999998</v>
      </c>
      <c r="V4651">
        <v>0.11938310000000001</v>
      </c>
      <c r="W4651">
        <v>1.354254E-2</v>
      </c>
      <c r="X4651">
        <v>0.99275590000000002</v>
      </c>
      <c r="Y4651">
        <v>0.30356959999999999</v>
      </c>
      <c r="Z4651">
        <v>-6.9618929999999996E-2</v>
      </c>
      <c r="AA4651">
        <v>0.95026239999999995</v>
      </c>
      <c r="AB4651">
        <v>53</v>
      </c>
      <c r="AC4651">
        <v>6.0903000000000098</v>
      </c>
      <c r="AD4651">
        <v>-1.097826375543</v>
      </c>
      <c r="AE4651">
        <v>14.137699999999899</v>
      </c>
      <c r="AF4651">
        <v>4.8136675910170998</v>
      </c>
      <c r="AG4651">
        <v>-1.097826375543</v>
      </c>
      <c r="AH4651">
        <v>14.5396953116649</v>
      </c>
      <c r="AI4651">
        <v>94.099907814222206</v>
      </c>
      <c r="AJ4651">
        <v>71.681803946509504</v>
      </c>
      <c r="AK4651">
        <v>15.355108537021</v>
      </c>
      <c r="AL4651">
        <v>89.224045895252104</v>
      </c>
      <c r="AM4651">
        <v>83.142867282051199</v>
      </c>
      <c r="AN4651">
        <v>1.0000000009700301</v>
      </c>
    </row>
    <row r="4652" spans="1:40" x14ac:dyDescent="0.3">
      <c r="A4652" t="str">
        <f>"20200111154013150"</f>
        <v>20200111154013150</v>
      </c>
      <c r="B4652" t="str">
        <f>"1578728413145903"</f>
        <v>1578728413145903</v>
      </c>
      <c r="C4652" t="s">
        <v>40</v>
      </c>
      <c r="D4652">
        <v>5.8901960000000004</v>
      </c>
      <c r="E4652">
        <v>0.57542289999999996</v>
      </c>
      <c r="F4652" t="s">
        <v>62</v>
      </c>
      <c r="G4652">
        <v>-181.88380000000001</v>
      </c>
      <c r="H4652" s="1">
        <v>-5.4095649999999999E-6</v>
      </c>
      <c r="I4652">
        <v>129.89570000000001</v>
      </c>
      <c r="J4652">
        <v>-187.93340000000001</v>
      </c>
      <c r="K4652">
        <v>1.097485</v>
      </c>
      <c r="L4652">
        <v>116.1468</v>
      </c>
      <c r="M4652">
        <v>9.2318510000000006E-2</v>
      </c>
      <c r="N4652">
        <v>0</v>
      </c>
      <c r="O4652">
        <v>0.9954982</v>
      </c>
      <c r="P4652">
        <v>0.2128121</v>
      </c>
      <c r="Q4652">
        <v>-4.3604680000000002E-3</v>
      </c>
      <c r="R4652">
        <v>0.97708340000000005</v>
      </c>
      <c r="S4652">
        <v>1.2034149999999999</v>
      </c>
      <c r="T4652">
        <v>-0.2167268</v>
      </c>
      <c r="U4652">
        <v>2.8117830000000001</v>
      </c>
      <c r="V4652">
        <v>0.12195</v>
      </c>
      <c r="W4652">
        <v>1.486468E-2</v>
      </c>
      <c r="X4652">
        <v>0.99242490000000005</v>
      </c>
      <c r="Y4652">
        <v>0.30589179999999999</v>
      </c>
      <c r="Z4652">
        <v>-7.1406579999999997E-2</v>
      </c>
      <c r="AA4652">
        <v>0.94938469999999997</v>
      </c>
      <c r="AB4652">
        <v>52</v>
      </c>
      <c r="AC4652">
        <v>6.0495999999999901</v>
      </c>
      <c r="AD4652">
        <v>-1.097490409565</v>
      </c>
      <c r="AE4652">
        <v>13.748900000000001</v>
      </c>
      <c r="AF4652">
        <v>4.7289384283520599</v>
      </c>
      <c r="AG4652">
        <v>-1.097490409565</v>
      </c>
      <c r="AH4652">
        <v>14.173116654909</v>
      </c>
      <c r="AI4652">
        <v>94.201051576607497</v>
      </c>
      <c r="AJ4652">
        <v>71.548439492353594</v>
      </c>
      <c r="AK4652">
        <v>14.981474545981399</v>
      </c>
      <c r="AL4652">
        <v>89.148285180463603</v>
      </c>
      <c r="AM4652">
        <v>82.994565911720997</v>
      </c>
      <c r="AN4652">
        <v>0.99999997167575505</v>
      </c>
    </row>
    <row r="4653" spans="1:40" x14ac:dyDescent="0.3">
      <c r="A4653" t="str">
        <f>"20200111154013173"</f>
        <v>20200111154013173</v>
      </c>
      <c r="B4653" t="str">
        <f>"1578728413165423"</f>
        <v>1578728413165423</v>
      </c>
      <c r="C4653" t="s">
        <v>40</v>
      </c>
      <c r="D4653">
        <v>5.9268510000000001</v>
      </c>
      <c r="E4653">
        <v>0.57501289999999905</v>
      </c>
      <c r="F4653" t="s">
        <v>62</v>
      </c>
      <c r="G4653">
        <v>-181.70779999999999</v>
      </c>
      <c r="H4653" s="1">
        <v>-5.5890299999999997E-6</v>
      </c>
      <c r="I4653">
        <v>130.4248</v>
      </c>
      <c r="J4653">
        <v>-187.8793</v>
      </c>
      <c r="K4653">
        <v>1.0970740000000001</v>
      </c>
      <c r="L4653">
        <v>116.6892</v>
      </c>
      <c r="M4653">
        <v>9.867165E-2</v>
      </c>
      <c r="N4653">
        <v>0</v>
      </c>
      <c r="O4653">
        <v>0.99488969999999999</v>
      </c>
      <c r="P4653">
        <v>0.2179325</v>
      </c>
      <c r="Q4653">
        <v>-5.1880900000000002E-3</v>
      </c>
      <c r="R4653">
        <v>0.97595010000000004</v>
      </c>
      <c r="S4653">
        <v>1.2222599999999999</v>
      </c>
      <c r="T4653">
        <v>-0.2154701</v>
      </c>
      <c r="U4653">
        <v>2.8031920000000001</v>
      </c>
      <c r="V4653">
        <v>0.1208178</v>
      </c>
      <c r="W4653">
        <v>1.3894409999999999E-2</v>
      </c>
      <c r="X4653">
        <v>0.99257740000000005</v>
      </c>
      <c r="Y4653">
        <v>0.30625449999999999</v>
      </c>
      <c r="Z4653">
        <v>-7.1032789999999998E-2</v>
      </c>
      <c r="AA4653">
        <v>0.94929580000000002</v>
      </c>
      <c r="AB4653">
        <v>52</v>
      </c>
      <c r="AC4653">
        <v>6.1715</v>
      </c>
      <c r="AD4653">
        <v>-1.09707958902999</v>
      </c>
      <c r="AE4653">
        <v>13.7356</v>
      </c>
      <c r="AF4653">
        <v>4.76047642605955</v>
      </c>
      <c r="AG4653">
        <v>-1.09707958902999</v>
      </c>
      <c r="AH4653">
        <v>14.2022479645511</v>
      </c>
      <c r="AI4653">
        <v>94.188972289867806</v>
      </c>
      <c r="AJ4653">
        <v>71.4692728976962</v>
      </c>
      <c r="AK4653">
        <v>15.0189735559502</v>
      </c>
      <c r="AL4653">
        <v>89.203883287482995</v>
      </c>
      <c r="AM4653">
        <v>83.060023915440198</v>
      </c>
      <c r="AN4653">
        <v>0.99999994520842195</v>
      </c>
    </row>
    <row r="4654" spans="1:40" x14ac:dyDescent="0.3">
      <c r="A4654" t="str">
        <f>"20200111154013195"</f>
        <v>20200111154013195</v>
      </c>
      <c r="B4654" t="str">
        <f>"1578728413185922"</f>
        <v>1578728413185922</v>
      </c>
      <c r="C4654" t="s">
        <v>40</v>
      </c>
      <c r="D4654">
        <v>5.9533699999999996</v>
      </c>
      <c r="E4654">
        <v>0.57460710000000004</v>
      </c>
      <c r="F4654" t="s">
        <v>62</v>
      </c>
      <c r="G4654">
        <v>-181.46799999999999</v>
      </c>
      <c r="H4654" s="1">
        <v>-5.8561300000000001E-6</v>
      </c>
      <c r="I4654">
        <v>131.20859999999999</v>
      </c>
      <c r="J4654">
        <v>-187.82490000000001</v>
      </c>
      <c r="K4654">
        <v>1.096651</v>
      </c>
      <c r="L4654">
        <v>117.19840000000001</v>
      </c>
      <c r="M4654">
        <v>0.105143899999999</v>
      </c>
      <c r="N4654">
        <v>0</v>
      </c>
      <c r="O4654">
        <v>0.99422739999999998</v>
      </c>
      <c r="P4654">
        <v>0.22389580000000001</v>
      </c>
      <c r="Q4654">
        <v>-6.1579099999999999E-3</v>
      </c>
      <c r="R4654">
        <v>0.97459359999999995</v>
      </c>
      <c r="S4654">
        <v>1.2350620000000001</v>
      </c>
      <c r="T4654">
        <v>-0.2113401</v>
      </c>
      <c r="U4654">
        <v>2.7970120000000001</v>
      </c>
      <c r="V4654">
        <v>0.12042319999999999</v>
      </c>
      <c r="W4654">
        <v>1.276298E-2</v>
      </c>
      <c r="X4654">
        <v>0.99264059999999998</v>
      </c>
      <c r="Y4654">
        <v>0.30450899999999997</v>
      </c>
      <c r="Z4654">
        <v>-6.9707099999999994E-2</v>
      </c>
      <c r="AA4654">
        <v>0.94995529999999995</v>
      </c>
      <c r="AB4654">
        <v>52</v>
      </c>
      <c r="AC4654">
        <v>6.35690000000002</v>
      </c>
      <c r="AD4654">
        <v>-1.0966568561299901</v>
      </c>
      <c r="AE4654">
        <v>14.0101999999999</v>
      </c>
      <c r="AF4654">
        <v>4.8237147717045499</v>
      </c>
      <c r="AG4654">
        <v>-1.0966568561299901</v>
      </c>
      <c r="AH4654">
        <v>14.527234894434701</v>
      </c>
      <c r="AI4654">
        <v>94.0978656149626</v>
      </c>
      <c r="AJ4654">
        <v>71.631443578245296</v>
      </c>
      <c r="AK4654">
        <v>15.346381793013601</v>
      </c>
      <c r="AL4654">
        <v>89.268715258023505</v>
      </c>
      <c r="AM4654">
        <v>83.082906579998195</v>
      </c>
      <c r="AN4654">
        <v>1.00000000076254</v>
      </c>
    </row>
    <row r="4655" spans="1:40" x14ac:dyDescent="0.3">
      <c r="A4655" t="str">
        <f>"20200111154013219"</f>
        <v>20200111154013219</v>
      </c>
      <c r="B4655" t="str">
        <f>"1578728413205439"</f>
        <v>1578728413205439</v>
      </c>
      <c r="C4655" t="s">
        <v>40</v>
      </c>
      <c r="D4655">
        <v>5.9222299999999999</v>
      </c>
      <c r="E4655">
        <v>0.57434510000000005</v>
      </c>
      <c r="F4655" t="s">
        <v>62</v>
      </c>
      <c r="G4655">
        <v>-181.29390000000001</v>
      </c>
      <c r="H4655" s="1">
        <v>-6.0688189999999997E-6</v>
      </c>
      <c r="I4655">
        <v>131.7731</v>
      </c>
      <c r="J4655">
        <v>-187.76439999999999</v>
      </c>
      <c r="K4655">
        <v>1.0961860000000001</v>
      </c>
      <c r="L4655">
        <v>117.7268</v>
      </c>
      <c r="M4655">
        <v>0.11243499999999999</v>
      </c>
      <c r="N4655">
        <v>0</v>
      </c>
      <c r="O4655">
        <v>0.99343020000000004</v>
      </c>
      <c r="P4655">
        <v>0.2318047</v>
      </c>
      <c r="Q4655">
        <v>-4.9084549999999999E-3</v>
      </c>
      <c r="R4655">
        <v>0.97274989999999995</v>
      </c>
      <c r="S4655">
        <v>1.250076</v>
      </c>
      <c r="T4655">
        <v>-0.20990819999999999</v>
      </c>
      <c r="U4655">
        <v>2.7897029999999998</v>
      </c>
      <c r="V4655">
        <v>0.12124260000000001</v>
      </c>
      <c r="W4655">
        <v>1.381193E-2</v>
      </c>
      <c r="X4655">
        <v>0.99252680000000004</v>
      </c>
      <c r="Y4655">
        <v>0.30272070000000001</v>
      </c>
      <c r="Z4655">
        <v>-6.9266030000000006E-2</v>
      </c>
      <c r="AA4655">
        <v>0.95055900000000004</v>
      </c>
      <c r="AB4655">
        <v>52</v>
      </c>
      <c r="AC4655">
        <v>6.4704999999999799</v>
      </c>
      <c r="AD4655">
        <v>-1.0961920688189899</v>
      </c>
      <c r="AE4655">
        <v>14.0463</v>
      </c>
      <c r="AF4655">
        <v>4.8255524212782603</v>
      </c>
      <c r="AG4655">
        <v>-1.0961920688189899</v>
      </c>
      <c r="AH4655">
        <v>14.611456983506001</v>
      </c>
      <c r="AI4655">
        <v>94.074770421833804</v>
      </c>
      <c r="AJ4655">
        <v>71.723773894345399</v>
      </c>
      <c r="AK4655">
        <v>15.4266739254803</v>
      </c>
      <c r="AL4655">
        <v>89.208609535060205</v>
      </c>
      <c r="AM4655">
        <v>83.035510351179397</v>
      </c>
      <c r="AN4655">
        <v>0.99999999309166199</v>
      </c>
    </row>
    <row r="4656" spans="1:40" x14ac:dyDescent="0.3">
      <c r="A4656" t="str">
        <f>"20200111154013240"</f>
        <v>20200111154013240</v>
      </c>
      <c r="B4656" t="str">
        <f>"1578728413235695"</f>
        <v>1578728413235695</v>
      </c>
      <c r="C4656" t="s">
        <v>40</v>
      </c>
      <c r="D4656">
        <v>5.9624920000000001</v>
      </c>
      <c r="E4656">
        <v>0.57396219999999998</v>
      </c>
      <c r="F4656" t="s">
        <v>62</v>
      </c>
      <c r="G4656">
        <v>-180.9744</v>
      </c>
      <c r="H4656" s="1">
        <v>-6.3806910000000001E-6</v>
      </c>
      <c r="I4656">
        <v>132.5847</v>
      </c>
      <c r="J4656">
        <v>-187.7045</v>
      </c>
      <c r="K4656">
        <v>1.0957539999999999</v>
      </c>
      <c r="L4656">
        <v>118.2178</v>
      </c>
      <c r="M4656">
        <v>0.1196802</v>
      </c>
      <c r="N4656">
        <v>0</v>
      </c>
      <c r="O4656">
        <v>0.99258409999999997</v>
      </c>
      <c r="P4656">
        <v>0.23988799999999999</v>
      </c>
      <c r="Q4656">
        <v>2.688786E-4</v>
      </c>
      <c r="R4656">
        <v>0.97080049999999996</v>
      </c>
      <c r="S4656">
        <v>1.2705379999999999</v>
      </c>
      <c r="T4656">
        <v>-0.20511950000000001</v>
      </c>
      <c r="U4656">
        <v>2.7802280000000001</v>
      </c>
      <c r="V4656">
        <v>0.12238060000000001</v>
      </c>
      <c r="W4656">
        <v>1.879231E-2</v>
      </c>
      <c r="X4656">
        <v>0.99230529999999995</v>
      </c>
      <c r="Y4656">
        <v>0.30282480000000001</v>
      </c>
      <c r="Z4656">
        <v>-6.7716390000000001E-2</v>
      </c>
      <c r="AA4656">
        <v>0.95063750000000002</v>
      </c>
      <c r="AB4656">
        <v>52</v>
      </c>
      <c r="AC4656">
        <v>6.7300999999999904</v>
      </c>
      <c r="AD4656">
        <v>-1.0957603806909999</v>
      </c>
      <c r="AE4656">
        <v>14.366899999999999</v>
      </c>
      <c r="AF4656">
        <v>4.9383246856378404</v>
      </c>
      <c r="AG4656">
        <v>-1.0957603806909999</v>
      </c>
      <c r="AH4656">
        <v>14.9976899410907</v>
      </c>
      <c r="AI4656">
        <v>93.969775067289007</v>
      </c>
      <c r="AJ4656">
        <v>71.774714904439904</v>
      </c>
      <c r="AK4656">
        <v>15.827774482907101</v>
      </c>
      <c r="AL4656">
        <v>88.923216549671693</v>
      </c>
      <c r="AM4656">
        <v>82.969238294683393</v>
      </c>
      <c r="AN4656">
        <v>0.99999998528979295</v>
      </c>
    </row>
    <row r="4657" spans="1:40" x14ac:dyDescent="0.3">
      <c r="A4657" t="str">
        <f>"20200111154013261"</f>
        <v>20200111154013261</v>
      </c>
      <c r="B4657" t="str">
        <f>"1578728413256192"</f>
        <v>1578728413256192</v>
      </c>
      <c r="C4657" t="s">
        <v>40</v>
      </c>
      <c r="D4657">
        <v>5.9396319999999996</v>
      </c>
      <c r="E4657">
        <v>0.57370569999999999</v>
      </c>
      <c r="F4657" t="s">
        <v>62</v>
      </c>
      <c r="G4657">
        <v>-180.17169999999999</v>
      </c>
      <c r="H4657" s="1">
        <v>-7.0814849999999997E-6</v>
      </c>
      <c r="I4657">
        <v>134.38720000000001</v>
      </c>
      <c r="J4657">
        <v>-187.64080000000001</v>
      </c>
      <c r="K4657">
        <v>1.095323</v>
      </c>
      <c r="L4657">
        <v>118.7093</v>
      </c>
      <c r="M4657">
        <v>0.12740489999999999</v>
      </c>
      <c r="N4657">
        <v>0</v>
      </c>
      <c r="O4657">
        <v>0.99162289999999997</v>
      </c>
      <c r="P4657">
        <v>0.24830389999999999</v>
      </c>
      <c r="Q4657">
        <v>7.2632109999999899E-3</v>
      </c>
      <c r="R4657">
        <v>0.96865489999999999</v>
      </c>
      <c r="S4657">
        <v>1.2910459999999999</v>
      </c>
      <c r="T4657">
        <v>-0.187802</v>
      </c>
      <c r="U4657">
        <v>2.771255</v>
      </c>
      <c r="V4657">
        <v>0.123448</v>
      </c>
      <c r="W4657">
        <v>2.5586500000000002E-2</v>
      </c>
      <c r="X4657">
        <v>0.99202109999999999</v>
      </c>
      <c r="Y4657">
        <v>0.30252220000000002</v>
      </c>
      <c r="Z4657">
        <v>-6.2025799999999999E-2</v>
      </c>
      <c r="AA4657">
        <v>0.95112200000000002</v>
      </c>
      <c r="AB4657">
        <v>52</v>
      </c>
      <c r="AC4657">
        <v>7.4691000000000196</v>
      </c>
      <c r="AD4657">
        <v>-1.095330081485</v>
      </c>
      <c r="AE4657">
        <v>15.677899999999999</v>
      </c>
      <c r="AF4657">
        <v>5.3888744525686301</v>
      </c>
      <c r="AG4657">
        <v>-1.095330081485</v>
      </c>
      <c r="AH4657">
        <v>16.436507602264399</v>
      </c>
      <c r="AI4657">
        <v>93.623333239615206</v>
      </c>
      <c r="AJ4657">
        <v>71.847748723330099</v>
      </c>
      <c r="AK4657">
        <v>17.3320079048057</v>
      </c>
      <c r="AL4657">
        <v>88.5338414894549</v>
      </c>
      <c r="AM4657">
        <v>82.906526971817001</v>
      </c>
      <c r="AN4657">
        <v>0.99999997026572895</v>
      </c>
    </row>
    <row r="4658" spans="1:40" x14ac:dyDescent="0.3">
      <c r="A4658" t="str">
        <f>"20200111154013285"</f>
        <v>20200111154013285</v>
      </c>
      <c r="B4658" t="str">
        <f>"1578728413275714"</f>
        <v>1578728413275714</v>
      </c>
      <c r="C4658" t="s">
        <v>40</v>
      </c>
      <c r="D4658">
        <v>5.9329739999999997</v>
      </c>
      <c r="E4658">
        <v>0.57342490000000002</v>
      </c>
      <c r="F4658" t="s">
        <v>62</v>
      </c>
      <c r="G4658">
        <v>-179.11199999999999</v>
      </c>
      <c r="H4658" s="1">
        <v>-7.3637259999999998E-6</v>
      </c>
      <c r="I4658">
        <v>136.64619999999999</v>
      </c>
      <c r="J4658">
        <v>-187.56540000000001</v>
      </c>
      <c r="K4658">
        <v>1.094811</v>
      </c>
      <c r="L4658">
        <v>119.2547</v>
      </c>
      <c r="M4658">
        <v>0.1365576</v>
      </c>
      <c r="N4658">
        <v>0</v>
      </c>
      <c r="O4658">
        <v>0.99040470000000003</v>
      </c>
      <c r="P4658">
        <v>0.25852839999999999</v>
      </c>
      <c r="Q4658">
        <v>1.339798E-2</v>
      </c>
      <c r="R4658">
        <v>0.96591070000000001</v>
      </c>
      <c r="S4658">
        <v>1.3131710000000001</v>
      </c>
      <c r="T4658">
        <v>-0.1686474</v>
      </c>
      <c r="U4658">
        <v>2.761749</v>
      </c>
      <c r="V4658">
        <v>0.12495970000000001</v>
      </c>
      <c r="W4658">
        <v>3.1482089999999997E-2</v>
      </c>
      <c r="X4658">
        <v>0.99166220000000005</v>
      </c>
      <c r="Y4658">
        <v>0.30136750000000001</v>
      </c>
      <c r="Z4658">
        <v>-5.5710999999999997E-2</v>
      </c>
      <c r="AA4658">
        <v>0.95187909999999998</v>
      </c>
      <c r="AB4658">
        <v>52</v>
      </c>
      <c r="AC4658">
        <v>8.4534000000000091</v>
      </c>
      <c r="AD4658">
        <v>-1.0948183637260001</v>
      </c>
      <c r="AE4658">
        <v>17.391499999999901</v>
      </c>
      <c r="AF4658">
        <v>5.9795295144977096</v>
      </c>
      <c r="AG4658">
        <v>-1.0948183637260001</v>
      </c>
      <c r="AH4658">
        <v>18.324401593280498</v>
      </c>
      <c r="AI4658">
        <v>93.250846299266499</v>
      </c>
      <c r="AJ4658">
        <v>71.927711925228706</v>
      </c>
      <c r="AK4658">
        <v>19.306400343309001</v>
      </c>
      <c r="AL4658">
        <v>88.195910987670402</v>
      </c>
      <c r="AM4658">
        <v>82.817992614134099</v>
      </c>
      <c r="AN4658">
        <v>0.99999998376184895</v>
      </c>
    </row>
    <row r="4659" spans="1:40" x14ac:dyDescent="0.3">
      <c r="A4659" t="str">
        <f>"20200111154013306"</f>
        <v>20200111154013306</v>
      </c>
      <c r="B4659" t="str">
        <f>"1578728413296210"</f>
        <v>1578728413296210</v>
      </c>
      <c r="C4659" t="s">
        <v>40</v>
      </c>
      <c r="D4659">
        <v>5.9156430000000002</v>
      </c>
      <c r="E4659">
        <v>0.57329560000000002</v>
      </c>
      <c r="F4659" t="s">
        <v>62</v>
      </c>
      <c r="G4659">
        <v>-178.0342</v>
      </c>
      <c r="H4659" s="1">
        <v>-7.4491649999999999E-6</v>
      </c>
      <c r="I4659">
        <v>138.80950000000001</v>
      </c>
      <c r="J4659">
        <v>-187.49250000000001</v>
      </c>
      <c r="K4659">
        <v>1.094312</v>
      </c>
      <c r="L4659">
        <v>119.74890000000001</v>
      </c>
      <c r="M4659">
        <v>0.14538299999999901</v>
      </c>
      <c r="N4659">
        <v>0</v>
      </c>
      <c r="O4659">
        <v>0.98914849999999999</v>
      </c>
      <c r="P4659">
        <v>0.26819140000000002</v>
      </c>
      <c r="Q4659">
        <v>1.7290239999999998E-2</v>
      </c>
      <c r="R4659">
        <v>0.96321049999999997</v>
      </c>
      <c r="S4659">
        <v>1.3400570000000001</v>
      </c>
      <c r="T4659">
        <v>-0.15392829999999999</v>
      </c>
      <c r="U4659">
        <v>2.7493439999999998</v>
      </c>
      <c r="V4659">
        <v>0.12619639999999999</v>
      </c>
      <c r="W4659">
        <v>3.5151689999999999E-2</v>
      </c>
      <c r="X4659">
        <v>0.99138230000000005</v>
      </c>
      <c r="Y4659">
        <v>0.3021954</v>
      </c>
      <c r="Z4659">
        <v>-5.0861879999999998E-2</v>
      </c>
      <c r="AA4659">
        <v>0.95188810000000001</v>
      </c>
      <c r="AB4659">
        <v>51</v>
      </c>
      <c r="AC4659">
        <v>9.4582999999999995</v>
      </c>
      <c r="AD4659">
        <v>-1.0943194491649999</v>
      </c>
      <c r="AE4659">
        <v>19.060600000000001</v>
      </c>
      <c r="AF4659">
        <v>6.5686811610135996</v>
      </c>
      <c r="AG4659">
        <v>-1.0943194491649999</v>
      </c>
      <c r="AH4659">
        <v>20.180008368134501</v>
      </c>
      <c r="AI4659">
        <v>92.951838373084598</v>
      </c>
      <c r="AJ4659">
        <v>71.969704128276703</v>
      </c>
      <c r="AK4659">
        <v>21.250361055517502</v>
      </c>
      <c r="AL4659">
        <v>87.985541554616802</v>
      </c>
      <c r="AM4659">
        <v>82.745641156717497</v>
      </c>
      <c r="AN4659">
        <v>1.00000001871805</v>
      </c>
    </row>
    <row r="4660" spans="1:40" x14ac:dyDescent="0.3">
      <c r="A4660" t="str">
        <f>"20200111154013328"</f>
        <v>20200111154013328</v>
      </c>
      <c r="B4660" t="str">
        <f>"1578728413325488"</f>
        <v>1578728413325488</v>
      </c>
      <c r="C4660" t="s">
        <v>40</v>
      </c>
      <c r="D4660">
        <v>6.0274609999999997</v>
      </c>
      <c r="E4660">
        <v>0.5734901</v>
      </c>
      <c r="F4660" t="s">
        <v>62</v>
      </c>
      <c r="G4660">
        <v>-177.15960000000001</v>
      </c>
      <c r="H4660" s="1">
        <v>-7.4533380000000001E-6</v>
      </c>
      <c r="I4660">
        <v>140.43979999999999</v>
      </c>
      <c r="J4660">
        <v>-187.41560000000001</v>
      </c>
      <c r="K4660">
        <v>1.0937809999999999</v>
      </c>
      <c r="L4660">
        <v>120.24</v>
      </c>
      <c r="M4660">
        <v>0.15466869999999999</v>
      </c>
      <c r="N4660">
        <v>0</v>
      </c>
      <c r="O4660">
        <v>0.98773979999999995</v>
      </c>
      <c r="P4660">
        <v>0.27771410000000002</v>
      </c>
      <c r="Q4660">
        <v>1.9526740000000001E-2</v>
      </c>
      <c r="R4660">
        <v>0.96046529999999997</v>
      </c>
      <c r="S4660">
        <v>1.3666689999999999</v>
      </c>
      <c r="T4660">
        <v>-0.144738899999999</v>
      </c>
      <c r="U4660">
        <v>2.7366640000000002</v>
      </c>
      <c r="V4660">
        <v>0.12680719999999901</v>
      </c>
      <c r="W4660">
        <v>3.7180739999999997E-2</v>
      </c>
      <c r="X4660">
        <v>0.99123030000000001</v>
      </c>
      <c r="Y4660">
        <v>0.30248170000000002</v>
      </c>
      <c r="Z4660">
        <v>-4.7828549999999997E-2</v>
      </c>
      <c r="AA4660">
        <v>0.95195439999999998</v>
      </c>
      <c r="AB4660">
        <v>51</v>
      </c>
      <c r="AC4660">
        <v>10.255999999999901</v>
      </c>
      <c r="AD4660">
        <v>-1.09378845333799</v>
      </c>
      <c r="AE4660">
        <v>20.1998</v>
      </c>
      <c r="AF4660">
        <v>6.9912538560950903</v>
      </c>
      <c r="AG4660">
        <v>-1.09378845333799</v>
      </c>
      <c r="AH4660">
        <v>21.493148209351201</v>
      </c>
      <c r="AI4660">
        <v>92.770625178204298</v>
      </c>
      <c r="AJ4660">
        <v>71.981419552557696</v>
      </c>
      <c r="AK4660">
        <v>22.628067164699601</v>
      </c>
      <c r="AL4660">
        <v>87.869209369392095</v>
      </c>
      <c r="AM4660">
        <v>82.709800524309202</v>
      </c>
      <c r="AN4660">
        <v>0.99999999051843802</v>
      </c>
    </row>
    <row r="4661" spans="1:40" x14ac:dyDescent="0.3">
      <c r="A4661" t="str">
        <f>"20200111154013350"</f>
        <v>20200111154013350</v>
      </c>
      <c r="B4661" t="str">
        <f>"1578728413345983"</f>
        <v>1578728413345983</v>
      </c>
      <c r="C4661" t="s">
        <v>40</v>
      </c>
      <c r="D4661">
        <v>6.0247609999999998</v>
      </c>
      <c r="E4661">
        <v>0.57099119999999903</v>
      </c>
      <c r="F4661" t="s">
        <v>62</v>
      </c>
      <c r="G4661">
        <v>-176.43860000000001</v>
      </c>
      <c r="H4661" s="1">
        <v>-7.3961799999999999E-6</v>
      </c>
      <c r="I4661">
        <v>141.65039999999999</v>
      </c>
      <c r="J4661">
        <v>-187.33150000000001</v>
      </c>
      <c r="K4661">
        <v>1.09321</v>
      </c>
      <c r="L4661">
        <v>120.7457</v>
      </c>
      <c r="M4661">
        <v>0.16477030000000001</v>
      </c>
      <c r="N4661">
        <v>0</v>
      </c>
      <c r="O4661">
        <v>0.98610549999999997</v>
      </c>
      <c r="P4661">
        <v>0.28909869999999999</v>
      </c>
      <c r="Q4661">
        <v>2.015188E-2</v>
      </c>
      <c r="R4661">
        <v>0.95708720000000003</v>
      </c>
      <c r="S4661">
        <v>1.395905</v>
      </c>
      <c r="T4661">
        <v>-0.1390922</v>
      </c>
      <c r="U4661">
        <v>2.7226720000000002</v>
      </c>
      <c r="V4661">
        <v>0.1284998</v>
      </c>
      <c r="W4661">
        <v>3.7561940000000002E-2</v>
      </c>
      <c r="X4661">
        <v>0.99099789999999999</v>
      </c>
      <c r="Y4661">
        <v>0.30285050000000002</v>
      </c>
      <c r="Z4661">
        <v>-4.5954120000000001E-2</v>
      </c>
      <c r="AA4661">
        <v>0.95192949999999998</v>
      </c>
      <c r="AB4661">
        <v>51</v>
      </c>
      <c r="AC4661">
        <v>10.8928999999999</v>
      </c>
      <c r="AD4661">
        <v>-1.09321739617999</v>
      </c>
      <c r="AE4661">
        <v>20.904699999999899</v>
      </c>
      <c r="AF4661">
        <v>7.2830407704332103</v>
      </c>
      <c r="AG4661">
        <v>-1.09321739617999</v>
      </c>
      <c r="AH4661">
        <v>22.365967685196001</v>
      </c>
      <c r="AI4661">
        <v>92.660998235837994</v>
      </c>
      <c r="AJ4661">
        <v>71.9631717234071</v>
      </c>
      <c r="AK4661">
        <v>23.547278348767499</v>
      </c>
      <c r="AL4661">
        <v>87.847352901268707</v>
      </c>
      <c r="AM4661">
        <v>82.611846797830793</v>
      </c>
      <c r="AN4661">
        <v>0.99999996787050605</v>
      </c>
    </row>
    <row r="4662" spans="1:40" x14ac:dyDescent="0.3">
      <c r="A4662" t="str">
        <f>"20200111154013374"</f>
        <v>20200111154013374</v>
      </c>
      <c r="B4662" t="str">
        <f>"1578728413365502"</f>
        <v>1578728413365502</v>
      </c>
      <c r="C4662" t="s">
        <v>40</v>
      </c>
      <c r="D4662">
        <v>6.0330709999999996</v>
      </c>
      <c r="E4662">
        <v>0.56942479999999995</v>
      </c>
      <c r="F4662" t="s">
        <v>62</v>
      </c>
      <c r="G4662">
        <v>-182.1294</v>
      </c>
      <c r="H4662" s="1">
        <v>-5.6742389999999998E-6</v>
      </c>
      <c r="I4662">
        <v>130.76769999999999</v>
      </c>
      <c r="J4662">
        <v>-187.2381</v>
      </c>
      <c r="K4662">
        <v>1.092587</v>
      </c>
      <c r="L4662">
        <v>121.2744</v>
      </c>
      <c r="M4662">
        <v>0.17590910000000001</v>
      </c>
      <c r="N4662">
        <v>0</v>
      </c>
      <c r="O4662">
        <v>0.9841799</v>
      </c>
      <c r="P4662">
        <v>0.3028111</v>
      </c>
      <c r="Q4662">
        <v>1.9068410000000001E-2</v>
      </c>
      <c r="R4662">
        <v>0.95285980000000003</v>
      </c>
      <c r="S4662">
        <v>1.4093020000000001</v>
      </c>
      <c r="T4662">
        <v>-0.29616170000000003</v>
      </c>
      <c r="U4662">
        <v>2.715042</v>
      </c>
      <c r="V4662">
        <v>0.13154170000000001</v>
      </c>
      <c r="W4662">
        <v>3.6185769999999999E-2</v>
      </c>
      <c r="X4662">
        <v>0.99065000000000003</v>
      </c>
      <c r="Y4662">
        <v>0.29514469999999998</v>
      </c>
      <c r="Z4662">
        <v>-9.7435069999999999E-2</v>
      </c>
      <c r="AA4662">
        <v>0.95047150000000002</v>
      </c>
      <c r="AB4662">
        <v>51</v>
      </c>
      <c r="AC4662">
        <v>5.10869999999999</v>
      </c>
      <c r="AD4662">
        <v>-1.092592674239</v>
      </c>
      <c r="AE4662">
        <v>9.4932999999999907</v>
      </c>
      <c r="AF4662">
        <v>3.3245233899409001</v>
      </c>
      <c r="AG4662">
        <v>-1.092592674239</v>
      </c>
      <c r="AH4662">
        <v>10.1399149237398</v>
      </c>
      <c r="AI4662">
        <v>95.846081098119598</v>
      </c>
      <c r="AJ4662">
        <v>71.847492482285006</v>
      </c>
      <c r="AK4662">
        <v>10.7267930521077</v>
      </c>
      <c r="AL4662">
        <v>87.926255422116199</v>
      </c>
      <c r="AM4662">
        <v>82.4363273028181</v>
      </c>
      <c r="AN4662">
        <v>1.0000000256446899</v>
      </c>
    </row>
    <row r="4663" spans="1:40" x14ac:dyDescent="0.3">
      <c r="A4663" t="str">
        <f>"20200111154013396"</f>
        <v>20200111154013396</v>
      </c>
      <c r="B4663" t="str">
        <f>"1578728413386001"</f>
        <v>1578728413386001</v>
      </c>
      <c r="C4663" t="s">
        <v>40</v>
      </c>
      <c r="D4663">
        <v>6.0151389999999996</v>
      </c>
      <c r="E4663">
        <v>0.56835729999999995</v>
      </c>
      <c r="F4663" t="s">
        <v>62</v>
      </c>
      <c r="G4663">
        <v>-182.1344</v>
      </c>
      <c r="H4663" s="1">
        <v>-5.7065130000000001E-6</v>
      </c>
      <c r="I4663">
        <v>130.86949999999999</v>
      </c>
      <c r="J4663">
        <v>-187.14580000000001</v>
      </c>
      <c r="K4663">
        <v>1.0920000000000001</v>
      </c>
      <c r="L4663">
        <v>121.7637</v>
      </c>
      <c r="M4663">
        <v>0.18679380000000001</v>
      </c>
      <c r="N4663">
        <v>0</v>
      </c>
      <c r="O4663">
        <v>0.9821723</v>
      </c>
      <c r="P4663">
        <v>0.315245</v>
      </c>
      <c r="Q4663">
        <v>1.6454469999999999E-2</v>
      </c>
      <c r="R4663">
        <v>0.94886769999999998</v>
      </c>
      <c r="S4663">
        <v>1.435333</v>
      </c>
      <c r="T4663">
        <v>-0.30727529999999997</v>
      </c>
      <c r="U4663">
        <v>2.6984560000000002</v>
      </c>
      <c r="V4663">
        <v>0.133487299999999</v>
      </c>
      <c r="W4663">
        <v>3.3327429999999998E-2</v>
      </c>
      <c r="X4663">
        <v>0.99048999999999998</v>
      </c>
      <c r="Y4663">
        <v>0.29395929999999998</v>
      </c>
      <c r="Z4663">
        <v>-0.101094</v>
      </c>
      <c r="AA4663">
        <v>0.95045670000000004</v>
      </c>
      <c r="AB4663">
        <v>51</v>
      </c>
      <c r="AC4663">
        <v>5.0114000000000001</v>
      </c>
      <c r="AD4663">
        <v>-1.092005706513</v>
      </c>
      <c r="AE4663">
        <v>9.1057999999999808</v>
      </c>
      <c r="AF4663">
        <v>3.1866932432514701</v>
      </c>
      <c r="AG4663">
        <v>-1.092005706513</v>
      </c>
      <c r="AH4663">
        <v>9.7738770557258103</v>
      </c>
      <c r="AI4663">
        <v>96.063425538197905</v>
      </c>
      <c r="AJ4663">
        <v>71.941862595832006</v>
      </c>
      <c r="AK4663">
        <v>10.338092812027</v>
      </c>
      <c r="AL4663">
        <v>88.090125268601199</v>
      </c>
      <c r="AM4663">
        <v>82.324553716154597</v>
      </c>
      <c r="AN4663">
        <v>1.00000000847584</v>
      </c>
    </row>
    <row r="4664" spans="1:40" x14ac:dyDescent="0.3">
      <c r="A4664" t="str">
        <f>"20200111154013418"</f>
        <v>20200111154013418</v>
      </c>
      <c r="B4664" t="str">
        <f>"1578728413405519"</f>
        <v>1578728413405519</v>
      </c>
      <c r="C4664" t="s">
        <v>40</v>
      </c>
      <c r="D4664">
        <v>6.0283639999999998</v>
      </c>
      <c r="E4664">
        <v>0.56847930000000002</v>
      </c>
      <c r="F4664" t="s">
        <v>62</v>
      </c>
      <c r="G4664">
        <v>-182.15549999999999</v>
      </c>
      <c r="H4664" s="1">
        <v>-5.7193600000000004E-6</v>
      </c>
      <c r="I4664">
        <v>130.9135</v>
      </c>
      <c r="J4664">
        <v>-187.0463</v>
      </c>
      <c r="K4664">
        <v>1.0914079999999999</v>
      </c>
      <c r="L4664">
        <v>122.2607</v>
      </c>
      <c r="M4664">
        <v>0.19838810000000001</v>
      </c>
      <c r="N4664">
        <v>0</v>
      </c>
      <c r="O4664">
        <v>0.9798962</v>
      </c>
      <c r="P4664">
        <v>0.32907239999999999</v>
      </c>
      <c r="Q4664">
        <v>1.497327E-2</v>
      </c>
      <c r="R4664">
        <v>0.94418599999999997</v>
      </c>
      <c r="S4664">
        <v>1.462418</v>
      </c>
      <c r="T4664">
        <v>-0.32001289999999999</v>
      </c>
      <c r="U4664">
        <v>2.6813509999999998</v>
      </c>
      <c r="V4664">
        <v>0.13624259999999999</v>
      </c>
      <c r="W4664">
        <v>3.1573120000000003E-2</v>
      </c>
      <c r="X4664">
        <v>0.99017230000000001</v>
      </c>
      <c r="Y4664">
        <v>0.29239989999999999</v>
      </c>
      <c r="Z4664">
        <v>-0.1052461</v>
      </c>
      <c r="AA4664">
        <v>0.95048699999999997</v>
      </c>
      <c r="AB4664">
        <v>51</v>
      </c>
      <c r="AC4664">
        <v>4.8908000000000103</v>
      </c>
      <c r="AD4664">
        <v>-1.09141371936</v>
      </c>
      <c r="AE4664">
        <v>8.6527999999999992</v>
      </c>
      <c r="AF4664">
        <v>3.03989537596531</v>
      </c>
      <c r="AG4664">
        <v>-1.09141371936</v>
      </c>
      <c r="AH4664">
        <v>9.3386266068445192</v>
      </c>
      <c r="AI4664">
        <v>96.341332165320907</v>
      </c>
      <c r="AJ4664">
        <v>71.968974682821198</v>
      </c>
      <c r="AK4664">
        <v>9.8814014545350197</v>
      </c>
      <c r="AL4664">
        <v>88.190692871023899</v>
      </c>
      <c r="AM4664">
        <v>82.165590409509306</v>
      </c>
      <c r="AN4664">
        <v>1.0000000458242899</v>
      </c>
    </row>
    <row r="4665" spans="1:40" x14ac:dyDescent="0.3">
      <c r="A4665" t="str">
        <f>"20200111154013440"</f>
        <v>20200111154013440</v>
      </c>
      <c r="B4665" t="str">
        <f>"1578728413435775"</f>
        <v>1578728413435775</v>
      </c>
      <c r="C4665" t="s">
        <v>40</v>
      </c>
      <c r="D4665">
        <v>6.0431150000000002</v>
      </c>
      <c r="E4665">
        <v>0.5673994</v>
      </c>
      <c r="F4665" t="s">
        <v>62</v>
      </c>
      <c r="G4665">
        <v>-182.0437</v>
      </c>
      <c r="H4665" s="1">
        <v>-5.7911130000000001E-6</v>
      </c>
      <c r="I4665">
        <v>131.11750000000001</v>
      </c>
      <c r="J4665">
        <v>-186.9391</v>
      </c>
      <c r="K4665">
        <v>1.0908439999999999</v>
      </c>
      <c r="L4665">
        <v>122.76609999999999</v>
      </c>
      <c r="M4665">
        <v>0.21066280000000001</v>
      </c>
      <c r="N4665">
        <v>0</v>
      </c>
      <c r="O4665">
        <v>0.9773307</v>
      </c>
      <c r="P4665">
        <v>0.34329320000000002</v>
      </c>
      <c r="Q4665">
        <v>1.402172E-2</v>
      </c>
      <c r="R4665">
        <v>0.93912359999999995</v>
      </c>
      <c r="S4665">
        <v>1.5019530000000001</v>
      </c>
      <c r="T4665">
        <v>-0.32767819999999998</v>
      </c>
      <c r="U4665">
        <v>2.6590880000000001</v>
      </c>
      <c r="V4665">
        <v>0.13878209999999999</v>
      </c>
      <c r="W4665">
        <v>3.036063E-2</v>
      </c>
      <c r="X4665">
        <v>0.9898574</v>
      </c>
      <c r="Y4665">
        <v>0.29439969999999999</v>
      </c>
      <c r="Z4665">
        <v>-0.1076978</v>
      </c>
      <c r="AA4665">
        <v>0.94959459999999996</v>
      </c>
      <c r="AB4665">
        <v>50</v>
      </c>
      <c r="AC4665">
        <v>4.8953999999999898</v>
      </c>
      <c r="AD4665">
        <v>-1.090849791113</v>
      </c>
      <c r="AE4665">
        <v>8.3514000000000106</v>
      </c>
      <c r="AF4665">
        <v>2.9878301632614002</v>
      </c>
      <c r="AG4665">
        <v>-1.090849791113</v>
      </c>
      <c r="AH4665">
        <v>9.0801080720148892</v>
      </c>
      <c r="AI4665">
        <v>96.510255768884605</v>
      </c>
      <c r="AJ4665">
        <v>71.786092198845594</v>
      </c>
      <c r="AK4665">
        <v>9.6210937502311005</v>
      </c>
      <c r="AL4665">
        <v>88.260196608304994</v>
      </c>
      <c r="AM4665">
        <v>82.018918720337993</v>
      </c>
      <c r="AN4665">
        <v>0.999999955734582</v>
      </c>
    </row>
    <row r="4666" spans="1:40" x14ac:dyDescent="0.3">
      <c r="A4666" t="str">
        <f>"20200111154013464"</f>
        <v>20200111154013464</v>
      </c>
      <c r="B4666" t="str">
        <f>"1578728413456271"</f>
        <v>1578728413456271</v>
      </c>
      <c r="C4666" t="s">
        <v>40</v>
      </c>
      <c r="D4666">
        <v>6.071161</v>
      </c>
      <c r="E4666">
        <v>0.566949699999999</v>
      </c>
      <c r="F4666" t="s">
        <v>62</v>
      </c>
      <c r="G4666">
        <v>-181.93129999999999</v>
      </c>
      <c r="H4666" s="1">
        <v>-5.8824949999999997E-6</v>
      </c>
      <c r="I4666">
        <v>131.3828</v>
      </c>
      <c r="J4666">
        <v>-186.82499999999999</v>
      </c>
      <c r="K4666">
        <v>1.0903099999999999</v>
      </c>
      <c r="L4666">
        <v>123.2741</v>
      </c>
      <c r="M4666">
        <v>0.2234698</v>
      </c>
      <c r="N4666">
        <v>0</v>
      </c>
      <c r="O4666">
        <v>0.97448190000000001</v>
      </c>
      <c r="P4666">
        <v>0.35796899999999998</v>
      </c>
      <c r="Q4666">
        <v>1.362468E-2</v>
      </c>
      <c r="R4666">
        <v>0.93363410000000002</v>
      </c>
      <c r="S4666">
        <v>1.533615</v>
      </c>
      <c r="T4666">
        <v>-0.33407049999999999</v>
      </c>
      <c r="U4666">
        <v>2.6388400000000001</v>
      </c>
      <c r="V4666">
        <v>0.14132790000000001</v>
      </c>
      <c r="W4666">
        <v>2.970861E-2</v>
      </c>
      <c r="X4666">
        <v>0.98951699999999998</v>
      </c>
      <c r="Y4666">
        <v>0.2934254</v>
      </c>
      <c r="Z4666">
        <v>-0.1097298</v>
      </c>
      <c r="AA4666">
        <v>0.94966360000000005</v>
      </c>
      <c r="AB4666">
        <v>50</v>
      </c>
      <c r="AC4666">
        <v>4.8936999999999902</v>
      </c>
      <c r="AD4666">
        <v>-1.0903158824950001</v>
      </c>
      <c r="AE4666">
        <v>8.10869999999999</v>
      </c>
      <c r="AF4666">
        <v>2.9187501781891099</v>
      </c>
      <c r="AG4666">
        <v>-1.0903158824950001</v>
      </c>
      <c r="AH4666">
        <v>8.8797003855659309</v>
      </c>
      <c r="AI4666">
        <v>96.653345489630894</v>
      </c>
      <c r="AJ4666">
        <v>71.804348487190197</v>
      </c>
      <c r="AK4666">
        <v>9.4104713093298091</v>
      </c>
      <c r="AL4666">
        <v>88.297571601193596</v>
      </c>
      <c r="AM4666">
        <v>81.871694840205194</v>
      </c>
      <c r="AN4666">
        <v>1.00000003505777</v>
      </c>
    </row>
    <row r="4667" spans="1:40" x14ac:dyDescent="0.3">
      <c r="A4667" t="str">
        <f>"20200111154013485"</f>
        <v>20200111154013485</v>
      </c>
      <c r="B4667" t="str">
        <f>"1578728413475793"</f>
        <v>1578728413475793</v>
      </c>
      <c r="C4667" t="s">
        <v>40</v>
      </c>
      <c r="D4667">
        <v>6.0503850000000003</v>
      </c>
      <c r="E4667">
        <v>0.56645829999999997</v>
      </c>
      <c r="F4667" t="s">
        <v>62</v>
      </c>
      <c r="G4667">
        <v>-181.75210000000001</v>
      </c>
      <c r="H4667" s="1">
        <v>-6.007919E-6</v>
      </c>
      <c r="I4667">
        <v>131.7141</v>
      </c>
      <c r="J4667">
        <v>-186.7131</v>
      </c>
      <c r="K4667">
        <v>1.0898490000000001</v>
      </c>
      <c r="L4667">
        <v>123.7457</v>
      </c>
      <c r="M4667">
        <v>0.2357582</v>
      </c>
      <c r="N4667">
        <v>0</v>
      </c>
      <c r="O4667">
        <v>0.9715819</v>
      </c>
      <c r="P4667">
        <v>0.37257780000000001</v>
      </c>
      <c r="Q4667">
        <v>1.422782E-2</v>
      </c>
      <c r="R4667">
        <v>0.92789189999999999</v>
      </c>
      <c r="S4667">
        <v>1.5720209999999999</v>
      </c>
      <c r="T4667">
        <v>-0.33787719999999999</v>
      </c>
      <c r="U4667">
        <v>2.6154480000000002</v>
      </c>
      <c r="V4667">
        <v>0.14441689999999999</v>
      </c>
      <c r="W4667">
        <v>3.00513E-2</v>
      </c>
      <c r="X4667">
        <v>0.98906050000000001</v>
      </c>
      <c r="Y4667">
        <v>0.29528110000000002</v>
      </c>
      <c r="Z4667">
        <v>-0.11089930000000001</v>
      </c>
      <c r="AA4667">
        <v>0.94895229999999997</v>
      </c>
      <c r="AB4667">
        <v>50</v>
      </c>
      <c r="AC4667">
        <v>4.9609999999999799</v>
      </c>
      <c r="AD4667">
        <v>-1.0898550079189999</v>
      </c>
      <c r="AE4667">
        <v>7.9683999999999999</v>
      </c>
      <c r="AF4667">
        <v>2.9029245169604798</v>
      </c>
      <c r="AG4667">
        <v>-1.0898550079189999</v>
      </c>
      <c r="AH4667">
        <v>8.79497412764057</v>
      </c>
      <c r="AI4667">
        <v>96.711342212646002</v>
      </c>
      <c r="AJ4667">
        <v>71.733684774338201</v>
      </c>
      <c r="AK4667">
        <v>9.3255736871960604</v>
      </c>
      <c r="AL4667">
        <v>88.277928074889005</v>
      </c>
      <c r="AM4667">
        <v>81.692706930425103</v>
      </c>
      <c r="AN4667">
        <v>0.99999999714877497</v>
      </c>
    </row>
    <row r="4668" spans="1:40" x14ac:dyDescent="0.3">
      <c r="A4668" t="str">
        <f>"20200111154013507"</f>
        <v>20200111154013507</v>
      </c>
      <c r="B4668" t="str">
        <f>"1578728413496286"</f>
        <v>1578728413496286</v>
      </c>
      <c r="C4668" t="s">
        <v>40</v>
      </c>
      <c r="D4668">
        <v>6.0849479999999998</v>
      </c>
      <c r="E4668">
        <v>0.56657109999999899</v>
      </c>
      <c r="F4668" t="s">
        <v>62</v>
      </c>
      <c r="G4668">
        <v>-181.55699999999999</v>
      </c>
      <c r="H4668" s="1">
        <v>-6.1447020000000003E-6</v>
      </c>
      <c r="I4668">
        <v>132.05619999999999</v>
      </c>
      <c r="J4668">
        <v>-186.59469999999999</v>
      </c>
      <c r="K4668">
        <v>1.0894060000000001</v>
      </c>
      <c r="L4668">
        <v>124.2197</v>
      </c>
      <c r="M4668">
        <v>0.24848619999999999</v>
      </c>
      <c r="N4668">
        <v>0</v>
      </c>
      <c r="O4668">
        <v>0.9684045</v>
      </c>
      <c r="P4668">
        <v>0.38724530000000001</v>
      </c>
      <c r="Q4668">
        <v>1.6148880000000001E-2</v>
      </c>
      <c r="R4668">
        <v>0.92183519999999997</v>
      </c>
      <c r="S4668">
        <v>1.608444</v>
      </c>
      <c r="T4668">
        <v>-0.33997959999999999</v>
      </c>
      <c r="U4668">
        <v>2.5924839999999998</v>
      </c>
      <c r="V4668">
        <v>0.14723259999999999</v>
      </c>
      <c r="W4668">
        <v>3.1723250000000001E-2</v>
      </c>
      <c r="X4668">
        <v>0.98859300000000006</v>
      </c>
      <c r="Y4668">
        <v>0.29610429999999999</v>
      </c>
      <c r="Z4668">
        <v>-0.1114797</v>
      </c>
      <c r="AA4668">
        <v>0.94862769999999996</v>
      </c>
      <c r="AB4668">
        <v>50</v>
      </c>
      <c r="AC4668">
        <v>5.0376999999999699</v>
      </c>
      <c r="AD4668">
        <v>-1.089412144702</v>
      </c>
      <c r="AE4668">
        <v>7.8364999999999796</v>
      </c>
      <c r="AF4668">
        <v>2.8923726553855</v>
      </c>
      <c r="AG4668">
        <v>-1.089412144702</v>
      </c>
      <c r="AH4668">
        <v>8.7233887808130497</v>
      </c>
      <c r="AI4668">
        <v>96.760189789691495</v>
      </c>
      <c r="AJ4668">
        <v>71.656272393318304</v>
      </c>
      <c r="AK4668">
        <v>9.2547366369800592</v>
      </c>
      <c r="AL4668">
        <v>88.182086591391595</v>
      </c>
      <c r="AM4668">
        <v>81.529119320006401</v>
      </c>
      <c r="AN4668">
        <v>0.99999996137115998</v>
      </c>
    </row>
    <row r="4669" spans="1:40" x14ac:dyDescent="0.3">
      <c r="A4669" t="str">
        <f>"20200111154013529"</f>
        <v>20200111154013529</v>
      </c>
      <c r="B4669" t="str">
        <f>"1578728413525567"</f>
        <v>1578728413525567</v>
      </c>
      <c r="C4669" t="s">
        <v>40</v>
      </c>
      <c r="D4669">
        <v>6.2235860000000001</v>
      </c>
      <c r="E4669">
        <v>0.58430380000000004</v>
      </c>
      <c r="F4669" t="s">
        <v>62</v>
      </c>
      <c r="G4669">
        <v>-181.2216</v>
      </c>
      <c r="H4669" s="1">
        <v>-6.3553230000000004E-6</v>
      </c>
      <c r="I4669">
        <v>132.57429999999999</v>
      </c>
      <c r="J4669">
        <v>-186.46860000000001</v>
      </c>
      <c r="K4669">
        <v>1.088986</v>
      </c>
      <c r="L4669">
        <v>124.6992</v>
      </c>
      <c r="M4669">
        <v>0.26172329999999999</v>
      </c>
      <c r="N4669">
        <v>0</v>
      </c>
      <c r="O4669">
        <v>0.96491099999999996</v>
      </c>
      <c r="P4669">
        <v>0.40259620000000002</v>
      </c>
      <c r="Q4669">
        <v>1.9049960000000001E-2</v>
      </c>
      <c r="R4669">
        <v>0.91517939999999998</v>
      </c>
      <c r="S4669">
        <v>1.650757</v>
      </c>
      <c r="T4669">
        <v>-0.3346982</v>
      </c>
      <c r="U4669">
        <v>2.5667719999999998</v>
      </c>
      <c r="V4669">
        <v>0.15037059999999999</v>
      </c>
      <c r="W4669">
        <v>3.4360620000000001E-2</v>
      </c>
      <c r="X4669">
        <v>0.98803240000000003</v>
      </c>
      <c r="Y4669">
        <v>0.29853439999999998</v>
      </c>
      <c r="Z4669">
        <v>-0.1096149</v>
      </c>
      <c r="AA4669">
        <v>0.94808320000000001</v>
      </c>
      <c r="AB4669">
        <v>50</v>
      </c>
      <c r="AC4669">
        <v>5.2470000000000097</v>
      </c>
      <c r="AD4669">
        <v>-1.0889923553229901</v>
      </c>
      <c r="AE4669">
        <v>7.8750999999999802</v>
      </c>
      <c r="AF4669">
        <v>2.9632204928280999</v>
      </c>
      <c r="AG4669">
        <v>-1.0889923553229901</v>
      </c>
      <c r="AH4669">
        <v>8.8567500651959392</v>
      </c>
      <c r="AI4669">
        <v>96.650831486694599</v>
      </c>
      <c r="AJ4669">
        <v>71.501202118544995</v>
      </c>
      <c r="AK4669">
        <v>9.4025848444146796</v>
      </c>
      <c r="AL4669">
        <v>88.030893884379694</v>
      </c>
      <c r="AM4669">
        <v>81.346446891301895</v>
      </c>
      <c r="AN4669">
        <v>0.99999999650045202</v>
      </c>
    </row>
    <row r="4670" spans="1:40" x14ac:dyDescent="0.3">
      <c r="A4670" t="str">
        <f>"20200111154013552"</f>
        <v>20200111154013552</v>
      </c>
      <c r="B4670" t="str">
        <f>"1578728413546063"</f>
        <v>1578728413546063</v>
      </c>
      <c r="C4670" t="s">
        <v>40</v>
      </c>
      <c r="D4670">
        <v>6.235576</v>
      </c>
      <c r="E4670">
        <v>0.58792199999999994</v>
      </c>
      <c r="F4670" t="s">
        <v>62</v>
      </c>
      <c r="G4670">
        <v>-182.53229999999999</v>
      </c>
      <c r="H4670" s="1">
        <v>-5.4266690000000003E-6</v>
      </c>
      <c r="I4670">
        <v>130.0668</v>
      </c>
      <c r="J4670">
        <v>-186.33279999999999</v>
      </c>
      <c r="K4670">
        <v>1.0885830000000001</v>
      </c>
      <c r="L4670">
        <v>125.1905</v>
      </c>
      <c r="M4670">
        <v>0.27563090000000001</v>
      </c>
      <c r="N4670">
        <v>0</v>
      </c>
      <c r="O4670">
        <v>0.96103039999999995</v>
      </c>
      <c r="P4670">
        <v>0.4191568</v>
      </c>
      <c r="Q4670">
        <v>2.2528409999999999E-2</v>
      </c>
      <c r="R4670">
        <v>0.9076343</v>
      </c>
      <c r="S4670">
        <v>1.8234410000000001</v>
      </c>
      <c r="T4670">
        <v>-0.50444940000000005</v>
      </c>
      <c r="U4670">
        <v>2.4864039999999998</v>
      </c>
      <c r="V4670">
        <v>0.1542404</v>
      </c>
      <c r="W4670">
        <v>3.7542880000000001E-2</v>
      </c>
      <c r="X4670">
        <v>0.98731979999999997</v>
      </c>
      <c r="Y4670">
        <v>0.33801629999999999</v>
      </c>
      <c r="Z4670">
        <v>-0.1630953</v>
      </c>
      <c r="AA4670">
        <v>0.92690070000000002</v>
      </c>
      <c r="AB4670">
        <v>50</v>
      </c>
      <c r="AC4670">
        <v>3.8005</v>
      </c>
      <c r="AD4670">
        <v>-1.088588426669</v>
      </c>
      <c r="AE4670">
        <v>4.8762999999999996</v>
      </c>
      <c r="AF4670">
        <v>2.2394241942364999</v>
      </c>
      <c r="AG4670">
        <v>-1.088588426669</v>
      </c>
      <c r="AH4670">
        <v>5.5626312038053296</v>
      </c>
      <c r="AI4670">
        <v>100.28928499882601</v>
      </c>
      <c r="AJ4670">
        <v>68.071091905426002</v>
      </c>
      <c r="AK4670">
        <v>6.0944984530277999</v>
      </c>
      <c r="AL4670">
        <v>87.848445751807901</v>
      </c>
      <c r="AM4670">
        <v>81.120945074308395</v>
      </c>
      <c r="AN4670">
        <v>0.99999997815144603</v>
      </c>
    </row>
    <row r="4671" spans="1:40" x14ac:dyDescent="0.3">
      <c r="A4671" t="str">
        <f>"20200111154013575"</f>
        <v>20200111154013575</v>
      </c>
      <c r="B4671" t="str">
        <f>"1578728413565583"</f>
        <v>1578728413565583</v>
      </c>
      <c r="C4671" t="s">
        <v>40</v>
      </c>
      <c r="D4671">
        <v>6.2389150000000004</v>
      </c>
      <c r="E4671">
        <v>0.5890107</v>
      </c>
      <c r="F4671" t="s">
        <v>62</v>
      </c>
      <c r="G4671">
        <v>-182.18780000000001</v>
      </c>
      <c r="H4671" s="1">
        <v>-5.5982269999999997E-6</v>
      </c>
      <c r="I4671">
        <v>130.54060000000001</v>
      </c>
      <c r="J4671">
        <v>-186.18879999999999</v>
      </c>
      <c r="K4671">
        <v>1.088201</v>
      </c>
      <c r="L4671">
        <v>125.6853</v>
      </c>
      <c r="M4671">
        <v>0.28996559999999999</v>
      </c>
      <c r="N4671">
        <v>0</v>
      </c>
      <c r="O4671">
        <v>0.95680259999999995</v>
      </c>
      <c r="P4671">
        <v>0.43525340000000001</v>
      </c>
      <c r="Q4671">
        <v>2.520093E-2</v>
      </c>
      <c r="R4671">
        <v>0.89995519999999996</v>
      </c>
      <c r="S4671">
        <v>1.89299</v>
      </c>
      <c r="T4671">
        <v>-0.49715670000000001</v>
      </c>
      <c r="U4671">
        <v>2.4434049999999998</v>
      </c>
      <c r="V4671">
        <v>0.1572239</v>
      </c>
      <c r="W4671">
        <v>3.9960059999999999E-2</v>
      </c>
      <c r="X4671">
        <v>0.98675420000000003</v>
      </c>
      <c r="Y4671">
        <v>0.34867239999999999</v>
      </c>
      <c r="Z4671">
        <v>-0.160419899999999</v>
      </c>
      <c r="AA4671">
        <v>0.92341379999999995</v>
      </c>
      <c r="AB4671">
        <v>50</v>
      </c>
      <c r="AC4671">
        <v>4.0009999999999701</v>
      </c>
      <c r="AD4671">
        <v>-1.0882065982269999</v>
      </c>
      <c r="AE4671">
        <v>4.8553000000000104</v>
      </c>
      <c r="AF4671">
        <v>2.3505187441190101</v>
      </c>
      <c r="AG4671">
        <v>-1.0882065982269999</v>
      </c>
      <c r="AH4671">
        <v>5.6383340895418996</v>
      </c>
      <c r="AI4671">
        <v>100.100801755585</v>
      </c>
      <c r="AJ4671">
        <v>67.369634069284302</v>
      </c>
      <c r="AK4671">
        <v>6.2048322517349197</v>
      </c>
      <c r="AL4671">
        <v>87.709847462702996</v>
      </c>
      <c r="AM4671">
        <v>80.946910435292196</v>
      </c>
      <c r="AN4671">
        <v>1.00000000617202</v>
      </c>
    </row>
    <row r="4672" spans="1:40" x14ac:dyDescent="0.3">
      <c r="A4672" t="str">
        <f>"20200111154013595"</f>
        <v>20200111154013595</v>
      </c>
      <c r="B4672" t="str">
        <f>"1578728413586082"</f>
        <v>1578728413586082</v>
      </c>
      <c r="C4672" t="s">
        <v>40</v>
      </c>
      <c r="D4672">
        <v>6.1578730000000004</v>
      </c>
      <c r="E4672">
        <v>0.58922140000000001</v>
      </c>
      <c r="F4672" t="s">
        <v>62</v>
      </c>
      <c r="G4672">
        <v>-181.83779999999999</v>
      </c>
      <c r="H4672" s="1">
        <v>-5.787974E-6</v>
      </c>
      <c r="I4672">
        <v>131.0703</v>
      </c>
      <c r="J4672">
        <v>-186.0515</v>
      </c>
      <c r="K4672">
        <v>1.0878760000000001</v>
      </c>
      <c r="L4672">
        <v>126.1335</v>
      </c>
      <c r="M4672">
        <v>0.30323099999999997</v>
      </c>
      <c r="N4672">
        <v>0</v>
      </c>
      <c r="O4672">
        <v>0.95268129999999995</v>
      </c>
      <c r="P4672">
        <v>0.44974389999999997</v>
      </c>
      <c r="Q4672">
        <v>2.8249980000000001E-2</v>
      </c>
      <c r="R4672">
        <v>0.89271069999999997</v>
      </c>
      <c r="S4672">
        <v>1.9445190000000001</v>
      </c>
      <c r="T4672">
        <v>-0.48634139999999998</v>
      </c>
      <c r="U4672">
        <v>2.4066770000000002</v>
      </c>
      <c r="V4672">
        <v>0.1596456</v>
      </c>
      <c r="W4672">
        <v>4.2797670000000003E-2</v>
      </c>
      <c r="X4672">
        <v>0.98624619999999996</v>
      </c>
      <c r="Y4672">
        <v>0.3549156</v>
      </c>
      <c r="Z4672">
        <v>-0.1567567</v>
      </c>
      <c r="AA4672">
        <v>0.9216628</v>
      </c>
      <c r="AB4672">
        <v>49</v>
      </c>
      <c r="AC4672">
        <v>4.21370000000001</v>
      </c>
      <c r="AD4672">
        <v>-1.0878817879739999</v>
      </c>
      <c r="AE4672">
        <v>4.9367999999999999</v>
      </c>
      <c r="AF4672">
        <v>2.4490856131481298</v>
      </c>
      <c r="AG4672">
        <v>-1.0878817879739999</v>
      </c>
      <c r="AH4672">
        <v>5.8187973283472596</v>
      </c>
      <c r="AI4672">
        <v>99.777118865361501</v>
      </c>
      <c r="AJ4672">
        <v>67.174160763671907</v>
      </c>
      <c r="AK4672">
        <v>6.4062398857298399</v>
      </c>
      <c r="AL4672">
        <v>87.547124857640696</v>
      </c>
      <c r="AM4672">
        <v>80.805175829455095</v>
      </c>
      <c r="AN4672">
        <v>0.99999996258561297</v>
      </c>
    </row>
    <row r="4673" spans="1:40" x14ac:dyDescent="0.3">
      <c r="A4673" t="str">
        <f>"20200111154013618"</f>
        <v>20200111154013618</v>
      </c>
      <c r="B4673" t="str">
        <f>"1578728413605599"</f>
        <v>1578728413605599</v>
      </c>
      <c r="C4673" t="s">
        <v>40</v>
      </c>
      <c r="D4673">
        <v>6.2071699999999996</v>
      </c>
      <c r="E4673">
        <v>0.58837249999999996</v>
      </c>
      <c r="F4673" t="s">
        <v>62</v>
      </c>
      <c r="G4673">
        <v>-181.31370000000001</v>
      </c>
      <c r="H4673" s="1">
        <v>-6.0768900000000004E-6</v>
      </c>
      <c r="I4673">
        <v>131.80119999999999</v>
      </c>
      <c r="J4673">
        <v>-185.9025</v>
      </c>
      <c r="K4673">
        <v>1.0875600000000001</v>
      </c>
      <c r="L4673">
        <v>126.59780000000001</v>
      </c>
      <c r="M4673">
        <v>0.31720399999999999</v>
      </c>
      <c r="N4673">
        <v>0</v>
      </c>
      <c r="O4673">
        <v>0.94811990000000002</v>
      </c>
      <c r="P4673">
        <v>0.46556029999999998</v>
      </c>
      <c r="Q4673">
        <v>3.0363540000000001E-2</v>
      </c>
      <c r="R4673">
        <v>0.88449509999999898</v>
      </c>
      <c r="S4673">
        <v>1.985168</v>
      </c>
      <c r="T4673">
        <v>-0.45583439999999997</v>
      </c>
      <c r="U4673">
        <v>2.3748469999999999</v>
      </c>
      <c r="V4673">
        <v>0.1628387</v>
      </c>
      <c r="W4673">
        <v>4.4673659999999997E-2</v>
      </c>
      <c r="X4673">
        <v>0.98564079999999998</v>
      </c>
      <c r="Y4673">
        <v>0.35757030000000001</v>
      </c>
      <c r="Z4673">
        <v>-0.14685190000000001</v>
      </c>
      <c r="AA4673">
        <v>0.92226790000000003</v>
      </c>
      <c r="AB4673">
        <v>49</v>
      </c>
      <c r="AC4673">
        <v>4.5887999999999902</v>
      </c>
      <c r="AD4673">
        <v>-1.08756607689</v>
      </c>
      <c r="AE4673">
        <v>5.2033999999999798</v>
      </c>
      <c r="AF4673">
        <v>2.63602415444115</v>
      </c>
      <c r="AG4673">
        <v>-1.08756607689</v>
      </c>
      <c r="AH4673">
        <v>6.2371996737792399</v>
      </c>
      <c r="AI4673">
        <v>99.124502985613901</v>
      </c>
      <c r="AJ4673">
        <v>67.089649862825596</v>
      </c>
      <c r="AK4673">
        <v>6.8581399143638704</v>
      </c>
      <c r="AL4673">
        <v>87.4395356309211</v>
      </c>
      <c r="AM4673">
        <v>80.618846429036495</v>
      </c>
      <c r="AN4673">
        <v>0.99999998237006205</v>
      </c>
    </row>
    <row r="4674" spans="1:40" x14ac:dyDescent="0.3">
      <c r="A4674" t="str">
        <f>"20200111154013641"</f>
        <v>20200111154013641</v>
      </c>
      <c r="B4674" t="str">
        <f>"1578728413635856"</f>
        <v>1578728413635856</v>
      </c>
      <c r="C4674" t="s">
        <v>40</v>
      </c>
      <c r="D4674">
        <v>6.2071300000000003</v>
      </c>
      <c r="E4674">
        <v>0.58718719999999902</v>
      </c>
      <c r="F4674" t="s">
        <v>62</v>
      </c>
      <c r="G4674">
        <v>-181.0779</v>
      </c>
      <c r="H4674" s="1">
        <v>-6.2362700000000003E-6</v>
      </c>
      <c r="I4674">
        <v>132.1977</v>
      </c>
      <c r="J4674">
        <v>-185.73750000000001</v>
      </c>
      <c r="K4674">
        <v>1.087242</v>
      </c>
      <c r="L4674">
        <v>127.0883</v>
      </c>
      <c r="M4674">
        <v>0.33219470000000001</v>
      </c>
      <c r="N4674">
        <v>0</v>
      </c>
      <c r="O4674">
        <v>0.94297160000000002</v>
      </c>
      <c r="P4674">
        <v>0.48257709999999998</v>
      </c>
      <c r="Q4674">
        <v>3.0748399999999999E-2</v>
      </c>
      <c r="R4674">
        <v>0.87531360000000002</v>
      </c>
      <c r="S4674">
        <v>2.0197449999999999</v>
      </c>
      <c r="T4674">
        <v>-0.455289</v>
      </c>
      <c r="U4674">
        <v>2.3443149999999999</v>
      </c>
      <c r="V4674">
        <v>0.16632539999999901</v>
      </c>
      <c r="W4674">
        <v>4.4810849999999999E-2</v>
      </c>
      <c r="X4674">
        <v>0.98505220000000004</v>
      </c>
      <c r="Y4674">
        <v>0.35656880000000002</v>
      </c>
      <c r="Z4674">
        <v>-0.14635889999999999</v>
      </c>
      <c r="AA4674">
        <v>0.92273380000000005</v>
      </c>
      <c r="AB4674">
        <v>49</v>
      </c>
      <c r="AC4674">
        <v>4.65960000000001</v>
      </c>
      <c r="AD4674">
        <v>-1.08724823627</v>
      </c>
      <c r="AE4674">
        <v>5.1093999999999902</v>
      </c>
      <c r="AF4674">
        <v>2.63209523327752</v>
      </c>
      <c r="AG4674">
        <v>-1.08724823627</v>
      </c>
      <c r="AH4674">
        <v>6.2137399197430296</v>
      </c>
      <c r="AI4674">
        <v>99.152627240009906</v>
      </c>
      <c r="AJ4674">
        <v>67.042836059493496</v>
      </c>
      <c r="AK4674">
        <v>6.8352467281380997</v>
      </c>
      <c r="AL4674">
        <v>87.431667372685396</v>
      </c>
      <c r="AM4674">
        <v>80.416043784561495</v>
      </c>
      <c r="AN4674">
        <v>0.99999999384386096</v>
      </c>
    </row>
    <row r="4675" spans="1:40" x14ac:dyDescent="0.3">
      <c r="A4675" t="str">
        <f>"20200111154013663"</f>
        <v>20200111154013663</v>
      </c>
      <c r="B4675" t="str">
        <f>"1578728413655374"</f>
        <v>1578728413655374</v>
      </c>
      <c r="C4675" t="s">
        <v>40</v>
      </c>
      <c r="D4675">
        <v>5.9212550000000004</v>
      </c>
      <c r="E4675">
        <v>0.58876470000000003</v>
      </c>
      <c r="F4675" t="s">
        <v>62</v>
      </c>
      <c r="G4675">
        <v>-180.8511</v>
      </c>
      <c r="H4675" s="1">
        <v>-6.3893019999999996E-6</v>
      </c>
      <c r="I4675">
        <v>132.57839999999999</v>
      </c>
      <c r="J4675">
        <v>-185.58080000000001</v>
      </c>
      <c r="K4675">
        <v>1.0869770000000001</v>
      </c>
      <c r="L4675">
        <v>127.5338</v>
      </c>
      <c r="M4675">
        <v>0.34598499999999999</v>
      </c>
      <c r="N4675">
        <v>0</v>
      </c>
      <c r="O4675">
        <v>0.93799900000000003</v>
      </c>
      <c r="P4675">
        <v>0.49816769999999999</v>
      </c>
      <c r="Q4675">
        <v>3.0625090000000001E-2</v>
      </c>
      <c r="R4675">
        <v>0.86653969999999902</v>
      </c>
      <c r="S4675">
        <v>2.055939</v>
      </c>
      <c r="T4675">
        <v>-0.45745550000000001</v>
      </c>
      <c r="U4675">
        <v>2.3099210000000001</v>
      </c>
      <c r="V4675">
        <v>0.169534299999999</v>
      </c>
      <c r="W4675">
        <v>4.4465490000000003E-2</v>
      </c>
      <c r="X4675">
        <v>0.98452070000000003</v>
      </c>
      <c r="Y4675">
        <v>0.35771269999999999</v>
      </c>
      <c r="Z4675">
        <v>-0.14682300000000001</v>
      </c>
      <c r="AA4675">
        <v>0.92221719999999896</v>
      </c>
      <c r="AB4675">
        <v>49</v>
      </c>
      <c r="AC4675">
        <v>4.7297000000000002</v>
      </c>
      <c r="AD4675">
        <v>-1.086983389302</v>
      </c>
      <c r="AE4675">
        <v>5.0445999999999804</v>
      </c>
      <c r="AF4675">
        <v>2.62680122994851</v>
      </c>
      <c r="AG4675">
        <v>-1.086983389302</v>
      </c>
      <c r="AH4675">
        <v>6.21608277882211</v>
      </c>
      <c r="AI4675">
        <v>99.1503089461266</v>
      </c>
      <c r="AJ4675">
        <v>67.091982778241103</v>
      </c>
      <c r="AK4675">
        <v>6.8352982892808898</v>
      </c>
      <c r="AL4675">
        <v>87.451474888600501</v>
      </c>
      <c r="AM4675">
        <v>80.229498514969706</v>
      </c>
      <c r="AN4675">
        <v>1.00000003370295</v>
      </c>
    </row>
    <row r="4676" spans="1:40" x14ac:dyDescent="0.3">
      <c r="A4676" t="str">
        <f>"20200111154013686"</f>
        <v>20200111154013686</v>
      </c>
      <c r="B4676" t="str">
        <f>"1578728413675871"</f>
        <v>1578728413675871</v>
      </c>
      <c r="C4676" t="s">
        <v>40</v>
      </c>
      <c r="D4676">
        <v>6.2029690000000004</v>
      </c>
      <c r="E4676">
        <v>0.5885397</v>
      </c>
      <c r="F4676" t="s">
        <v>62</v>
      </c>
      <c r="G4676">
        <v>-180.084</v>
      </c>
      <c r="H4676" s="1">
        <v>-6.758271E-6</v>
      </c>
      <c r="I4676">
        <v>133.4409</v>
      </c>
      <c r="J4676">
        <v>-185.40649999999999</v>
      </c>
      <c r="K4676">
        <v>1.086719</v>
      </c>
      <c r="L4676">
        <v>128.00810000000001</v>
      </c>
      <c r="M4676">
        <v>0.36083609999999999</v>
      </c>
      <c r="N4676">
        <v>0</v>
      </c>
      <c r="O4676">
        <v>0.93238620000000005</v>
      </c>
      <c r="P4676">
        <v>0.51420410000000005</v>
      </c>
      <c r="Q4676">
        <v>3.1161979999999999E-2</v>
      </c>
      <c r="R4676">
        <v>0.85710159999999902</v>
      </c>
      <c r="S4676">
        <v>2.107758</v>
      </c>
      <c r="T4676">
        <v>-0.41680410000000001</v>
      </c>
      <c r="U4676">
        <v>2.2650450000000002</v>
      </c>
      <c r="V4676">
        <v>0.1722746</v>
      </c>
      <c r="W4676">
        <v>4.480228E-2</v>
      </c>
      <c r="X4676">
        <v>0.98402959999999995</v>
      </c>
      <c r="Y4676">
        <v>0.3646527</v>
      </c>
      <c r="Z4676">
        <v>-0.13373589999999999</v>
      </c>
      <c r="AA4676">
        <v>0.92148960000000002</v>
      </c>
      <c r="AB4676">
        <v>49</v>
      </c>
      <c r="AC4676">
        <v>5.32249999999999</v>
      </c>
      <c r="AD4676">
        <v>-1.0867257582709999</v>
      </c>
      <c r="AE4676">
        <v>5.4327999999999799</v>
      </c>
      <c r="AF4676">
        <v>2.9428729821517399</v>
      </c>
      <c r="AG4676">
        <v>-1.0867257582709999</v>
      </c>
      <c r="AH4676">
        <v>6.8477944327031697</v>
      </c>
      <c r="AI4676">
        <v>98.295453798358295</v>
      </c>
      <c r="AJ4676">
        <v>66.7441496629814</v>
      </c>
      <c r="AK4676">
        <v>7.5321818124185604</v>
      </c>
      <c r="AL4676">
        <v>87.432158952940895</v>
      </c>
      <c r="AM4676">
        <v>80.069832623261703</v>
      </c>
      <c r="AN4676">
        <v>1.0000000178872499</v>
      </c>
    </row>
    <row r="4677" spans="1:40" x14ac:dyDescent="0.3">
      <c r="A4677" t="str">
        <f>"20200111154013707"</f>
        <v>20200111154013707</v>
      </c>
      <c r="B4677" t="str">
        <f>"1578728413695391"</f>
        <v>1578728413695391</v>
      </c>
      <c r="C4677" t="s">
        <v>40</v>
      </c>
      <c r="D4677">
        <v>6.1661950000000001</v>
      </c>
      <c r="E4677">
        <v>0.58725289999999997</v>
      </c>
      <c r="F4677" t="s">
        <v>62</v>
      </c>
      <c r="G4677">
        <v>-179.65260000000001</v>
      </c>
      <c r="H4677" s="1">
        <v>-6.7656909999999998E-6</v>
      </c>
      <c r="I4677">
        <v>133.9736</v>
      </c>
      <c r="J4677">
        <v>-185.24</v>
      </c>
      <c r="K4677">
        <v>1.0864969999999901</v>
      </c>
      <c r="L4677">
        <v>128.4426</v>
      </c>
      <c r="M4677">
        <v>0.37457210000000002</v>
      </c>
      <c r="N4677">
        <v>0</v>
      </c>
      <c r="O4677">
        <v>0.92695280000000002</v>
      </c>
      <c r="P4677">
        <v>0.52912269999999995</v>
      </c>
      <c r="Q4677">
        <v>3.1071850000000002E-2</v>
      </c>
      <c r="R4677">
        <v>0.84797630000000002</v>
      </c>
      <c r="S4677">
        <v>2.1475680000000001</v>
      </c>
      <c r="T4677">
        <v>-0.40560619999999997</v>
      </c>
      <c r="U4677">
        <v>2.2265169999999999</v>
      </c>
      <c r="V4677">
        <v>0.17497099999999999</v>
      </c>
      <c r="W4677">
        <v>4.4524559999999998E-2</v>
      </c>
      <c r="X4677">
        <v>0.9835663</v>
      </c>
      <c r="Y4677">
        <v>0.36777260000000001</v>
      </c>
      <c r="Z4677">
        <v>-0.12994549999999999</v>
      </c>
      <c r="AA4677">
        <v>0.92079169999999999</v>
      </c>
      <c r="AB4677">
        <v>49</v>
      </c>
      <c r="AC4677">
        <v>5.5873999999999997</v>
      </c>
      <c r="AD4677">
        <v>-1.0865037656909999</v>
      </c>
      <c r="AE4677">
        <v>5.5309999999999997</v>
      </c>
      <c r="AF4677">
        <v>3.0499546029832501</v>
      </c>
      <c r="AG4677">
        <v>-1.0865037656909999</v>
      </c>
      <c r="AH4677">
        <v>7.0861661053732803</v>
      </c>
      <c r="AI4677">
        <v>98.016597776927298</v>
      </c>
      <c r="AJ4677">
        <v>66.712487280724503</v>
      </c>
      <c r="AK4677">
        <v>7.79079351453115</v>
      </c>
      <c r="AL4677">
        <v>87.448086926666903</v>
      </c>
      <c r="AM4677">
        <v>79.912921325823405</v>
      </c>
      <c r="AN4677">
        <v>0.99999997688994102</v>
      </c>
    </row>
    <row r="4678" spans="1:40" x14ac:dyDescent="0.3">
      <c r="A4678" t="str">
        <f>"20200111154013729"</f>
        <v>20200111154013729</v>
      </c>
      <c r="B4678" t="str">
        <f>"1578728413725647"</f>
        <v>1578728413725647</v>
      </c>
      <c r="C4678" t="s">
        <v>40</v>
      </c>
      <c r="D4678">
        <v>5.9672519999999896</v>
      </c>
      <c r="E4678">
        <v>0.59203499999999998</v>
      </c>
      <c r="F4678" t="s">
        <v>62</v>
      </c>
      <c r="G4678">
        <v>-179.48230000000001</v>
      </c>
      <c r="H4678" s="1">
        <v>-6.7544029999999999E-6</v>
      </c>
      <c r="I4678">
        <v>134.24459999999999</v>
      </c>
      <c r="J4678">
        <v>-185.06129999999999</v>
      </c>
      <c r="K4678">
        <v>1.0862879999999999</v>
      </c>
      <c r="L4678">
        <v>128.88999999999999</v>
      </c>
      <c r="M4678">
        <v>0.38883509999999999</v>
      </c>
      <c r="N4678">
        <v>0</v>
      </c>
      <c r="O4678">
        <v>0.92106030000000005</v>
      </c>
      <c r="P4678">
        <v>0.54504730000000001</v>
      </c>
      <c r="Q4678">
        <v>3.0500719999999999E-2</v>
      </c>
      <c r="R4678">
        <v>0.83785030000000005</v>
      </c>
      <c r="S4678">
        <v>2.1774439999999999</v>
      </c>
      <c r="T4678">
        <v>-0.41089320000000001</v>
      </c>
      <c r="U4678">
        <v>2.1941989999999998</v>
      </c>
      <c r="V4678">
        <v>0.17835689999999901</v>
      </c>
      <c r="W4678">
        <v>4.3736629999999999E-2</v>
      </c>
      <c r="X4678">
        <v>0.98299340000000002</v>
      </c>
      <c r="Y4678">
        <v>0.36638110000000002</v>
      </c>
      <c r="Z4678">
        <v>-0.1312556</v>
      </c>
      <c r="AA4678">
        <v>0.9211606</v>
      </c>
      <c r="AB4678">
        <v>48</v>
      </c>
      <c r="AC4678">
        <v>5.5789999999999704</v>
      </c>
      <c r="AD4678">
        <v>-1.0862947544029999</v>
      </c>
      <c r="AE4678">
        <v>5.3545999999999996</v>
      </c>
      <c r="AF4678">
        <v>2.99807081375589</v>
      </c>
      <c r="AG4678">
        <v>-1.0862947544029999</v>
      </c>
      <c r="AH4678">
        <v>6.9653820964833804</v>
      </c>
      <c r="AI4678">
        <v>98.152166258401394</v>
      </c>
      <c r="AJ4678">
        <v>66.711773705968994</v>
      </c>
      <c r="AK4678">
        <v>7.6606143779562199</v>
      </c>
      <c r="AL4678">
        <v>87.493276201644505</v>
      </c>
      <c r="AM4678">
        <v>79.715984318598302</v>
      </c>
      <c r="AN4678">
        <v>1.00000005051246</v>
      </c>
    </row>
    <row r="4679" spans="1:40" x14ac:dyDescent="0.3">
      <c r="A4679" t="str">
        <f>"20200111154013752"</f>
        <v>20200111154013752</v>
      </c>
      <c r="B4679" t="str">
        <f>"1578728413746142"</f>
        <v>1578728413746142</v>
      </c>
      <c r="C4679" t="s">
        <v>40</v>
      </c>
      <c r="D4679">
        <v>5.9365949999999996</v>
      </c>
      <c r="E4679">
        <v>0.59020109999999903</v>
      </c>
      <c r="F4679" t="s">
        <v>62</v>
      </c>
      <c r="G4679">
        <v>-174.8571</v>
      </c>
      <c r="H4679" s="1">
        <v>-5.3601649999999899E-6</v>
      </c>
      <c r="I4679">
        <v>138.5324</v>
      </c>
      <c r="J4679">
        <v>-184.86930000000001</v>
      </c>
      <c r="K4679">
        <v>1.0860829999999999</v>
      </c>
      <c r="L4679">
        <v>129.35169999999999</v>
      </c>
      <c r="M4679">
        <v>0.4036554</v>
      </c>
      <c r="N4679">
        <v>0</v>
      </c>
      <c r="O4679">
        <v>0.91466170000000002</v>
      </c>
      <c r="P4679">
        <v>0.56137329999999996</v>
      </c>
      <c r="Q4679">
        <v>2.9100839999999999E-2</v>
      </c>
      <c r="R4679">
        <v>0.82705090000000003</v>
      </c>
      <c r="S4679">
        <v>2.249695</v>
      </c>
      <c r="T4679">
        <v>-0.23949219999999999</v>
      </c>
      <c r="U4679">
        <v>2.125839</v>
      </c>
      <c r="V4679">
        <v>0.18169940000000001</v>
      </c>
      <c r="W4679">
        <v>4.2125929999999999E-2</v>
      </c>
      <c r="X4679">
        <v>0.98245139999999997</v>
      </c>
      <c r="Y4679">
        <v>0.38535550000000002</v>
      </c>
      <c r="Z4679">
        <v>-7.685032E-2</v>
      </c>
      <c r="AA4679">
        <v>0.91956249999999995</v>
      </c>
      <c r="AB4679">
        <v>48</v>
      </c>
      <c r="AC4679">
        <v>10.0122</v>
      </c>
      <c r="AD4679">
        <v>-1.086088360165</v>
      </c>
      <c r="AE4679">
        <v>9.1806999999999999</v>
      </c>
      <c r="AF4679">
        <v>5.4185434458272201</v>
      </c>
      <c r="AG4679">
        <v>-1.086088360165</v>
      </c>
      <c r="AH4679">
        <v>12.362525727460699</v>
      </c>
      <c r="AI4679">
        <v>94.600316508522198</v>
      </c>
      <c r="AJ4679">
        <v>66.331972623528003</v>
      </c>
      <c r="AK4679">
        <v>13.5415007795492</v>
      </c>
      <c r="AL4679">
        <v>87.585647584329806</v>
      </c>
      <c r="AM4679">
        <v>79.521833053305599</v>
      </c>
      <c r="AN4679">
        <v>1.0000000096503401</v>
      </c>
    </row>
    <row r="4680" spans="1:40" x14ac:dyDescent="0.3">
      <c r="A4680" t="str">
        <f>"20200111154013776"</f>
        <v>20200111154013776</v>
      </c>
      <c r="B4680" t="str">
        <f>"1578728413765662"</f>
        <v>1578728413765662</v>
      </c>
      <c r="C4680" t="s">
        <v>40</v>
      </c>
      <c r="D4680">
        <v>5.9364869999999996</v>
      </c>
      <c r="E4680">
        <v>0.58868240000000005</v>
      </c>
      <c r="F4680" t="s">
        <v>62</v>
      </c>
      <c r="G4680">
        <v>-175.21950000000001</v>
      </c>
      <c r="H4680" s="1">
        <v>-5.4600630000000001E-6</v>
      </c>
      <c r="I4680">
        <v>138.20750000000001</v>
      </c>
      <c r="J4680">
        <v>-184.6636</v>
      </c>
      <c r="K4680">
        <v>1.0859049999999999</v>
      </c>
      <c r="L4680">
        <v>129.82550000000001</v>
      </c>
      <c r="M4680">
        <v>0.41895949999999998</v>
      </c>
      <c r="N4680">
        <v>0</v>
      </c>
      <c r="O4680">
        <v>0.90775289999999997</v>
      </c>
      <c r="P4680">
        <v>0.57776709999999998</v>
      </c>
      <c r="Q4680">
        <v>2.7917190000000001E-2</v>
      </c>
      <c r="R4680">
        <v>0.81572409999999995</v>
      </c>
      <c r="S4680">
        <v>2.2777099999999999</v>
      </c>
      <c r="T4680">
        <v>-0.25635809999999998</v>
      </c>
      <c r="U4680">
        <v>2.0903170000000002</v>
      </c>
      <c r="V4680">
        <v>0.1847529</v>
      </c>
      <c r="W4680">
        <v>4.0750010000000003E-2</v>
      </c>
      <c r="X4680">
        <v>0.98193980000000003</v>
      </c>
      <c r="Y4680">
        <v>0.38293690000000002</v>
      </c>
      <c r="Z4680">
        <v>-8.1966869999999997E-2</v>
      </c>
      <c r="AA4680">
        <v>0.92013080000000003</v>
      </c>
      <c r="AB4680">
        <v>48</v>
      </c>
      <c r="AC4680">
        <v>9.4440999999999899</v>
      </c>
      <c r="AD4680">
        <v>-1.0859104600629901</v>
      </c>
      <c r="AE4680">
        <v>8.3819999999999997</v>
      </c>
      <c r="AF4680">
        <v>5.0251853983648598</v>
      </c>
      <c r="AG4680">
        <v>-1.0859104600629901</v>
      </c>
      <c r="AH4680">
        <v>11.4832035660245</v>
      </c>
      <c r="AI4680">
        <v>94.951340971885799</v>
      </c>
      <c r="AJ4680">
        <v>66.365245861977598</v>
      </c>
      <c r="AK4680">
        <v>12.581560076316901</v>
      </c>
      <c r="AL4680">
        <v>87.664549709856601</v>
      </c>
      <c r="AM4680">
        <v>79.344319318720096</v>
      </c>
      <c r="AN4680">
        <v>0.99999998409872404</v>
      </c>
    </row>
    <row r="4681" spans="1:40" x14ac:dyDescent="0.3">
      <c r="A4681" t="str">
        <f>"20200111154013796"</f>
        <v>20200111154013796</v>
      </c>
      <c r="B4681" t="str">
        <f>"1578728413786160"</f>
        <v>1578728413786160</v>
      </c>
      <c r="C4681" t="s">
        <v>40</v>
      </c>
      <c r="D4681">
        <v>5.9576539999999998</v>
      </c>
      <c r="E4681">
        <v>0.58737030000000001</v>
      </c>
      <c r="F4681" t="s">
        <v>62</v>
      </c>
      <c r="G4681">
        <v>-175.28460000000001</v>
      </c>
      <c r="H4681" s="1">
        <v>-5.4884559999999997E-6</v>
      </c>
      <c r="I4681">
        <v>138.16540000000001</v>
      </c>
      <c r="J4681">
        <v>-184.4759</v>
      </c>
      <c r="K4681">
        <v>1.0857669999999999</v>
      </c>
      <c r="L4681">
        <v>130.24039999999999</v>
      </c>
      <c r="M4681">
        <v>0.43243150000000002</v>
      </c>
      <c r="N4681">
        <v>0</v>
      </c>
      <c r="O4681">
        <v>0.9014124</v>
      </c>
      <c r="P4681">
        <v>0.59201769999999998</v>
      </c>
      <c r="Q4681">
        <v>2.7546580000000001E-2</v>
      </c>
      <c r="R4681">
        <v>0.80545409999999995</v>
      </c>
      <c r="S4681">
        <v>2.3079070000000002</v>
      </c>
      <c r="T4681">
        <v>-0.26721009999999901</v>
      </c>
      <c r="U4681">
        <v>2.052216</v>
      </c>
      <c r="V4681">
        <v>0.1873814</v>
      </c>
      <c r="W4681">
        <v>4.0219249999999998E-2</v>
      </c>
      <c r="X4681">
        <v>0.98146350000000004</v>
      </c>
      <c r="Y4681">
        <v>0.38340689999999999</v>
      </c>
      <c r="Z4681">
        <v>-8.5197839999999997E-2</v>
      </c>
      <c r="AA4681">
        <v>0.9196415</v>
      </c>
      <c r="AB4681">
        <v>48</v>
      </c>
      <c r="AC4681">
        <v>9.1912999999999805</v>
      </c>
      <c r="AD4681">
        <v>-1.0857724884559901</v>
      </c>
      <c r="AE4681">
        <v>7.9250000000000096</v>
      </c>
      <c r="AF4681">
        <v>4.8206612272233098</v>
      </c>
      <c r="AG4681">
        <v>-1.0857724884559901</v>
      </c>
      <c r="AH4681">
        <v>11.0325451083399</v>
      </c>
      <c r="AI4681">
        <v>95.153121803213693</v>
      </c>
      <c r="AJ4681">
        <v>66.397118404095295</v>
      </c>
      <c r="AK4681">
        <v>12.0886197777867</v>
      </c>
      <c r="AL4681">
        <v>87.694984983059996</v>
      </c>
      <c r="AM4681">
        <v>79.191144108811599</v>
      </c>
      <c r="AN4681">
        <v>0.99999998948438595</v>
      </c>
    </row>
    <row r="4682" spans="1:40" x14ac:dyDescent="0.3">
      <c r="A4682" t="str">
        <f>"20200111154013819"</f>
        <v>20200111154013819</v>
      </c>
      <c r="B4682" t="str">
        <f>"1578728413815440"</f>
        <v>1578728413815440</v>
      </c>
      <c r="C4682" t="s">
        <v>40</v>
      </c>
      <c r="D4682">
        <v>5.9529639999999997</v>
      </c>
      <c r="E4682">
        <v>0.58600779999999997</v>
      </c>
      <c r="F4682" t="s">
        <v>62</v>
      </c>
      <c r="G4682">
        <v>-175.33799999999999</v>
      </c>
      <c r="H4682" s="1">
        <v>-5.514835E-6</v>
      </c>
      <c r="I4682">
        <v>138.13890000000001</v>
      </c>
      <c r="J4682">
        <v>-184.2747</v>
      </c>
      <c r="K4682">
        <v>1.0856429999999999</v>
      </c>
      <c r="L4682">
        <v>130.66849999999999</v>
      </c>
      <c r="M4682">
        <v>0.44638</v>
      </c>
      <c r="N4682">
        <v>0</v>
      </c>
      <c r="O4682">
        <v>0.89458660000000001</v>
      </c>
      <c r="P4682">
        <v>0.60596870000000003</v>
      </c>
      <c r="Q4682">
        <v>2.7614900000000001E-2</v>
      </c>
      <c r="R4682">
        <v>0.79500909999999902</v>
      </c>
      <c r="S4682">
        <v>2.3347169999999999</v>
      </c>
      <c r="T4682">
        <v>-0.27741329999999997</v>
      </c>
      <c r="U4682">
        <v>2.0180660000000001</v>
      </c>
      <c r="V4682">
        <v>0.18926219999999999</v>
      </c>
      <c r="W4682">
        <v>4.0171119999999998E-2</v>
      </c>
      <c r="X4682">
        <v>0.98110459999999999</v>
      </c>
      <c r="Y4682">
        <v>0.38176549999999998</v>
      </c>
      <c r="Z4682">
        <v>-8.8099559999999993E-2</v>
      </c>
      <c r="AA4682">
        <v>0.9200509</v>
      </c>
      <c r="AB4682">
        <v>48</v>
      </c>
      <c r="AC4682">
        <v>8.9367000000000001</v>
      </c>
      <c r="AD4682">
        <v>-1.0856485148349999</v>
      </c>
      <c r="AE4682">
        <v>7.4704000000000104</v>
      </c>
      <c r="AF4682">
        <v>4.6209424310375402</v>
      </c>
      <c r="AG4682">
        <v>-1.0856485148349999</v>
      </c>
      <c r="AH4682">
        <v>10.5826024438748</v>
      </c>
      <c r="AI4682">
        <v>95.370929898106795</v>
      </c>
      <c r="AJ4682">
        <v>66.411289129581903</v>
      </c>
      <c r="AK4682">
        <v>11.598414380156999</v>
      </c>
      <c r="AL4682">
        <v>87.697745039496695</v>
      </c>
      <c r="AM4682">
        <v>79.081349074624399</v>
      </c>
      <c r="AN4682">
        <v>1.0000000676860199</v>
      </c>
    </row>
    <row r="4683" spans="1:40" x14ac:dyDescent="0.3">
      <c r="A4683" t="str">
        <f>"20200111154013841"</f>
        <v>20200111154013841</v>
      </c>
      <c r="B4683" t="str">
        <f>"1578728413835935"</f>
        <v>1578728413835935</v>
      </c>
      <c r="C4683" t="s">
        <v>40</v>
      </c>
      <c r="D4683">
        <v>5.8824120000000004</v>
      </c>
      <c r="E4683">
        <v>0.58581099999999997</v>
      </c>
      <c r="F4683" t="s">
        <v>62</v>
      </c>
      <c r="G4683">
        <v>-175.2663</v>
      </c>
      <c r="H4683" s="1">
        <v>-5.5027809999999998E-6</v>
      </c>
      <c r="I4683">
        <v>138.23609999999999</v>
      </c>
      <c r="J4683">
        <v>-184.05670000000001</v>
      </c>
      <c r="K4683">
        <v>1.085526</v>
      </c>
      <c r="L4683">
        <v>131.1147</v>
      </c>
      <c r="M4683">
        <v>0.46095969999999997</v>
      </c>
      <c r="N4683">
        <v>0</v>
      </c>
      <c r="O4683">
        <v>0.88716130000000004</v>
      </c>
      <c r="P4683">
        <v>0.62041550000000001</v>
      </c>
      <c r="Q4683">
        <v>2.7830589999999999E-2</v>
      </c>
      <c r="R4683">
        <v>0.78377940000000001</v>
      </c>
      <c r="S4683">
        <v>2.3612820000000001</v>
      </c>
      <c r="T4683">
        <v>-0.28456959999999998</v>
      </c>
      <c r="U4683">
        <v>1.983627</v>
      </c>
      <c r="V4683">
        <v>0.1911844</v>
      </c>
      <c r="W4683">
        <v>4.0273570000000002E-2</v>
      </c>
      <c r="X4683">
        <v>0.98072760000000003</v>
      </c>
      <c r="Y4683">
        <v>0.37945299999999998</v>
      </c>
      <c r="Z4683">
        <v>-8.9948990000000006E-2</v>
      </c>
      <c r="AA4683">
        <v>0.92082819999999999</v>
      </c>
      <c r="AB4683">
        <v>48</v>
      </c>
      <c r="AC4683">
        <v>8.7904</v>
      </c>
      <c r="AD4683">
        <v>-1.085531502781</v>
      </c>
      <c r="AE4683">
        <v>7.1213999999999897</v>
      </c>
      <c r="AF4683">
        <v>4.4756575492400099</v>
      </c>
      <c r="AG4683">
        <v>-1.085531502781</v>
      </c>
      <c r="AH4683">
        <v>10.277614303083199</v>
      </c>
      <c r="AI4683">
        <v>95.531118958827406</v>
      </c>
      <c r="AJ4683">
        <v>66.468015606069997</v>
      </c>
      <c r="AK4683">
        <v>11.2622930571238</v>
      </c>
      <c r="AL4683">
        <v>87.691870246912799</v>
      </c>
      <c r="AM4683">
        <v>78.969026211197203</v>
      </c>
      <c r="AN4683">
        <v>1.00000003032283</v>
      </c>
    </row>
    <row r="4684" spans="1:40" x14ac:dyDescent="0.3">
      <c r="A4684" t="str">
        <f>"20200111154013864"</f>
        <v>20200111154013864</v>
      </c>
      <c r="B4684" t="str">
        <f>"1578728413855454"</f>
        <v>1578728413855454</v>
      </c>
      <c r="C4684" t="s">
        <v>40</v>
      </c>
      <c r="D4684">
        <v>5.8744389999999997</v>
      </c>
      <c r="E4684">
        <v>0.58522790000000002</v>
      </c>
      <c r="F4684" t="s">
        <v>62</v>
      </c>
      <c r="G4684">
        <v>-175.12350000000001</v>
      </c>
      <c r="H4684" s="1">
        <v>-5.4493560000000003E-6</v>
      </c>
      <c r="I4684">
        <v>138.352</v>
      </c>
      <c r="J4684">
        <v>-183.83969999999999</v>
      </c>
      <c r="K4684">
        <v>1.0854250000000001</v>
      </c>
      <c r="L4684">
        <v>131.5427</v>
      </c>
      <c r="M4684">
        <v>0.47496389999999999</v>
      </c>
      <c r="N4684">
        <v>0</v>
      </c>
      <c r="O4684">
        <v>0.87974249999999898</v>
      </c>
      <c r="P4684">
        <v>0.63422040000000002</v>
      </c>
      <c r="Q4684">
        <v>2.696757E-2</v>
      </c>
      <c r="R4684">
        <v>0.77268190000000003</v>
      </c>
      <c r="S4684">
        <v>2.3961329999999998</v>
      </c>
      <c r="T4684">
        <v>-0.29116890000000001</v>
      </c>
      <c r="U4684">
        <v>1.9412229999999999</v>
      </c>
      <c r="V4684">
        <v>0.1929902</v>
      </c>
      <c r="W4684">
        <v>3.9308740000000002E-2</v>
      </c>
      <c r="X4684">
        <v>0.98041299999999998</v>
      </c>
      <c r="Y4684">
        <v>0.38104169999999998</v>
      </c>
      <c r="Z4684">
        <v>-9.1627929999999996E-2</v>
      </c>
      <c r="AA4684">
        <v>0.92000630000000005</v>
      </c>
      <c r="AB4684">
        <v>47</v>
      </c>
      <c r="AC4684">
        <v>8.7161999999999793</v>
      </c>
      <c r="AD4684">
        <v>-1.0854304493560001</v>
      </c>
      <c r="AE4684">
        <v>6.8093000000000004</v>
      </c>
      <c r="AF4684">
        <v>4.3925636799851402</v>
      </c>
      <c r="AG4684">
        <v>-1.0854304493560001</v>
      </c>
      <c r="AH4684">
        <v>10.036004233198</v>
      </c>
      <c r="AI4684">
        <v>95.658352031734495</v>
      </c>
      <c r="AJ4684">
        <v>66.361940862953702</v>
      </c>
      <c r="AK4684">
        <v>11.0088217313154</v>
      </c>
      <c r="AL4684">
        <v>87.747194732590501</v>
      </c>
      <c r="AM4684">
        <v>78.8639428989637</v>
      </c>
      <c r="AN4684">
        <v>1.0000000224527099</v>
      </c>
    </row>
    <row r="4685" spans="1:40" x14ac:dyDescent="0.3">
      <c r="A4685" t="str">
        <f>"20200111154013885"</f>
        <v>20200111154013885</v>
      </c>
      <c r="B4685" t="str">
        <f>"1578728413875951"</f>
        <v>1578728413875951</v>
      </c>
      <c r="C4685" t="s">
        <v>40</v>
      </c>
      <c r="D4685">
        <v>5.9204160000000003</v>
      </c>
      <c r="E4685">
        <v>0.58472939999999995</v>
      </c>
      <c r="F4685" t="s">
        <v>62</v>
      </c>
      <c r="G4685">
        <v>-175.03880000000001</v>
      </c>
      <c r="H4685" s="1">
        <v>-5.4246919999999997E-6</v>
      </c>
      <c r="I4685">
        <v>138.4391</v>
      </c>
      <c r="J4685">
        <v>-183.62610000000001</v>
      </c>
      <c r="K4685">
        <v>1.0853469999999901</v>
      </c>
      <c r="L4685">
        <v>131.94899999999899</v>
      </c>
      <c r="M4685">
        <v>0.48827530000000002</v>
      </c>
      <c r="N4685">
        <v>0</v>
      </c>
      <c r="O4685">
        <v>0.87242399999999998</v>
      </c>
      <c r="P4685">
        <v>0.6472715</v>
      </c>
      <c r="Q4685">
        <v>2.6875969999999999E-2</v>
      </c>
      <c r="R4685">
        <v>0.76178570000000001</v>
      </c>
      <c r="S4685">
        <v>2.426453</v>
      </c>
      <c r="T4685">
        <v>-0.29926140000000001</v>
      </c>
      <c r="U4685">
        <v>1.9013979999999999</v>
      </c>
      <c r="V4685">
        <v>0.194772</v>
      </c>
      <c r="W4685">
        <v>3.9121959999999997E-2</v>
      </c>
      <c r="X4685">
        <v>0.98006800000000005</v>
      </c>
      <c r="Y4685">
        <v>0.38174750000000002</v>
      </c>
      <c r="Z4685">
        <v>-9.37582E-2</v>
      </c>
      <c r="AA4685">
        <v>0.91949890000000001</v>
      </c>
      <c r="AB4685">
        <v>47</v>
      </c>
      <c r="AC4685">
        <v>8.5872999999999902</v>
      </c>
      <c r="AD4685">
        <v>-1.0853524246920001</v>
      </c>
      <c r="AE4685">
        <v>6.4901000000000098</v>
      </c>
      <c r="AF4685">
        <v>4.2802953417658003</v>
      </c>
      <c r="AG4685">
        <v>-1.0853524246920001</v>
      </c>
      <c r="AH4685">
        <v>9.7581586643604492</v>
      </c>
      <c r="AI4685">
        <v>95.8159251737369</v>
      </c>
      <c r="AJ4685">
        <v>66.3159367202379</v>
      </c>
      <c r="AK4685">
        <v>10.7107692822392</v>
      </c>
      <c r="AL4685">
        <v>87.757904563569795</v>
      </c>
      <c r="AM4685">
        <v>78.759877968459193</v>
      </c>
      <c r="AN4685">
        <v>0.99999997218112002</v>
      </c>
    </row>
    <row r="4686" spans="1:40" x14ac:dyDescent="0.3">
      <c r="A4686" t="str">
        <f>"20200111154013908"</f>
        <v>20200111154013908</v>
      </c>
      <c r="B4686" t="str">
        <f>"1578728413895471"</f>
        <v>1578728413895471</v>
      </c>
      <c r="C4686" t="s">
        <v>40</v>
      </c>
      <c r="D4686">
        <v>5.9034620000000002</v>
      </c>
      <c r="E4686">
        <v>0.5847272</v>
      </c>
      <c r="F4686" t="s">
        <v>62</v>
      </c>
      <c r="G4686">
        <v>-174.9083</v>
      </c>
      <c r="H4686" s="1">
        <v>-5.3939269999999998E-6</v>
      </c>
      <c r="I4686">
        <v>138.5616</v>
      </c>
      <c r="J4686">
        <v>-183.4075</v>
      </c>
      <c r="K4686">
        <v>1.085288</v>
      </c>
      <c r="L4686">
        <v>132.35040000000001</v>
      </c>
      <c r="M4686">
        <v>0.50143340000000003</v>
      </c>
      <c r="N4686">
        <v>0</v>
      </c>
      <c r="O4686">
        <v>0.86492760000000002</v>
      </c>
      <c r="P4686">
        <v>0.66059000000000001</v>
      </c>
      <c r="Q4686">
        <v>2.8455569999999999E-2</v>
      </c>
      <c r="R4686">
        <v>0.75020750000000003</v>
      </c>
      <c r="S4686">
        <v>2.4554749999999999</v>
      </c>
      <c r="T4686">
        <v>-0.30570580000000003</v>
      </c>
      <c r="U4686">
        <v>1.8625179999999999</v>
      </c>
      <c r="V4686">
        <v>0.19729869999999999</v>
      </c>
      <c r="W4686">
        <v>4.0573249999999998E-2</v>
      </c>
      <c r="X4686">
        <v>0.97950349999999997</v>
      </c>
      <c r="Y4686">
        <v>0.38208110000000001</v>
      </c>
      <c r="Z4686">
        <v>-9.5314949999999996E-2</v>
      </c>
      <c r="AA4686">
        <v>0.91920020000000002</v>
      </c>
      <c r="AB4686">
        <v>47</v>
      </c>
      <c r="AC4686">
        <v>8.4992000000000001</v>
      </c>
      <c r="AD4686">
        <v>-1.085293393927</v>
      </c>
      <c r="AE4686">
        <v>6.2111999999999901</v>
      </c>
      <c r="AF4686">
        <v>4.1931057544760497</v>
      </c>
      <c r="AG4686">
        <v>-1.085293393927</v>
      </c>
      <c r="AH4686">
        <v>9.5349137405940407</v>
      </c>
      <c r="AI4686">
        <v>95.948360000399603</v>
      </c>
      <c r="AJ4686">
        <v>66.261865553894694</v>
      </c>
      <c r="AK4686">
        <v>10.472563089315299</v>
      </c>
      <c r="AL4686">
        <v>87.674685815668596</v>
      </c>
      <c r="AM4686">
        <v>78.611458753497203</v>
      </c>
      <c r="AN4686">
        <v>1.0000000360747501</v>
      </c>
    </row>
    <row r="4687" spans="1:40" x14ac:dyDescent="0.3">
      <c r="A4687" t="str">
        <f>"20200111154013942"</f>
        <v>20200111154013942</v>
      </c>
      <c r="B4687" t="str">
        <f>"1578728413935486"</f>
        <v>1578728413935486</v>
      </c>
      <c r="C4687" t="s">
        <v>40</v>
      </c>
      <c r="D4687">
        <v>6.278797</v>
      </c>
      <c r="E4687">
        <v>0.61953689999999995</v>
      </c>
      <c r="F4687" t="s">
        <v>62</v>
      </c>
      <c r="G4687">
        <v>-174.4375</v>
      </c>
      <c r="H4687" s="1">
        <v>-5.318047E-6</v>
      </c>
      <c r="I4687">
        <v>138.9118</v>
      </c>
      <c r="J4687">
        <v>-183.04990000000001</v>
      </c>
      <c r="K4687">
        <v>1.085208</v>
      </c>
      <c r="L4687">
        <v>132.9787</v>
      </c>
      <c r="M4687">
        <v>0.52202950000000004</v>
      </c>
      <c r="N4687">
        <v>0</v>
      </c>
      <c r="O4687">
        <v>0.85265380000000002</v>
      </c>
      <c r="P4687">
        <v>0.68046099999999998</v>
      </c>
      <c r="Q4687">
        <v>2.9770060000000001E-2</v>
      </c>
      <c r="R4687">
        <v>0.73217929999999998</v>
      </c>
      <c r="S4687">
        <v>2.487762</v>
      </c>
      <c r="T4687">
        <v>-0.3009965</v>
      </c>
      <c r="U4687">
        <v>1.8197479999999999</v>
      </c>
      <c r="V4687">
        <v>0.20016149999999999</v>
      </c>
      <c r="W4687">
        <v>4.1747180000000002E-2</v>
      </c>
      <c r="X4687">
        <v>0.97887310000000005</v>
      </c>
      <c r="Y4687">
        <v>0.37608989999999998</v>
      </c>
      <c r="Z4687">
        <v>-9.2885670000000004E-2</v>
      </c>
      <c r="AA4687">
        <v>0.92191579999999995</v>
      </c>
      <c r="AB4687">
        <v>47</v>
      </c>
      <c r="AC4687">
        <v>8.6123999999999992</v>
      </c>
      <c r="AD4687">
        <v>-1.0852133180470001</v>
      </c>
      <c r="AE4687">
        <v>5.9330999999999898</v>
      </c>
      <c r="AF4687">
        <v>4.2018900191770099</v>
      </c>
      <c r="AG4687">
        <v>-1.0852133180470001</v>
      </c>
      <c r="AH4687">
        <v>9.4552290738558398</v>
      </c>
      <c r="AI4687">
        <v>95.987489727628002</v>
      </c>
      <c r="AJ4687">
        <v>66.039707239376497</v>
      </c>
      <c r="AK4687">
        <v>10.4036015166871</v>
      </c>
      <c r="AL4687">
        <v>87.607367443978802</v>
      </c>
      <c r="AM4687">
        <v>78.443383038742496</v>
      </c>
      <c r="AN4687">
        <v>0.99999999951190599</v>
      </c>
    </row>
    <row r="4688" spans="1:40" x14ac:dyDescent="0.3">
      <c r="A4688" t="str">
        <f>"20200111154013963"</f>
        <v>20200111154013963</v>
      </c>
      <c r="B4688" t="str">
        <f>"1578728413955985"</f>
        <v>1578728413955985</v>
      </c>
      <c r="C4688" t="s">
        <v>40</v>
      </c>
      <c r="D4688">
        <v>6.172237</v>
      </c>
      <c r="E4688">
        <v>0.62202009999999996</v>
      </c>
      <c r="F4688" t="s">
        <v>62</v>
      </c>
      <c r="G4688">
        <v>-176.58709999999999</v>
      </c>
      <c r="H4688" s="1">
        <v>-5.805225E-6</v>
      </c>
      <c r="I4688">
        <v>136.68440000000001</v>
      </c>
      <c r="J4688">
        <v>-182.80459999999999</v>
      </c>
      <c r="K4688">
        <v>1.0851660000000001</v>
      </c>
      <c r="L4688">
        <v>133.39060000000001</v>
      </c>
      <c r="M4688">
        <v>0.53552929999999999</v>
      </c>
      <c r="N4688">
        <v>0</v>
      </c>
      <c r="O4688">
        <v>0.84423969999999904</v>
      </c>
      <c r="P4688">
        <v>0.69249019999999994</v>
      </c>
      <c r="Q4688">
        <v>3.0468060000000002E-2</v>
      </c>
      <c r="R4688">
        <v>0.72078379999999997</v>
      </c>
      <c r="S4688">
        <v>2.7390140000000001</v>
      </c>
      <c r="T4688">
        <v>-0.45993010000000001</v>
      </c>
      <c r="U4688">
        <v>1.5705260000000001</v>
      </c>
      <c r="V4688">
        <v>0.20084730000000001</v>
      </c>
      <c r="W4688">
        <v>4.2417499999999997E-2</v>
      </c>
      <c r="X4688">
        <v>0.97870380000000001</v>
      </c>
      <c r="Y4688">
        <v>0.456231</v>
      </c>
      <c r="Z4688">
        <v>-0.14071429999999999</v>
      </c>
      <c r="AA4688">
        <v>0.87866529999999998</v>
      </c>
      <c r="AB4688">
        <v>47</v>
      </c>
      <c r="AC4688">
        <v>6.2175000000000002</v>
      </c>
      <c r="AD4688">
        <v>-1.0851718052249999</v>
      </c>
      <c r="AE4688">
        <v>3.2938000000000001</v>
      </c>
      <c r="AF4688">
        <v>3.4049563009613499</v>
      </c>
      <c r="AG4688">
        <v>-1.0851718052249999</v>
      </c>
      <c r="AH4688">
        <v>5.9698364451634198</v>
      </c>
      <c r="AI4688">
        <v>98.972821289269802</v>
      </c>
      <c r="AJ4688">
        <v>60.301291105928001</v>
      </c>
      <c r="AK4688">
        <v>6.9577490929404098</v>
      </c>
      <c r="AL4688">
        <v>87.568926897372407</v>
      </c>
      <c r="AM4688">
        <v>78.4029064515084</v>
      </c>
      <c r="AN4688">
        <v>1.0000000051789899</v>
      </c>
    </row>
    <row r="4689" spans="1:40" x14ac:dyDescent="0.3">
      <c r="A4689" t="str">
        <f>"20200111154013985"</f>
        <v>20200111154013985</v>
      </c>
      <c r="B4689" t="str">
        <f>"1578728413975502"</f>
        <v>1578728413975502</v>
      </c>
      <c r="C4689" t="s">
        <v>40</v>
      </c>
      <c r="D4689">
        <v>6.2019419999999998</v>
      </c>
      <c r="E4689">
        <v>0.62182139999999997</v>
      </c>
      <c r="F4689" t="s">
        <v>62</v>
      </c>
      <c r="G4689">
        <v>-176.3417</v>
      </c>
      <c r="H4689" s="1">
        <v>-5.728856E-6</v>
      </c>
      <c r="I4689">
        <v>136.90299999999999</v>
      </c>
      <c r="J4689">
        <v>-182.57210000000001</v>
      </c>
      <c r="K4689">
        <v>1.0851379999999999</v>
      </c>
      <c r="L4689">
        <v>133.768</v>
      </c>
      <c r="M4689">
        <v>0.54788490000000001</v>
      </c>
      <c r="N4689">
        <v>0</v>
      </c>
      <c r="O4689">
        <v>0.83627339999999994</v>
      </c>
      <c r="P4689">
        <v>0.70364249999999995</v>
      </c>
      <c r="Q4689">
        <v>3.157455E-2</v>
      </c>
      <c r="R4689">
        <v>0.70985240000000005</v>
      </c>
      <c r="S4689">
        <v>2.78009</v>
      </c>
      <c r="T4689">
        <v>-0.4668021</v>
      </c>
      <c r="U4689">
        <v>1.51088</v>
      </c>
      <c r="V4689">
        <v>0.20179540000000001</v>
      </c>
      <c r="W4689">
        <v>4.3486530000000002E-2</v>
      </c>
      <c r="X4689">
        <v>0.97846180000000005</v>
      </c>
      <c r="Y4689">
        <v>0.46298329999999999</v>
      </c>
      <c r="Z4689">
        <v>-0.14209249999999901</v>
      </c>
      <c r="AA4689">
        <v>0.8749036</v>
      </c>
      <c r="AB4689">
        <v>46</v>
      </c>
      <c r="AC4689">
        <v>6.2304000000000004</v>
      </c>
      <c r="AD4689">
        <v>-1.085143728856</v>
      </c>
      <c r="AE4689">
        <v>3.13499999999999</v>
      </c>
      <c r="AF4689">
        <v>3.4109517038569002</v>
      </c>
      <c r="AG4689">
        <v>-1.085143728856</v>
      </c>
      <c r="AH4689">
        <v>5.8940034050510599</v>
      </c>
      <c r="AI4689">
        <v>99.053930614888003</v>
      </c>
      <c r="AJ4689">
        <v>59.941364012047998</v>
      </c>
      <c r="AK4689">
        <v>6.8957526476138398</v>
      </c>
      <c r="AL4689">
        <v>87.507619341109901</v>
      </c>
      <c r="AM4689">
        <v>78.346852876012406</v>
      </c>
      <c r="AN4689">
        <v>0.99999997790591999</v>
      </c>
    </row>
    <row r="4690" spans="1:40" x14ac:dyDescent="0.3">
      <c r="A4690" t="str">
        <f>"20200111154014007"</f>
        <v>20200111154014007</v>
      </c>
      <c r="B4690" t="str">
        <f>"1578728413995999"</f>
        <v>1578728413995999</v>
      </c>
      <c r="C4690" t="s">
        <v>40</v>
      </c>
      <c r="D4690">
        <v>6.1624460000000001</v>
      </c>
      <c r="E4690">
        <v>0.62044319999999997</v>
      </c>
      <c r="F4690" t="s">
        <v>62</v>
      </c>
      <c r="G4690">
        <v>-176.0104</v>
      </c>
      <c r="H4690" s="1">
        <v>-5.6195199999999999E-6</v>
      </c>
      <c r="I4690">
        <v>137.20609999999999</v>
      </c>
      <c r="J4690">
        <v>-182.32069999999999</v>
      </c>
      <c r="K4690">
        <v>1.085113</v>
      </c>
      <c r="L4690">
        <v>134.16290000000001</v>
      </c>
      <c r="M4690">
        <v>0.56080479999999999</v>
      </c>
      <c r="N4690">
        <v>0</v>
      </c>
      <c r="O4690">
        <v>0.82766399999999996</v>
      </c>
      <c r="P4690">
        <v>0.71555839999999904</v>
      </c>
      <c r="Q4690">
        <v>3.2567890000000002E-2</v>
      </c>
      <c r="R4690">
        <v>0.69779340000000001</v>
      </c>
      <c r="S4690">
        <v>2.802765</v>
      </c>
      <c r="T4690">
        <v>-0.46350590000000003</v>
      </c>
      <c r="U4690">
        <v>1.468567</v>
      </c>
      <c r="V4690">
        <v>0.20324020000000001</v>
      </c>
      <c r="W4690">
        <v>4.4421179999999998E-2</v>
      </c>
      <c r="X4690">
        <v>0.97812069999999995</v>
      </c>
      <c r="Y4690">
        <v>0.46274769999999998</v>
      </c>
      <c r="Z4690">
        <v>-0.14031360000000001</v>
      </c>
      <c r="AA4690">
        <v>0.87531519999999996</v>
      </c>
      <c r="AB4690">
        <v>46</v>
      </c>
      <c r="AC4690">
        <v>6.3102999999999803</v>
      </c>
      <c r="AD4690">
        <v>-1.08511861952</v>
      </c>
      <c r="AE4690">
        <v>3.0431999999999801</v>
      </c>
      <c r="AF4690">
        <v>3.4345959712888798</v>
      </c>
      <c r="AG4690">
        <v>-1.08511861952</v>
      </c>
      <c r="AH4690">
        <v>5.9170644596227904</v>
      </c>
      <c r="AI4690">
        <v>99.012323971207607</v>
      </c>
      <c r="AJ4690">
        <v>59.866717605800602</v>
      </c>
      <c r="AK4690">
        <v>6.9271627470237798</v>
      </c>
      <c r="AL4690">
        <v>87.454015992727605</v>
      </c>
      <c r="AM4690">
        <v>78.261746604281498</v>
      </c>
      <c r="AN4690">
        <v>0.99999996194856</v>
      </c>
    </row>
    <row r="4691" spans="1:40" x14ac:dyDescent="0.3">
      <c r="A4691" t="str">
        <f>"20200111154014030"</f>
        <v>20200111154014030</v>
      </c>
      <c r="B4691" t="str">
        <f>"1578728414025279"</f>
        <v>1578728414025279</v>
      </c>
      <c r="C4691" t="s">
        <v>40</v>
      </c>
      <c r="D4691">
        <v>6.1467799999999997</v>
      </c>
      <c r="E4691">
        <v>0.61919399999999902</v>
      </c>
      <c r="F4691" t="s">
        <v>62</v>
      </c>
      <c r="G4691">
        <v>-175.89080000000001</v>
      </c>
      <c r="H4691" s="1">
        <v>-5.620048E-6</v>
      </c>
      <c r="I4691">
        <v>137.42250000000001</v>
      </c>
      <c r="J4691">
        <v>-182.06639999999999</v>
      </c>
      <c r="K4691">
        <v>1.0850959999999901</v>
      </c>
      <c r="L4691">
        <v>134.54900000000001</v>
      </c>
      <c r="M4691">
        <v>0.5734264</v>
      </c>
      <c r="N4691">
        <v>0</v>
      </c>
      <c r="O4691">
        <v>0.81896930000000001</v>
      </c>
      <c r="P4691">
        <v>0.72727039999999998</v>
      </c>
      <c r="Q4691">
        <v>3.3441279999999997E-2</v>
      </c>
      <c r="R4691">
        <v>0.68553599999999904</v>
      </c>
      <c r="S4691">
        <v>2.8200530000000001</v>
      </c>
      <c r="T4691">
        <v>-0.47591670000000003</v>
      </c>
      <c r="U4691">
        <v>1.4296260000000001</v>
      </c>
      <c r="V4691">
        <v>0.20487449999999999</v>
      </c>
      <c r="W4691">
        <v>4.5229079999999998E-2</v>
      </c>
      <c r="X4691">
        <v>0.97774269999999996</v>
      </c>
      <c r="Y4691">
        <v>0.46048329999999998</v>
      </c>
      <c r="Z4691">
        <v>-0.14318249999999999</v>
      </c>
      <c r="AA4691">
        <v>0.8760445</v>
      </c>
      <c r="AB4691">
        <v>46</v>
      </c>
      <c r="AC4691">
        <v>6.17559999999997</v>
      </c>
      <c r="AD4691">
        <v>-1.0851016200479999</v>
      </c>
      <c r="AE4691">
        <v>2.8734999999999999</v>
      </c>
      <c r="AF4691">
        <v>3.3262736419860799</v>
      </c>
      <c r="AG4691">
        <v>-1.0851016200479999</v>
      </c>
      <c r="AH4691">
        <v>5.7500222806932602</v>
      </c>
      <c r="AI4691">
        <v>99.277324068462704</v>
      </c>
      <c r="AJ4691">
        <v>59.951471520537801</v>
      </c>
      <c r="AK4691">
        <v>6.7308467591879699</v>
      </c>
      <c r="AL4691">
        <v>87.407680276733899</v>
      </c>
      <c r="AM4691">
        <v>78.165561792895303</v>
      </c>
      <c r="AN4691">
        <v>1.00000000891559</v>
      </c>
    </row>
    <row r="4692" spans="1:40" x14ac:dyDescent="0.3">
      <c r="A4692" t="str">
        <f>"20200111154014053"</f>
        <v>20200111154014053</v>
      </c>
      <c r="B4692" t="str">
        <f>"1578728414045774"</f>
        <v>1578728414045774</v>
      </c>
      <c r="C4692" t="s">
        <v>40</v>
      </c>
      <c r="D4692">
        <v>6.1610719999999999</v>
      </c>
      <c r="E4692">
        <v>0.61820830000000004</v>
      </c>
      <c r="F4692" t="s">
        <v>62</v>
      </c>
      <c r="G4692">
        <v>-175.75579999999999</v>
      </c>
      <c r="H4692" s="1">
        <v>-5.609407E-6</v>
      </c>
      <c r="I4692">
        <v>137.6371</v>
      </c>
      <c r="J4692">
        <v>-181.79050000000001</v>
      </c>
      <c r="K4692">
        <v>1.0850869999999999</v>
      </c>
      <c r="L4692">
        <v>134.95429999999999</v>
      </c>
      <c r="M4692">
        <v>0.58666200000000002</v>
      </c>
      <c r="N4692">
        <v>0</v>
      </c>
      <c r="O4692">
        <v>0.80953999999999904</v>
      </c>
      <c r="P4692">
        <v>0.73922679999999996</v>
      </c>
      <c r="Q4692">
        <v>3.3875019999999999E-2</v>
      </c>
      <c r="R4692">
        <v>0.67260419999999999</v>
      </c>
      <c r="S4692">
        <v>2.8382719999999999</v>
      </c>
      <c r="T4692">
        <v>-0.48803750000000001</v>
      </c>
      <c r="U4692">
        <v>1.3888849999999999</v>
      </c>
      <c r="V4692">
        <v>0.20623089999999999</v>
      </c>
      <c r="W4692">
        <v>4.5614929999999998E-2</v>
      </c>
      <c r="X4692">
        <v>0.97743959999999996</v>
      </c>
      <c r="Y4692">
        <v>0.45798640000000002</v>
      </c>
      <c r="Z4692">
        <v>-0.14578459999999999</v>
      </c>
      <c r="AA4692">
        <v>0.87692380000000003</v>
      </c>
      <c r="AB4692">
        <v>46</v>
      </c>
      <c r="AC4692">
        <v>6.0347000000000097</v>
      </c>
      <c r="AD4692">
        <v>-1.0850926094069999</v>
      </c>
      <c r="AE4692">
        <v>2.6828000000000101</v>
      </c>
      <c r="AF4692">
        <v>3.2251513288917999</v>
      </c>
      <c r="AG4692">
        <v>-1.0850926094069999</v>
      </c>
      <c r="AH4692">
        <v>5.5633266768607603</v>
      </c>
      <c r="AI4692">
        <v>99.577853393289502</v>
      </c>
      <c r="AJ4692">
        <v>59.898430154370899</v>
      </c>
      <c r="AK4692">
        <v>6.5214745862199601</v>
      </c>
      <c r="AL4692">
        <v>87.385549937388802</v>
      </c>
      <c r="AM4692">
        <v>78.085853146948693</v>
      </c>
      <c r="AN4692">
        <v>1.00000003880093</v>
      </c>
    </row>
    <row r="4693" spans="1:40" x14ac:dyDescent="0.3">
      <c r="A4693" t="str">
        <f>"20200111154014075"</f>
        <v>20200111154014075</v>
      </c>
      <c r="B4693" t="str">
        <f>"1578728414066270"</f>
        <v>1578728414066270</v>
      </c>
      <c r="C4693" t="s">
        <v>40</v>
      </c>
      <c r="D4693">
        <v>6.0812749999999998</v>
      </c>
      <c r="E4693">
        <v>0.61740509999999904</v>
      </c>
      <c r="F4693" t="s">
        <v>62</v>
      </c>
      <c r="G4693">
        <v>-175.47069999999999</v>
      </c>
      <c r="H4693" s="1">
        <v>-5.5247419999999997E-6</v>
      </c>
      <c r="I4693">
        <v>137.9265</v>
      </c>
      <c r="J4693">
        <v>-181.536</v>
      </c>
      <c r="K4693">
        <v>1.0850820000000001</v>
      </c>
      <c r="L4693">
        <v>135.31540000000001</v>
      </c>
      <c r="M4693">
        <v>0.59845170000000003</v>
      </c>
      <c r="N4693">
        <v>0</v>
      </c>
      <c r="O4693">
        <v>0.80086309999999905</v>
      </c>
      <c r="P4693">
        <v>0.75002380000000002</v>
      </c>
      <c r="Q4693">
        <v>3.4031939999999997E-2</v>
      </c>
      <c r="R4693">
        <v>0.66053479999999998</v>
      </c>
      <c r="S4693">
        <v>2.8578640000000002</v>
      </c>
      <c r="T4693">
        <v>-0.49068610000000001</v>
      </c>
      <c r="U4693">
        <v>1.344055</v>
      </c>
      <c r="V4693">
        <v>0.20776500000000001</v>
      </c>
      <c r="W4693">
        <v>4.5713049999999998E-2</v>
      </c>
      <c r="X4693">
        <v>0.97711000000000003</v>
      </c>
      <c r="Y4693">
        <v>0.45852500000000002</v>
      </c>
      <c r="Z4693">
        <v>-0.14579039999999999</v>
      </c>
      <c r="AA4693">
        <v>0.87664129999999996</v>
      </c>
      <c r="AB4693">
        <v>46</v>
      </c>
      <c r="AC4693">
        <v>6.0652999999999704</v>
      </c>
      <c r="AD4693">
        <v>-1.085087524742</v>
      </c>
      <c r="AE4693">
        <v>2.6110999999999902</v>
      </c>
      <c r="AF4693">
        <v>3.2089914059772</v>
      </c>
      <c r="AG4693">
        <v>-1.085087524742</v>
      </c>
      <c r="AH4693">
        <v>5.5718314473622197</v>
      </c>
      <c r="AI4693">
        <v>99.578863541012197</v>
      </c>
      <c r="AJ4693">
        <v>60.061018756715598</v>
      </c>
      <c r="AK4693">
        <v>6.5207627205566103</v>
      </c>
      <c r="AL4693">
        <v>87.379922012032495</v>
      </c>
      <c r="AM4693">
        <v>77.995856388923997</v>
      </c>
      <c r="AN4693">
        <v>0.99999996513264999</v>
      </c>
    </row>
    <row r="4694" spans="1:40" x14ac:dyDescent="0.3">
      <c r="A4694" t="str">
        <f>"20200111154014097"</f>
        <v>20200111154014097</v>
      </c>
      <c r="B4694" t="str">
        <f>"1578728414085791"</f>
        <v>1578728414085791</v>
      </c>
      <c r="C4694" t="s">
        <v>40</v>
      </c>
      <c r="D4694">
        <v>6.0607949999999997</v>
      </c>
      <c r="E4694">
        <v>0.61663169999999901</v>
      </c>
      <c r="F4694" t="s">
        <v>62</v>
      </c>
      <c r="G4694">
        <v>-175.21729999999999</v>
      </c>
      <c r="H4694" s="1">
        <v>-5.4474279999999996E-6</v>
      </c>
      <c r="I4694">
        <v>138.17830000000001</v>
      </c>
      <c r="J4694">
        <v>-181.2704</v>
      </c>
      <c r="K4694">
        <v>1.085078</v>
      </c>
      <c r="L4694">
        <v>135.6797</v>
      </c>
      <c r="M4694">
        <v>0.61035430000000002</v>
      </c>
      <c r="N4694">
        <v>0</v>
      </c>
      <c r="O4694">
        <v>0.79182869999999905</v>
      </c>
      <c r="P4694">
        <v>0.76082099999999997</v>
      </c>
      <c r="Q4694">
        <v>3.37504E-2</v>
      </c>
      <c r="R4694">
        <v>0.64808350000000003</v>
      </c>
      <c r="S4694">
        <v>2.8750610000000001</v>
      </c>
      <c r="T4694">
        <v>-0.49372300000000002</v>
      </c>
      <c r="U4694">
        <v>1.3026279999999999</v>
      </c>
      <c r="V4694">
        <v>0.20926339999999999</v>
      </c>
      <c r="W4694">
        <v>4.5375319999999997E-2</v>
      </c>
      <c r="X4694">
        <v>0.97680599999999995</v>
      </c>
      <c r="Y4694">
        <v>0.45766610000000002</v>
      </c>
      <c r="Z4694">
        <v>-0.1457715</v>
      </c>
      <c r="AA4694">
        <v>0.87709309999999996</v>
      </c>
      <c r="AB4694">
        <v>45</v>
      </c>
      <c r="AC4694">
        <v>6.0530999999999997</v>
      </c>
      <c r="AD4694">
        <v>-1.085083447428</v>
      </c>
      <c r="AE4694">
        <v>2.4986000000000099</v>
      </c>
      <c r="AF4694">
        <v>3.1814137462846301</v>
      </c>
      <c r="AG4694">
        <v>-1.085083447428</v>
      </c>
      <c r="AH4694">
        <v>5.5227135539147802</v>
      </c>
      <c r="AI4694">
        <v>99.661893410256397</v>
      </c>
      <c r="AJ4694">
        <v>60.055481069127602</v>
      </c>
      <c r="AK4694">
        <v>6.4652273364147899</v>
      </c>
      <c r="AL4694">
        <v>87.399292775055997</v>
      </c>
      <c r="AM4694">
        <v>77.908168786109002</v>
      </c>
      <c r="AN4694">
        <v>1.0000000259403301</v>
      </c>
    </row>
    <row r="4695" spans="1:40" x14ac:dyDescent="0.3">
      <c r="A4695" t="str">
        <f>"20200111154014120"</f>
        <v>20200111154014120</v>
      </c>
      <c r="B4695" t="str">
        <f>"1578728414116047"</f>
        <v>1578728414116047</v>
      </c>
      <c r="C4695" t="s">
        <v>40</v>
      </c>
      <c r="D4695">
        <v>5.9639170000000004</v>
      </c>
      <c r="E4695">
        <v>0.61574469999999903</v>
      </c>
      <c r="F4695" t="s">
        <v>62</v>
      </c>
      <c r="G4695">
        <v>-174.9504</v>
      </c>
      <c r="H4695" s="1">
        <v>-5.3633110000000001E-6</v>
      </c>
      <c r="I4695">
        <v>138.43170000000001</v>
      </c>
      <c r="J4695">
        <v>-180.97489999999999</v>
      </c>
      <c r="K4695">
        <v>1.0850789999999999</v>
      </c>
      <c r="L4695">
        <v>136.07149999999999</v>
      </c>
      <c r="M4695">
        <v>0.62316130000000003</v>
      </c>
      <c r="N4695">
        <v>0</v>
      </c>
      <c r="O4695">
        <v>0.78178899999999996</v>
      </c>
      <c r="P4695">
        <v>0.772061199999999</v>
      </c>
      <c r="Q4695">
        <v>3.3321240000000002E-2</v>
      </c>
      <c r="R4695">
        <v>0.63467419999999997</v>
      </c>
      <c r="S4695">
        <v>2.8923190000000001</v>
      </c>
      <c r="T4695">
        <v>-0.49658429999999998</v>
      </c>
      <c r="U4695">
        <v>1.2594299999999901</v>
      </c>
      <c r="V4695">
        <v>0.210449</v>
      </c>
      <c r="W4695">
        <v>4.4907549999999997E-2</v>
      </c>
      <c r="X4695">
        <v>0.97657289999999997</v>
      </c>
      <c r="Y4695">
        <v>0.45612130000000001</v>
      </c>
      <c r="Z4695">
        <v>-0.14552709999999999</v>
      </c>
      <c r="AA4695">
        <v>0.877937999999999</v>
      </c>
      <c r="AB4695">
        <v>45</v>
      </c>
      <c r="AC4695">
        <v>6.0244999999999802</v>
      </c>
      <c r="AD4695">
        <v>-1.0850843633110001</v>
      </c>
      <c r="AE4695">
        <v>2.3602000000000198</v>
      </c>
      <c r="AF4695">
        <v>3.1512484700458399</v>
      </c>
      <c r="AG4695">
        <v>-1.0850843633110001</v>
      </c>
      <c r="AH4695">
        <v>5.4475409567557298</v>
      </c>
      <c r="AI4695">
        <v>99.782641772509805</v>
      </c>
      <c r="AJ4695">
        <v>59.951831948526397</v>
      </c>
      <c r="AK4695">
        <v>6.3861942869755701</v>
      </c>
      <c r="AL4695">
        <v>87.426121430547596</v>
      </c>
      <c r="AM4695">
        <v>77.838878415693401</v>
      </c>
      <c r="AN4695">
        <v>1.0000000493312</v>
      </c>
    </row>
    <row r="4696" spans="1:40" x14ac:dyDescent="0.3">
      <c r="A4696" t="str">
        <f>"20200111154014143"</f>
        <v>20200111154014143</v>
      </c>
      <c r="B4696" t="str">
        <f>"1578728414135566"</f>
        <v>1578728414135566</v>
      </c>
      <c r="C4696" t="s">
        <v>40</v>
      </c>
      <c r="D4696">
        <v>5.8570820000000001</v>
      </c>
      <c r="E4696">
        <v>0.61534929999999999</v>
      </c>
      <c r="F4696" t="s">
        <v>62</v>
      </c>
      <c r="G4696">
        <v>-174.65199999999999</v>
      </c>
      <c r="H4696" s="1">
        <v>-5.3364339999999999E-6</v>
      </c>
      <c r="I4696">
        <v>138.70949999999999</v>
      </c>
      <c r="J4696">
        <v>-180.70070000000001</v>
      </c>
      <c r="K4696">
        <v>1.0850839999999999</v>
      </c>
      <c r="L4696">
        <v>136.42359999999999</v>
      </c>
      <c r="M4696">
        <v>0.63467289999999998</v>
      </c>
      <c r="N4696">
        <v>0</v>
      </c>
      <c r="O4696">
        <v>0.7724723</v>
      </c>
      <c r="P4696">
        <v>0.78173530000000002</v>
      </c>
      <c r="Q4696">
        <v>3.2805529999999999E-2</v>
      </c>
      <c r="R4696">
        <v>0.6227471</v>
      </c>
      <c r="S4696">
        <v>2.9094090000000001</v>
      </c>
      <c r="T4696">
        <v>-0.49929109999999999</v>
      </c>
      <c r="U4696">
        <v>1.2138519999999999</v>
      </c>
      <c r="V4696">
        <v>0.21096880000000001</v>
      </c>
      <c r="W4696">
        <v>4.4384510000000002E-2</v>
      </c>
      <c r="X4696">
        <v>0.97648460000000004</v>
      </c>
      <c r="Y4696">
        <v>0.45646530000000002</v>
      </c>
      <c r="Z4696">
        <v>-0.145415299999999</v>
      </c>
      <c r="AA4696">
        <v>0.87777780000000005</v>
      </c>
      <c r="AB4696">
        <v>45</v>
      </c>
      <c r="AC4696">
        <v>6.0486999999999904</v>
      </c>
      <c r="AD4696">
        <v>-1.085089336434</v>
      </c>
      <c r="AE4696">
        <v>2.2858999999999901</v>
      </c>
      <c r="AF4696">
        <v>3.13416548764082</v>
      </c>
      <c r="AG4696">
        <v>-1.085089336434</v>
      </c>
      <c r="AH4696">
        <v>5.4525351410507001</v>
      </c>
      <c r="AI4696">
        <v>99.7891033970064</v>
      </c>
      <c r="AJ4696">
        <v>60.109329360615199</v>
      </c>
      <c r="AK4696">
        <v>6.3820491721980996</v>
      </c>
      <c r="AL4696">
        <v>87.456119191708595</v>
      </c>
      <c r="AM4696">
        <v>77.808668858451696</v>
      </c>
      <c r="AN4696">
        <v>0.99999999666926997</v>
      </c>
    </row>
    <row r="4697" spans="1:40" x14ac:dyDescent="0.3">
      <c r="A4697" t="str">
        <f>"20200111154014164"</f>
        <v>20200111154014164</v>
      </c>
      <c r="B4697" t="str">
        <f>"1578728414156065"</f>
        <v>1578728414156065</v>
      </c>
      <c r="C4697" t="s">
        <v>40</v>
      </c>
      <c r="D4697">
        <v>5.839296</v>
      </c>
      <c r="E4697">
        <v>0.61472850000000001</v>
      </c>
      <c r="F4697" t="s">
        <v>62</v>
      </c>
      <c r="G4697">
        <v>-174.36109999999999</v>
      </c>
      <c r="H4697" s="1">
        <v>-5.3034279999999998E-6</v>
      </c>
      <c r="I4697">
        <v>138.96260000000001</v>
      </c>
      <c r="J4697">
        <v>-180.42080000000001</v>
      </c>
      <c r="K4697">
        <v>1.085086</v>
      </c>
      <c r="L4697">
        <v>136.77180000000001</v>
      </c>
      <c r="M4697">
        <v>0.64607329999999996</v>
      </c>
      <c r="N4697">
        <v>0</v>
      </c>
      <c r="O4697">
        <v>0.76296249999999999</v>
      </c>
      <c r="P4697">
        <v>0.79114910000000005</v>
      </c>
      <c r="Q4697">
        <v>3.163916E-2</v>
      </c>
      <c r="R4697">
        <v>0.61080449999999997</v>
      </c>
      <c r="S4697">
        <v>2.9253079999999998</v>
      </c>
      <c r="T4697">
        <v>-0.50069259999999904</v>
      </c>
      <c r="U4697">
        <v>1.1716</v>
      </c>
      <c r="V4697">
        <v>0.2112791</v>
      </c>
      <c r="W4697">
        <v>4.3221179999999998E-2</v>
      </c>
      <c r="X4697">
        <v>0.9764697</v>
      </c>
      <c r="Y4697">
        <v>0.45588990000000001</v>
      </c>
      <c r="Z4697">
        <v>-0.14479110000000001</v>
      </c>
      <c r="AA4697">
        <v>0.87817990000000001</v>
      </c>
      <c r="AB4697">
        <v>45</v>
      </c>
      <c r="AC4697">
        <v>6.0597000000000198</v>
      </c>
      <c r="AD4697">
        <v>-1.0850913034280001</v>
      </c>
      <c r="AE4697">
        <v>2.1907999999999901</v>
      </c>
      <c r="AF4697">
        <v>3.12018948552709</v>
      </c>
      <c r="AG4697">
        <v>-1.0850913034280001</v>
      </c>
      <c r="AH4697">
        <v>5.4337511372638101</v>
      </c>
      <c r="AI4697">
        <v>99.824736865419496</v>
      </c>
      <c r="AJ4697">
        <v>60.134529943995702</v>
      </c>
      <c r="AK4697">
        <v>6.3591396418135604</v>
      </c>
      <c r="AL4697">
        <v>87.522837143739395</v>
      </c>
      <c r="AM4697">
        <v>77.791094223452404</v>
      </c>
      <c r="AN4697">
        <v>1.00000000175774</v>
      </c>
    </row>
    <row r="4698" spans="1:40" x14ac:dyDescent="0.3">
      <c r="A4698" t="str">
        <f>"20200111154014186"</f>
        <v>20200111154014186</v>
      </c>
      <c r="B4698" t="str">
        <f>"1578728414175582"</f>
        <v>1578728414175582</v>
      </c>
      <c r="C4698" t="s">
        <v>40</v>
      </c>
      <c r="D4698">
        <v>5.8319580000000002</v>
      </c>
      <c r="E4698">
        <v>0.61430509999999905</v>
      </c>
      <c r="F4698" t="s">
        <v>62</v>
      </c>
      <c r="G4698">
        <v>-174.07249999999999</v>
      </c>
      <c r="H4698" s="1">
        <v>-5.2710199999999997E-6</v>
      </c>
      <c r="I4698">
        <v>139.21440000000001</v>
      </c>
      <c r="J4698">
        <v>-180.14609999999999</v>
      </c>
      <c r="K4698">
        <v>1.0850959999999901</v>
      </c>
      <c r="L4698">
        <v>137.10299999999901</v>
      </c>
      <c r="M4698">
        <v>0.65693590000000002</v>
      </c>
      <c r="N4698">
        <v>0</v>
      </c>
      <c r="O4698">
        <v>0.7536292</v>
      </c>
      <c r="P4698">
        <v>0.79935339999999999</v>
      </c>
      <c r="Q4698">
        <v>3.0650699999999999E-2</v>
      </c>
      <c r="R4698">
        <v>0.60007909999999998</v>
      </c>
      <c r="S4698">
        <v>2.938965</v>
      </c>
      <c r="T4698">
        <v>-0.50235129999999995</v>
      </c>
      <c r="U4698">
        <v>1.1308290000000001</v>
      </c>
      <c r="V4698">
        <v>0.21044360000000001</v>
      </c>
      <c r="W4698">
        <v>4.2294579999999998E-2</v>
      </c>
      <c r="X4698">
        <v>0.97669059999999996</v>
      </c>
      <c r="Y4698">
        <v>0.45516069999999997</v>
      </c>
      <c r="Z4698">
        <v>-0.14427019999999999</v>
      </c>
      <c r="AA4698">
        <v>0.87864379999999997</v>
      </c>
      <c r="AB4698">
        <v>45</v>
      </c>
      <c r="AC4698">
        <v>6.0735999999999901</v>
      </c>
      <c r="AD4698">
        <v>-1.0851012710200001</v>
      </c>
      <c r="AE4698">
        <v>2.1114000000000299</v>
      </c>
      <c r="AF4698">
        <v>3.1025970581778202</v>
      </c>
      <c r="AG4698">
        <v>-1.0851012710200001</v>
      </c>
      <c r="AH4698">
        <v>5.4279399970420297</v>
      </c>
      <c r="AI4698">
        <v>99.846068233459405</v>
      </c>
      <c r="AJ4698">
        <v>60.247821836613603</v>
      </c>
      <c r="AK4698">
        <v>6.3455563889442796</v>
      </c>
      <c r="AL4698">
        <v>87.575975848431</v>
      </c>
      <c r="AM4698">
        <v>77.840603053945003</v>
      </c>
      <c r="AN4698">
        <v>0.99999993420334599</v>
      </c>
    </row>
    <row r="4699" spans="1:40" x14ac:dyDescent="0.3">
      <c r="A4699" t="str">
        <f>"20200111154014208"</f>
        <v>20200111154014208</v>
      </c>
      <c r="B4699" t="str">
        <f>"1578728414205839"</f>
        <v>1578728414205839</v>
      </c>
      <c r="C4699" t="s">
        <v>40</v>
      </c>
      <c r="D4699">
        <v>5.7393890000000001</v>
      </c>
      <c r="E4699">
        <v>0.64645920000000001</v>
      </c>
      <c r="F4699" t="s">
        <v>62</v>
      </c>
      <c r="G4699">
        <v>-173.82249999999999</v>
      </c>
      <c r="H4699" s="1">
        <v>-5.2476320000000004E-6</v>
      </c>
      <c r="I4699">
        <v>139.44499999999999</v>
      </c>
      <c r="J4699">
        <v>-179.85509999999999</v>
      </c>
      <c r="K4699">
        <v>1.0851109999999999</v>
      </c>
      <c r="L4699">
        <v>137.44319999999999</v>
      </c>
      <c r="M4699">
        <v>0.66811759999999998</v>
      </c>
      <c r="N4699">
        <v>0</v>
      </c>
      <c r="O4699">
        <v>0.7437338</v>
      </c>
      <c r="P4699">
        <v>0.8074462</v>
      </c>
      <c r="Q4699">
        <v>2.9960710000000002E-2</v>
      </c>
      <c r="R4699">
        <v>0.58917989999999998</v>
      </c>
      <c r="S4699">
        <v>2.9517519999999999</v>
      </c>
      <c r="T4699">
        <v>-0.50650720000000005</v>
      </c>
      <c r="U4699">
        <v>1.0932010000000001</v>
      </c>
      <c r="V4699">
        <v>0.20909359999999999</v>
      </c>
      <c r="W4699">
        <v>4.1694309999999998E-2</v>
      </c>
      <c r="X4699">
        <v>0.97700640000000005</v>
      </c>
      <c r="Y4699">
        <v>0.45290209999999997</v>
      </c>
      <c r="Z4699">
        <v>-0.14422650000000001</v>
      </c>
      <c r="AA4699">
        <v>0.87981719999999897</v>
      </c>
      <c r="AB4699">
        <v>45</v>
      </c>
      <c r="AC4699">
        <v>6.0326000000000004</v>
      </c>
      <c r="AD4699">
        <v>-1.085116247632</v>
      </c>
      <c r="AE4699">
        <v>2.0017999999999998</v>
      </c>
      <c r="AF4699">
        <v>3.0607566786475702</v>
      </c>
      <c r="AG4699">
        <v>-1.085116247632</v>
      </c>
      <c r="AH4699">
        <v>5.36426841595142</v>
      </c>
      <c r="AI4699">
        <v>99.965012790618999</v>
      </c>
      <c r="AJ4699">
        <v>60.291683806989802</v>
      </c>
      <c r="AK4699">
        <v>6.2706526259341402</v>
      </c>
      <c r="AL4699">
        <v>87.610399378204903</v>
      </c>
      <c r="AM4699">
        <v>77.920097385078293</v>
      </c>
      <c r="AN4699">
        <v>1.0000000273441401</v>
      </c>
    </row>
    <row r="4700" spans="1:40" x14ac:dyDescent="0.3">
      <c r="A4700" t="str">
        <f>"20200111154014231"</f>
        <v>20200111154014231</v>
      </c>
      <c r="B4700" t="str">
        <f>"1578728414225358"</f>
        <v>1578728414225358</v>
      </c>
      <c r="C4700" t="s">
        <v>40</v>
      </c>
      <c r="D4700">
        <v>5.47079</v>
      </c>
      <c r="E4700">
        <v>0.64788449999999997</v>
      </c>
      <c r="F4700" t="s">
        <v>42</v>
      </c>
      <c r="G4700">
        <v>-167.4462</v>
      </c>
      <c r="H4700" s="1">
        <v>-1.4963120000000001E-6</v>
      </c>
      <c r="I4700">
        <v>140.77619999999999</v>
      </c>
      <c r="J4700">
        <v>-179.55170000000001</v>
      </c>
      <c r="K4700">
        <v>1.0851390000000001</v>
      </c>
      <c r="L4700">
        <v>137.7867</v>
      </c>
      <c r="M4700">
        <v>0.67943790000000004</v>
      </c>
      <c r="N4700">
        <v>0</v>
      </c>
      <c r="O4700">
        <v>0.73340609999999995</v>
      </c>
      <c r="P4700">
        <v>0.81568030000000002</v>
      </c>
      <c r="Q4700">
        <v>3.0184010000000001E-2</v>
      </c>
      <c r="R4700">
        <v>0.57771499999999998</v>
      </c>
      <c r="S4700">
        <v>3.1149900000000001</v>
      </c>
      <c r="T4700">
        <v>-0.27239449999999998</v>
      </c>
      <c r="U4700">
        <v>0.83668519999999902</v>
      </c>
      <c r="V4700">
        <v>0.2079241</v>
      </c>
      <c r="W4700">
        <v>4.2000160000000002E-2</v>
      </c>
      <c r="X4700">
        <v>0.97724279999999997</v>
      </c>
      <c r="Y4700">
        <v>0.52837590000000001</v>
      </c>
      <c r="Z4700">
        <v>-7.8183409999999995E-2</v>
      </c>
      <c r="AA4700">
        <v>0.84540300000000002</v>
      </c>
      <c r="AB4700">
        <v>45</v>
      </c>
      <c r="AC4700">
        <v>12.105499999999999</v>
      </c>
      <c r="AD4700">
        <v>-1.0851404963119999</v>
      </c>
      <c r="AE4700">
        <v>2.9894999999999898</v>
      </c>
      <c r="AF4700">
        <v>6.7972317232983102</v>
      </c>
      <c r="AG4700">
        <v>-1.0851404963119999</v>
      </c>
      <c r="AH4700">
        <v>10.341629854761001</v>
      </c>
      <c r="AI4700">
        <v>95.011161320137106</v>
      </c>
      <c r="AJ4700">
        <v>56.684325616997697</v>
      </c>
      <c r="AK4700">
        <v>12.422930292400199</v>
      </c>
      <c r="AL4700">
        <v>87.592859956214298</v>
      </c>
      <c r="AM4700">
        <v>77.988516004550704</v>
      </c>
      <c r="AN4700">
        <v>0.99999996747633701</v>
      </c>
    </row>
    <row r="4701" spans="1:40" x14ac:dyDescent="0.3">
      <c r="A4701" t="str">
        <f>"20200111154014254"</f>
        <v>20200111154014254</v>
      </c>
      <c r="B4701" t="str">
        <f>"1578728414245858"</f>
        <v>1578728414245858</v>
      </c>
      <c r="C4701" t="s">
        <v>40</v>
      </c>
      <c r="D4701">
        <v>5.7248760000000001</v>
      </c>
      <c r="E4701">
        <v>0.64444799999999902</v>
      </c>
      <c r="F4701" t="s">
        <v>42</v>
      </c>
      <c r="G4701">
        <v>-166.16630000000001</v>
      </c>
      <c r="H4701" s="1">
        <v>-2.1964240000000001E-6</v>
      </c>
      <c r="I4701">
        <v>141.1336</v>
      </c>
      <c r="J4701">
        <v>-179.2406</v>
      </c>
      <c r="K4701">
        <v>1.0851729999999999</v>
      </c>
      <c r="L4701">
        <v>138.1277</v>
      </c>
      <c r="M4701">
        <v>0.69071579999999999</v>
      </c>
      <c r="N4701">
        <v>0</v>
      </c>
      <c r="O4701">
        <v>0.72279419999999905</v>
      </c>
      <c r="P4701">
        <v>0.8234804</v>
      </c>
      <c r="Q4701">
        <v>3.0508730000000001E-2</v>
      </c>
      <c r="R4701">
        <v>0.56652369999999996</v>
      </c>
      <c r="S4701">
        <v>3.1325379999999998</v>
      </c>
      <c r="T4701">
        <v>-0.25395069999999997</v>
      </c>
      <c r="U4701">
        <v>0.78326419999999997</v>
      </c>
      <c r="V4701">
        <v>0.20613619999999999</v>
      </c>
      <c r="W4701">
        <v>4.2440360000000003E-2</v>
      </c>
      <c r="X4701">
        <v>0.97760250000000004</v>
      </c>
      <c r="Y4701">
        <v>0.53047619999999995</v>
      </c>
      <c r="Z4701">
        <v>-7.2324890000000003E-2</v>
      </c>
      <c r="AA4701">
        <v>0.8446089</v>
      </c>
      <c r="AB4701">
        <v>44</v>
      </c>
      <c r="AC4701">
        <v>13.0742999999999</v>
      </c>
      <c r="AD4701">
        <v>-1.085175196424</v>
      </c>
      <c r="AE4701">
        <v>3.0058999999999898</v>
      </c>
      <c r="AF4701">
        <v>7.3276303229815802</v>
      </c>
      <c r="AG4701">
        <v>-1.085175196424</v>
      </c>
      <c r="AH4701">
        <v>11.133117028324699</v>
      </c>
      <c r="AI4701">
        <v>94.654731379565504</v>
      </c>
      <c r="AJ4701">
        <v>56.647760090643501</v>
      </c>
      <c r="AK4701">
        <v>13.3722872435341</v>
      </c>
      <c r="AL4701">
        <v>87.567615880262807</v>
      </c>
      <c r="AM4701">
        <v>78.093095556165196</v>
      </c>
      <c r="AN4701">
        <v>0.999999982556809</v>
      </c>
    </row>
    <row r="4702" spans="1:40" x14ac:dyDescent="0.3">
      <c r="A4702" t="str">
        <f>"20200111154014275"</f>
        <v>20200111154014275</v>
      </c>
      <c r="B4702" t="str">
        <f>"1578728414265375"</f>
        <v>1578728414265375</v>
      </c>
      <c r="C4702" t="s">
        <v>40</v>
      </c>
      <c r="D4702">
        <v>5.6649919999999998</v>
      </c>
      <c r="E4702">
        <v>0.642190699999999</v>
      </c>
      <c r="F4702" t="s">
        <v>42</v>
      </c>
      <c r="G4702">
        <v>-165.97829999999999</v>
      </c>
      <c r="H4702" s="1">
        <v>-2.3464180000000002E-6</v>
      </c>
      <c r="I4702">
        <v>141.36340000000001</v>
      </c>
      <c r="J4702">
        <v>-178.9528</v>
      </c>
      <c r="K4702">
        <v>1.0852040000000001</v>
      </c>
      <c r="L4702">
        <v>138.43299999999999</v>
      </c>
      <c r="M4702">
        <v>0.70086309999999996</v>
      </c>
      <c r="N4702">
        <v>0</v>
      </c>
      <c r="O4702">
        <v>0.7129588</v>
      </c>
      <c r="P4702">
        <v>0.82993329999999998</v>
      </c>
      <c r="Q4702">
        <v>3.13885E-2</v>
      </c>
      <c r="R4702">
        <v>0.5569788</v>
      </c>
      <c r="S4702">
        <v>3.1275940000000002</v>
      </c>
      <c r="T4702">
        <v>-0.25591140000000001</v>
      </c>
      <c r="U4702">
        <v>0.76304629999999996</v>
      </c>
      <c r="V4702">
        <v>0.2036201</v>
      </c>
      <c r="W4702">
        <v>4.3472709999999998E-2</v>
      </c>
      <c r="X4702">
        <v>0.97808430000000002</v>
      </c>
      <c r="Y4702">
        <v>0.52329519999999996</v>
      </c>
      <c r="Z4702">
        <v>-7.2296479999999996E-2</v>
      </c>
      <c r="AA4702">
        <v>0.84907909999999998</v>
      </c>
      <c r="AB4702">
        <v>44</v>
      </c>
      <c r="AC4702">
        <v>12.974500000000001</v>
      </c>
      <c r="AD4702">
        <v>-1.085206346418</v>
      </c>
      <c r="AE4702">
        <v>2.9304000000000201</v>
      </c>
      <c r="AF4702">
        <v>7.1506079905576296</v>
      </c>
      <c r="AG4702">
        <v>-1.085206346418</v>
      </c>
      <c r="AH4702">
        <v>11.1113304395412</v>
      </c>
      <c r="AI4702">
        <v>94.6951350251598</v>
      </c>
      <c r="AJ4702">
        <v>57.237016652342703</v>
      </c>
      <c r="AK4702">
        <v>13.257847924365599</v>
      </c>
      <c r="AL4702">
        <v>87.508411873120096</v>
      </c>
      <c r="AM4702">
        <v>78.239990280282299</v>
      </c>
      <c r="AN4702">
        <v>0.99999995977262102</v>
      </c>
    </row>
    <row r="4703" spans="1:40" x14ac:dyDescent="0.3">
      <c r="A4703" t="str">
        <f>"20200111154014297"</f>
        <v>20200111154014297</v>
      </c>
      <c r="B4703" t="str">
        <f>"1578728414285871"</f>
        <v>1578728414285871</v>
      </c>
      <c r="C4703" t="s">
        <v>40</v>
      </c>
      <c r="D4703">
        <v>5.6529360000000004</v>
      </c>
      <c r="E4703">
        <v>0.64064699999999997</v>
      </c>
      <c r="F4703" t="s">
        <v>42</v>
      </c>
      <c r="G4703">
        <v>-165.619</v>
      </c>
      <c r="H4703" s="1">
        <v>-2.5779069999999999E-6</v>
      </c>
      <c r="I4703">
        <v>141.59520000000001</v>
      </c>
      <c r="J4703">
        <v>-178.6439</v>
      </c>
      <c r="K4703">
        <v>1.0852440000000001</v>
      </c>
      <c r="L4703">
        <v>138.75030000000001</v>
      </c>
      <c r="M4703">
        <v>0.71146919999999902</v>
      </c>
      <c r="N4703">
        <v>0</v>
      </c>
      <c r="O4703">
        <v>0.70237479999999997</v>
      </c>
      <c r="P4703">
        <v>0.83676890000000004</v>
      </c>
      <c r="Q4703">
        <v>3.236841E-2</v>
      </c>
      <c r="R4703">
        <v>0.5465989</v>
      </c>
      <c r="S4703">
        <v>3.1267399999999999</v>
      </c>
      <c r="T4703">
        <v>-0.2544785</v>
      </c>
      <c r="U4703">
        <v>0.74151610000000001</v>
      </c>
      <c r="V4703">
        <v>0.20116020000000001</v>
      </c>
      <c r="W4703">
        <v>4.4605529999999997E-2</v>
      </c>
      <c r="X4703">
        <v>0.97854220000000003</v>
      </c>
      <c r="Y4703">
        <v>0.51606739999999995</v>
      </c>
      <c r="Z4703">
        <v>-7.1168549999999997E-2</v>
      </c>
      <c r="AA4703">
        <v>0.85358630000000002</v>
      </c>
      <c r="AB4703">
        <v>44</v>
      </c>
      <c r="AC4703">
        <v>13.024899999999899</v>
      </c>
      <c r="AD4703">
        <v>-1.085246577907</v>
      </c>
      <c r="AE4703">
        <v>2.8448999999999902</v>
      </c>
      <c r="AF4703">
        <v>7.0791096177688999</v>
      </c>
      <c r="AG4703">
        <v>-1.085246577907</v>
      </c>
      <c r="AH4703">
        <v>11.1935414428886</v>
      </c>
      <c r="AI4703">
        <v>94.684418989009401</v>
      </c>
      <c r="AJ4703">
        <v>57.689591382741199</v>
      </c>
      <c r="AK4703">
        <v>13.2886012487737</v>
      </c>
      <c r="AL4703">
        <v>87.443443025932694</v>
      </c>
      <c r="AM4703">
        <v>78.383463918367497</v>
      </c>
      <c r="AN4703">
        <v>0.99999995827572896</v>
      </c>
    </row>
    <row r="4704" spans="1:40" x14ac:dyDescent="0.3">
      <c r="A4704" t="str">
        <f>"20200111154014321"</f>
        <v>20200111154014321</v>
      </c>
      <c r="B4704" t="str">
        <f>"1578728414316127"</f>
        <v>1578728414316127</v>
      </c>
      <c r="C4704" t="s">
        <v>40</v>
      </c>
      <c r="D4704">
        <v>5.6778380000000004</v>
      </c>
      <c r="E4704">
        <v>0.63863179999999997</v>
      </c>
      <c r="F4704" t="s">
        <v>42</v>
      </c>
      <c r="G4704">
        <v>-165.2397</v>
      </c>
      <c r="H4704" s="1">
        <v>-2.8125920000000002E-6</v>
      </c>
      <c r="I4704">
        <v>141.80340000000001</v>
      </c>
      <c r="J4704">
        <v>-178.30869999999999</v>
      </c>
      <c r="K4704">
        <v>1.08529599999999</v>
      </c>
      <c r="L4704">
        <v>139.08330000000001</v>
      </c>
      <c r="M4704">
        <v>0.72266819999999998</v>
      </c>
      <c r="N4704">
        <v>0</v>
      </c>
      <c r="O4704">
        <v>0.69084630000000002</v>
      </c>
      <c r="P4704">
        <v>0.84486399999999995</v>
      </c>
      <c r="Q4704">
        <v>3.3467579999999997E-2</v>
      </c>
      <c r="R4704">
        <v>0.5339332</v>
      </c>
      <c r="S4704">
        <v>3.12941</v>
      </c>
      <c r="T4704">
        <v>-0.25336839999999999</v>
      </c>
      <c r="U4704">
        <v>0.71278379999999997</v>
      </c>
      <c r="V4704">
        <v>0.2001869</v>
      </c>
      <c r="W4704">
        <v>4.5785930000000002E-2</v>
      </c>
      <c r="X4704">
        <v>0.97868730000000004</v>
      </c>
      <c r="Y4704">
        <v>0.50996819999999998</v>
      </c>
      <c r="Z4704">
        <v>-7.0065479999999999E-2</v>
      </c>
      <c r="AA4704">
        <v>0.85733499999999996</v>
      </c>
      <c r="AB4704">
        <v>44</v>
      </c>
      <c r="AC4704">
        <v>13.0689999999999</v>
      </c>
      <c r="AD4704">
        <v>-1.08529881259199</v>
      </c>
      <c r="AE4704">
        <v>2.7201</v>
      </c>
      <c r="AF4704">
        <v>7.0182533984923703</v>
      </c>
      <c r="AG4704">
        <v>-1.08529881259199</v>
      </c>
      <c r="AH4704">
        <v>11.2520766982816</v>
      </c>
      <c r="AI4704">
        <v>94.678593804736707</v>
      </c>
      <c r="AJ4704">
        <v>58.046988646466403</v>
      </c>
      <c r="AK4704">
        <v>13.3057500465804</v>
      </c>
      <c r="AL4704">
        <v>87.3757419807025</v>
      </c>
      <c r="AM4704">
        <v>78.439820803638895</v>
      </c>
      <c r="AN4704">
        <v>0.99999998874943197</v>
      </c>
    </row>
    <row r="4705" spans="1:40" x14ac:dyDescent="0.3">
      <c r="A4705" t="str">
        <f>"20200111154014343"</f>
        <v>20200111154014343</v>
      </c>
      <c r="B4705" t="str">
        <f>"1578728414335649"</f>
        <v>1578728414335649</v>
      </c>
      <c r="C4705" t="s">
        <v>40</v>
      </c>
      <c r="D4705">
        <v>5.6163919999999896</v>
      </c>
      <c r="E4705">
        <v>0.63744400000000001</v>
      </c>
      <c r="F4705" t="s">
        <v>42</v>
      </c>
      <c r="G4705">
        <v>-165.02029999999999</v>
      </c>
      <c r="H4705" s="1">
        <v>-2.9598520000000002E-6</v>
      </c>
      <c r="I4705">
        <v>141.96700000000001</v>
      </c>
      <c r="J4705">
        <v>-178.00069999999999</v>
      </c>
      <c r="K4705">
        <v>1.085348</v>
      </c>
      <c r="L4705">
        <v>139.37960000000001</v>
      </c>
      <c r="M4705">
        <v>0.73269619999999902</v>
      </c>
      <c r="N4705">
        <v>0</v>
      </c>
      <c r="O4705">
        <v>0.6802011</v>
      </c>
      <c r="P4705">
        <v>0.85232330000000001</v>
      </c>
      <c r="Q4705">
        <v>3.482971E-2</v>
      </c>
      <c r="R4705">
        <v>0.5218545</v>
      </c>
      <c r="S4705">
        <v>3.1315309999999998</v>
      </c>
      <c r="T4705">
        <v>-0.25576140000000003</v>
      </c>
      <c r="U4705">
        <v>0.67958069999999904</v>
      </c>
      <c r="V4705">
        <v>0.19982249999999999</v>
      </c>
      <c r="W4705">
        <v>4.7197749999999997E-2</v>
      </c>
      <c r="X4705">
        <v>0.97869470000000003</v>
      </c>
      <c r="Y4705">
        <v>0.5061504</v>
      </c>
      <c r="Z4705">
        <v>-7.0070999999999994E-2</v>
      </c>
      <c r="AA4705">
        <v>0.85959399999999997</v>
      </c>
      <c r="AB4705">
        <v>44</v>
      </c>
      <c r="AC4705">
        <v>12.980399999999999</v>
      </c>
      <c r="AD4705">
        <v>-1.0853509598519999</v>
      </c>
      <c r="AE4705">
        <v>2.5874000000000001</v>
      </c>
      <c r="AF4705">
        <v>6.88885612532858</v>
      </c>
      <c r="AG4705">
        <v>-1.0853509598519999</v>
      </c>
      <c r="AH4705">
        <v>11.1980651306468</v>
      </c>
      <c r="AI4705">
        <v>94.719225166030597</v>
      </c>
      <c r="AJ4705">
        <v>58.400889004892598</v>
      </c>
      <c r="AK4705">
        <v>13.1920805065667</v>
      </c>
      <c r="AL4705">
        <v>87.294763077157597</v>
      </c>
      <c r="AM4705">
        <v>78.460383741564797</v>
      </c>
      <c r="AN4705">
        <v>0.99999998745970098</v>
      </c>
    </row>
    <row r="4706" spans="1:40" x14ac:dyDescent="0.3">
      <c r="A4706" t="str">
        <f>"20200111154014363"</f>
        <v>20200111154014363</v>
      </c>
      <c r="B4706" t="str">
        <f>"1578728414356146"</f>
        <v>1578728414356146</v>
      </c>
      <c r="C4706" t="s">
        <v>40</v>
      </c>
      <c r="D4706">
        <v>5.6176969999999997</v>
      </c>
      <c r="E4706">
        <v>0.63657129999999995</v>
      </c>
      <c r="F4706" t="s">
        <v>42</v>
      </c>
      <c r="G4706">
        <v>-164.44970000000001</v>
      </c>
      <c r="H4706" s="1">
        <v>-3.2799769999999999E-6</v>
      </c>
      <c r="I4706">
        <v>142.15639999999999</v>
      </c>
      <c r="J4706">
        <v>-177.69450000000001</v>
      </c>
      <c r="K4706">
        <v>1.085399</v>
      </c>
      <c r="L4706">
        <v>139.6652</v>
      </c>
      <c r="M4706">
        <v>0.74242759999999997</v>
      </c>
      <c r="N4706">
        <v>0</v>
      </c>
      <c r="O4706">
        <v>0.66956539999999998</v>
      </c>
      <c r="P4706">
        <v>0.85952549999999905</v>
      </c>
      <c r="Q4706">
        <v>3.5641680000000002E-2</v>
      </c>
      <c r="R4706">
        <v>0.50984859999999999</v>
      </c>
      <c r="S4706">
        <v>3.1365509999999999</v>
      </c>
      <c r="T4706">
        <v>-0.25121850000000001</v>
      </c>
      <c r="U4706">
        <v>0.6427155</v>
      </c>
      <c r="V4706">
        <v>0.1994496</v>
      </c>
      <c r="W4706">
        <v>4.8059369999999997E-2</v>
      </c>
      <c r="X4706">
        <v>0.97872879999999995</v>
      </c>
      <c r="Y4706">
        <v>0.50383299999999998</v>
      </c>
      <c r="Z4706">
        <v>-6.8180320000000003E-2</v>
      </c>
      <c r="AA4706">
        <v>0.86110609999999999</v>
      </c>
      <c r="AB4706">
        <v>43</v>
      </c>
      <c r="AC4706">
        <v>13.2447999999999</v>
      </c>
      <c r="AD4706">
        <v>-1.085402279977</v>
      </c>
      <c r="AE4706">
        <v>2.4911999999999899</v>
      </c>
      <c r="AF4706">
        <v>6.9751787598235397</v>
      </c>
      <c r="AG4706">
        <v>-1.085402279977</v>
      </c>
      <c r="AH4706">
        <v>11.429970126574901</v>
      </c>
      <c r="AI4706">
        <v>94.634233835007294</v>
      </c>
      <c r="AJ4706">
        <v>58.606226432773298</v>
      </c>
      <c r="AK4706">
        <v>13.4341145571738</v>
      </c>
      <c r="AL4706">
        <v>87.245339706193604</v>
      </c>
      <c r="AM4706">
        <v>78.481732983753702</v>
      </c>
      <c r="AN4706">
        <v>0.99999995496719696</v>
      </c>
    </row>
    <row r="4707" spans="1:40" x14ac:dyDescent="0.3">
      <c r="A4707" t="str">
        <f>"20200111154014386"</f>
        <v>20200111154014386</v>
      </c>
      <c r="B4707" t="str">
        <f>"1578728414375662"</f>
        <v>1578728414375662</v>
      </c>
      <c r="C4707" t="s">
        <v>40</v>
      </c>
      <c r="D4707">
        <v>5.5589389999999996</v>
      </c>
      <c r="E4707">
        <v>0.63507349999999996</v>
      </c>
      <c r="F4707" t="s">
        <v>42</v>
      </c>
      <c r="G4707">
        <v>-163.9325</v>
      </c>
      <c r="H4707" s="1">
        <v>-3.5655270000000001E-6</v>
      </c>
      <c r="I4707">
        <v>142.3108</v>
      </c>
      <c r="J4707">
        <v>-177.3742</v>
      </c>
      <c r="K4707">
        <v>1.0854459999999999</v>
      </c>
      <c r="L4707">
        <v>139.95480000000001</v>
      </c>
      <c r="M4707">
        <v>0.75237449999999995</v>
      </c>
      <c r="N4707">
        <v>0</v>
      </c>
      <c r="O4707">
        <v>0.65836830000000002</v>
      </c>
      <c r="P4707">
        <v>0.86769149999999995</v>
      </c>
      <c r="Q4707">
        <v>3.6514320000000003E-2</v>
      </c>
      <c r="R4707">
        <v>0.49576049999999999</v>
      </c>
      <c r="S4707">
        <v>3.1422729999999999</v>
      </c>
      <c r="T4707">
        <v>-0.24782950000000001</v>
      </c>
      <c r="U4707">
        <v>0.60406490000000002</v>
      </c>
      <c r="V4707">
        <v>0.20076469999999999</v>
      </c>
      <c r="W4707">
        <v>4.8894750000000001E-2</v>
      </c>
      <c r="X4707">
        <v>0.97841849999999997</v>
      </c>
      <c r="Y4707">
        <v>0.5015231</v>
      </c>
      <c r="Z4707">
        <v>-6.6563949999999997E-2</v>
      </c>
      <c r="AA4707">
        <v>0.86257980000000001</v>
      </c>
      <c r="AB4707">
        <v>43</v>
      </c>
      <c r="AC4707">
        <v>13.4416999999999</v>
      </c>
      <c r="AD4707">
        <v>-1.085449565527</v>
      </c>
      <c r="AE4707">
        <v>2.3559999999999901</v>
      </c>
      <c r="AF4707">
        <v>7.0342048607290399</v>
      </c>
      <c r="AG4707">
        <v>-1.085449565527</v>
      </c>
      <c r="AH4707">
        <v>11.5937815301686</v>
      </c>
      <c r="AI4707">
        <v>94.576373254722895</v>
      </c>
      <c r="AJ4707">
        <v>58.753881100992501</v>
      </c>
      <c r="AK4707">
        <v>13.6041908598521</v>
      </c>
      <c r="AL4707">
        <v>87.197419632106403</v>
      </c>
      <c r="AM4707">
        <v>78.404257979791694</v>
      </c>
      <c r="AN4707">
        <v>0.99999996124294999</v>
      </c>
    </row>
    <row r="4708" spans="1:40" x14ac:dyDescent="0.3">
      <c r="A4708" t="str">
        <f>"20200111154014409"</f>
        <v>20200111154014409</v>
      </c>
      <c r="B4708" t="str">
        <f>"1578728414405921"</f>
        <v>1578728414405921</v>
      </c>
      <c r="C4708" t="s">
        <v>40</v>
      </c>
      <c r="D4708">
        <v>5.5135579999999997</v>
      </c>
      <c r="E4708">
        <v>0.63314809999999999</v>
      </c>
      <c r="F4708" t="s">
        <v>42</v>
      </c>
      <c r="G4708">
        <v>-164.30619999999999</v>
      </c>
      <c r="H4708" s="1">
        <v>-3.3847189999999999E-6</v>
      </c>
      <c r="I4708">
        <v>142.29499999999999</v>
      </c>
      <c r="J4708">
        <v>-177.04570000000001</v>
      </c>
      <c r="K4708">
        <v>1.085499</v>
      </c>
      <c r="L4708">
        <v>140.24250000000001</v>
      </c>
      <c r="M4708">
        <v>0.76233769999999901</v>
      </c>
      <c r="N4708">
        <v>0</v>
      </c>
      <c r="O4708">
        <v>0.64680530000000003</v>
      </c>
      <c r="P4708">
        <v>0.87525609999999998</v>
      </c>
      <c r="Q4708">
        <v>3.7198839999999997E-2</v>
      </c>
      <c r="R4708">
        <v>0.48222720000000002</v>
      </c>
      <c r="S4708">
        <v>3.1465450000000001</v>
      </c>
      <c r="T4708">
        <v>-0.26135619999999998</v>
      </c>
      <c r="U4708">
        <v>0.56347659999999999</v>
      </c>
      <c r="V4708">
        <v>0.20102919999999999</v>
      </c>
      <c r="W4708">
        <v>4.9591049999999998E-2</v>
      </c>
      <c r="X4708">
        <v>0.97832920000000001</v>
      </c>
      <c r="Y4708">
        <v>0.49898819999999999</v>
      </c>
      <c r="Z4708">
        <v>-6.943291E-2</v>
      </c>
      <c r="AA4708">
        <v>0.8638228</v>
      </c>
      <c r="AB4708">
        <v>43</v>
      </c>
      <c r="AC4708">
        <v>12.7395</v>
      </c>
      <c r="AD4708">
        <v>-1.085502384719</v>
      </c>
      <c r="AE4708">
        <v>2.0524999999999798</v>
      </c>
      <c r="AF4708">
        <v>6.6299764499955502</v>
      </c>
      <c r="AG4708">
        <v>-1.085502384719</v>
      </c>
      <c r="AH4708">
        <v>10.964450716572401</v>
      </c>
      <c r="AI4708">
        <v>94.842427243187998</v>
      </c>
      <c r="AJ4708">
        <v>58.8395147186706</v>
      </c>
      <c r="AK4708">
        <v>12.8590078416211</v>
      </c>
      <c r="AL4708">
        <v>87.157476280434096</v>
      </c>
      <c r="AM4708">
        <v>78.388364550908506</v>
      </c>
      <c r="AN4708">
        <v>1.00000001753269</v>
      </c>
    </row>
    <row r="4709" spans="1:40" x14ac:dyDescent="0.3">
      <c r="A4709" t="str">
        <f>"20200111154014432"</f>
        <v>20200111154014432</v>
      </c>
      <c r="B4709" t="str">
        <f>"1578728414425438"</f>
        <v>1578728414425438</v>
      </c>
      <c r="C4709" t="s">
        <v>40</v>
      </c>
      <c r="D4709">
        <v>5.6122050000000003</v>
      </c>
      <c r="E4709">
        <v>0.61738780000000004</v>
      </c>
      <c r="F4709" t="s">
        <v>42</v>
      </c>
      <c r="G4709">
        <v>-164.84799999999899</v>
      </c>
      <c r="H4709" s="1">
        <v>-3.127213E-6</v>
      </c>
      <c r="I4709">
        <v>142.28989999999999</v>
      </c>
      <c r="J4709">
        <v>-176.70750000000001</v>
      </c>
      <c r="K4709">
        <v>1.085548</v>
      </c>
      <c r="L4709">
        <v>140.5291</v>
      </c>
      <c r="M4709">
        <v>0.77235209999999999</v>
      </c>
      <c r="N4709">
        <v>0</v>
      </c>
      <c r="O4709">
        <v>0.63481319999999997</v>
      </c>
      <c r="P4709">
        <v>0.88201529999999995</v>
      </c>
      <c r="Q4709">
        <v>3.7402600000000001E-2</v>
      </c>
      <c r="R4709">
        <v>0.46973419999999999</v>
      </c>
      <c r="S4709">
        <v>3.1483460000000001</v>
      </c>
      <c r="T4709">
        <v>-0.28017930000000002</v>
      </c>
      <c r="U4709">
        <v>0.52845759999999997</v>
      </c>
      <c r="V4709">
        <v>0.1996501</v>
      </c>
      <c r="W4709">
        <v>4.9886319999999998E-2</v>
      </c>
      <c r="X4709">
        <v>0.97859660000000004</v>
      </c>
      <c r="Y4709">
        <v>0.49440309999999998</v>
      </c>
      <c r="Z4709">
        <v>-7.3505109999999999E-2</v>
      </c>
      <c r="AA4709">
        <v>0.86611930000000004</v>
      </c>
      <c r="AB4709">
        <v>43</v>
      </c>
      <c r="AC4709">
        <v>11.859500000000001</v>
      </c>
      <c r="AD4709">
        <v>-1.0855511272130001</v>
      </c>
      <c r="AE4709">
        <v>1.7607999999999799</v>
      </c>
      <c r="AF4709">
        <v>6.1199341479165996</v>
      </c>
      <c r="AG4709">
        <v>-1.0855511272130001</v>
      </c>
      <c r="AH4709">
        <v>10.196390944833</v>
      </c>
      <c r="AI4709">
        <v>95.215735584016699</v>
      </c>
      <c r="AJ4709">
        <v>59.027569248018999</v>
      </c>
      <c r="AK4709">
        <v>11.9414573450857</v>
      </c>
      <c r="AL4709">
        <v>87.140537701606505</v>
      </c>
      <c r="AM4709">
        <v>78.4689481348409</v>
      </c>
      <c r="AN4709">
        <v>1.0000000564423499</v>
      </c>
    </row>
    <row r="4710" spans="1:40" x14ac:dyDescent="0.3">
      <c r="A4710" t="str">
        <f>"20200111154014454"</f>
        <v>20200111154014454</v>
      </c>
      <c r="B4710" t="str">
        <f>"1578728414445938"</f>
        <v>1578728414445938</v>
      </c>
      <c r="C4710" t="s">
        <v>40</v>
      </c>
      <c r="D4710">
        <v>5.6394960000000003</v>
      </c>
      <c r="E4710">
        <v>0.61743990000000004</v>
      </c>
      <c r="F4710" t="s">
        <v>42</v>
      </c>
      <c r="G4710">
        <v>-168.68099999999899</v>
      </c>
      <c r="H4710" s="1">
        <v>-1.2581850000000001E-6</v>
      </c>
      <c r="I4710">
        <v>142.07499999999999</v>
      </c>
      <c r="J4710">
        <v>-176.37260000000001</v>
      </c>
      <c r="K4710">
        <v>1.0855939999999999</v>
      </c>
      <c r="L4710">
        <v>140.80359999999999</v>
      </c>
      <c r="M4710">
        <v>0.78203449999999997</v>
      </c>
      <c r="N4710">
        <v>0</v>
      </c>
      <c r="O4710">
        <v>0.62284619999999902</v>
      </c>
      <c r="P4710">
        <v>0.88807510000000001</v>
      </c>
      <c r="Q4710">
        <v>3.788006E-2</v>
      </c>
      <c r="R4710">
        <v>0.45813500000000001</v>
      </c>
      <c r="S4710">
        <v>3.1009980000000001</v>
      </c>
      <c r="T4710">
        <v>-0.41939599999999999</v>
      </c>
      <c r="U4710">
        <v>0.59727479999999999</v>
      </c>
      <c r="V4710">
        <v>0.19741220000000001</v>
      </c>
      <c r="W4710">
        <v>5.049638E-2</v>
      </c>
      <c r="X4710">
        <v>0.97901919999999998</v>
      </c>
      <c r="Y4710">
        <v>0.45527689999999998</v>
      </c>
      <c r="Z4710">
        <v>-0.1072251</v>
      </c>
      <c r="AA4710">
        <v>0.88386980000000004</v>
      </c>
      <c r="AB4710">
        <v>43</v>
      </c>
      <c r="AC4710">
        <v>7.6916000000000198</v>
      </c>
      <c r="AD4710">
        <v>-1.0855952581849999</v>
      </c>
      <c r="AE4710">
        <v>1.2714000000000001</v>
      </c>
      <c r="AF4710">
        <v>3.7250929899851499</v>
      </c>
      <c r="AG4710">
        <v>-1.0855952581849999</v>
      </c>
      <c r="AH4710">
        <v>6.6791199425148804</v>
      </c>
      <c r="AI4710">
        <v>98.079215259245998</v>
      </c>
      <c r="AJ4710">
        <v>60.850624912203301</v>
      </c>
      <c r="AK4710">
        <v>7.7243432118938298</v>
      </c>
      <c r="AL4710">
        <v>87.105539645297796</v>
      </c>
      <c r="AM4710">
        <v>78.599589357149299</v>
      </c>
      <c r="AN4710">
        <v>1.00000002753529</v>
      </c>
    </row>
    <row r="4711" spans="1:40" x14ac:dyDescent="0.3">
      <c r="A4711" t="str">
        <f>"20200111154014477"</f>
        <v>20200111154014477</v>
      </c>
      <c r="B4711" t="str">
        <f>"1578728414465455"</f>
        <v>1578728414465455</v>
      </c>
      <c r="C4711" t="s">
        <v>40</v>
      </c>
      <c r="D4711">
        <v>5.5128139999999997</v>
      </c>
      <c r="E4711">
        <v>0.6166353</v>
      </c>
      <c r="F4711" t="s">
        <v>42</v>
      </c>
      <c r="G4711">
        <v>-168.54069999999999</v>
      </c>
      <c r="H4711" s="1">
        <v>-1.3583490000000001E-6</v>
      </c>
      <c r="I4711">
        <v>142.2022</v>
      </c>
      <c r="J4711">
        <v>-176.0412</v>
      </c>
      <c r="K4711">
        <v>1.0856429999999999</v>
      </c>
      <c r="L4711">
        <v>141.0658</v>
      </c>
      <c r="M4711">
        <v>0.79139169999999903</v>
      </c>
      <c r="N4711">
        <v>0</v>
      </c>
      <c r="O4711">
        <v>0.61091280000000003</v>
      </c>
      <c r="P4711">
        <v>0.89414169999999904</v>
      </c>
      <c r="Q4711">
        <v>3.8279939999999998E-2</v>
      </c>
      <c r="R4711">
        <v>0.44614520000000002</v>
      </c>
      <c r="S4711">
        <v>3.1099700000000001</v>
      </c>
      <c r="T4711">
        <v>-0.43107889999999999</v>
      </c>
      <c r="U4711">
        <v>0.55537409999999998</v>
      </c>
      <c r="V4711">
        <v>0.19573769999999999</v>
      </c>
      <c r="W4711">
        <v>5.0999269999999999E-2</v>
      </c>
      <c r="X4711">
        <v>0.97932929999999996</v>
      </c>
      <c r="Y4711">
        <v>0.4534338</v>
      </c>
      <c r="Z4711">
        <v>-0.1087164</v>
      </c>
      <c r="AA4711">
        <v>0.8846347</v>
      </c>
      <c r="AB4711">
        <v>43</v>
      </c>
      <c r="AC4711">
        <v>7.5005000000000104</v>
      </c>
      <c r="AD4711">
        <v>-1.0856443583490001</v>
      </c>
      <c r="AE4711">
        <v>1.1364000000000001</v>
      </c>
      <c r="AF4711">
        <v>3.6097772114479598</v>
      </c>
      <c r="AG4711">
        <v>-1.0856443583490001</v>
      </c>
      <c r="AH4711">
        <v>6.4985886372906796</v>
      </c>
      <c r="AI4711">
        <v>98.308774700129007</v>
      </c>
      <c r="AJ4711">
        <v>60.9491002371132</v>
      </c>
      <c r="AK4711">
        <v>7.5127071995271901</v>
      </c>
      <c r="AL4711">
        <v>87.076688990569494</v>
      </c>
      <c r="AM4711">
        <v>78.697277338491205</v>
      </c>
      <c r="AN4711">
        <v>1.00000002529015</v>
      </c>
    </row>
    <row r="4712" spans="1:40" x14ac:dyDescent="0.3">
      <c r="A4712" t="str">
        <f>"20200111154014498"</f>
        <v>20200111154014498</v>
      </c>
      <c r="B4712" t="str">
        <f>"1578728414495710"</f>
        <v>1578728414495710</v>
      </c>
      <c r="C4712" t="s">
        <v>40</v>
      </c>
      <c r="D4712">
        <v>5.523911</v>
      </c>
      <c r="E4712">
        <v>0.61635039999999996</v>
      </c>
      <c r="F4712" t="s">
        <v>42</v>
      </c>
      <c r="G4712">
        <v>-168.31209999999999</v>
      </c>
      <c r="H4712" s="1">
        <v>-1.506572E-6</v>
      </c>
      <c r="I4712">
        <v>142.35319999999999</v>
      </c>
      <c r="J4712">
        <v>-175.7063</v>
      </c>
      <c r="K4712">
        <v>1.085693</v>
      </c>
      <c r="L4712">
        <v>141.32210000000001</v>
      </c>
      <c r="M4712">
        <v>0.80063189999999995</v>
      </c>
      <c r="N4712">
        <v>0</v>
      </c>
      <c r="O4712">
        <v>0.59875199999999995</v>
      </c>
      <c r="P4712">
        <v>0.90019259999999901</v>
      </c>
      <c r="Q4712">
        <v>3.8807439999999999E-2</v>
      </c>
      <c r="R4712">
        <v>0.43375979999999997</v>
      </c>
      <c r="S4712">
        <v>3.1149749999999998</v>
      </c>
      <c r="T4712">
        <v>-0.43753890000000001</v>
      </c>
      <c r="U4712">
        <v>0.51885990000000004</v>
      </c>
      <c r="V4712">
        <v>0.1943019</v>
      </c>
      <c r="W4712">
        <v>5.1618339999999999E-2</v>
      </c>
      <c r="X4712">
        <v>0.97958270000000003</v>
      </c>
      <c r="Y4712">
        <v>0.45002710000000001</v>
      </c>
      <c r="Z4712">
        <v>-0.10878549999999999</v>
      </c>
      <c r="AA4712">
        <v>0.88636409999999999</v>
      </c>
      <c r="AB4712">
        <v>42</v>
      </c>
      <c r="AC4712">
        <v>7.3942000000000103</v>
      </c>
      <c r="AD4712">
        <v>-1.0856945065719901</v>
      </c>
      <c r="AE4712">
        <v>1.0310999999999799</v>
      </c>
      <c r="AF4712">
        <v>3.5280229589346002</v>
      </c>
      <c r="AG4712">
        <v>-1.0856945065719901</v>
      </c>
      <c r="AH4712">
        <v>6.4035676646081798</v>
      </c>
      <c r="AI4712">
        <v>98.446630822147199</v>
      </c>
      <c r="AJ4712">
        <v>61.147588834128697</v>
      </c>
      <c r="AK4712">
        <v>7.3913028212613296</v>
      </c>
      <c r="AL4712">
        <v>87.041171958487993</v>
      </c>
      <c r="AM4712">
        <v>78.780904197896305</v>
      </c>
      <c r="AN4712">
        <v>0.99999997375362704</v>
      </c>
    </row>
    <row r="4713" spans="1:40" x14ac:dyDescent="0.3">
      <c r="A4713" t="str">
        <f>"20200111154014522"</f>
        <v>20200111154014522</v>
      </c>
      <c r="B4713" t="str">
        <f>"1578728414516210"</f>
        <v>1578728414516210</v>
      </c>
      <c r="C4713" t="s">
        <v>40</v>
      </c>
      <c r="D4713">
        <v>5.471063</v>
      </c>
      <c r="E4713">
        <v>0.61575709999999995</v>
      </c>
      <c r="F4713" t="s">
        <v>42</v>
      </c>
      <c r="G4713">
        <v>-167.88040000000001</v>
      </c>
      <c r="H4713" s="1">
        <v>-1.754759E-6</v>
      </c>
      <c r="I4713">
        <v>142.51900000000001</v>
      </c>
      <c r="J4713">
        <v>-175.35140000000001</v>
      </c>
      <c r="K4713">
        <v>1.085739</v>
      </c>
      <c r="L4713">
        <v>141.58449999999999</v>
      </c>
      <c r="M4713">
        <v>0.81018939999999995</v>
      </c>
      <c r="N4713">
        <v>0</v>
      </c>
      <c r="O4713">
        <v>0.58575440000000001</v>
      </c>
      <c r="P4713">
        <v>0.90606169999999997</v>
      </c>
      <c r="Q4713">
        <v>3.895713E-2</v>
      </c>
      <c r="R4713">
        <v>0.42134880000000002</v>
      </c>
      <c r="S4713">
        <v>3.1212770000000001</v>
      </c>
      <c r="T4713">
        <v>-0.43302109999999999</v>
      </c>
      <c r="U4713">
        <v>0.4773712</v>
      </c>
      <c r="V4713">
        <v>0.19195390000000001</v>
      </c>
      <c r="W4713">
        <v>5.1905489999999999E-2</v>
      </c>
      <c r="X4713">
        <v>0.98003039999999997</v>
      </c>
      <c r="Y4713">
        <v>0.4477525</v>
      </c>
      <c r="Z4713">
        <v>-0.1060794</v>
      </c>
      <c r="AA4713">
        <v>0.88784280000000004</v>
      </c>
      <c r="AB4713">
        <v>42</v>
      </c>
      <c r="AC4713">
        <v>7.4710000000000001</v>
      </c>
      <c r="AD4713">
        <v>-1.0857407547589999</v>
      </c>
      <c r="AE4713">
        <v>0.93450000000001399</v>
      </c>
      <c r="AF4713">
        <v>3.5461850957217198</v>
      </c>
      <c r="AG4713">
        <v>-1.0857407547589999</v>
      </c>
      <c r="AH4713">
        <v>6.4674252726505799</v>
      </c>
      <c r="AI4713">
        <v>98.373933414772694</v>
      </c>
      <c r="AJ4713">
        <v>61.263388718837099</v>
      </c>
      <c r="AK4713">
        <v>7.4553236936422103</v>
      </c>
      <c r="AL4713">
        <v>87.024697564249095</v>
      </c>
      <c r="AM4713">
        <v>78.9180395980284</v>
      </c>
      <c r="AN4713">
        <v>1.0000000322707501</v>
      </c>
    </row>
    <row r="4714" spans="1:40" x14ac:dyDescent="0.3">
      <c r="A4714" t="str">
        <f>"20200111154014543"</f>
        <v>20200111154014543</v>
      </c>
      <c r="B4714" t="str">
        <f>"1578728414535726"</f>
        <v>1578728414535726</v>
      </c>
      <c r="C4714" t="s">
        <v>40</v>
      </c>
      <c r="D4714">
        <v>5.4930159999999999</v>
      </c>
      <c r="E4714">
        <v>0.61538319999999902</v>
      </c>
      <c r="F4714" t="s">
        <v>42</v>
      </c>
      <c r="G4714">
        <v>-167.4342</v>
      </c>
      <c r="H4714" s="1">
        <v>-2.0121749999999999E-6</v>
      </c>
      <c r="I4714">
        <v>142.69370000000001</v>
      </c>
      <c r="J4714">
        <v>-175.00810000000001</v>
      </c>
      <c r="K4714">
        <v>1.08578</v>
      </c>
      <c r="L4714">
        <v>141.82980000000001</v>
      </c>
      <c r="M4714">
        <v>0.81921569999999899</v>
      </c>
      <c r="N4714">
        <v>0</v>
      </c>
      <c r="O4714">
        <v>0.57306219999999997</v>
      </c>
      <c r="P4714">
        <v>0.91159020000000002</v>
      </c>
      <c r="Q4714">
        <v>3.858727E-2</v>
      </c>
      <c r="R4714">
        <v>0.40928530000000002</v>
      </c>
      <c r="S4714">
        <v>3.1258089999999998</v>
      </c>
      <c r="T4714">
        <v>-0.42866219999999999</v>
      </c>
      <c r="U4714">
        <v>0.43792720000000002</v>
      </c>
      <c r="V4714">
        <v>0.18968309999999999</v>
      </c>
      <c r="W4714">
        <v>5.1668819999999997E-2</v>
      </c>
      <c r="X4714">
        <v>0.98048489999999999</v>
      </c>
      <c r="Y4714">
        <v>0.4453203</v>
      </c>
      <c r="Z4714">
        <v>-0.10348300000000001</v>
      </c>
      <c r="AA4714">
        <v>0.88937119999999903</v>
      </c>
      <c r="AB4714">
        <v>42</v>
      </c>
      <c r="AC4714">
        <v>7.5739000000000001</v>
      </c>
      <c r="AD4714">
        <v>-1.0857820121749999</v>
      </c>
      <c r="AE4714">
        <v>0.863900000000001</v>
      </c>
      <c r="AF4714">
        <v>3.5612281770454302</v>
      </c>
      <c r="AG4714">
        <v>-1.0857820121749999</v>
      </c>
      <c r="AH4714">
        <v>6.5681011754530996</v>
      </c>
      <c r="AI4714">
        <v>98.268594982177603</v>
      </c>
      <c r="AJ4714">
        <v>61.533425719404903</v>
      </c>
      <c r="AK4714">
        <v>7.5499153477329397</v>
      </c>
      <c r="AL4714">
        <v>87.038275857624001</v>
      </c>
      <c r="AM4714">
        <v>79.050903769744494</v>
      </c>
      <c r="AN4714">
        <v>0.99999999225690595</v>
      </c>
    </row>
    <row r="4715" spans="1:40" x14ac:dyDescent="0.3">
      <c r="A4715" t="str">
        <f>"20200111154014565"</f>
        <v>20200111154014565</v>
      </c>
      <c r="B4715" t="str">
        <f>"1578728414555247"</f>
        <v>1578728414555247</v>
      </c>
      <c r="C4715" t="s">
        <v>40</v>
      </c>
      <c r="D4715">
        <v>5.5183499999999999</v>
      </c>
      <c r="E4715">
        <v>0.61482320000000001</v>
      </c>
      <c r="F4715" t="s">
        <v>42</v>
      </c>
      <c r="G4715">
        <v>-167.00880000000001</v>
      </c>
      <c r="H4715" s="1">
        <v>-2.2541160000000002E-6</v>
      </c>
      <c r="I4715">
        <v>142.84729999999999</v>
      </c>
      <c r="J4715">
        <v>-174.67259999999999</v>
      </c>
      <c r="K4715">
        <v>1.085826</v>
      </c>
      <c r="L4715">
        <v>142.0615</v>
      </c>
      <c r="M4715">
        <v>0.82783090000000004</v>
      </c>
      <c r="N4715">
        <v>0</v>
      </c>
      <c r="O4715">
        <v>0.56054479999999995</v>
      </c>
      <c r="P4715">
        <v>0.91694209999999998</v>
      </c>
      <c r="Q4715">
        <v>3.8789980000000002E-2</v>
      </c>
      <c r="R4715">
        <v>0.39713029999999999</v>
      </c>
      <c r="S4715">
        <v>3.1301730000000001</v>
      </c>
      <c r="T4715">
        <v>-0.42487320000000001</v>
      </c>
      <c r="U4715">
        <v>0.39816279999999998</v>
      </c>
      <c r="V4715">
        <v>0.1878158</v>
      </c>
      <c r="W4715">
        <v>5.1984540000000003E-2</v>
      </c>
      <c r="X4715">
        <v>0.98082760000000002</v>
      </c>
      <c r="Y4715">
        <v>0.44328640000000002</v>
      </c>
      <c r="Z4715">
        <v>-0.101074</v>
      </c>
      <c r="AA4715">
        <v>0.89066329999999905</v>
      </c>
      <c r="AB4715">
        <v>42</v>
      </c>
      <c r="AC4715">
        <v>7.6637999999999797</v>
      </c>
      <c r="AD4715">
        <v>-1.085828254116</v>
      </c>
      <c r="AE4715">
        <v>0.78579999999999395</v>
      </c>
      <c r="AF4715">
        <v>3.57525599658682</v>
      </c>
      <c r="AG4715">
        <v>-1.085828254116</v>
      </c>
      <c r="AH4715">
        <v>6.6542662344314802</v>
      </c>
      <c r="AI4715">
        <v>98.179874557425904</v>
      </c>
      <c r="AJ4715">
        <v>61.751404613417897</v>
      </c>
      <c r="AK4715">
        <v>7.63156193431342</v>
      </c>
      <c r="AL4715">
        <v>87.020162036333701</v>
      </c>
      <c r="AM4715">
        <v>79.159821392079806</v>
      </c>
      <c r="AN4715">
        <v>0.99999997402520502</v>
      </c>
    </row>
    <row r="4716" spans="1:40" x14ac:dyDescent="0.3">
      <c r="A4716" t="str">
        <f>"20200111154014587"</f>
        <v>20200111154014587</v>
      </c>
      <c r="B4716" t="str">
        <f>"1578728414575743"</f>
        <v>1578728414575743</v>
      </c>
      <c r="C4716" t="s">
        <v>40</v>
      </c>
      <c r="D4716">
        <v>5.509951</v>
      </c>
      <c r="E4716">
        <v>0.61395250000000001</v>
      </c>
      <c r="F4716" t="s">
        <v>42</v>
      </c>
      <c r="G4716">
        <v>-166.5977</v>
      </c>
      <c r="H4716" s="1">
        <v>-2.4863269999999999E-6</v>
      </c>
      <c r="I4716">
        <v>142.9897</v>
      </c>
      <c r="J4716">
        <v>-174.31979999999999</v>
      </c>
      <c r="K4716">
        <v>1.0858669999999999</v>
      </c>
      <c r="L4716">
        <v>142.29679999999999</v>
      </c>
      <c r="M4716">
        <v>0.83667279999999999</v>
      </c>
      <c r="N4716">
        <v>0</v>
      </c>
      <c r="O4716">
        <v>0.5472593</v>
      </c>
      <c r="P4716">
        <v>0.92248799999999997</v>
      </c>
      <c r="Q4716">
        <v>3.8804959999999999E-2</v>
      </c>
      <c r="R4716">
        <v>0.38407049999999998</v>
      </c>
      <c r="S4716">
        <v>3.133591</v>
      </c>
      <c r="T4716">
        <v>-0.4213732</v>
      </c>
      <c r="U4716">
        <v>0.36019899999999999</v>
      </c>
      <c r="V4716">
        <v>0.1860829</v>
      </c>
      <c r="W4716">
        <v>5.2106449999999999E-2</v>
      </c>
      <c r="X4716">
        <v>0.98115140000000001</v>
      </c>
      <c r="Y4716">
        <v>0.44003809999999899</v>
      </c>
      <c r="Z4716">
        <v>-9.8586869999999993E-2</v>
      </c>
      <c r="AA4716">
        <v>0.89255090000000004</v>
      </c>
      <c r="AB4716">
        <v>42</v>
      </c>
      <c r="AC4716">
        <v>7.7220999999999798</v>
      </c>
      <c r="AD4716">
        <v>-1.085869486327</v>
      </c>
      <c r="AE4716">
        <v>0.69290000000000795</v>
      </c>
      <c r="AF4716">
        <v>3.57698193939355</v>
      </c>
      <c r="AG4716">
        <v>-1.085869486327</v>
      </c>
      <c r="AH4716">
        <v>6.7101065327984202</v>
      </c>
      <c r="AI4716">
        <v>98.127062533037602</v>
      </c>
      <c r="AJ4716">
        <v>61.939091751686298</v>
      </c>
      <c r="AK4716">
        <v>7.6811094262214397</v>
      </c>
      <c r="AL4716">
        <v>87.013167702204001</v>
      </c>
      <c r="AM4716">
        <v>79.260964114959293</v>
      </c>
      <c r="AN4716">
        <v>0.99999999876298595</v>
      </c>
    </row>
    <row r="4717" spans="1:40" x14ac:dyDescent="0.3">
      <c r="A4717" t="str">
        <f>"20200111154014610"</f>
        <v>20200111154014610</v>
      </c>
      <c r="B4717" t="str">
        <f>"1578728414606080"</f>
        <v>1578728414606080</v>
      </c>
      <c r="C4717" t="s">
        <v>40</v>
      </c>
      <c r="D4717">
        <v>5.5273000000000003</v>
      </c>
      <c r="E4717">
        <v>0.61346369999999995</v>
      </c>
      <c r="F4717" t="s">
        <v>42</v>
      </c>
      <c r="G4717">
        <v>-166.19900000000001</v>
      </c>
      <c r="H4717" s="1">
        <v>-2.7116270000000001E-6</v>
      </c>
      <c r="I4717">
        <v>143.12819999999999</v>
      </c>
      <c r="J4717">
        <v>-173.96279999999999</v>
      </c>
      <c r="K4717">
        <v>1.0859019999999999</v>
      </c>
      <c r="L4717">
        <v>142.5265</v>
      </c>
      <c r="M4717">
        <v>0.84539629999999999</v>
      </c>
      <c r="N4717">
        <v>0</v>
      </c>
      <c r="O4717">
        <v>0.5336843</v>
      </c>
      <c r="P4717">
        <v>0.92779840000000002</v>
      </c>
      <c r="Q4717">
        <v>3.8410689999999997E-2</v>
      </c>
      <c r="R4717">
        <v>0.37109930000000002</v>
      </c>
      <c r="S4717">
        <v>3.136063</v>
      </c>
      <c r="T4717">
        <v>-0.4193403</v>
      </c>
      <c r="U4717">
        <v>0.32104490000000002</v>
      </c>
      <c r="V4717">
        <v>0.1839905</v>
      </c>
      <c r="W4717">
        <v>5.183596E-2</v>
      </c>
      <c r="X4717">
        <v>0.98156019999999999</v>
      </c>
      <c r="Y4717">
        <v>0.4368805</v>
      </c>
      <c r="Z4717">
        <v>-9.6438049999999997E-2</v>
      </c>
      <c r="AA4717">
        <v>0.89433499999999999</v>
      </c>
      <c r="AB4717">
        <v>42</v>
      </c>
      <c r="AC4717">
        <v>7.7637999999999696</v>
      </c>
      <c r="AD4717">
        <v>-1.085904711627</v>
      </c>
      <c r="AE4717">
        <v>0.60169999999999302</v>
      </c>
      <c r="AF4717">
        <v>3.5662766627212399</v>
      </c>
      <c r="AG4717">
        <v>-1.085904711627</v>
      </c>
      <c r="AH4717">
        <v>6.7549224157952104</v>
      </c>
      <c r="AI4717">
        <v>98.091025722754594</v>
      </c>
      <c r="AJ4717">
        <v>62.168084376246</v>
      </c>
      <c r="AK4717">
        <v>7.7153415427456196</v>
      </c>
      <c r="AL4717">
        <v>87.028686460788805</v>
      </c>
      <c r="AM4717">
        <v>79.383279131029298</v>
      </c>
      <c r="AN4717">
        <v>0.99999994853170404</v>
      </c>
    </row>
    <row r="4718" spans="1:40" x14ac:dyDescent="0.3">
      <c r="A4718" t="str">
        <f>"20200111154014633"</f>
        <v>20200111154014633</v>
      </c>
      <c r="B4718" t="str">
        <f>"1578728414625597"</f>
        <v>1578728414625597</v>
      </c>
      <c r="C4718" t="s">
        <v>40</v>
      </c>
      <c r="D4718">
        <v>5.5805669999999896</v>
      </c>
      <c r="E4718">
        <v>0.61323219999999901</v>
      </c>
      <c r="F4718" t="s">
        <v>42</v>
      </c>
      <c r="G4718">
        <v>-165.8374</v>
      </c>
      <c r="H4718" s="1">
        <v>-2.914989E-6</v>
      </c>
      <c r="I4718">
        <v>143.25</v>
      </c>
      <c r="J4718">
        <v>-173.59229999999999</v>
      </c>
      <c r="K4718">
        <v>1.0859379999999901</v>
      </c>
      <c r="L4718">
        <v>142.75630000000001</v>
      </c>
      <c r="M4718">
        <v>0.85421100000000005</v>
      </c>
      <c r="N4718">
        <v>0</v>
      </c>
      <c r="O4718">
        <v>0.51945850000000005</v>
      </c>
      <c r="P4718">
        <v>0.93342559999999997</v>
      </c>
      <c r="Q4718">
        <v>3.8577399999999998E-2</v>
      </c>
      <c r="R4718">
        <v>0.35669109999999998</v>
      </c>
      <c r="S4718">
        <v>3.1390229999999999</v>
      </c>
      <c r="T4718">
        <v>-0.41951169999999999</v>
      </c>
      <c r="U4718">
        <v>0.2794952</v>
      </c>
      <c r="V4718">
        <v>0.18275720000000001</v>
      </c>
      <c r="W4718">
        <v>5.2085010000000001E-2</v>
      </c>
      <c r="X4718">
        <v>0.98177740000000002</v>
      </c>
      <c r="Y4718">
        <v>0.43380649999999998</v>
      </c>
      <c r="Z4718">
        <v>-9.4692620000000005E-2</v>
      </c>
      <c r="AA4718">
        <v>0.89601629999999999</v>
      </c>
      <c r="AB4718">
        <v>41</v>
      </c>
      <c r="AC4718">
        <v>7.7548999999999904</v>
      </c>
      <c r="AD4718">
        <v>-1.08594091498899</v>
      </c>
      <c r="AE4718">
        <v>0.49369999999998898</v>
      </c>
      <c r="AF4718">
        <v>3.5383971889325498</v>
      </c>
      <c r="AG4718">
        <v>-1.08594091498899</v>
      </c>
      <c r="AH4718">
        <v>6.7506118893360103</v>
      </c>
      <c r="AI4718">
        <v>98.108884286425294</v>
      </c>
      <c r="AJ4718">
        <v>62.3382931106662</v>
      </c>
      <c r="AK4718">
        <v>7.6987195830175299</v>
      </c>
      <c r="AL4718">
        <v>87.014397656668095</v>
      </c>
      <c r="AM4718">
        <v>79.455122699444402</v>
      </c>
      <c r="AN4718">
        <v>0.99999995278464804</v>
      </c>
    </row>
    <row r="4719" spans="1:40" x14ac:dyDescent="0.3">
      <c r="A4719" t="str">
        <f>"20200111154014655"</f>
        <v>20200111154014655</v>
      </c>
      <c r="B4719" t="str">
        <f>"1578728414646094"</f>
        <v>1578728414646094</v>
      </c>
      <c r="C4719" t="s">
        <v>40</v>
      </c>
      <c r="D4719">
        <v>5.5822219999999998</v>
      </c>
      <c r="E4719">
        <v>0.61258369999999995</v>
      </c>
      <c r="F4719" t="s">
        <v>42</v>
      </c>
      <c r="G4719">
        <v>-165.42410000000001</v>
      </c>
      <c r="H4719" s="1">
        <v>-3.1397120000000001E-6</v>
      </c>
      <c r="I4719">
        <v>143.3603</v>
      </c>
      <c r="J4719">
        <v>-173.2483</v>
      </c>
      <c r="K4719">
        <v>1.085977</v>
      </c>
      <c r="L4719">
        <v>142.9615</v>
      </c>
      <c r="M4719">
        <v>0.86218119999999998</v>
      </c>
      <c r="N4719">
        <v>0</v>
      </c>
      <c r="O4719">
        <v>0.50611909999999904</v>
      </c>
      <c r="P4719">
        <v>0.93848849999999995</v>
      </c>
      <c r="Q4719">
        <v>3.860247E-2</v>
      </c>
      <c r="R4719">
        <v>0.34314620000000001</v>
      </c>
      <c r="S4719">
        <v>3.1424409999999998</v>
      </c>
      <c r="T4719">
        <v>-0.41777839999999999</v>
      </c>
      <c r="U4719">
        <v>0.2323914</v>
      </c>
      <c r="V4719">
        <v>0.18170310000000001</v>
      </c>
      <c r="W4719">
        <v>5.2180730000000002E-2</v>
      </c>
      <c r="X4719">
        <v>0.98196799999999995</v>
      </c>
      <c r="Y4719">
        <v>0.4334421</v>
      </c>
      <c r="Z4719">
        <v>-9.2777570000000004E-2</v>
      </c>
      <c r="AA4719">
        <v>0.89639290000000005</v>
      </c>
      <c r="AB4719">
        <v>41</v>
      </c>
      <c r="AC4719">
        <v>7.8241999999999896</v>
      </c>
      <c r="AD4719">
        <v>-1.0859801397119999</v>
      </c>
      <c r="AE4719">
        <v>0.39879999999999399</v>
      </c>
      <c r="AF4719">
        <v>3.5488298700227898</v>
      </c>
      <c r="AG4719">
        <v>-1.0859801397119999</v>
      </c>
      <c r="AH4719">
        <v>6.8183964649983304</v>
      </c>
      <c r="AI4719">
        <v>98.041592149526593</v>
      </c>
      <c r="AJ4719">
        <v>62.503984662534599</v>
      </c>
      <c r="AK4719">
        <v>7.7629940528198702</v>
      </c>
      <c r="AL4719">
        <v>87.008905974974994</v>
      </c>
      <c r="AM4719">
        <v>79.5165804787746</v>
      </c>
      <c r="AN4719">
        <v>0.99999999907847104</v>
      </c>
    </row>
    <row r="4720" spans="1:40" x14ac:dyDescent="0.3">
      <c r="A4720" t="str">
        <f>"20200111154014677"</f>
        <v>20200111154014677</v>
      </c>
      <c r="B4720" t="str">
        <f>"1578728414665614"</f>
        <v>1578728414665614</v>
      </c>
      <c r="C4720" t="s">
        <v>40</v>
      </c>
      <c r="D4720">
        <v>5.6153309999999896</v>
      </c>
      <c r="E4720">
        <v>0.61183859999999901</v>
      </c>
      <c r="F4720" t="s">
        <v>42</v>
      </c>
      <c r="G4720">
        <v>-165.09180000000001</v>
      </c>
      <c r="H4720" s="1">
        <v>-3.3230100000000001E-6</v>
      </c>
      <c r="I4720">
        <v>143.4588</v>
      </c>
      <c r="J4720">
        <v>-172.88810000000001</v>
      </c>
      <c r="K4720">
        <v>1.0860099999999999</v>
      </c>
      <c r="L4720">
        <v>143.1679</v>
      </c>
      <c r="M4720">
        <v>0.87030490000000005</v>
      </c>
      <c r="N4720">
        <v>0</v>
      </c>
      <c r="O4720">
        <v>0.49201820000000002</v>
      </c>
      <c r="P4720">
        <v>0.94364170000000003</v>
      </c>
      <c r="Q4720">
        <v>3.8433460000000003E-2</v>
      </c>
      <c r="R4720">
        <v>0.32873029999999998</v>
      </c>
      <c r="S4720">
        <v>3.1437529999999998</v>
      </c>
      <c r="T4720">
        <v>-0.41856860000000001</v>
      </c>
      <c r="U4720">
        <v>0.19169620000000001</v>
      </c>
      <c r="V4720">
        <v>0.18075469999999999</v>
      </c>
      <c r="W4720">
        <v>5.2076440000000002E-2</v>
      </c>
      <c r="X4720">
        <v>0.98214860000000004</v>
      </c>
      <c r="Y4720">
        <v>0.43049150000000003</v>
      </c>
      <c r="Z4720">
        <v>-9.1178629999999997E-2</v>
      </c>
      <c r="AA4720">
        <v>0.89797739999999904</v>
      </c>
      <c r="AB4720">
        <v>41</v>
      </c>
      <c r="AC4720">
        <v>7.7962999999999996</v>
      </c>
      <c r="AD4720">
        <v>-1.08601332301</v>
      </c>
      <c r="AE4720">
        <v>0.290899999999993</v>
      </c>
      <c r="AF4720">
        <v>3.5155030717691198</v>
      </c>
      <c r="AG4720">
        <v>-1.08601332301</v>
      </c>
      <c r="AH4720">
        <v>6.7982451324266604</v>
      </c>
      <c r="AI4720">
        <v>98.076296387946201</v>
      </c>
      <c r="AJ4720">
        <v>62.655647375663399</v>
      </c>
      <c r="AK4720">
        <v>7.7300920865107496</v>
      </c>
      <c r="AL4720">
        <v>87.014889623818107</v>
      </c>
      <c r="AM4720">
        <v>79.571970666755703</v>
      </c>
      <c r="AN4720">
        <v>1.00000004482856</v>
      </c>
    </row>
    <row r="4721" spans="1:40" x14ac:dyDescent="0.3">
      <c r="A4721" t="str">
        <f>"20200111154014699"</f>
        <v>20200111154014699</v>
      </c>
      <c r="B4721" t="str">
        <f>"1578728414695870"</f>
        <v>1578728414695870</v>
      </c>
      <c r="C4721" t="s">
        <v>40</v>
      </c>
      <c r="D4721">
        <v>5.6465249999999996</v>
      </c>
      <c r="E4721">
        <v>0.61076839999999999</v>
      </c>
      <c r="F4721" t="s">
        <v>42</v>
      </c>
      <c r="G4721">
        <v>-164.774</v>
      </c>
      <c r="H4721" s="1">
        <v>-3.497854E-6</v>
      </c>
      <c r="I4721">
        <v>143.5513</v>
      </c>
      <c r="J4721">
        <v>-172.52770000000001</v>
      </c>
      <c r="K4721">
        <v>1.086042</v>
      </c>
      <c r="L4721">
        <v>143.36660000000001</v>
      </c>
      <c r="M4721">
        <v>0.87820520000000002</v>
      </c>
      <c r="N4721">
        <v>0</v>
      </c>
      <c r="O4721">
        <v>0.47777370000000002</v>
      </c>
      <c r="P4721">
        <v>0.94860659999999997</v>
      </c>
      <c r="Q4721">
        <v>3.820192E-2</v>
      </c>
      <c r="R4721">
        <v>0.31414379999999997</v>
      </c>
      <c r="S4721">
        <v>3.1445470000000002</v>
      </c>
      <c r="T4721">
        <v>-0.42087360000000001</v>
      </c>
      <c r="U4721">
        <v>0.1486053</v>
      </c>
      <c r="V4721">
        <v>0.17988660000000001</v>
      </c>
      <c r="W4721">
        <v>5.1905010000000001E-2</v>
      </c>
      <c r="X4721">
        <v>0.982317</v>
      </c>
      <c r="Y4721">
        <v>0.42815130000000001</v>
      </c>
      <c r="Z4721">
        <v>-8.9907529999999999E-2</v>
      </c>
      <c r="AA4721">
        <v>0.89922359999999901</v>
      </c>
      <c r="AB4721">
        <v>41</v>
      </c>
      <c r="AC4721">
        <v>7.7537000000000003</v>
      </c>
      <c r="AD4721">
        <v>-1.086045497854</v>
      </c>
      <c r="AE4721">
        <v>0.18469999999999201</v>
      </c>
      <c r="AF4721">
        <v>3.4750356852824398</v>
      </c>
      <c r="AG4721">
        <v>-1.086045497854</v>
      </c>
      <c r="AH4721">
        <v>6.7665890208117903</v>
      </c>
      <c r="AI4721">
        <v>98.1254323709814</v>
      </c>
      <c r="AJ4721">
        <v>62.816873542658399</v>
      </c>
      <c r="AK4721">
        <v>7.6838853982842599</v>
      </c>
      <c r="AL4721">
        <v>87.024725018279696</v>
      </c>
      <c r="AM4721">
        <v>79.622702397361195</v>
      </c>
      <c r="AN4721">
        <v>1.0000000037058301</v>
      </c>
    </row>
    <row r="4722" spans="1:40" x14ac:dyDescent="0.3">
      <c r="A4722" t="str">
        <f>"20200111154014723"</f>
        <v>20200111154014723</v>
      </c>
      <c r="B4722" t="str">
        <f>"1578728414715390"</f>
        <v>1578728414715390</v>
      </c>
      <c r="C4722" t="s">
        <v>40</v>
      </c>
      <c r="D4722">
        <v>5.6589689999999999</v>
      </c>
      <c r="E4722">
        <v>0.61049319999999996</v>
      </c>
      <c r="F4722" t="s">
        <v>42</v>
      </c>
      <c r="G4722">
        <v>-164.51159999999999</v>
      </c>
      <c r="H4722" s="1">
        <v>-3.6457320000000001E-6</v>
      </c>
      <c r="I4722">
        <v>143.64089999999999</v>
      </c>
      <c r="J4722">
        <v>-172.15190000000001</v>
      </c>
      <c r="K4722">
        <v>1.086076</v>
      </c>
      <c r="L4722">
        <v>143.56549999999999</v>
      </c>
      <c r="M4722">
        <v>0.88620169999999998</v>
      </c>
      <c r="N4722">
        <v>0</v>
      </c>
      <c r="O4722">
        <v>0.46277210000000002</v>
      </c>
      <c r="P4722">
        <v>0.95364890000000002</v>
      </c>
      <c r="Q4722">
        <v>3.8941339999999998E-2</v>
      </c>
      <c r="R4722">
        <v>0.29839139999999997</v>
      </c>
      <c r="S4722">
        <v>3.1440429999999999</v>
      </c>
      <c r="T4722">
        <v>-0.42596139999999999</v>
      </c>
      <c r="U4722">
        <v>0.1075897</v>
      </c>
      <c r="V4722">
        <v>0.1794692</v>
      </c>
      <c r="W4722">
        <v>5.2681659999999998E-2</v>
      </c>
      <c r="X4722">
        <v>0.982352</v>
      </c>
      <c r="Y4722">
        <v>0.42448839999999999</v>
      </c>
      <c r="Z4722">
        <v>-8.9016929999999994E-2</v>
      </c>
      <c r="AA4722">
        <v>0.90104689999999998</v>
      </c>
      <c r="AB4722">
        <v>41</v>
      </c>
      <c r="AC4722">
        <v>7.6403000000000203</v>
      </c>
      <c r="AD4722">
        <v>-1.0860796457320001</v>
      </c>
      <c r="AE4722">
        <v>7.5400000000001896E-2</v>
      </c>
      <c r="AF4722">
        <v>3.4010277260711002</v>
      </c>
      <c r="AG4722">
        <v>-1.0860796457320001</v>
      </c>
      <c r="AH4722">
        <v>6.6725829144346598</v>
      </c>
      <c r="AI4722">
        <v>98.251316352047695</v>
      </c>
      <c r="AJ4722">
        <v>62.991977580231897</v>
      </c>
      <c r="AK4722">
        <v>7.5676892999371397</v>
      </c>
      <c r="AL4722">
        <v>86.980165275339104</v>
      </c>
      <c r="AM4722">
        <v>79.646620909809698</v>
      </c>
      <c r="AN4722">
        <v>1.00000000147649</v>
      </c>
    </row>
    <row r="4723" spans="1:40" x14ac:dyDescent="0.3">
      <c r="A4723" t="str">
        <f>"20200111154014744"</f>
        <v>20200111154014744</v>
      </c>
      <c r="B4723" t="str">
        <f>"1578728414735886"</f>
        <v>1578728414735886</v>
      </c>
      <c r="C4723" t="s">
        <v>40</v>
      </c>
      <c r="D4723">
        <v>5.6509390000000002</v>
      </c>
      <c r="E4723">
        <v>0.59822959999999903</v>
      </c>
      <c r="F4723" t="s">
        <v>42</v>
      </c>
      <c r="G4723">
        <v>-164.1086</v>
      </c>
      <c r="H4723" s="1">
        <v>-3.8552550000000004E-6</v>
      </c>
      <c r="I4723">
        <v>143.71250000000001</v>
      </c>
      <c r="J4723">
        <v>-171.80080000000001</v>
      </c>
      <c r="K4723">
        <v>1.0860989999999999</v>
      </c>
      <c r="L4723">
        <v>143.744</v>
      </c>
      <c r="M4723">
        <v>0.89344599999999996</v>
      </c>
      <c r="N4723">
        <v>0</v>
      </c>
      <c r="O4723">
        <v>0.44862649999999998</v>
      </c>
      <c r="P4723">
        <v>0.95812719999999996</v>
      </c>
      <c r="Q4723">
        <v>3.9722420000000001E-2</v>
      </c>
      <c r="R4723">
        <v>0.28357500000000002</v>
      </c>
      <c r="S4723">
        <v>3.1451720000000001</v>
      </c>
      <c r="T4723">
        <v>-0.42469380000000001</v>
      </c>
      <c r="U4723">
        <v>5.7464599999999998E-2</v>
      </c>
      <c r="V4723">
        <v>0.17909849999999999</v>
      </c>
      <c r="W4723">
        <v>5.3495429999999997E-2</v>
      </c>
      <c r="X4723">
        <v>0.98237569999999996</v>
      </c>
      <c r="Y4723">
        <v>0.42465809999999998</v>
      </c>
      <c r="Z4723">
        <v>-8.7091550000000004E-2</v>
      </c>
      <c r="AA4723">
        <v>0.90115509999999999</v>
      </c>
      <c r="AB4723">
        <v>41</v>
      </c>
      <c r="AC4723">
        <v>7.6922000000000104</v>
      </c>
      <c r="AD4723">
        <v>-1.0861028552549901</v>
      </c>
      <c r="AE4723">
        <v>-3.1499999999993998E-2</v>
      </c>
      <c r="AF4723">
        <v>3.4118994828525602</v>
      </c>
      <c r="AG4723">
        <v>-1.0861028552549901</v>
      </c>
      <c r="AH4723">
        <v>6.7260208499089797</v>
      </c>
      <c r="AI4723">
        <v>98.1947674834841</v>
      </c>
      <c r="AJ4723">
        <v>63.1027482698996</v>
      </c>
      <c r="AK4723">
        <v>7.6197135094892499</v>
      </c>
      <c r="AL4723">
        <v>86.933473915489103</v>
      </c>
      <c r="AM4723">
        <v>79.667788986212202</v>
      </c>
      <c r="AN4723">
        <v>1.0000000248418099</v>
      </c>
    </row>
    <row r="4724" spans="1:40" x14ac:dyDescent="0.3">
      <c r="A4724" t="str">
        <f>"20200111154014767"</f>
        <v>20200111154014767</v>
      </c>
      <c r="B4724" t="str">
        <f>"1578728414755406"</f>
        <v>1578728414755406</v>
      </c>
      <c r="C4724" t="s">
        <v>40</v>
      </c>
      <c r="D4724">
        <v>5.7383170000000003</v>
      </c>
      <c r="E4724">
        <v>0.59646339999999998</v>
      </c>
      <c r="F4724" t="s">
        <v>42</v>
      </c>
      <c r="G4724">
        <v>-164.62389999999999</v>
      </c>
      <c r="H4724" s="1">
        <v>-3.6828990000000001E-6</v>
      </c>
      <c r="I4724">
        <v>143.98009999999999</v>
      </c>
      <c r="J4724">
        <v>-171.4333</v>
      </c>
      <c r="K4724">
        <v>1.086125</v>
      </c>
      <c r="L4724">
        <v>143.92320000000001</v>
      </c>
      <c r="M4724">
        <v>0.90079240000000005</v>
      </c>
      <c r="N4724">
        <v>0</v>
      </c>
      <c r="O4724">
        <v>0.43368640000000003</v>
      </c>
      <c r="P4724">
        <v>0.96225099999999997</v>
      </c>
      <c r="Q4724">
        <v>4.0702219999999997E-2</v>
      </c>
      <c r="R4724">
        <v>0.26910299999999998</v>
      </c>
      <c r="S4724">
        <v>3.1203159999999999</v>
      </c>
      <c r="T4724">
        <v>-0.47220970000000001</v>
      </c>
      <c r="U4724">
        <v>0.1026764</v>
      </c>
      <c r="V4724">
        <v>0.177569899999999</v>
      </c>
      <c r="W4724">
        <v>5.4563420000000001E-2</v>
      </c>
      <c r="X4724">
        <v>0.98259439999999998</v>
      </c>
      <c r="Y4724">
        <v>0.3947929</v>
      </c>
      <c r="Z4724">
        <v>-9.31313E-2</v>
      </c>
      <c r="AA4724">
        <v>0.91403780000000001</v>
      </c>
      <c r="AB4724">
        <v>40</v>
      </c>
      <c r="AC4724">
        <v>6.8094000000000099</v>
      </c>
      <c r="AD4724">
        <v>-1.086128682899</v>
      </c>
      <c r="AE4724">
        <v>5.6899999999984602E-2</v>
      </c>
      <c r="AF4724">
        <v>2.8305893187835598</v>
      </c>
      <c r="AG4724">
        <v>-1.086128682899</v>
      </c>
      <c r="AH4724">
        <v>6.00721663566146</v>
      </c>
      <c r="AI4724">
        <v>99.2888448220138</v>
      </c>
      <c r="AJ4724">
        <v>64.770273638233803</v>
      </c>
      <c r="AK4724">
        <v>6.7289347682374903</v>
      </c>
      <c r="AL4724">
        <v>86.872192992575705</v>
      </c>
      <c r="AM4724">
        <v>79.756330474033803</v>
      </c>
      <c r="AN4724">
        <v>0.99999999554973296</v>
      </c>
    </row>
    <row r="4725" spans="1:40" x14ac:dyDescent="0.3">
      <c r="A4725" t="str">
        <f>"20200111154014790"</f>
        <v>20200111154014790</v>
      </c>
      <c r="B4725" t="str">
        <f>"1578728414785662"</f>
        <v>1578728414785662</v>
      </c>
      <c r="C4725" t="s">
        <v>40</v>
      </c>
      <c r="D4725">
        <v>5.7471220000000001</v>
      </c>
      <c r="E4725">
        <v>0.59385339999999998</v>
      </c>
      <c r="F4725" t="s">
        <v>42</v>
      </c>
      <c r="G4725">
        <v>-164.34549999999999</v>
      </c>
      <c r="H4725" s="1">
        <v>-3.8341219999999996E-6</v>
      </c>
      <c r="I4725">
        <v>144.0788</v>
      </c>
      <c r="J4725">
        <v>-171.0531</v>
      </c>
      <c r="K4725">
        <v>1.0861479999999999</v>
      </c>
      <c r="L4725">
        <v>144.10059999999999</v>
      </c>
      <c r="M4725">
        <v>0.90813960000000005</v>
      </c>
      <c r="N4725">
        <v>0</v>
      </c>
      <c r="O4725">
        <v>0.41808240000000002</v>
      </c>
      <c r="P4725">
        <v>0.96626999999999996</v>
      </c>
      <c r="Q4725">
        <v>4.1587939999999997E-2</v>
      </c>
      <c r="R4725">
        <v>0.25415159999999998</v>
      </c>
      <c r="S4725">
        <v>3.118744</v>
      </c>
      <c r="T4725">
        <v>-0.47791210000000001</v>
      </c>
      <c r="U4725">
        <v>6.8496699999999994E-2</v>
      </c>
      <c r="V4725">
        <v>0.17587639999999999</v>
      </c>
      <c r="W4725">
        <v>5.5545169999999998E-2</v>
      </c>
      <c r="X4725">
        <v>0.98284389999999999</v>
      </c>
      <c r="Y4725">
        <v>0.3889783</v>
      </c>
      <c r="Z4725">
        <v>-9.1719270000000006E-2</v>
      </c>
      <c r="AA4725">
        <v>0.91666979999999998</v>
      </c>
      <c r="AB4725">
        <v>40</v>
      </c>
      <c r="AC4725">
        <v>6.70760000000001</v>
      </c>
      <c r="AD4725">
        <v>-1.08615183412199</v>
      </c>
      <c r="AE4725">
        <v>-2.17999999999847E-2</v>
      </c>
      <c r="AF4725">
        <v>2.7526426448459702</v>
      </c>
      <c r="AG4725">
        <v>-1.08615183412199</v>
      </c>
      <c r="AH4725">
        <v>5.9283672180857803</v>
      </c>
      <c r="AI4725">
        <v>99.434828179203294</v>
      </c>
      <c r="AJ4725">
        <v>65.093748891240907</v>
      </c>
      <c r="AK4725">
        <v>6.6258814666024097</v>
      </c>
      <c r="AL4725">
        <v>86.815857281823995</v>
      </c>
      <c r="AM4725">
        <v>79.854508069358999</v>
      </c>
      <c r="AN4725">
        <v>0.99999995287724797</v>
      </c>
    </row>
    <row r="4726" spans="1:40" x14ac:dyDescent="0.3">
      <c r="A4726" t="str">
        <f>"20200111154014814"</f>
        <v>20200111154014814</v>
      </c>
      <c r="B4726" t="str">
        <f>"1578728414805690"</f>
        <v>1578728414805690</v>
      </c>
      <c r="C4726" t="s">
        <v>40</v>
      </c>
      <c r="D4726">
        <v>5.7958249999999998</v>
      </c>
      <c r="E4726">
        <v>0.59239119999999901</v>
      </c>
      <c r="F4726" t="s">
        <v>42</v>
      </c>
      <c r="G4726">
        <v>-164.0437</v>
      </c>
      <c r="H4726" s="1">
        <v>-3.9699349999999998E-6</v>
      </c>
      <c r="I4726">
        <v>144.19110000000001</v>
      </c>
      <c r="J4726">
        <v>-170.64279999999999</v>
      </c>
      <c r="K4726">
        <v>1.086174</v>
      </c>
      <c r="L4726">
        <v>144.2833</v>
      </c>
      <c r="M4726">
        <v>0.91577569999999997</v>
      </c>
      <c r="N4726">
        <v>0</v>
      </c>
      <c r="O4726">
        <v>0.40107959999999998</v>
      </c>
      <c r="P4726">
        <v>0.9704507</v>
      </c>
      <c r="Q4726">
        <v>4.1604750000000003E-2</v>
      </c>
      <c r="R4726">
        <v>0.23768629999999999</v>
      </c>
      <c r="S4726">
        <v>3.11496</v>
      </c>
      <c r="T4726">
        <v>-0.48268090000000002</v>
      </c>
      <c r="U4726">
        <v>4.0206909999999998E-2</v>
      </c>
      <c r="V4726">
        <v>0.17426349999999999</v>
      </c>
      <c r="W4726">
        <v>5.565324E-2</v>
      </c>
      <c r="X4726">
        <v>0.98312509999999997</v>
      </c>
      <c r="Y4726">
        <v>0.38022109999999998</v>
      </c>
      <c r="Z4726">
        <v>-8.9674480000000001E-2</v>
      </c>
      <c r="AA4726">
        <v>0.92053810000000003</v>
      </c>
      <c r="AB4726">
        <v>40</v>
      </c>
      <c r="AC4726">
        <v>6.5990999999999902</v>
      </c>
      <c r="AD4726">
        <v>-1.086177969935</v>
      </c>
      <c r="AE4726">
        <v>-9.2199999999991095E-2</v>
      </c>
      <c r="AF4726">
        <v>2.6598238543014299</v>
      </c>
      <c r="AG4726">
        <v>-1.086177969935</v>
      </c>
      <c r="AH4726">
        <v>5.8493514387393004</v>
      </c>
      <c r="AI4726">
        <v>99.594389211418203</v>
      </c>
      <c r="AJ4726">
        <v>65.547702562597905</v>
      </c>
      <c r="AK4726">
        <v>6.5168518298458</v>
      </c>
      <c r="AL4726">
        <v>86.809655904822904</v>
      </c>
      <c r="AM4726">
        <v>79.948459116167797</v>
      </c>
      <c r="AN4726">
        <v>1.00000000640237</v>
      </c>
    </row>
    <row r="4727" spans="1:40" x14ac:dyDescent="0.3">
      <c r="A4727" t="str">
        <f>"20200111154014836"</f>
        <v>20200111154014836</v>
      </c>
      <c r="B4727" t="str">
        <f>"1578728414826186"</f>
        <v>1578728414826186</v>
      </c>
      <c r="C4727" t="s">
        <v>40</v>
      </c>
      <c r="D4727">
        <v>5.6067010000000002</v>
      </c>
      <c r="E4727">
        <v>0.6043231</v>
      </c>
      <c r="F4727" t="s">
        <v>42</v>
      </c>
      <c r="G4727">
        <v>-163.6696</v>
      </c>
      <c r="H4727" s="1">
        <v>-4.1293880000000003E-6</v>
      </c>
      <c r="I4727">
        <v>144.2801</v>
      </c>
      <c r="J4727">
        <v>-170.28550000000001</v>
      </c>
      <c r="K4727">
        <v>1.086192</v>
      </c>
      <c r="L4727">
        <v>144.4341</v>
      </c>
      <c r="M4727">
        <v>0.92217499999999997</v>
      </c>
      <c r="N4727">
        <v>0</v>
      </c>
      <c r="O4727">
        <v>0.38613829999999999</v>
      </c>
      <c r="P4727">
        <v>0.97372510000000001</v>
      </c>
      <c r="Q4727">
        <v>4.1517199999999997E-2</v>
      </c>
      <c r="R4727">
        <v>0.22391050000000001</v>
      </c>
      <c r="S4727">
        <v>3.112457</v>
      </c>
      <c r="T4727">
        <v>-0.48481289999999999</v>
      </c>
      <c r="U4727">
        <v>-1.419067E-3</v>
      </c>
      <c r="V4727">
        <v>0.17220849999999999</v>
      </c>
      <c r="W4727">
        <v>5.567561E-2</v>
      </c>
      <c r="X4727">
        <v>0.98348590000000002</v>
      </c>
      <c r="Y4727">
        <v>0.37763099999999999</v>
      </c>
      <c r="Z4727">
        <v>-8.7823199999999907E-2</v>
      </c>
      <c r="AA4727">
        <v>0.92178190000000004</v>
      </c>
      <c r="AB4727">
        <v>40</v>
      </c>
      <c r="AC4727">
        <v>6.6159000000000097</v>
      </c>
      <c r="AD4727">
        <v>-1.086196129388</v>
      </c>
      <c r="AE4727">
        <v>-0.153999999999996</v>
      </c>
      <c r="AF4727">
        <v>2.6265682146222802</v>
      </c>
      <c r="AG4727">
        <v>-1.086196129388</v>
      </c>
      <c r="AH4727">
        <v>5.8845038193799297</v>
      </c>
      <c r="AI4727">
        <v>99.567673325509801</v>
      </c>
      <c r="AJ4727">
        <v>65.946242509697996</v>
      </c>
      <c r="AK4727">
        <v>6.5349879738113197</v>
      </c>
      <c r="AL4727">
        <v>86.808372277748404</v>
      </c>
      <c r="AM4727">
        <v>80.068188542732898</v>
      </c>
      <c r="AN4727">
        <v>1.0000000282599599</v>
      </c>
    </row>
    <row r="4728" spans="1:40" x14ac:dyDescent="0.3">
      <c r="A4728" t="str">
        <f>"20200111154014859"</f>
        <v>20200111154014859</v>
      </c>
      <c r="B4728" t="str">
        <f>"1578728414855466"</f>
        <v>1578728414855466</v>
      </c>
      <c r="C4728" t="s">
        <v>40</v>
      </c>
      <c r="D4728">
        <v>5.6251910000000001</v>
      </c>
      <c r="E4728">
        <v>0.60542220000000002</v>
      </c>
      <c r="F4728" t="s">
        <v>42</v>
      </c>
      <c r="G4728">
        <v>-156.4479</v>
      </c>
      <c r="H4728" s="1">
        <v>-2.6241099999999999E-6</v>
      </c>
      <c r="I4728">
        <v>143.81790000000001</v>
      </c>
      <c r="J4728">
        <v>-169.9049</v>
      </c>
      <c r="K4728">
        <v>1.0862050000000001</v>
      </c>
      <c r="L4728">
        <v>144.58709999999999</v>
      </c>
      <c r="M4728">
        <v>0.92873490000000003</v>
      </c>
      <c r="N4728">
        <v>0</v>
      </c>
      <c r="O4728">
        <v>0.37008180000000002</v>
      </c>
      <c r="P4728">
        <v>0.97678949999999998</v>
      </c>
      <c r="Q4728">
        <v>4.2084799999999999E-2</v>
      </c>
      <c r="R4728">
        <v>0.2100263</v>
      </c>
      <c r="S4728">
        <v>3.1233979999999999</v>
      </c>
      <c r="T4728">
        <v>-0.2451738</v>
      </c>
      <c r="U4728">
        <v>-0.13908389999999901</v>
      </c>
      <c r="V4728">
        <v>0.16916229999999999</v>
      </c>
      <c r="W4728">
        <v>5.6400220000000001E-2</v>
      </c>
      <c r="X4728">
        <v>0.98397310000000004</v>
      </c>
      <c r="Y4728">
        <v>0.40877229999999998</v>
      </c>
      <c r="Z4728">
        <v>-4.4534070000000002E-2</v>
      </c>
      <c r="AA4728">
        <v>0.91154919999999995</v>
      </c>
      <c r="AB4728">
        <v>40</v>
      </c>
      <c r="AC4728">
        <v>13.456999999999899</v>
      </c>
      <c r="AD4728">
        <v>-1.0862076241099901</v>
      </c>
      <c r="AE4728">
        <v>-0.76919999999998301</v>
      </c>
      <c r="AF4728">
        <v>5.6592210447460101</v>
      </c>
      <c r="AG4728">
        <v>-1.0862076241099901</v>
      </c>
      <c r="AH4728">
        <v>12.137496824782099</v>
      </c>
      <c r="AI4728">
        <v>94.637035838081601</v>
      </c>
      <c r="AJ4728">
        <v>65.002274840256206</v>
      </c>
      <c r="AK4728">
        <v>13.435976295289001</v>
      </c>
      <c r="AL4728">
        <v>86.766789637678301</v>
      </c>
      <c r="AM4728">
        <v>80.245203960098493</v>
      </c>
      <c r="AN4728">
        <v>0.99999996504047295</v>
      </c>
    </row>
    <row r="4729" spans="1:40" x14ac:dyDescent="0.3">
      <c r="A4729" t="str">
        <f>"20200111154014880"</f>
        <v>20200111154014880</v>
      </c>
      <c r="B4729" t="str">
        <f>"1578728414875962"</f>
        <v>1578728414875962</v>
      </c>
      <c r="C4729" t="s">
        <v>40</v>
      </c>
      <c r="D4729">
        <v>5.6284190000000001</v>
      </c>
      <c r="E4729">
        <v>0.60282250000000004</v>
      </c>
      <c r="F4729" t="s">
        <v>42</v>
      </c>
      <c r="G4729">
        <v>-155.3801</v>
      </c>
      <c r="H4729" s="1">
        <v>-3.0486150000000001E-6</v>
      </c>
      <c r="I4729">
        <v>143.6917</v>
      </c>
      <c r="J4729">
        <v>-169.55359999999999</v>
      </c>
      <c r="K4729">
        <v>1.0862149999999999</v>
      </c>
      <c r="L4729">
        <v>144.72149999999999</v>
      </c>
      <c r="M4729">
        <v>0.93455069999999996</v>
      </c>
      <c r="N4729">
        <v>0</v>
      </c>
      <c r="O4729">
        <v>0.35513909999999999</v>
      </c>
      <c r="P4729">
        <v>0.97936619999999996</v>
      </c>
      <c r="Q4729">
        <v>4.2901590000000003E-2</v>
      </c>
      <c r="R4729">
        <v>0.197488</v>
      </c>
      <c r="S4729">
        <v>3.1227260000000001</v>
      </c>
      <c r="T4729">
        <v>-0.2335267</v>
      </c>
      <c r="U4729">
        <v>-0.19248960000000001</v>
      </c>
      <c r="V4729">
        <v>0.1660172</v>
      </c>
      <c r="W4729">
        <v>5.7381389999999997E-2</v>
      </c>
      <c r="X4729">
        <v>0.98445190000000005</v>
      </c>
      <c r="Y4729">
        <v>0.4099585</v>
      </c>
      <c r="Z4729">
        <v>-4.1421319999999998E-2</v>
      </c>
      <c r="AA4729">
        <v>0.91116319999999995</v>
      </c>
      <c r="AB4729">
        <v>39</v>
      </c>
      <c r="AC4729">
        <v>14.173499999999899</v>
      </c>
      <c r="AD4729">
        <v>-1.0862180486149999</v>
      </c>
      <c r="AE4729">
        <v>-1.0297999999999901</v>
      </c>
      <c r="AF4729">
        <v>5.9626014661362401</v>
      </c>
      <c r="AG4729">
        <v>-1.0862180486149999</v>
      </c>
      <c r="AH4729">
        <v>12.808464182882901</v>
      </c>
      <c r="AI4729">
        <v>94.396384606633305</v>
      </c>
      <c r="AJ4729">
        <v>65.037061072942606</v>
      </c>
      <c r="AK4729">
        <v>14.170012018954001</v>
      </c>
      <c r="AL4729">
        <v>86.710481451500996</v>
      </c>
      <c r="AM4729">
        <v>80.427748707261898</v>
      </c>
      <c r="AN4729">
        <v>0.99999993901388895</v>
      </c>
    </row>
    <row r="4730" spans="1:40" x14ac:dyDescent="0.3">
      <c r="A4730" t="str">
        <f>"20200111154014901"</f>
        <v>20200111154014901</v>
      </c>
      <c r="B4730" t="str">
        <f>"1578728414895991"</f>
        <v>1578728414895991</v>
      </c>
      <c r="C4730" t="s">
        <v>40</v>
      </c>
      <c r="D4730">
        <v>5.6676039999999999</v>
      </c>
      <c r="E4730">
        <v>0.60126829999999998</v>
      </c>
      <c r="F4730" t="s">
        <v>42</v>
      </c>
      <c r="G4730">
        <v>-155.5478</v>
      </c>
      <c r="H4730" s="1">
        <v>-2.9970810000000002E-6</v>
      </c>
      <c r="I4730">
        <v>143.76840000000001</v>
      </c>
      <c r="J4730">
        <v>-169.2012</v>
      </c>
      <c r="K4730">
        <v>1.08623</v>
      </c>
      <c r="L4730">
        <v>144.84979999999999</v>
      </c>
      <c r="M4730">
        <v>0.94015159999999998</v>
      </c>
      <c r="N4730">
        <v>0</v>
      </c>
      <c r="O4730">
        <v>0.3400339</v>
      </c>
      <c r="P4730">
        <v>0.98186130000000005</v>
      </c>
      <c r="Q4730">
        <v>4.3931419999999999E-2</v>
      </c>
      <c r="R4730">
        <v>0.1844412</v>
      </c>
      <c r="S4730">
        <v>3.1165919999999998</v>
      </c>
      <c r="T4730">
        <v>-0.2417067</v>
      </c>
      <c r="U4730">
        <v>-0.21208189999999999</v>
      </c>
      <c r="V4730">
        <v>0.16328090000000001</v>
      </c>
      <c r="W4730">
        <v>5.8559569999999998E-2</v>
      </c>
      <c r="X4730">
        <v>0.98484020000000005</v>
      </c>
      <c r="Y4730">
        <v>0.40098070000000002</v>
      </c>
      <c r="Z4730">
        <v>-4.1487299999999998E-2</v>
      </c>
      <c r="AA4730">
        <v>0.91514660000000003</v>
      </c>
      <c r="AB4730">
        <v>39</v>
      </c>
      <c r="AC4730">
        <v>13.6534</v>
      </c>
      <c r="AD4730">
        <v>-1.0862329970810001</v>
      </c>
      <c r="AE4730">
        <v>-1.0813999999999699</v>
      </c>
      <c r="AF4730">
        <v>5.6253082447855602</v>
      </c>
      <c r="AG4730">
        <v>-1.0862329970810001</v>
      </c>
      <c r="AH4730">
        <v>12.393665309142801</v>
      </c>
      <c r="AI4730">
        <v>94.563000032480602</v>
      </c>
      <c r="AJ4730">
        <v>65.587378326065505</v>
      </c>
      <c r="AK4730">
        <v>13.653824913475701</v>
      </c>
      <c r="AL4730">
        <v>86.642863352531506</v>
      </c>
      <c r="AM4730">
        <v>80.586316221956196</v>
      </c>
      <c r="AN4730">
        <v>1.0000000475397099</v>
      </c>
    </row>
    <row r="4731" spans="1:40" x14ac:dyDescent="0.3">
      <c r="A4731" t="str">
        <f>"20200111154014924"</f>
        <v>20200111154014924</v>
      </c>
      <c r="B4731" t="str">
        <f>"1578728414915508"</f>
        <v>1578728414915508</v>
      </c>
      <c r="C4731" t="s">
        <v>40</v>
      </c>
      <c r="D4731">
        <v>5.6742860000000004</v>
      </c>
      <c r="E4731">
        <v>0.60035519999999998</v>
      </c>
      <c r="F4731" t="s">
        <v>42</v>
      </c>
      <c r="G4731">
        <v>-155.68340000000001</v>
      </c>
      <c r="H4731" s="1">
        <v>-2.9479920000000002E-6</v>
      </c>
      <c r="I4731">
        <v>143.80250000000001</v>
      </c>
      <c r="J4731">
        <v>-168.81360000000001</v>
      </c>
      <c r="K4731">
        <v>1.0862510000000001</v>
      </c>
      <c r="L4731">
        <v>144.98320000000001</v>
      </c>
      <c r="M4731">
        <v>0.9460402</v>
      </c>
      <c r="N4731">
        <v>0</v>
      </c>
      <c r="O4731">
        <v>0.32328780000000001</v>
      </c>
      <c r="P4731">
        <v>0.98438020000000004</v>
      </c>
      <c r="Q4731">
        <v>4.4094649999999999E-2</v>
      </c>
      <c r="R4731">
        <v>0.17044509999999999</v>
      </c>
      <c r="S4731">
        <v>3.111923</v>
      </c>
      <c r="T4731">
        <v>-0.2500619</v>
      </c>
      <c r="U4731">
        <v>-0.2410736</v>
      </c>
      <c r="V4731">
        <v>0.1598185</v>
      </c>
      <c r="W4731">
        <v>5.8911350000000001E-2</v>
      </c>
      <c r="X4731">
        <v>0.98538700000000001</v>
      </c>
      <c r="Y4731">
        <v>0.39320630000000001</v>
      </c>
      <c r="Z4731">
        <v>-4.1376679999999999E-2</v>
      </c>
      <c r="AA4731">
        <v>0.91851879999999997</v>
      </c>
      <c r="AB4731">
        <v>39</v>
      </c>
      <c r="AC4731">
        <v>13.1302</v>
      </c>
      <c r="AD4731">
        <v>-1.0862539479919999</v>
      </c>
      <c r="AE4731">
        <v>-1.1807000000000001</v>
      </c>
      <c r="AF4731">
        <v>5.3269789032114803</v>
      </c>
      <c r="AG4731">
        <v>-1.0862539479919999</v>
      </c>
      <c r="AH4731">
        <v>11.9617482922487</v>
      </c>
      <c r="AI4731">
        <v>94.742192200683505</v>
      </c>
      <c r="AJ4731">
        <v>65.994941616227706</v>
      </c>
      <c r="AK4731">
        <v>13.139256983631199</v>
      </c>
      <c r="AL4731">
        <v>86.622672893734403</v>
      </c>
      <c r="AM4731">
        <v>80.787499653827695</v>
      </c>
      <c r="AN4731">
        <v>1.0000000199350301</v>
      </c>
    </row>
    <row r="4732" spans="1:40" x14ac:dyDescent="0.3">
      <c r="A4732" t="str">
        <f>"20200111154014946"</f>
        <v>20200111154014946</v>
      </c>
      <c r="B4732" t="str">
        <f>"1578728414936004"</f>
        <v>1578728414936004</v>
      </c>
      <c r="C4732" t="s">
        <v>40</v>
      </c>
      <c r="D4732">
        <v>5.6814499999999999</v>
      </c>
      <c r="E4732">
        <v>0.59880599999999995</v>
      </c>
      <c r="F4732" t="s">
        <v>42</v>
      </c>
      <c r="G4732">
        <v>-155.38130000000001</v>
      </c>
      <c r="H4732" s="1">
        <v>-3.0713449999999999E-6</v>
      </c>
      <c r="I4732">
        <v>143.779</v>
      </c>
      <c r="J4732">
        <v>-168.44390000000001</v>
      </c>
      <c r="K4732">
        <v>1.0862799999999999</v>
      </c>
      <c r="L4732">
        <v>145.10329999999999</v>
      </c>
      <c r="M4732">
        <v>0.95139249999999997</v>
      </c>
      <c r="N4732">
        <v>0</v>
      </c>
      <c r="O4732">
        <v>0.30717840000000002</v>
      </c>
      <c r="P4732">
        <v>0.98612259999999996</v>
      </c>
      <c r="Q4732">
        <v>4.5304919999999999E-2</v>
      </c>
      <c r="R4732">
        <v>0.1597181</v>
      </c>
      <c r="S4732">
        <v>3.1070859999999998</v>
      </c>
      <c r="T4732">
        <v>-0.2512663</v>
      </c>
      <c r="U4732">
        <v>-0.2785339</v>
      </c>
      <c r="V4732">
        <v>0.1538495</v>
      </c>
      <c r="W4732">
        <v>6.0430699999999997E-2</v>
      </c>
      <c r="X4732">
        <v>0.98624460000000003</v>
      </c>
      <c r="Y4732">
        <v>0.38874959999999997</v>
      </c>
      <c r="Z4732">
        <v>-4.0197549999999999E-2</v>
      </c>
      <c r="AA4732">
        <v>0.92046609999999995</v>
      </c>
      <c r="AB4732">
        <v>39</v>
      </c>
      <c r="AC4732">
        <v>13.0626</v>
      </c>
      <c r="AD4732">
        <v>-1.086283071345</v>
      </c>
      <c r="AE4732">
        <v>-1.32429999999999</v>
      </c>
      <c r="AF4732">
        <v>5.2379251396409003</v>
      </c>
      <c r="AG4732">
        <v>-1.086283071345</v>
      </c>
      <c r="AH4732">
        <v>11.9420861069102</v>
      </c>
      <c r="AI4732">
        <v>94.7618608060138</v>
      </c>
      <c r="AJ4732">
        <v>66.317235983952997</v>
      </c>
      <c r="AK4732">
        <v>13.085461064266299</v>
      </c>
      <c r="AL4732">
        <v>86.535464991331594</v>
      </c>
      <c r="AM4732">
        <v>81.133588110383002</v>
      </c>
      <c r="AN4732">
        <v>0.99999997459094903</v>
      </c>
    </row>
    <row r="4733" spans="1:40" x14ac:dyDescent="0.3">
      <c r="A4733" t="str">
        <f>"20200111154014979"</f>
        <v>20200111154014979</v>
      </c>
      <c r="B4733" t="str">
        <f>"1578728414976021"</f>
        <v>1578728414976021</v>
      </c>
      <c r="C4733" t="s">
        <v>40</v>
      </c>
      <c r="D4733">
        <v>5.6928260000000002</v>
      </c>
      <c r="E4733">
        <v>0.5958772</v>
      </c>
      <c r="F4733" t="s">
        <v>42</v>
      </c>
      <c r="G4733">
        <v>-155.03720000000001</v>
      </c>
      <c r="H4733" s="1">
        <v>-3.225005E-6</v>
      </c>
      <c r="I4733">
        <v>143.80170000000001</v>
      </c>
      <c r="J4733">
        <v>-167.8869</v>
      </c>
      <c r="K4733">
        <v>1.0863119999999999</v>
      </c>
      <c r="L4733">
        <v>145.27109999999999</v>
      </c>
      <c r="M4733">
        <v>0.95896150000000002</v>
      </c>
      <c r="N4733">
        <v>0</v>
      </c>
      <c r="O4733">
        <v>0.2826613</v>
      </c>
      <c r="P4733">
        <v>0.98875139999999995</v>
      </c>
      <c r="Q4733">
        <v>4.783424E-2</v>
      </c>
      <c r="R4733">
        <v>0.1417127</v>
      </c>
      <c r="S4733">
        <v>3.1025700000000001</v>
      </c>
      <c r="T4733">
        <v>-0.25138660000000002</v>
      </c>
      <c r="U4733">
        <v>-0.30120849999999999</v>
      </c>
      <c r="V4733">
        <v>0.146594</v>
      </c>
      <c r="W4733">
        <v>6.3341930000000005E-2</v>
      </c>
      <c r="X4733">
        <v>0.98716660000000001</v>
      </c>
      <c r="Y4733">
        <v>0.37197380000000002</v>
      </c>
      <c r="Z4733">
        <v>-3.7667930000000002E-2</v>
      </c>
      <c r="AA4733">
        <v>0.92747860000000004</v>
      </c>
      <c r="AB4733">
        <v>39</v>
      </c>
      <c r="AC4733">
        <v>12.849699999999901</v>
      </c>
      <c r="AD4733">
        <v>-1.0863152250049899</v>
      </c>
      <c r="AE4733">
        <v>-1.4693999999999701</v>
      </c>
      <c r="AF4733">
        <v>5.0071359419877997</v>
      </c>
      <c r="AG4733">
        <v>-1.0863152250049899</v>
      </c>
      <c r="AH4733">
        <v>11.826542069746401</v>
      </c>
      <c r="AI4733">
        <v>94.834871330460302</v>
      </c>
      <c r="AJ4733">
        <v>67.053112664330698</v>
      </c>
      <c r="AK4733">
        <v>12.888700028982999</v>
      </c>
      <c r="AL4733">
        <v>86.368343302508805</v>
      </c>
      <c r="AM4733">
        <v>81.553318952606205</v>
      </c>
      <c r="AN4733">
        <v>0.999999948543841</v>
      </c>
    </row>
    <row r="4734" spans="1:40" x14ac:dyDescent="0.3">
      <c r="A4734" t="str">
        <f>"20200111154015002"</f>
        <v>20200111154015002</v>
      </c>
      <c r="B4734" t="str">
        <f>"1578728414995940"</f>
        <v>1578728414995940</v>
      </c>
      <c r="C4734" t="s">
        <v>40</v>
      </c>
      <c r="D4734">
        <v>5.6941410000000001</v>
      </c>
      <c r="E4734">
        <v>0.594599199999999</v>
      </c>
      <c r="F4734" t="s">
        <v>42</v>
      </c>
      <c r="G4734">
        <v>-154.64570000000001</v>
      </c>
      <c r="H4734" s="1">
        <v>-3.4009980000000001E-6</v>
      </c>
      <c r="I4734">
        <v>143.83189999999999</v>
      </c>
      <c r="J4734">
        <v>-167.50989999999999</v>
      </c>
      <c r="K4734">
        <v>1.086336</v>
      </c>
      <c r="L4734">
        <v>145.37530000000001</v>
      </c>
      <c r="M4734">
        <v>0.96374289999999996</v>
      </c>
      <c r="N4734">
        <v>0</v>
      </c>
      <c r="O4734">
        <v>0.26590069999999999</v>
      </c>
      <c r="P4734">
        <v>0.99051369999999905</v>
      </c>
      <c r="Q4734">
        <v>4.8578839999999998E-2</v>
      </c>
      <c r="R4734">
        <v>0.12854019999999999</v>
      </c>
      <c r="S4734">
        <v>3.0946349999999998</v>
      </c>
      <c r="T4734">
        <v>-0.25388470000000002</v>
      </c>
      <c r="U4734">
        <v>-0.33634950000000002</v>
      </c>
      <c r="V4734">
        <v>0.1425457</v>
      </c>
      <c r="W4734">
        <v>6.4306970000000005E-2</v>
      </c>
      <c r="X4734">
        <v>0.98769700000000005</v>
      </c>
      <c r="Y4734">
        <v>0.36647020000000002</v>
      </c>
      <c r="Z4734">
        <v>-3.6562539999999998E-2</v>
      </c>
      <c r="AA4734">
        <v>0.92971110000000001</v>
      </c>
      <c r="AB4734">
        <v>39</v>
      </c>
      <c r="AC4734">
        <v>12.864199999999901</v>
      </c>
      <c r="AD4734">
        <v>-1.0863394009980001</v>
      </c>
      <c r="AE4734">
        <v>-1.5434000000000101</v>
      </c>
      <c r="AF4734">
        <v>4.87498787570979</v>
      </c>
      <c r="AG4734">
        <v>-1.0863394009980001</v>
      </c>
      <c r="AH4734">
        <v>11.906662410740999</v>
      </c>
      <c r="AI4734">
        <v>94.826313367727806</v>
      </c>
      <c r="AJ4734">
        <v>67.734157602182293</v>
      </c>
      <c r="AK4734">
        <v>12.9117872444457</v>
      </c>
      <c r="AL4734">
        <v>86.312937853478303</v>
      </c>
      <c r="AM4734">
        <v>81.787703181477596</v>
      </c>
      <c r="AN4734">
        <v>1.0000000133940301</v>
      </c>
    </row>
    <row r="4735" spans="1:40" x14ac:dyDescent="0.3">
      <c r="A4735" t="str">
        <f>"20200111154015024"</f>
        <v>20200111154015024</v>
      </c>
      <c r="B4735" t="str">
        <f>"1578728415015460"</f>
        <v>1578728415015460</v>
      </c>
      <c r="C4735" t="s">
        <v>40</v>
      </c>
      <c r="D4735">
        <v>5.736078</v>
      </c>
      <c r="E4735">
        <v>0.59399619999999997</v>
      </c>
      <c r="F4735" t="s">
        <v>42</v>
      </c>
      <c r="G4735">
        <v>-154.369</v>
      </c>
      <c r="H4735" s="1">
        <v>-3.5132029999999898E-6</v>
      </c>
      <c r="I4735">
        <v>143.8075</v>
      </c>
      <c r="J4735">
        <v>-167.1378</v>
      </c>
      <c r="K4735">
        <v>1.086354</v>
      </c>
      <c r="L4735">
        <v>145.47110000000001</v>
      </c>
      <c r="M4735">
        <v>0.96818850000000001</v>
      </c>
      <c r="N4735">
        <v>0</v>
      </c>
      <c r="O4735">
        <v>0.2492251</v>
      </c>
      <c r="P4735">
        <v>0.99200949999999999</v>
      </c>
      <c r="Q4735">
        <v>4.9677109999999997E-2</v>
      </c>
      <c r="R4735">
        <v>0.1159719</v>
      </c>
      <c r="S4735">
        <v>3.0890659999999999</v>
      </c>
      <c r="T4735">
        <v>-0.2553684</v>
      </c>
      <c r="U4735">
        <v>-0.36853029999999998</v>
      </c>
      <c r="V4735">
        <v>0.13805209999999901</v>
      </c>
      <c r="W4735">
        <v>6.5650249999999993E-2</v>
      </c>
      <c r="X4735">
        <v>0.98824670000000003</v>
      </c>
      <c r="Y4735">
        <v>0.36020150000000001</v>
      </c>
      <c r="Z4735">
        <v>-3.5223539999999998E-2</v>
      </c>
      <c r="AA4735">
        <v>0.93220930000000002</v>
      </c>
      <c r="AB4735">
        <v>38</v>
      </c>
      <c r="AC4735">
        <v>12.768800000000001</v>
      </c>
      <c r="AD4735">
        <v>-1.0863575132029999</v>
      </c>
      <c r="AE4735">
        <v>-1.6636</v>
      </c>
      <c r="AF4735">
        <v>4.7602954385406004</v>
      </c>
      <c r="AG4735">
        <v>-1.0863575132029999</v>
      </c>
      <c r="AH4735">
        <v>11.866508479408299</v>
      </c>
      <c r="AI4735">
        <v>94.856558601712706</v>
      </c>
      <c r="AJ4735">
        <v>68.141621702106406</v>
      </c>
      <c r="AK4735">
        <v>12.831781201398</v>
      </c>
      <c r="AL4735">
        <v>86.235810296534893</v>
      </c>
      <c r="AM4735">
        <v>82.047587767349299</v>
      </c>
      <c r="AN4735">
        <v>0.99999993885017902</v>
      </c>
    </row>
    <row r="4736" spans="1:40" x14ac:dyDescent="0.3">
      <c r="A4736" t="str">
        <f>"20200111154015046"</f>
        <v>20200111154015046</v>
      </c>
      <c r="B4736" t="str">
        <f>"1578728415035956"</f>
        <v>1578728415035956</v>
      </c>
      <c r="C4736" t="s">
        <v>40</v>
      </c>
      <c r="D4736">
        <v>5.6143530000000004</v>
      </c>
      <c r="E4736">
        <v>0.56285249999999998</v>
      </c>
      <c r="F4736" t="s">
        <v>42</v>
      </c>
      <c r="G4736">
        <v>-153.9288</v>
      </c>
      <c r="H4736" s="1">
        <v>-3.6708469999999999E-6</v>
      </c>
      <c r="I4736">
        <v>143.74170000000001</v>
      </c>
      <c r="J4736">
        <v>-166.75319999999999</v>
      </c>
      <c r="K4736">
        <v>1.086368</v>
      </c>
      <c r="L4736">
        <v>145.56280000000001</v>
      </c>
      <c r="M4736">
        <v>0.97249359999999996</v>
      </c>
      <c r="N4736">
        <v>0</v>
      </c>
      <c r="O4736">
        <v>0.23185510000000001</v>
      </c>
      <c r="P4736">
        <v>0.99337540000000002</v>
      </c>
      <c r="Q4736">
        <v>5.0294970000000001E-2</v>
      </c>
      <c r="R4736">
        <v>0.1033231</v>
      </c>
      <c r="S4736">
        <v>3.0840909999999999</v>
      </c>
      <c r="T4736">
        <v>-0.25364690000000001</v>
      </c>
      <c r="U4736">
        <v>-0.40377809999999997</v>
      </c>
      <c r="V4736">
        <v>0.13297239999999999</v>
      </c>
      <c r="W4736">
        <v>6.6544259999999994E-2</v>
      </c>
      <c r="X4736">
        <v>0.98888330000000002</v>
      </c>
      <c r="Y4736">
        <v>0.35427619999999999</v>
      </c>
      <c r="Z4736">
        <v>-3.3383999999999997E-2</v>
      </c>
      <c r="AA4736">
        <v>0.93454470000000001</v>
      </c>
      <c r="AB4736">
        <v>38</v>
      </c>
      <c r="AC4736">
        <v>12.824399999999899</v>
      </c>
      <c r="AD4736">
        <v>-1.0863716708469999</v>
      </c>
      <c r="AE4736">
        <v>-1.8210999999999999</v>
      </c>
      <c r="AF4736">
        <v>4.7124476627576</v>
      </c>
      <c r="AG4736">
        <v>-1.0863716708469999</v>
      </c>
      <c r="AH4736">
        <v>11.9682389875915</v>
      </c>
      <c r="AI4736">
        <v>94.827736441958194</v>
      </c>
      <c r="AJ4736">
        <v>68.508152442157794</v>
      </c>
      <c r="AK4736">
        <v>12.908373671595999</v>
      </c>
      <c r="AL4736">
        <v>86.184475224106706</v>
      </c>
      <c r="AM4736">
        <v>82.341533342814003</v>
      </c>
      <c r="AN4736">
        <v>0.99999998935979795</v>
      </c>
    </row>
    <row r="4737" spans="1:40" x14ac:dyDescent="0.3">
      <c r="A4737" t="str">
        <f>"20200111154015070"</f>
        <v>20200111154015070</v>
      </c>
      <c r="B4737" t="str">
        <f>"1578728415066212"</f>
        <v>1578728415066212</v>
      </c>
      <c r="C4737" t="s">
        <v>40</v>
      </c>
      <c r="D4737">
        <v>5.6672399999999996</v>
      </c>
      <c r="E4737">
        <v>0.55246260000000003</v>
      </c>
      <c r="F4737" t="s">
        <v>42</v>
      </c>
      <c r="G4737">
        <v>-157.078</v>
      </c>
      <c r="H4737" s="1">
        <v>-2.650996E-6</v>
      </c>
      <c r="I4737">
        <v>144.93469999999999</v>
      </c>
      <c r="J4737">
        <v>-166.36099999999999</v>
      </c>
      <c r="K4737">
        <v>1.0863830000000001</v>
      </c>
      <c r="L4737">
        <v>145.64879999999999</v>
      </c>
      <c r="M4737">
        <v>0.97657910000000003</v>
      </c>
      <c r="N4737">
        <v>0</v>
      </c>
      <c r="O4737">
        <v>0.2139914</v>
      </c>
      <c r="P4737">
        <v>0.99465510000000001</v>
      </c>
      <c r="Q4737">
        <v>5.1297570000000001E-2</v>
      </c>
      <c r="R4737">
        <v>8.9608999999999994E-2</v>
      </c>
      <c r="S4737">
        <v>3.0580440000000002</v>
      </c>
      <c r="T4737">
        <v>-0.34336689999999997</v>
      </c>
      <c r="U4737">
        <v>-0.1985016</v>
      </c>
      <c r="V4737">
        <v>0.12852160000000001</v>
      </c>
      <c r="W4737">
        <v>6.7793140000000002E-2</v>
      </c>
      <c r="X4737">
        <v>0.98938689999999996</v>
      </c>
      <c r="Y4737">
        <v>0.27382139999999999</v>
      </c>
      <c r="Z4737">
        <v>-3.9142879999999998E-2</v>
      </c>
      <c r="AA4737">
        <v>0.9609837</v>
      </c>
      <c r="AB4737">
        <v>38</v>
      </c>
      <c r="AC4737">
        <v>9.2829999999999799</v>
      </c>
      <c r="AD4737">
        <v>-1.0863856509959999</v>
      </c>
      <c r="AE4737">
        <v>-0.71410000000000196</v>
      </c>
      <c r="AF4737">
        <v>2.6484699254625998</v>
      </c>
      <c r="AG4737">
        <v>-1.0863856509959999</v>
      </c>
      <c r="AH4737">
        <v>8.7952552379750806</v>
      </c>
      <c r="AI4737">
        <v>96.745239919091802</v>
      </c>
      <c r="AJ4737">
        <v>73.241646352250399</v>
      </c>
      <c r="AK4737">
        <v>9.2493860028597599</v>
      </c>
      <c r="AL4737">
        <v>86.112758033210895</v>
      </c>
      <c r="AM4737">
        <v>82.598708536723905</v>
      </c>
      <c r="AN4737">
        <v>1.0000000746946101</v>
      </c>
    </row>
    <row r="4738" spans="1:40" x14ac:dyDescent="0.3">
      <c r="A4738" t="str">
        <f>"20200111154015095"</f>
        <v>20200111154015095</v>
      </c>
      <c r="B4738" t="str">
        <f>"1578728415085732"</f>
        <v>1578728415085732</v>
      </c>
      <c r="C4738" t="s">
        <v>40</v>
      </c>
      <c r="D4738">
        <v>5.7006050000000004</v>
      </c>
      <c r="E4738">
        <v>0.5508419</v>
      </c>
      <c r="F4738" t="s">
        <v>42</v>
      </c>
      <c r="G4738">
        <v>-154.47710000000001</v>
      </c>
      <c r="H4738" s="1">
        <v>-3.713712E-6</v>
      </c>
      <c r="I4738">
        <v>145.03530000000001</v>
      </c>
      <c r="J4738">
        <v>-165.94730000000001</v>
      </c>
      <c r="K4738">
        <v>1.0863989999999999</v>
      </c>
      <c r="L4738">
        <v>145.73140000000001</v>
      </c>
      <c r="M4738">
        <v>0.98055049999999999</v>
      </c>
      <c r="N4738">
        <v>0</v>
      </c>
      <c r="O4738">
        <v>0.1949825</v>
      </c>
      <c r="P4738">
        <v>0.99586889999999995</v>
      </c>
      <c r="Q4738">
        <v>5.2011769999999999E-2</v>
      </c>
      <c r="R4738">
        <v>7.4432170000000006E-2</v>
      </c>
      <c r="S4738">
        <v>3.044632</v>
      </c>
      <c r="T4738">
        <v>-0.27832899999999999</v>
      </c>
      <c r="U4738">
        <v>-0.15716550000000001</v>
      </c>
      <c r="V4738">
        <v>0.1244136</v>
      </c>
      <c r="W4738">
        <v>6.8736989999999998E-2</v>
      </c>
      <c r="X4738">
        <v>0.98984669999999997</v>
      </c>
      <c r="Y4738">
        <v>0.2435136</v>
      </c>
      <c r="Z4738">
        <v>-2.8816270000000001E-2</v>
      </c>
      <c r="AA4738">
        <v>0.96946929999999998</v>
      </c>
      <c r="AB4738">
        <v>38</v>
      </c>
      <c r="AC4738">
        <v>11.4702</v>
      </c>
      <c r="AD4738">
        <v>-1.08640271371199</v>
      </c>
      <c r="AE4738">
        <v>-0.69610000000000105</v>
      </c>
      <c r="AF4738">
        <v>2.8939172250245799</v>
      </c>
      <c r="AG4738">
        <v>-1.08640271371199</v>
      </c>
      <c r="AH4738">
        <v>11.015716936487999</v>
      </c>
      <c r="AI4738">
        <v>95.448747951475298</v>
      </c>
      <c r="AJ4738">
        <v>75.280546136654806</v>
      </c>
      <c r="AK4738">
        <v>11.441199560644201</v>
      </c>
      <c r="AL4738">
        <v>86.058552684468793</v>
      </c>
      <c r="AM4738">
        <v>82.836074295716003</v>
      </c>
      <c r="AN4738">
        <v>1.00000000358005</v>
      </c>
    </row>
    <row r="4739" spans="1:40" x14ac:dyDescent="0.3">
      <c r="A4739" t="str">
        <f>"20200111154015115"</f>
        <v>20200111154015115</v>
      </c>
      <c r="B4739" t="str">
        <f>"1578728415105761"</f>
        <v>1578728415105761</v>
      </c>
      <c r="C4739" t="s">
        <v>40</v>
      </c>
      <c r="D4739">
        <v>5.6891220000000002</v>
      </c>
      <c r="E4739">
        <v>0.5497128</v>
      </c>
      <c r="F4739" t="s">
        <v>42</v>
      </c>
      <c r="G4739">
        <v>-153.29730000000001</v>
      </c>
      <c r="H4739" s="1">
        <v>-4.0982409999999996E-6</v>
      </c>
      <c r="I4739">
        <v>144.93960000000001</v>
      </c>
      <c r="J4739">
        <v>-165.60310000000001</v>
      </c>
      <c r="K4739">
        <v>1.0864119999999999</v>
      </c>
      <c r="L4739">
        <v>145.79310000000001</v>
      </c>
      <c r="M4739">
        <v>0.98358670000000004</v>
      </c>
      <c r="N4739">
        <v>0</v>
      </c>
      <c r="O4739">
        <v>0.17903559999999999</v>
      </c>
      <c r="P4739">
        <v>0.9967684</v>
      </c>
      <c r="Q4739">
        <v>5.0660450000000003E-2</v>
      </c>
      <c r="R4739">
        <v>6.2341510000000003E-2</v>
      </c>
      <c r="S4739">
        <v>3.0402979999999999</v>
      </c>
      <c r="T4739">
        <v>-0.2611057</v>
      </c>
      <c r="U4739">
        <v>-0.1902924</v>
      </c>
      <c r="V4739">
        <v>0.1203041</v>
      </c>
      <c r="W4739">
        <v>6.7607130000000001E-2</v>
      </c>
      <c r="X4739">
        <v>0.99043230000000004</v>
      </c>
      <c r="Y4739">
        <v>0.23865819999999999</v>
      </c>
      <c r="Z4739">
        <v>-2.5514849999999999E-2</v>
      </c>
      <c r="AA4739">
        <v>0.97076839999999998</v>
      </c>
      <c r="AB4739">
        <v>38</v>
      </c>
      <c r="AC4739">
        <v>12.3058</v>
      </c>
      <c r="AD4739">
        <v>-1.086416098241</v>
      </c>
      <c r="AE4739">
        <v>-0.85349999999999604</v>
      </c>
      <c r="AF4739">
        <v>3.0200078342837902</v>
      </c>
      <c r="AG4739">
        <v>-1.086416098241</v>
      </c>
      <c r="AH4739">
        <v>11.862011371483399</v>
      </c>
      <c r="AI4739">
        <v>95.072080508817393</v>
      </c>
      <c r="AJ4739">
        <v>75.716242602883597</v>
      </c>
      <c r="AK4739">
        <v>12.288533721923599</v>
      </c>
      <c r="AL4739">
        <v>86.123439724372105</v>
      </c>
      <c r="AM4739">
        <v>83.074423490245493</v>
      </c>
      <c r="AN4739">
        <v>0.99999997069346802</v>
      </c>
    </row>
    <row r="4740" spans="1:40" x14ac:dyDescent="0.3">
      <c r="A4740" t="str">
        <f>"20200111154015141"</f>
        <v>20200111154015141</v>
      </c>
      <c r="B4740" t="str">
        <f>"1578728415136017"</f>
        <v>1578728415136017</v>
      </c>
      <c r="C4740" t="s">
        <v>40</v>
      </c>
      <c r="D4740">
        <v>5.6951289999999997</v>
      </c>
      <c r="E4740">
        <v>0.54838619999999905</v>
      </c>
      <c r="F4740" t="s">
        <v>42</v>
      </c>
      <c r="G4740">
        <v>-152.83009999999999</v>
      </c>
      <c r="H4740" s="1">
        <v>-4.2452340000000001E-6</v>
      </c>
      <c r="I4740">
        <v>144.87209999999999</v>
      </c>
      <c r="J4740">
        <v>-165.15700000000001</v>
      </c>
      <c r="K4740">
        <v>1.0864240000000001</v>
      </c>
      <c r="L4740">
        <v>145.86369999999999</v>
      </c>
      <c r="M4740">
        <v>0.98715269999999999</v>
      </c>
      <c r="N4740">
        <v>0</v>
      </c>
      <c r="O4740">
        <v>0.15819169999999999</v>
      </c>
      <c r="P4740">
        <v>0.99769620000000003</v>
      </c>
      <c r="Q4740">
        <v>5.0056320000000001E-2</v>
      </c>
      <c r="R4740">
        <v>4.578956E-2</v>
      </c>
      <c r="S4740">
        <v>3.0365449999999998</v>
      </c>
      <c r="T4740">
        <v>-0.25827559999999999</v>
      </c>
      <c r="U4740">
        <v>-0.21896360000000001</v>
      </c>
      <c r="V4740">
        <v>0.11576930000000001</v>
      </c>
      <c r="W4740">
        <v>6.7246970000000003E-2</v>
      </c>
      <c r="X4740">
        <v>0.99099709999999996</v>
      </c>
      <c r="Y4740">
        <v>0.22745270000000001</v>
      </c>
      <c r="Z4740">
        <v>-2.303666E-2</v>
      </c>
      <c r="AA4740">
        <v>0.97351659999999995</v>
      </c>
      <c r="AB4740">
        <v>37</v>
      </c>
      <c r="AC4740">
        <v>12.3269</v>
      </c>
      <c r="AD4740">
        <v>-1.0864282452339999</v>
      </c>
      <c r="AE4740">
        <v>-0.99160000000000503</v>
      </c>
      <c r="AF4740">
        <v>2.9071766193982702</v>
      </c>
      <c r="AG4740">
        <v>-1.0864282452339999</v>
      </c>
      <c r="AH4740">
        <v>11.9226865940116</v>
      </c>
      <c r="AI4740">
        <v>95.059147934267699</v>
      </c>
      <c r="AJ4740">
        <v>76.296648267603999</v>
      </c>
      <c r="AK4740">
        <v>12.320002347704399</v>
      </c>
      <c r="AL4740">
        <v>86.144122436101298</v>
      </c>
      <c r="AM4740">
        <v>83.336849617887196</v>
      </c>
      <c r="AN4740">
        <v>0.99999996900253896</v>
      </c>
    </row>
    <row r="4741" spans="1:40" x14ac:dyDescent="0.3">
      <c r="A4741" t="str">
        <f>"20200111154015165"</f>
        <v>20200111154015165</v>
      </c>
      <c r="B4741" t="str">
        <f>"1578728415155537"</f>
        <v>1578728415155537</v>
      </c>
      <c r="C4741" t="s">
        <v>40</v>
      </c>
      <c r="D4741">
        <v>5.7009930000000004</v>
      </c>
      <c r="E4741">
        <v>0.54769080000000003</v>
      </c>
      <c r="F4741" t="s">
        <v>42</v>
      </c>
      <c r="G4741">
        <v>-152.517</v>
      </c>
      <c r="H4741" s="1">
        <v>-4.3356749999999998E-6</v>
      </c>
      <c r="I4741">
        <v>144.78120000000001</v>
      </c>
      <c r="J4741">
        <v>-164.75620000000001</v>
      </c>
      <c r="K4741">
        <v>1.086443</v>
      </c>
      <c r="L4741">
        <v>145.91909999999999</v>
      </c>
      <c r="M4741">
        <v>0.98999490000000001</v>
      </c>
      <c r="N4741">
        <v>0</v>
      </c>
      <c r="O4741">
        <v>0.13930029999999999</v>
      </c>
      <c r="P4741">
        <v>0.99821950000000004</v>
      </c>
      <c r="Q4741">
        <v>5.0643380000000002E-2</v>
      </c>
      <c r="R4741">
        <v>3.1514960000000002E-2</v>
      </c>
      <c r="S4741">
        <v>3.0319210000000001</v>
      </c>
      <c r="T4741">
        <v>-0.26059710000000003</v>
      </c>
      <c r="U4741">
        <v>-0.25965880000000002</v>
      </c>
      <c r="V4741">
        <v>0.11102679999999999</v>
      </c>
      <c r="W4741">
        <v>6.8073819999999993E-2</v>
      </c>
      <c r="X4741">
        <v>0.99148320000000001</v>
      </c>
      <c r="Y4741">
        <v>0.22200020000000001</v>
      </c>
      <c r="Z4741">
        <v>-2.1426509999999999E-2</v>
      </c>
      <c r="AA4741">
        <v>0.97481110000000004</v>
      </c>
      <c r="AB4741">
        <v>37</v>
      </c>
      <c r="AC4741">
        <v>12.2392</v>
      </c>
      <c r="AD4741">
        <v>-1.086447335675</v>
      </c>
      <c r="AE4741">
        <v>-1.1378999999999699</v>
      </c>
      <c r="AF4741">
        <v>2.8102015173658899</v>
      </c>
      <c r="AG4741">
        <v>-1.086447335675</v>
      </c>
      <c r="AH4741">
        <v>11.8685400663531</v>
      </c>
      <c r="AI4741">
        <v>95.090310226689397</v>
      </c>
      <c r="AJ4741">
        <v>76.678981687771</v>
      </c>
      <c r="AK4741">
        <v>12.2449925964873</v>
      </c>
      <c r="AL4741">
        <v>86.096638591116303</v>
      </c>
      <c r="AM4741">
        <v>83.610607228154805</v>
      </c>
      <c r="AN4741">
        <v>0.99999996558493498</v>
      </c>
    </row>
    <row r="4742" spans="1:40" x14ac:dyDescent="0.3">
      <c r="A4742" t="str">
        <f>"20200111154015188"</f>
        <v>20200111154015188</v>
      </c>
      <c r="B4742" t="str">
        <f>"1578728415176033"</f>
        <v>1578728415176033</v>
      </c>
      <c r="C4742" t="s">
        <v>40</v>
      </c>
      <c r="D4742">
        <v>5.6897929999999999</v>
      </c>
      <c r="E4742">
        <v>0.54703089999999999</v>
      </c>
      <c r="F4742" t="s">
        <v>42</v>
      </c>
      <c r="G4742">
        <v>-152.1755</v>
      </c>
      <c r="H4742" s="1">
        <v>-4.434399E-6</v>
      </c>
      <c r="I4742">
        <v>144.68260000000001</v>
      </c>
      <c r="J4742">
        <v>-164.37389999999999</v>
      </c>
      <c r="K4742">
        <v>1.0864590000000001</v>
      </c>
      <c r="L4742">
        <v>145.96449999999999</v>
      </c>
      <c r="M4742">
        <v>0.99237969999999998</v>
      </c>
      <c r="N4742">
        <v>0</v>
      </c>
      <c r="O4742">
        <v>0.121147</v>
      </c>
      <c r="P4742">
        <v>0.99844480000000002</v>
      </c>
      <c r="Q4742">
        <v>5.276256E-2</v>
      </c>
      <c r="R4742">
        <v>1.8010040000000001E-2</v>
      </c>
      <c r="S4742">
        <v>3.0280149999999999</v>
      </c>
      <c r="T4742">
        <v>-0.26149359999999999</v>
      </c>
      <c r="U4742">
        <v>-0.29760740000000002</v>
      </c>
      <c r="V4742">
        <v>0.10635799999999999</v>
      </c>
      <c r="W4742">
        <v>7.0419469999999998E-2</v>
      </c>
      <c r="X4742">
        <v>0.99183120000000002</v>
      </c>
      <c r="Y4742">
        <v>0.21644250000000001</v>
      </c>
      <c r="Z4742">
        <v>-1.972258E-2</v>
      </c>
      <c r="AA4742">
        <v>0.97609619999999997</v>
      </c>
      <c r="AB4742">
        <v>37</v>
      </c>
      <c r="AC4742">
        <v>12.1983999999999</v>
      </c>
      <c r="AD4742">
        <v>-1.0864634343990001</v>
      </c>
      <c r="AE4742">
        <v>-1.2818999999999701</v>
      </c>
      <c r="AF4742">
        <v>2.7292132876143</v>
      </c>
      <c r="AG4742">
        <v>-1.0864634343990001</v>
      </c>
      <c r="AH4742">
        <v>11.860114514473601</v>
      </c>
      <c r="AI4742">
        <v>95.101459400191004</v>
      </c>
      <c r="AJ4742">
        <v>77.040871985727904</v>
      </c>
      <c r="AK4742">
        <v>12.218482895188099</v>
      </c>
      <c r="AL4742">
        <v>85.961919576549803</v>
      </c>
      <c r="AM4742">
        <v>83.879335186080596</v>
      </c>
      <c r="AN4742">
        <v>1.0000000276062599</v>
      </c>
    </row>
    <row r="4743" spans="1:40" x14ac:dyDescent="0.3">
      <c r="A4743" t="str">
        <f>"20200111154015211"</f>
        <v>20200111154015211</v>
      </c>
      <c r="B4743" t="str">
        <f>"1578728415205823"</f>
        <v>1578728415205823</v>
      </c>
      <c r="C4743" t="s">
        <v>40</v>
      </c>
      <c r="D4743">
        <v>5.693244</v>
      </c>
      <c r="E4743">
        <v>0.54552829999999997</v>
      </c>
      <c r="F4743" t="s">
        <v>42</v>
      </c>
      <c r="G4743">
        <v>-151.63390000000001</v>
      </c>
      <c r="H4743" s="1">
        <v>-4.5971810000000003E-6</v>
      </c>
      <c r="I4743">
        <v>144.56129999999999</v>
      </c>
      <c r="J4743">
        <v>-163.9941</v>
      </c>
      <c r="K4743">
        <v>1.086479</v>
      </c>
      <c r="L4743">
        <v>146.0025</v>
      </c>
      <c r="M4743">
        <v>0.99442730000000001</v>
      </c>
      <c r="N4743">
        <v>0</v>
      </c>
      <c r="O4743">
        <v>0.102996699999999</v>
      </c>
      <c r="P4743">
        <v>0.99852669999999999</v>
      </c>
      <c r="Q4743">
        <v>5.398849E-2</v>
      </c>
      <c r="R4743">
        <v>5.4688640000000004E-3</v>
      </c>
      <c r="S4743">
        <v>3.024292</v>
      </c>
      <c r="T4743">
        <v>-0.25791049999999999</v>
      </c>
      <c r="U4743">
        <v>-0.33309939999999999</v>
      </c>
      <c r="V4743">
        <v>0.1007366</v>
      </c>
      <c r="W4743">
        <v>7.1911039999999996E-2</v>
      </c>
      <c r="X4743">
        <v>0.9923109</v>
      </c>
      <c r="Y4743">
        <v>0.21017479999999999</v>
      </c>
      <c r="Z4743">
        <v>-1.766299E-2</v>
      </c>
      <c r="AA4743">
        <v>0.97750429999999999</v>
      </c>
      <c r="AB4743">
        <v>37</v>
      </c>
      <c r="AC4743">
        <v>12.360199999999899</v>
      </c>
      <c r="AD4743">
        <v>-1.0864835971810001</v>
      </c>
      <c r="AE4743">
        <v>-1.4412</v>
      </c>
      <c r="AF4743">
        <v>2.6864344923830998</v>
      </c>
      <c r="AG4743">
        <v>-1.0864835971810001</v>
      </c>
      <c r="AH4743">
        <v>12.054065791792601</v>
      </c>
      <c r="AI4743">
        <v>95.027700056122598</v>
      </c>
      <c r="AJ4743">
        <v>77.436078537961507</v>
      </c>
      <c r="AK4743">
        <v>12.397494867983299</v>
      </c>
      <c r="AL4743">
        <v>85.876241521840996</v>
      </c>
      <c r="AM4743">
        <v>84.203352759518296</v>
      </c>
      <c r="AN4743">
        <v>0.99999999125612504</v>
      </c>
    </row>
    <row r="4744" spans="1:40" x14ac:dyDescent="0.3">
      <c r="A4744" t="str">
        <f>"20200111154015234"</f>
        <v>20200111154015234</v>
      </c>
      <c r="B4744" t="str">
        <f>"1578728415225342"</f>
        <v>1578728415225342</v>
      </c>
      <c r="C4744" t="s">
        <v>40</v>
      </c>
      <c r="D4744">
        <v>5.7405030000000004</v>
      </c>
      <c r="E4744">
        <v>0.54482819999999899</v>
      </c>
      <c r="F4744" t="s">
        <v>42</v>
      </c>
      <c r="G4744">
        <v>-151.4306</v>
      </c>
      <c r="H4744" s="1">
        <v>-4.656782E-6</v>
      </c>
      <c r="I4744">
        <v>144.50729999999999</v>
      </c>
      <c r="J4744">
        <v>-163.61330000000001</v>
      </c>
      <c r="K4744">
        <v>1.0864959999999999</v>
      </c>
      <c r="L4744">
        <v>146.0333</v>
      </c>
      <c r="M4744">
        <v>0.99615350000000003</v>
      </c>
      <c r="N4744">
        <v>0</v>
      </c>
      <c r="O4744">
        <v>8.4692210000000004E-2</v>
      </c>
      <c r="P4744">
        <v>0.99857280000000004</v>
      </c>
      <c r="Q4744">
        <v>5.3033049999999998E-2</v>
      </c>
      <c r="R4744">
        <v>-6.3321799999999998E-3</v>
      </c>
      <c r="S4744">
        <v>3.0205229999999998</v>
      </c>
      <c r="T4744">
        <v>-0.26121230000000001</v>
      </c>
      <c r="U4744">
        <v>-0.35945129999999997</v>
      </c>
      <c r="V4744">
        <v>9.4168390000000005E-2</v>
      </c>
      <c r="W4744">
        <v>7.1256109999999998E-2</v>
      </c>
      <c r="X4744">
        <v>0.99300299999999997</v>
      </c>
      <c r="Y4744">
        <v>0.20081160000000001</v>
      </c>
      <c r="Z4744">
        <v>-1.5925870000000002E-2</v>
      </c>
      <c r="AA4744">
        <v>0.97950040000000005</v>
      </c>
      <c r="AB4744">
        <v>37</v>
      </c>
      <c r="AC4744">
        <v>12.182700000000001</v>
      </c>
      <c r="AD4744">
        <v>-1.0865006567819999</v>
      </c>
      <c r="AE4744">
        <v>-1.52600000000001</v>
      </c>
      <c r="AF4744">
        <v>2.5327216909485699</v>
      </c>
      <c r="AG4744">
        <v>-1.0865006567819999</v>
      </c>
      <c r="AH4744">
        <v>11.916318843019701</v>
      </c>
      <c r="AI4744">
        <v>95.096460367029806</v>
      </c>
      <c r="AJ4744">
        <v>78.000782381370399</v>
      </c>
      <c r="AK4744">
        <v>12.230855146288601</v>
      </c>
      <c r="AL4744">
        <v>85.913862954221798</v>
      </c>
      <c r="AM4744">
        <v>84.582731279664898</v>
      </c>
      <c r="AN4744">
        <v>1.0000000384482599</v>
      </c>
    </row>
    <row r="4745" spans="1:40" x14ac:dyDescent="0.3">
      <c r="A4745" t="str">
        <f>"20200111154015256"</f>
        <v>20200111154015256</v>
      </c>
      <c r="B4745" t="str">
        <f>"1578728415245838"</f>
        <v>1578728415245838</v>
      </c>
      <c r="C4745" t="s">
        <v>40</v>
      </c>
      <c r="D4745">
        <v>5.7110390000000004</v>
      </c>
      <c r="E4745">
        <v>0.54405930000000002</v>
      </c>
      <c r="F4745" t="s">
        <v>42</v>
      </c>
      <c r="G4745">
        <v>-151.27440000000001</v>
      </c>
      <c r="H4745" s="1">
        <v>-4.697205E-6</v>
      </c>
      <c r="I4745">
        <v>144.43549999999999</v>
      </c>
      <c r="J4745">
        <v>-163.245</v>
      </c>
      <c r="K4745">
        <v>1.086519</v>
      </c>
      <c r="L4745">
        <v>146.0558</v>
      </c>
      <c r="M4745">
        <v>0.99750559999999999</v>
      </c>
      <c r="N4745">
        <v>0</v>
      </c>
      <c r="O4745">
        <v>6.6918790000000006E-2</v>
      </c>
      <c r="P4745">
        <v>0.99849060000000001</v>
      </c>
      <c r="Q4745">
        <v>5.1878210000000001E-2</v>
      </c>
      <c r="R4745">
        <v>-1.803314E-2</v>
      </c>
      <c r="S4745">
        <v>3.01593</v>
      </c>
      <c r="T4745">
        <v>-0.26556800000000003</v>
      </c>
      <c r="U4745">
        <v>-0.39053339999999998</v>
      </c>
      <c r="V4745">
        <v>8.8042129999999996E-2</v>
      </c>
      <c r="W4745">
        <v>7.0368089999999994E-2</v>
      </c>
      <c r="X4745">
        <v>0.99362810000000001</v>
      </c>
      <c r="Y4745">
        <v>0.19351840000000001</v>
      </c>
      <c r="Z4745">
        <v>-1.43299E-2</v>
      </c>
      <c r="AA4745">
        <v>0.98099199999999998</v>
      </c>
      <c r="AB4745">
        <v>37</v>
      </c>
      <c r="AC4745">
        <v>11.9705999999999</v>
      </c>
      <c r="AD4745">
        <v>-1.0865236972050001</v>
      </c>
      <c r="AE4745">
        <v>-1.6203000000000101</v>
      </c>
      <c r="AF4745">
        <v>2.3985217049301299</v>
      </c>
      <c r="AG4745">
        <v>-1.0865236972050001</v>
      </c>
      <c r="AH4745">
        <v>11.7403155424633</v>
      </c>
      <c r="AI4745">
        <v>95.181039449870795</v>
      </c>
      <c r="AJ4745">
        <v>78.453484589716297</v>
      </c>
      <c r="AK4745">
        <v>12.0319761116042</v>
      </c>
      <c r="AL4745">
        <v>85.964870412407507</v>
      </c>
      <c r="AM4745">
        <v>84.936432705884499</v>
      </c>
      <c r="AN4745">
        <v>0.99999994292739502</v>
      </c>
    </row>
    <row r="4746" spans="1:40" x14ac:dyDescent="0.3">
      <c r="A4746" t="str">
        <f>"20200111154015279"</f>
        <v>20200111154015279</v>
      </c>
      <c r="B4746" t="str">
        <f>"1578728415265359"</f>
        <v>1578728415265359</v>
      </c>
      <c r="C4746" t="s">
        <v>40</v>
      </c>
      <c r="D4746">
        <v>5.6983489999999897</v>
      </c>
      <c r="E4746">
        <v>0.54315659999999999</v>
      </c>
      <c r="F4746" t="s">
        <v>41</v>
      </c>
      <c r="G4746">
        <v>-162.21289999999999</v>
      </c>
      <c r="H4746">
        <v>0.99350170000000004</v>
      </c>
      <c r="I4746">
        <v>145.9118</v>
      </c>
      <c r="J4746">
        <v>-162.874</v>
      </c>
      <c r="K4746">
        <v>1.0865590000000001</v>
      </c>
      <c r="L4746">
        <v>146.07140000000001</v>
      </c>
      <c r="M4746">
        <v>0.99854869999999996</v>
      </c>
      <c r="N4746">
        <v>0</v>
      </c>
      <c r="O4746">
        <v>4.8968499999999998E-2</v>
      </c>
      <c r="P4746">
        <v>0.99821689999999996</v>
      </c>
      <c r="Q4746">
        <v>5.1029600000000001E-2</v>
      </c>
      <c r="R4746">
        <v>-3.0971909999999998E-2</v>
      </c>
      <c r="S4746">
        <v>3.011047</v>
      </c>
      <c r="T4746">
        <v>-0.27125749999999998</v>
      </c>
      <c r="U4746">
        <v>-0.42004390000000003</v>
      </c>
      <c r="V4746">
        <v>8.3000130000000005E-2</v>
      </c>
      <c r="W4746">
        <v>6.9721669999999999E-2</v>
      </c>
      <c r="X4746">
        <v>0.99410750000000003</v>
      </c>
      <c r="Y4746">
        <v>0.18557499999999999</v>
      </c>
      <c r="Z4746">
        <v>-1.26871E-2</v>
      </c>
      <c r="AA4746">
        <v>0.98254819999999998</v>
      </c>
      <c r="AB4746">
        <v>36</v>
      </c>
      <c r="AC4746">
        <v>0.66110000000000402</v>
      </c>
      <c r="AD4746">
        <v>-9.3057300000000107E-2</v>
      </c>
      <c r="AE4746">
        <v>-0.15960000000001101</v>
      </c>
      <c r="AF4746">
        <v>0.188264847959178</v>
      </c>
      <c r="AG4746">
        <v>-9.3057300000000107E-2</v>
      </c>
      <c r="AH4746">
        <v>0.64049740352643902</v>
      </c>
      <c r="AI4746">
        <v>97.935454797073604</v>
      </c>
      <c r="AJ4746">
        <v>73.6200717919113</v>
      </c>
      <c r="AK4746">
        <v>0.67404765260661903</v>
      </c>
      <c r="AL4746">
        <v>86.001998683099103</v>
      </c>
      <c r="AM4746">
        <v>85.227324091645798</v>
      </c>
      <c r="AN4746">
        <v>0.99999992720192499</v>
      </c>
    </row>
    <row r="4747" spans="1:40" x14ac:dyDescent="0.3">
      <c r="A4747" t="str">
        <f>"20200111154015305"</f>
        <v>20200111154015305</v>
      </c>
      <c r="B4747" t="str">
        <f>"1578728415296123"</f>
        <v>1578728415296123</v>
      </c>
      <c r="C4747" t="s">
        <v>40</v>
      </c>
      <c r="D4747">
        <v>5.7411180000000002</v>
      </c>
      <c r="E4747">
        <v>0.54176519999999995</v>
      </c>
      <c r="F4747" t="s">
        <v>41</v>
      </c>
      <c r="G4747">
        <v>-161.89330000000001</v>
      </c>
      <c r="H4747">
        <v>0.99600200000000005</v>
      </c>
      <c r="I4747">
        <v>145.92410000000001</v>
      </c>
      <c r="J4747">
        <v>-162.4332</v>
      </c>
      <c r="K4747">
        <v>1.0866359999999999</v>
      </c>
      <c r="L4747">
        <v>146.08090000000001</v>
      </c>
      <c r="M4747">
        <v>0.99936849999999999</v>
      </c>
      <c r="N4747">
        <v>0</v>
      </c>
      <c r="O4747">
        <v>2.7623499999999999E-2</v>
      </c>
      <c r="P4747">
        <v>0.99769099999999999</v>
      </c>
      <c r="Q4747">
        <v>4.9523200000000003E-2</v>
      </c>
      <c r="R4747">
        <v>-4.6478640000000002E-2</v>
      </c>
      <c r="S4747">
        <v>3.0055239999999999</v>
      </c>
      <c r="T4747">
        <v>-0.2773756</v>
      </c>
      <c r="U4747">
        <v>-0.45127869999999998</v>
      </c>
      <c r="V4747">
        <v>7.7121700000000001E-2</v>
      </c>
      <c r="W4747">
        <v>6.8436319999999995E-2</v>
      </c>
      <c r="X4747">
        <v>0.99467019999999995</v>
      </c>
      <c r="Y4747">
        <v>0.17491010000000001</v>
      </c>
      <c r="Z4747">
        <v>-1.054092E-2</v>
      </c>
      <c r="AA4747">
        <v>0.98452799999999996</v>
      </c>
      <c r="AB4747">
        <v>36</v>
      </c>
      <c r="AC4747">
        <v>0.53989999999998795</v>
      </c>
      <c r="AD4747">
        <v>-9.0634000000000103E-2</v>
      </c>
      <c r="AE4747">
        <v>-0.15680000000000399</v>
      </c>
      <c r="AF4747">
        <v>0.16730959879356999</v>
      </c>
      <c r="AG4747">
        <v>-9.0634000000000103E-2</v>
      </c>
      <c r="AH4747">
        <v>0.52180041122205101</v>
      </c>
      <c r="AI4747">
        <v>99.391715647821201</v>
      </c>
      <c r="AJ4747">
        <v>72.222119701211099</v>
      </c>
      <c r="AK4747">
        <v>0.55541218293801098</v>
      </c>
      <c r="AL4747">
        <v>86.075820638550198</v>
      </c>
      <c r="AM4747">
        <v>85.566444998893303</v>
      </c>
      <c r="AN4747">
        <v>1.00000004663703</v>
      </c>
    </row>
    <row r="4748" spans="1:40" x14ac:dyDescent="0.3">
      <c r="A4748" t="str">
        <f>"20200111154015327"</f>
        <v>20200111154015327</v>
      </c>
      <c r="B4748" t="str">
        <f>"1578728415315642"</f>
        <v>1578728415315642</v>
      </c>
      <c r="C4748" t="s">
        <v>40</v>
      </c>
      <c r="D4748">
        <v>5.7078470000000001</v>
      </c>
      <c r="E4748">
        <v>0.52668300000000001</v>
      </c>
      <c r="F4748" t="s">
        <v>41</v>
      </c>
      <c r="G4748">
        <v>-161.5659</v>
      </c>
      <c r="H4748">
        <v>1.0034099999999999</v>
      </c>
      <c r="I4748">
        <v>145.93989999999999</v>
      </c>
      <c r="J4748">
        <v>-162.0746</v>
      </c>
      <c r="K4748">
        <v>1.086722</v>
      </c>
      <c r="L4748">
        <v>146.08179999999999</v>
      </c>
      <c r="M4748">
        <v>0.99969859999999999</v>
      </c>
      <c r="N4748">
        <v>0</v>
      </c>
      <c r="O4748">
        <v>1.02919E-2</v>
      </c>
      <c r="P4748">
        <v>0.99729080000000003</v>
      </c>
      <c r="Q4748">
        <v>4.6722489999999998E-2</v>
      </c>
      <c r="R4748">
        <v>-5.6818180000000003E-2</v>
      </c>
      <c r="S4748">
        <v>2.9985200000000001</v>
      </c>
      <c r="T4748">
        <v>-0.28758630000000002</v>
      </c>
      <c r="U4748">
        <v>-0.48735050000000002</v>
      </c>
      <c r="V4748">
        <v>7.0041049999999994E-2</v>
      </c>
      <c r="W4748">
        <v>6.5914329999999993E-2</v>
      </c>
      <c r="X4748">
        <v>0.99536400000000003</v>
      </c>
      <c r="Y4748">
        <v>0.16977249999999999</v>
      </c>
      <c r="Z4748">
        <v>-9.0490550000000003E-3</v>
      </c>
      <c r="AA4748">
        <v>0.98544169999999998</v>
      </c>
      <c r="AB4748">
        <v>36</v>
      </c>
      <c r="AC4748">
        <v>0.50870000000000404</v>
      </c>
      <c r="AD4748">
        <v>-8.3311999999999803E-2</v>
      </c>
      <c r="AE4748">
        <v>-0.141899999999992</v>
      </c>
      <c r="AF4748">
        <v>0.14355676763240099</v>
      </c>
      <c r="AG4748">
        <v>-8.3311999999999803E-2</v>
      </c>
      <c r="AH4748">
        <v>0.49489644059423499</v>
      </c>
      <c r="AI4748">
        <v>99.183973820829394</v>
      </c>
      <c r="AJ4748">
        <v>73.823911129585497</v>
      </c>
      <c r="AK4748">
        <v>0.52198843070503698</v>
      </c>
      <c r="AL4748">
        <v>86.220646899974497</v>
      </c>
      <c r="AM4748">
        <v>85.974887030445302</v>
      </c>
      <c r="AN4748">
        <v>0.99999997004022501</v>
      </c>
    </row>
    <row r="4749" spans="1:40" x14ac:dyDescent="0.3">
      <c r="A4749" t="str">
        <f>"20200111154015349"</f>
        <v>20200111154015349</v>
      </c>
      <c r="B4749" t="str">
        <f>"1578728415336137"</f>
        <v>1578728415336137</v>
      </c>
      <c r="C4749" t="s">
        <v>40</v>
      </c>
      <c r="D4749">
        <v>5.7920109999999996</v>
      </c>
      <c r="E4749">
        <v>0.52700139999999995</v>
      </c>
      <c r="F4749" t="s">
        <v>41</v>
      </c>
      <c r="G4749">
        <v>-161.24010000000001</v>
      </c>
      <c r="H4749">
        <v>1.0065550000000001</v>
      </c>
      <c r="I4749">
        <v>145.97059999999999</v>
      </c>
      <c r="J4749">
        <v>-161.72040000000001</v>
      </c>
      <c r="K4749">
        <v>1.086843</v>
      </c>
      <c r="L4749">
        <v>146.0763</v>
      </c>
      <c r="M4749">
        <v>0.99973049999999997</v>
      </c>
      <c r="N4749">
        <v>0</v>
      </c>
      <c r="O4749">
        <v>-6.7304840000000001E-3</v>
      </c>
      <c r="P4749">
        <v>0.99672280000000002</v>
      </c>
      <c r="Q4749">
        <v>4.523489E-2</v>
      </c>
      <c r="R4749">
        <v>-6.7061330000000002E-2</v>
      </c>
      <c r="S4749">
        <v>2.9988860000000002</v>
      </c>
      <c r="T4749">
        <v>-0.28792259999999997</v>
      </c>
      <c r="U4749">
        <v>-0.39944459999999998</v>
      </c>
      <c r="V4749">
        <v>6.3225840000000005E-2</v>
      </c>
      <c r="W4749">
        <v>6.4686709999999994E-2</v>
      </c>
      <c r="X4749">
        <v>0.99590060000000002</v>
      </c>
      <c r="Y4749">
        <v>0.1248219</v>
      </c>
      <c r="Z4749">
        <v>-5.3102399999999999E-3</v>
      </c>
      <c r="AA4749">
        <v>0.99216499999999996</v>
      </c>
      <c r="AB4749">
        <v>36</v>
      </c>
      <c r="AC4749">
        <v>0.48029999999999901</v>
      </c>
      <c r="AD4749">
        <v>-8.0288000000000095E-2</v>
      </c>
      <c r="AE4749">
        <v>-0.10570000000001301</v>
      </c>
      <c r="AF4749">
        <v>9.9804136150214703E-2</v>
      </c>
      <c r="AG4749">
        <v>-8.0288000000000095E-2</v>
      </c>
      <c r="AH4749">
        <v>0.468513693137248</v>
      </c>
      <c r="AI4749">
        <v>99.514721540581306</v>
      </c>
      <c r="AJ4749">
        <v>77.974439312377299</v>
      </c>
      <c r="AK4749">
        <v>0.48570784345508999</v>
      </c>
      <c r="AL4749">
        <v>86.291134690584698</v>
      </c>
      <c r="AM4749">
        <v>86.367389862872798</v>
      </c>
      <c r="AN4749">
        <v>0.99999994118734303</v>
      </c>
    </row>
    <row r="4750" spans="1:40" x14ac:dyDescent="0.3">
      <c r="A4750" t="str">
        <f>"20200111154015372"</f>
        <v>20200111154015372</v>
      </c>
      <c r="B4750" t="str">
        <f>"1578728415365416"</f>
        <v>1578728415365416</v>
      </c>
      <c r="C4750" t="s">
        <v>40</v>
      </c>
      <c r="D4750">
        <v>5.769355</v>
      </c>
      <c r="E4750">
        <v>0.52698859999999903</v>
      </c>
      <c r="F4750" t="s">
        <v>41</v>
      </c>
      <c r="G4750">
        <v>-160.91679999999999</v>
      </c>
      <c r="H4750">
        <v>1.0049699999999999</v>
      </c>
      <c r="I4750">
        <v>145.9599</v>
      </c>
      <c r="J4750">
        <v>-161.34960000000001</v>
      </c>
      <c r="K4750">
        <v>1.087048</v>
      </c>
      <c r="L4750">
        <v>146.0642</v>
      </c>
      <c r="M4750">
        <v>0.99945819999999996</v>
      </c>
      <c r="N4750">
        <v>0</v>
      </c>
      <c r="O4750">
        <v>-2.4365689999999999E-2</v>
      </c>
      <c r="P4750">
        <v>0.99576189999999998</v>
      </c>
      <c r="Q4750">
        <v>4.5601360000000001E-2</v>
      </c>
      <c r="R4750">
        <v>-7.9866740000000006E-2</v>
      </c>
      <c r="S4750">
        <v>2.9945369999999998</v>
      </c>
      <c r="T4750">
        <v>-0.30496139999999999</v>
      </c>
      <c r="U4750">
        <v>-0.4335022</v>
      </c>
      <c r="V4750">
        <v>5.8434769999999997E-2</v>
      </c>
      <c r="W4750">
        <v>6.5207260000000003E-2</v>
      </c>
      <c r="X4750">
        <v>0.99615929999999997</v>
      </c>
      <c r="Y4750">
        <v>0.118631</v>
      </c>
      <c r="Z4750">
        <v>-3.5324699999999998E-3</v>
      </c>
      <c r="AA4750">
        <v>0.99293209999999998</v>
      </c>
      <c r="AB4750">
        <v>36</v>
      </c>
      <c r="AC4750">
        <v>0.43280000000001401</v>
      </c>
      <c r="AD4750">
        <v>-8.2077999999999804E-2</v>
      </c>
      <c r="AE4750">
        <v>-0.10429999999999399</v>
      </c>
      <c r="AF4750">
        <v>9.0640032513354299E-2</v>
      </c>
      <c r="AG4750">
        <v>-8.2077999999999804E-2</v>
      </c>
      <c r="AH4750">
        <v>0.42090643138528699</v>
      </c>
      <c r="AI4750">
        <v>100.792962120664</v>
      </c>
      <c r="AJ4750">
        <v>77.847235675777696</v>
      </c>
      <c r="AK4750">
        <v>0.43830883810336202</v>
      </c>
      <c r="AL4750">
        <v>86.261246412963601</v>
      </c>
      <c r="AM4750">
        <v>86.642872910095406</v>
      </c>
      <c r="AN4750">
        <v>0.99999998003907498</v>
      </c>
    </row>
    <row r="4751" spans="1:40" x14ac:dyDescent="0.3">
      <c r="A4751" t="str">
        <f>"20200111154015405"</f>
        <v>20200111154015405</v>
      </c>
      <c r="B4751" t="str">
        <f>"1578728415395672"</f>
        <v>1578728415395672</v>
      </c>
      <c r="C4751" t="s">
        <v>40</v>
      </c>
      <c r="D4751">
        <v>5.735366</v>
      </c>
      <c r="E4751">
        <v>0.52588749999999995</v>
      </c>
      <c r="F4751" t="s">
        <v>41</v>
      </c>
      <c r="G4751">
        <v>-160.5943</v>
      </c>
      <c r="H4751">
        <v>1.004337</v>
      </c>
      <c r="I4751">
        <v>145.9451</v>
      </c>
      <c r="J4751">
        <v>-160.8203</v>
      </c>
      <c r="K4751">
        <v>1.0874779999999999</v>
      </c>
      <c r="L4751">
        <v>146.03479999999999</v>
      </c>
      <c r="M4751">
        <v>0.99856219999999996</v>
      </c>
      <c r="N4751">
        <v>0</v>
      </c>
      <c r="O4751">
        <v>-4.8907730000000003E-2</v>
      </c>
      <c r="P4751">
        <v>0.99447209999999997</v>
      </c>
      <c r="Q4751">
        <v>4.5394740000000003E-2</v>
      </c>
      <c r="R4751">
        <v>-9.4684299999999999E-2</v>
      </c>
      <c r="S4751">
        <v>2.98996</v>
      </c>
      <c r="T4751">
        <v>-0.32739790000000002</v>
      </c>
      <c r="U4751">
        <v>-0.47126770000000001</v>
      </c>
      <c r="V4751">
        <v>4.8702809999999999E-2</v>
      </c>
      <c r="W4751">
        <v>6.5305749999999996E-2</v>
      </c>
      <c r="X4751">
        <v>0.99667609999999995</v>
      </c>
      <c r="Y4751">
        <v>0.1068479</v>
      </c>
      <c r="Z4751">
        <v>-4.9542450000000001E-4</v>
      </c>
      <c r="AA4751">
        <v>0.99427529999999997</v>
      </c>
      <c r="AB4751">
        <v>36</v>
      </c>
      <c r="AC4751">
        <v>0.22599999999999901</v>
      </c>
      <c r="AD4751">
        <v>-8.3141000000000104E-2</v>
      </c>
      <c r="AE4751">
        <v>-8.9699999999993396E-2</v>
      </c>
      <c r="AF4751">
        <v>7.03156432616662E-2</v>
      </c>
      <c r="AG4751">
        <v>-8.3141000000000104E-2</v>
      </c>
      <c r="AH4751">
        <v>0.20602903058440999</v>
      </c>
      <c r="AI4751">
        <v>110.90238073438501</v>
      </c>
      <c r="AJ4751">
        <v>71.155741247652202</v>
      </c>
      <c r="AK4751">
        <v>0.23303363922801701</v>
      </c>
      <c r="AL4751">
        <v>86.255591471983806</v>
      </c>
      <c r="AM4751">
        <v>87.202453630284097</v>
      </c>
      <c r="AN4751">
        <v>1.00000002649808</v>
      </c>
    </row>
    <row r="4752" spans="1:40" x14ac:dyDescent="0.3">
      <c r="A4752" t="str">
        <f>"20200111154015440"</f>
        <v>20200111154015440</v>
      </c>
      <c r="B4752" t="str">
        <f>"1578728415435689"</f>
        <v>1578728415435689</v>
      </c>
      <c r="C4752" t="s">
        <v>40</v>
      </c>
      <c r="D4752">
        <v>5.7604379999999997</v>
      </c>
      <c r="E4752">
        <v>0.52501229999999999</v>
      </c>
      <c r="F4752" t="s">
        <v>41</v>
      </c>
      <c r="G4752">
        <v>-159.9607</v>
      </c>
      <c r="H4752">
        <v>0.99027279999999995</v>
      </c>
      <c r="I4752">
        <v>145.88890000000001</v>
      </c>
      <c r="J4752">
        <v>-160.25569999999999</v>
      </c>
      <c r="K4752">
        <v>1.0881540000000001</v>
      </c>
      <c r="L4752">
        <v>145.98990000000001</v>
      </c>
      <c r="M4752">
        <v>0.99702219999999997</v>
      </c>
      <c r="N4752">
        <v>0</v>
      </c>
      <c r="O4752">
        <v>-7.4000099999999999E-2</v>
      </c>
      <c r="P4752">
        <v>0.99250320000000003</v>
      </c>
      <c r="Q4752">
        <v>4.4529239999999998E-2</v>
      </c>
      <c r="R4752">
        <v>-0.1138183</v>
      </c>
      <c r="S4752">
        <v>2.9838870000000002</v>
      </c>
      <c r="T4752">
        <v>-0.33738570000000001</v>
      </c>
      <c r="U4752">
        <v>-0.50636289999999995</v>
      </c>
      <c r="V4752">
        <v>4.2676079999999998E-2</v>
      </c>
      <c r="W4752">
        <v>6.4509209999999997E-2</v>
      </c>
      <c r="X4752">
        <v>0.99700420000000001</v>
      </c>
      <c r="Y4752">
        <v>9.375153E-2</v>
      </c>
      <c r="Z4752">
        <v>3.0190999999999998E-3</v>
      </c>
      <c r="AA4752">
        <v>0.995591</v>
      </c>
      <c r="AB4752">
        <v>35</v>
      </c>
      <c r="AC4752">
        <v>0.29499999999998699</v>
      </c>
      <c r="AD4752">
        <v>-9.7881200000000002E-2</v>
      </c>
      <c r="AE4752">
        <v>-0.10099999999999899</v>
      </c>
      <c r="AF4752">
        <v>7.18114254188605E-2</v>
      </c>
      <c r="AG4752">
        <v>-9.7881200000000002E-2</v>
      </c>
      <c r="AH4752">
        <v>0.27460660830164801</v>
      </c>
      <c r="AI4752">
        <v>109.026511551916</v>
      </c>
      <c r="AJ4752">
        <v>75.344960493400805</v>
      </c>
      <c r="AK4752">
        <v>0.300243899949796</v>
      </c>
      <c r="AL4752">
        <v>86.301326308306201</v>
      </c>
      <c r="AM4752">
        <v>87.548989701445606</v>
      </c>
      <c r="AN4752">
        <v>1.0000000303983101</v>
      </c>
    </row>
    <row r="4753" spans="1:40" x14ac:dyDescent="0.3">
      <c r="A4753" t="str">
        <f>"20200111154015462"</f>
        <v>20200111154015462</v>
      </c>
      <c r="B4753" t="str">
        <f>"1578728415456185"</f>
        <v>1578728415456185</v>
      </c>
      <c r="C4753" t="s">
        <v>40</v>
      </c>
      <c r="D4753">
        <v>5.7238949999999997</v>
      </c>
      <c r="E4753">
        <v>0.52478440000000004</v>
      </c>
      <c r="F4753" t="s">
        <v>41</v>
      </c>
      <c r="G4753">
        <v>-159.3287</v>
      </c>
      <c r="H4753">
        <v>0.98585270000000003</v>
      </c>
      <c r="I4753">
        <v>145.81639999999999</v>
      </c>
      <c r="J4753">
        <v>-159.90549999999999</v>
      </c>
      <c r="K4753">
        <v>1.088678</v>
      </c>
      <c r="L4753">
        <v>145.95490000000001</v>
      </c>
      <c r="M4753">
        <v>0.99582009999999999</v>
      </c>
      <c r="N4753">
        <v>0</v>
      </c>
      <c r="O4753">
        <v>-8.8768970000000003E-2</v>
      </c>
      <c r="P4753">
        <v>0.9910677</v>
      </c>
      <c r="Q4753">
        <v>4.4813329999999998E-2</v>
      </c>
      <c r="R4753">
        <v>-0.125606</v>
      </c>
      <c r="S4753">
        <v>2.9735719999999999</v>
      </c>
      <c r="T4753">
        <v>-0.32802209999999898</v>
      </c>
      <c r="U4753">
        <v>-0.55624390000000001</v>
      </c>
      <c r="V4753">
        <v>3.9668559999999999E-2</v>
      </c>
      <c r="W4753">
        <v>6.4773310000000001E-2</v>
      </c>
      <c r="X4753">
        <v>0.99711130000000003</v>
      </c>
      <c r="Y4753">
        <v>9.5829129999999998E-2</v>
      </c>
      <c r="Z4753">
        <v>4.4276760000000002E-3</v>
      </c>
      <c r="AA4753">
        <v>0.99538800000000005</v>
      </c>
      <c r="AB4753">
        <v>35</v>
      </c>
      <c r="AC4753">
        <v>0.57679999999999099</v>
      </c>
      <c r="AD4753">
        <v>-0.10282529999999999</v>
      </c>
      <c r="AE4753">
        <v>-0.138500000000021</v>
      </c>
      <c r="AF4753">
        <v>8.4208950611644698E-2</v>
      </c>
      <c r="AG4753">
        <v>-0.10282529999999999</v>
      </c>
      <c r="AH4753">
        <v>0.56970126544825805</v>
      </c>
      <c r="AI4753">
        <v>100.123474639029</v>
      </c>
      <c r="AJ4753">
        <v>81.591851837107797</v>
      </c>
      <c r="AK4753">
        <v>0.58499890729517701</v>
      </c>
      <c r="AL4753">
        <v>86.2861628916624</v>
      </c>
      <c r="AM4753">
        <v>87.721775783419801</v>
      </c>
      <c r="AN4753">
        <v>1.0000000604642501</v>
      </c>
    </row>
    <row r="4754" spans="1:40" x14ac:dyDescent="0.3">
      <c r="A4754" t="str">
        <f>"20200111154015515"</f>
        <v>20200111154015515</v>
      </c>
      <c r="B4754" t="str">
        <f>"1578728415505964"</f>
        <v>1578728415505964</v>
      </c>
      <c r="C4754" t="s">
        <v>40</v>
      </c>
      <c r="D4754">
        <v>5.6641050000000002</v>
      </c>
      <c r="E4754">
        <v>0.52359529999999999</v>
      </c>
      <c r="F4754" t="s">
        <v>41</v>
      </c>
      <c r="G4754">
        <v>-159.01050000000001</v>
      </c>
      <c r="H4754">
        <v>0.9920563</v>
      </c>
      <c r="I4754">
        <v>145.77780000000001</v>
      </c>
      <c r="J4754">
        <v>-159.06549999999999</v>
      </c>
      <c r="K4754">
        <v>1.0902969999999901</v>
      </c>
      <c r="L4754">
        <v>145.8519</v>
      </c>
      <c r="M4754">
        <v>0.99243349999999997</v>
      </c>
      <c r="N4754">
        <v>0</v>
      </c>
      <c r="O4754">
        <v>-0.1209766</v>
      </c>
      <c r="P4754">
        <v>0.98838550000000003</v>
      </c>
      <c r="Q4754">
        <v>3.7189680000000003E-2</v>
      </c>
      <c r="R4754">
        <v>-0.147346799999999</v>
      </c>
      <c r="S4754">
        <v>2.967117</v>
      </c>
      <c r="T4754">
        <v>-0.3201792</v>
      </c>
      <c r="U4754">
        <v>-0.58702089999999996</v>
      </c>
      <c r="V4754">
        <v>2.8684290000000001E-2</v>
      </c>
      <c r="W4754">
        <v>5.7170499999999999E-2</v>
      </c>
      <c r="X4754">
        <v>0.99795230000000001</v>
      </c>
      <c r="Y4754">
        <v>7.4209259999999999E-2</v>
      </c>
      <c r="Z4754">
        <v>8.87958199999999E-3</v>
      </c>
      <c r="AA4754">
        <v>0.99720319999999996</v>
      </c>
      <c r="AB4754">
        <v>35</v>
      </c>
      <c r="AC4754">
        <v>5.49999999999784E-2</v>
      </c>
      <c r="AD4754">
        <v>-9.8240699999999806E-2</v>
      </c>
      <c r="AE4754">
        <v>-7.4099999999987107E-2</v>
      </c>
      <c r="AF4754">
        <v>3.1359563633633E-2</v>
      </c>
      <c r="AG4754">
        <v>-9.8240699999999806E-2</v>
      </c>
      <c r="AH4754">
        <v>2.9794811014012001E-2</v>
      </c>
      <c r="AI4754">
        <v>156.23540007262901</v>
      </c>
      <c r="AJ4754">
        <v>43.534296783742597</v>
      </c>
      <c r="AK4754">
        <v>0.10734238739259699</v>
      </c>
      <c r="AL4754">
        <v>86.722584705870005</v>
      </c>
      <c r="AM4754">
        <v>88.3535922708991</v>
      </c>
      <c r="AN4754">
        <v>1.00000002381917</v>
      </c>
    </row>
    <row r="4755" spans="1:40" x14ac:dyDescent="0.3">
      <c r="A4755" t="str">
        <f>"20200111154015560"</f>
        <v>20200111154015560</v>
      </c>
      <c r="B4755" t="str">
        <f>"1578728415555736"</f>
        <v>1578728415555736</v>
      </c>
      <c r="C4755" t="s">
        <v>40</v>
      </c>
      <c r="D4755">
        <v>5.7973400000000002</v>
      </c>
      <c r="E4755">
        <v>0.52136990000000005</v>
      </c>
      <c r="F4755" t="s">
        <v>41</v>
      </c>
      <c r="G4755">
        <v>-158.08330000000001</v>
      </c>
      <c r="H4755">
        <v>0.97713709999999998</v>
      </c>
      <c r="I4755">
        <v>145.63849999999999</v>
      </c>
      <c r="J4755">
        <v>-158.3794</v>
      </c>
      <c r="K4755">
        <v>1.092225</v>
      </c>
      <c r="L4755">
        <v>145.74979999999999</v>
      </c>
      <c r="M4755">
        <v>0.98961169999999998</v>
      </c>
      <c r="N4755">
        <v>0</v>
      </c>
      <c r="O4755">
        <v>-0.14229600000000001</v>
      </c>
      <c r="P4755">
        <v>0.98517010000000005</v>
      </c>
      <c r="Q4755">
        <v>3.5955139999999997E-2</v>
      </c>
      <c r="R4755">
        <v>-0.16777</v>
      </c>
      <c r="S4755">
        <v>2.9525299999999999</v>
      </c>
      <c r="T4755">
        <v>-0.34011730000000001</v>
      </c>
      <c r="U4755">
        <v>-0.64091489999999995</v>
      </c>
      <c r="V4755">
        <v>2.7549290000000001E-2</v>
      </c>
      <c r="W4755">
        <v>5.5618960000000002E-2</v>
      </c>
      <c r="X4755">
        <v>0.99807190000000001</v>
      </c>
      <c r="Y4755">
        <v>7.1326870000000001E-2</v>
      </c>
      <c r="Z4755">
        <v>1.200445E-2</v>
      </c>
      <c r="AA4755">
        <v>0.99738070000000001</v>
      </c>
      <c r="AB4755">
        <v>35</v>
      </c>
      <c r="AC4755">
        <v>0.29609999999999498</v>
      </c>
      <c r="AD4755">
        <v>-0.11508790000000001</v>
      </c>
      <c r="AE4755">
        <v>-0.111299999999999</v>
      </c>
      <c r="AF4755">
        <v>6.0072504683955197E-2</v>
      </c>
      <c r="AG4755">
        <v>-0.11508790000000001</v>
      </c>
      <c r="AH4755">
        <v>0.272814370744907</v>
      </c>
      <c r="AI4755">
        <v>112.390911717105</v>
      </c>
      <c r="AJ4755">
        <v>77.581896117312397</v>
      </c>
      <c r="AK4755">
        <v>0.30212846842089103</v>
      </c>
      <c r="AL4755">
        <v>86.8116229502522</v>
      </c>
      <c r="AM4755">
        <v>88.418894115988394</v>
      </c>
      <c r="AN4755">
        <v>0.99999997483029701</v>
      </c>
    </row>
    <row r="4756" spans="1:40" x14ac:dyDescent="0.3">
      <c r="A4756" t="str">
        <f>"20200111154015619"</f>
        <v>20200111154015619</v>
      </c>
      <c r="B4756" t="str">
        <f>"1578728415605513"</f>
        <v>1578728415605513</v>
      </c>
      <c r="C4756" t="s">
        <v>40</v>
      </c>
      <c r="D4756">
        <v>5.7743840000000004</v>
      </c>
      <c r="E4756">
        <v>0.50959639999999995</v>
      </c>
      <c r="F4756" t="s">
        <v>41</v>
      </c>
      <c r="G4756">
        <v>-157.4633</v>
      </c>
      <c r="H4756">
        <v>0.98563500000000004</v>
      </c>
      <c r="I4756">
        <v>145.53710000000001</v>
      </c>
      <c r="J4756">
        <v>-157.48150000000001</v>
      </c>
      <c r="K4756">
        <v>1.0949500000000001</v>
      </c>
      <c r="L4756">
        <v>145.5986</v>
      </c>
      <c r="M4756">
        <v>0.986398</v>
      </c>
      <c r="N4756">
        <v>0</v>
      </c>
      <c r="O4756">
        <v>-0.16315869999999999</v>
      </c>
      <c r="P4756">
        <v>0.98221000000000003</v>
      </c>
      <c r="Q4756">
        <v>2.7826190000000001E-2</v>
      </c>
      <c r="R4756">
        <v>-0.18571280000000001</v>
      </c>
      <c r="S4756">
        <v>2.941376</v>
      </c>
      <c r="T4756">
        <v>-0.34217009999999998</v>
      </c>
      <c r="U4756">
        <v>-0.68264769999999997</v>
      </c>
      <c r="V4756">
        <v>2.4069960000000001E-2</v>
      </c>
      <c r="W4756">
        <v>4.7204419999999997E-2</v>
      </c>
      <c r="X4756">
        <v>0.99859520000000002</v>
      </c>
      <c r="Y4756">
        <v>6.4696329999999996E-2</v>
      </c>
      <c r="Z4756">
        <v>1.482345E-2</v>
      </c>
      <c r="AA4756">
        <v>0.99779490000000004</v>
      </c>
      <c r="AB4756">
        <v>35</v>
      </c>
      <c r="AC4756">
        <v>1.8200000000007301E-2</v>
      </c>
      <c r="AD4756">
        <v>-0.109315</v>
      </c>
      <c r="AE4756">
        <v>-6.1499999999995197E-2</v>
      </c>
      <c r="AF4756">
        <v>1.47772572313437E-2</v>
      </c>
      <c r="AG4756">
        <v>-0.109315</v>
      </c>
      <c r="AH4756">
        <v>7.16828093357852E-3</v>
      </c>
      <c r="AI4756">
        <v>171.45546340044999</v>
      </c>
      <c r="AJ4756">
        <v>25.8775007841442</v>
      </c>
      <c r="AK4756">
        <v>0.110541941397028</v>
      </c>
      <c r="AL4756">
        <v>87.294380513304503</v>
      </c>
      <c r="AM4756">
        <v>88.619220150760796</v>
      </c>
      <c r="AN4756">
        <v>0.99999999685248897</v>
      </c>
    </row>
    <row r="4757" spans="1:40" x14ac:dyDescent="0.3">
      <c r="A4757" t="str">
        <f>"20200111154015649"</f>
        <v>20200111154015649</v>
      </c>
      <c r="B4757" t="str">
        <f>"1578728415645529"</f>
        <v>1578728415645529</v>
      </c>
      <c r="C4757" t="s">
        <v>40</v>
      </c>
      <c r="D4757">
        <v>5.8388080000000002</v>
      </c>
      <c r="E4757">
        <v>0.51098100000000002</v>
      </c>
      <c r="F4757" t="s">
        <v>41</v>
      </c>
      <c r="G4757">
        <v>-156.54910000000001</v>
      </c>
      <c r="H4757">
        <v>0.98224940000000005</v>
      </c>
      <c r="I4757">
        <v>145.39490000000001</v>
      </c>
      <c r="J4757">
        <v>-157.00960000000001</v>
      </c>
      <c r="K4757">
        <v>1.0966</v>
      </c>
      <c r="L4757">
        <v>145.51339999999999</v>
      </c>
      <c r="M4757">
        <v>0.98518859999999997</v>
      </c>
      <c r="N4757">
        <v>0</v>
      </c>
      <c r="O4757">
        <v>-0.17033989999999999</v>
      </c>
      <c r="P4757">
        <v>0.98146420000000001</v>
      </c>
      <c r="Q4757">
        <v>2.4134579999999999E-2</v>
      </c>
      <c r="R4757">
        <v>-0.1901205</v>
      </c>
      <c r="S4757">
        <v>2.9428559999999999</v>
      </c>
      <c r="T4757">
        <v>-0.35572310000000001</v>
      </c>
      <c r="U4757">
        <v>-0.64289859999999999</v>
      </c>
      <c r="V4757">
        <v>2.099639E-2</v>
      </c>
      <c r="W4757">
        <v>4.3401259999999997E-2</v>
      </c>
      <c r="X4757">
        <v>0.99883710000000003</v>
      </c>
      <c r="Y4757">
        <v>4.4715909999999998E-2</v>
      </c>
      <c r="Z4757">
        <v>1.74541E-2</v>
      </c>
      <c r="AA4757">
        <v>0.99884720000000005</v>
      </c>
      <c r="AB4757">
        <v>34</v>
      </c>
      <c r="AC4757">
        <v>0.46049999999999602</v>
      </c>
      <c r="AD4757">
        <v>-0.114350599999999</v>
      </c>
      <c r="AE4757">
        <v>-0.11849999999998299</v>
      </c>
      <c r="AF4757">
        <v>3.6216277428677203E-2</v>
      </c>
      <c r="AG4757">
        <v>-0.114350599999999</v>
      </c>
      <c r="AH4757">
        <v>0.44804498774929802</v>
      </c>
      <c r="AI4757">
        <v>104.272812866775</v>
      </c>
      <c r="AJ4757">
        <v>85.378727015608305</v>
      </c>
      <c r="AK4757">
        <v>0.46382323089558603</v>
      </c>
      <c r="AL4757">
        <v>87.512509711591605</v>
      </c>
      <c r="AM4757">
        <v>88.795772217284096</v>
      </c>
      <c r="AN4757">
        <v>1.00000003504951</v>
      </c>
    </row>
    <row r="4758" spans="1:40" x14ac:dyDescent="0.3">
      <c r="A4758" t="str">
        <f>"20200111154015685"</f>
        <v>20200111154015685</v>
      </c>
      <c r="B4758" t="str">
        <f>"1578728415675786"</f>
        <v>1578728415675786</v>
      </c>
      <c r="C4758" t="s">
        <v>40</v>
      </c>
      <c r="D4758">
        <v>5.7976809999999999</v>
      </c>
      <c r="E4758">
        <v>0.50988480000000003</v>
      </c>
      <c r="F4758" t="s">
        <v>41</v>
      </c>
      <c r="G4758">
        <v>-156.24260000000001</v>
      </c>
      <c r="H4758">
        <v>0.9925908</v>
      </c>
      <c r="I4758">
        <v>145.3389</v>
      </c>
      <c r="J4758">
        <v>-156.47909999999999</v>
      </c>
      <c r="K4758">
        <v>1.098754</v>
      </c>
      <c r="L4758">
        <v>145.41550000000001</v>
      </c>
      <c r="M4758">
        <v>0.98433729999999997</v>
      </c>
      <c r="N4758">
        <v>0</v>
      </c>
      <c r="O4758">
        <v>-0.17522399999999999</v>
      </c>
      <c r="P4758">
        <v>0.98098949999999996</v>
      </c>
      <c r="Q4758">
        <v>2.508871E-2</v>
      </c>
      <c r="R4758">
        <v>-0.19243260000000001</v>
      </c>
      <c r="S4758">
        <v>2.9370880000000001</v>
      </c>
      <c r="T4758">
        <v>-0.39834520000000001</v>
      </c>
      <c r="U4758">
        <v>-0.66784670000000002</v>
      </c>
      <c r="V4758">
        <v>1.8188920000000001E-2</v>
      </c>
      <c r="W4758">
        <v>4.422015E-2</v>
      </c>
      <c r="X4758">
        <v>0.99885619999999997</v>
      </c>
      <c r="Y4758">
        <v>4.847891E-2</v>
      </c>
      <c r="Z4758">
        <v>1.993019E-2</v>
      </c>
      <c r="AA4758">
        <v>0.99862530000000005</v>
      </c>
      <c r="AB4758">
        <v>34</v>
      </c>
      <c r="AC4758">
        <v>0.23649999999997801</v>
      </c>
      <c r="AD4758">
        <v>-0.106163199999999</v>
      </c>
      <c r="AE4758">
        <v>-7.6600000000013296E-2</v>
      </c>
      <c r="AF4758">
        <v>2.87271057968147E-2</v>
      </c>
      <c r="AG4758">
        <v>-0.106163199999999</v>
      </c>
      <c r="AH4758">
        <v>0.20827968967093799</v>
      </c>
      <c r="AI4758">
        <v>116.79078201604401</v>
      </c>
      <c r="AJ4758">
        <v>82.14699100771</v>
      </c>
      <c r="AK4758">
        <v>0.23553407560504599</v>
      </c>
      <c r="AL4758">
        <v>87.465545547476495</v>
      </c>
      <c r="AM4758">
        <v>88.956773575172605</v>
      </c>
      <c r="AN4758">
        <v>0.99999998337761398</v>
      </c>
    </row>
    <row r="4759" spans="1:40" x14ac:dyDescent="0.3">
      <c r="A4759" t="str">
        <f>"20200111154015716"</f>
        <v>20200111154015716</v>
      </c>
      <c r="B4759" t="str">
        <f>"1578728415706040"</f>
        <v>1578728415706040</v>
      </c>
      <c r="C4759" t="s">
        <v>40</v>
      </c>
      <c r="D4759">
        <v>6.1742239999999997</v>
      </c>
      <c r="E4759">
        <v>0.51053919999999997</v>
      </c>
      <c r="F4759" t="s">
        <v>41</v>
      </c>
      <c r="G4759">
        <v>-155.64510000000001</v>
      </c>
      <c r="H4759">
        <v>0.99133830000000001</v>
      </c>
      <c r="I4759">
        <v>145.22669999999999</v>
      </c>
      <c r="J4759">
        <v>-156.0076</v>
      </c>
      <c r="K4759">
        <v>1.1007910000000001</v>
      </c>
      <c r="L4759">
        <v>145.32849999999999</v>
      </c>
      <c r="M4759">
        <v>0.98402420000000002</v>
      </c>
      <c r="N4759">
        <v>0</v>
      </c>
      <c r="O4759">
        <v>-0.17699589999999901</v>
      </c>
      <c r="P4759">
        <v>0.98136769999999995</v>
      </c>
      <c r="Q4759">
        <v>2.6967749999999999E-2</v>
      </c>
      <c r="R4759">
        <v>-0.1902373</v>
      </c>
      <c r="S4759">
        <v>2.9374690000000001</v>
      </c>
      <c r="T4759">
        <v>-0.37848330000000002</v>
      </c>
      <c r="U4759">
        <v>-0.66441349999999999</v>
      </c>
      <c r="V4759">
        <v>1.3968299999999999E-2</v>
      </c>
      <c r="W4759">
        <v>4.6020770000000003E-2</v>
      </c>
      <c r="X4759">
        <v>0.99884280000000003</v>
      </c>
      <c r="Y4759">
        <v>4.5474970000000003E-2</v>
      </c>
      <c r="Z4759">
        <v>1.935508E-2</v>
      </c>
      <c r="AA4759">
        <v>0.99877800000000005</v>
      </c>
      <c r="AB4759">
        <v>34</v>
      </c>
      <c r="AC4759">
        <v>0.362499999999982</v>
      </c>
      <c r="AD4759">
        <v>-0.1094527</v>
      </c>
      <c r="AE4759">
        <v>-0.101799999999997</v>
      </c>
      <c r="AF4759">
        <v>3.3212730078985203E-2</v>
      </c>
      <c r="AG4759">
        <v>-0.1094527</v>
      </c>
      <c r="AH4759">
        <v>0.34559259813933402</v>
      </c>
      <c r="AI4759">
        <v>107.497858409724</v>
      </c>
      <c r="AJ4759">
        <v>84.510521854400295</v>
      </c>
      <c r="AK4759">
        <v>0.36402915112018802</v>
      </c>
      <c r="AL4759">
        <v>87.362272423128601</v>
      </c>
      <c r="AM4759">
        <v>89.198800380739002</v>
      </c>
      <c r="AN4759">
        <v>0.99999998189406103</v>
      </c>
    </row>
    <row r="4760" spans="1:40" x14ac:dyDescent="0.3">
      <c r="A4760" t="str">
        <f>"20200111154015829"</f>
        <v>20200111154015829</v>
      </c>
      <c r="B4760" t="str">
        <f>"1578728415815352"</f>
        <v>1578728415815352</v>
      </c>
      <c r="C4760" t="s">
        <v>40</v>
      </c>
      <c r="D4760">
        <v>5.8712600000000004</v>
      </c>
      <c r="E4760">
        <v>0.50978590000000001</v>
      </c>
      <c r="F4760" t="s">
        <v>41</v>
      </c>
      <c r="G4760">
        <v>-154.16</v>
      </c>
      <c r="H4760">
        <v>1.00647999999999</v>
      </c>
      <c r="I4760">
        <v>144.96680000000001</v>
      </c>
      <c r="J4760">
        <v>-154.3655</v>
      </c>
      <c r="K4760">
        <v>1.106508</v>
      </c>
      <c r="L4760">
        <v>145.04239999999999</v>
      </c>
      <c r="M4760">
        <v>0.98576620000000004</v>
      </c>
      <c r="N4760">
        <v>0</v>
      </c>
      <c r="O4760">
        <v>-0.1670934</v>
      </c>
      <c r="P4760">
        <v>0.98311300000000001</v>
      </c>
      <c r="Q4760">
        <v>4.0079160000000003E-2</v>
      </c>
      <c r="R4760">
        <v>-0.17855760000000001</v>
      </c>
      <c r="S4760">
        <v>2.945786</v>
      </c>
      <c r="T4760">
        <v>-0.341534</v>
      </c>
      <c r="U4760">
        <v>-0.63650509999999905</v>
      </c>
      <c r="V4760">
        <v>1.1553610000000001E-2</v>
      </c>
      <c r="W4760">
        <v>5.8666690000000001E-2</v>
      </c>
      <c r="X4760">
        <v>0.99821079999999995</v>
      </c>
      <c r="Y4760">
        <v>4.5639579999999999E-2</v>
      </c>
      <c r="Z4760">
        <v>1.63342E-2</v>
      </c>
      <c r="AA4760">
        <v>0.99882439999999995</v>
      </c>
      <c r="AB4760">
        <v>34</v>
      </c>
      <c r="AC4760">
        <v>0.20549999999999999</v>
      </c>
      <c r="AD4760">
        <v>-0.10002800000000001</v>
      </c>
      <c r="AE4760">
        <v>-7.55999999999801E-2</v>
      </c>
      <c r="AF4760">
        <v>3.3253586711913197E-2</v>
      </c>
      <c r="AG4760">
        <v>-0.10002800000000001</v>
      </c>
      <c r="AH4760">
        <v>0.178081188706877</v>
      </c>
      <c r="AI4760">
        <v>118.905493769618</v>
      </c>
      <c r="AJ4760">
        <v>79.422818868458407</v>
      </c>
      <c r="AK4760">
        <v>0.20694035755371901</v>
      </c>
      <c r="AL4760">
        <v>86.636715212780103</v>
      </c>
      <c r="AM4760">
        <v>89.336869994654904</v>
      </c>
      <c r="AN4760">
        <v>1.0000000338281101</v>
      </c>
    </row>
    <row r="4761" spans="1:40" x14ac:dyDescent="0.3">
      <c r="A4761" t="str">
        <f>"20200111154015873"</f>
        <v>20200111154015873</v>
      </c>
      <c r="B4761" t="str">
        <f>"1578728415866107"</f>
        <v>1578728415866107</v>
      </c>
      <c r="C4761" t="s">
        <v>40</v>
      </c>
      <c r="D4761">
        <v>6.2118060000000002</v>
      </c>
      <c r="E4761">
        <v>0.50931819999999906</v>
      </c>
      <c r="F4761" t="s">
        <v>41</v>
      </c>
      <c r="G4761">
        <v>-153.5675</v>
      </c>
      <c r="H4761">
        <v>1.019414</v>
      </c>
      <c r="I4761">
        <v>144.8759</v>
      </c>
      <c r="J4761">
        <v>-153.70650000000001</v>
      </c>
      <c r="K4761">
        <v>1.1078749999999999</v>
      </c>
      <c r="L4761">
        <v>144.9391</v>
      </c>
      <c r="M4761">
        <v>0.98713030000000002</v>
      </c>
      <c r="N4761">
        <v>0</v>
      </c>
      <c r="O4761">
        <v>-0.15886239999999999</v>
      </c>
      <c r="P4761">
        <v>0.98428000000000004</v>
      </c>
      <c r="Q4761">
        <v>4.2483970000000003E-2</v>
      </c>
      <c r="R4761">
        <v>-0.17142950000000001</v>
      </c>
      <c r="S4761">
        <v>2.95282</v>
      </c>
      <c r="T4761">
        <v>-0.32235570000000002</v>
      </c>
      <c r="U4761">
        <v>-0.61582950000000003</v>
      </c>
      <c r="V4761">
        <v>1.2463480000000001E-2</v>
      </c>
      <c r="W4761">
        <v>6.0880490000000002E-2</v>
      </c>
      <c r="X4761">
        <v>0.99806729999999999</v>
      </c>
      <c r="Y4761">
        <v>4.6655580000000002E-2</v>
      </c>
      <c r="Z4761">
        <v>1.447534E-2</v>
      </c>
      <c r="AA4761">
        <v>0.99880610000000003</v>
      </c>
      <c r="AB4761">
        <v>33</v>
      </c>
      <c r="AC4761">
        <v>0.13900000000001</v>
      </c>
      <c r="AD4761">
        <v>-8.8460999999999901E-2</v>
      </c>
      <c r="AE4761">
        <v>-6.3199999999994802E-2</v>
      </c>
      <c r="AF4761">
        <v>3.0181617624042301E-2</v>
      </c>
      <c r="AG4761">
        <v>-8.8460999999999901E-2</v>
      </c>
      <c r="AH4761">
        <v>0.11026686990104199</v>
      </c>
      <c r="AI4761">
        <v>127.732072118746</v>
      </c>
      <c r="AJ4761">
        <v>74.692257890168406</v>
      </c>
      <c r="AK4761">
        <v>0.14455124060753399</v>
      </c>
      <c r="AL4761">
        <v>86.509646660415598</v>
      </c>
      <c r="AM4761">
        <v>89.284549562713707</v>
      </c>
      <c r="AN4761">
        <v>1.00000005386281</v>
      </c>
    </row>
    <row r="4762" spans="1:40" x14ac:dyDescent="0.3">
      <c r="A4762" t="str">
        <f>"20200111154015910"</f>
        <v>20200111154015910</v>
      </c>
      <c r="B4762" t="str">
        <f>"1578728415906121"</f>
        <v>1578728415906121</v>
      </c>
      <c r="C4762" t="s">
        <v>40</v>
      </c>
      <c r="D4762">
        <v>6.1981659999999996</v>
      </c>
      <c r="E4762">
        <v>0.50908739999999997</v>
      </c>
      <c r="F4762" t="s">
        <v>41</v>
      </c>
      <c r="G4762">
        <v>-152.97829999999999</v>
      </c>
      <c r="H4762">
        <v>1.0299560000000001</v>
      </c>
      <c r="I4762">
        <v>144.79399999999899</v>
      </c>
      <c r="J4762">
        <v>-153.1799</v>
      </c>
      <c r="K4762">
        <v>1.108652</v>
      </c>
      <c r="L4762">
        <v>144.86250000000001</v>
      </c>
      <c r="M4762">
        <v>0.98833720000000003</v>
      </c>
      <c r="N4762">
        <v>0</v>
      </c>
      <c r="O4762">
        <v>-0.15119099999999999</v>
      </c>
      <c r="P4762">
        <v>0.98548409999999997</v>
      </c>
      <c r="Q4762">
        <v>4.331227E-2</v>
      </c>
      <c r="R4762">
        <v>-0.16414909999999999</v>
      </c>
      <c r="S4762">
        <v>2.9588930000000002</v>
      </c>
      <c r="T4762">
        <v>-0.31664340000000002</v>
      </c>
      <c r="U4762">
        <v>-0.58969119999999997</v>
      </c>
      <c r="V4762">
        <v>1.2725469999999999E-2</v>
      </c>
      <c r="W4762">
        <v>6.1582030000000003E-2</v>
      </c>
      <c r="X4762">
        <v>0.99802089999999999</v>
      </c>
      <c r="Y4762">
        <v>4.5475349999999998E-2</v>
      </c>
      <c r="Z4762">
        <v>1.3472140000000001E-2</v>
      </c>
      <c r="AA4762">
        <v>0.99887459999999995</v>
      </c>
      <c r="AB4762">
        <v>33</v>
      </c>
      <c r="AC4762">
        <v>0.20160000000001299</v>
      </c>
      <c r="AD4762">
        <v>-7.8696000000000099E-2</v>
      </c>
      <c r="AE4762">
        <v>-6.8500000000028594E-2</v>
      </c>
      <c r="AF4762">
        <v>3.2752873957225703E-2</v>
      </c>
      <c r="AG4762">
        <v>-7.8696000000000099E-2</v>
      </c>
      <c r="AH4762">
        <v>0.18444371190004999</v>
      </c>
      <c r="AI4762">
        <v>112.787015521512</v>
      </c>
      <c r="AJ4762">
        <v>79.930579902760698</v>
      </c>
      <c r="AK4762">
        <v>0.20318782942865099</v>
      </c>
      <c r="AL4762">
        <v>86.469375627700302</v>
      </c>
      <c r="AM4762">
        <v>89.269478010082494</v>
      </c>
      <c r="AN4762">
        <v>1.0000000004212199</v>
      </c>
    </row>
    <row r="4763" spans="1:40" x14ac:dyDescent="0.3">
      <c r="A4763" t="str">
        <f>"20200111154015934"</f>
        <v>20200111154015934</v>
      </c>
      <c r="B4763" t="str">
        <f>"1578728415925640"</f>
        <v>1578728415925640</v>
      </c>
      <c r="C4763" t="s">
        <v>40</v>
      </c>
      <c r="D4763">
        <v>6.2528489999999897</v>
      </c>
      <c r="E4763">
        <v>0.50899929999999904</v>
      </c>
      <c r="F4763" t="s">
        <v>41</v>
      </c>
      <c r="G4763">
        <v>-152.3997</v>
      </c>
      <c r="H4763">
        <v>1.0263169999999999</v>
      </c>
      <c r="I4763">
        <v>144.71369999999999</v>
      </c>
      <c r="J4763">
        <v>-152.82579999999999</v>
      </c>
      <c r="K4763">
        <v>1.109094</v>
      </c>
      <c r="L4763">
        <v>144.81379999999999</v>
      </c>
      <c r="M4763">
        <v>0.98917759999999999</v>
      </c>
      <c r="N4763">
        <v>0</v>
      </c>
      <c r="O4763">
        <v>-0.14560209999999901</v>
      </c>
      <c r="P4763">
        <v>0.98621809999999999</v>
      </c>
      <c r="Q4763">
        <v>4.2802510000000002E-2</v>
      </c>
      <c r="R4763">
        <v>-0.15981860000000001</v>
      </c>
      <c r="S4763">
        <v>2.9637760000000002</v>
      </c>
      <c r="T4763">
        <v>-0.31284420000000002</v>
      </c>
      <c r="U4763">
        <v>-0.56542969999999904</v>
      </c>
      <c r="V4763">
        <v>1.392176E-2</v>
      </c>
      <c r="W4763">
        <v>6.1023750000000002E-2</v>
      </c>
      <c r="X4763">
        <v>0.99803920000000002</v>
      </c>
      <c r="Y4763">
        <v>4.2899260000000002E-2</v>
      </c>
      <c r="Z4763">
        <v>1.2862760000000001E-2</v>
      </c>
      <c r="AA4763">
        <v>0.99899660000000001</v>
      </c>
      <c r="AB4763">
        <v>33</v>
      </c>
      <c r="AC4763">
        <v>0.42609999999999099</v>
      </c>
      <c r="AD4763">
        <v>-8.27770000000001E-2</v>
      </c>
      <c r="AE4763">
        <v>-0.100099999999997</v>
      </c>
      <c r="AF4763">
        <v>3.5704680942529897E-2</v>
      </c>
      <c r="AG4763">
        <v>-8.27770000000001E-2</v>
      </c>
      <c r="AH4763">
        <v>0.42107478879700899</v>
      </c>
      <c r="AI4763">
        <v>101.08288959630799</v>
      </c>
      <c r="AJ4763">
        <v>85.153246728494096</v>
      </c>
      <c r="AK4763">
        <v>0.43061680614051001</v>
      </c>
      <c r="AL4763">
        <v>86.501422915598297</v>
      </c>
      <c r="AM4763">
        <v>89.200826618895903</v>
      </c>
      <c r="AN4763">
        <v>0.99999997910109895</v>
      </c>
    </row>
    <row r="4764" spans="1:40" x14ac:dyDescent="0.3">
      <c r="A4764" t="str">
        <f>"20200111154015962"</f>
        <v>20200111154015962</v>
      </c>
      <c r="B4764" t="str">
        <f>"1578728415955896"</f>
        <v>1578728415955896</v>
      </c>
      <c r="C4764" t="s">
        <v>40</v>
      </c>
      <c r="D4764">
        <v>6.1844029999999997</v>
      </c>
      <c r="E4764">
        <v>0.50857640000000004</v>
      </c>
      <c r="F4764" t="s">
        <v>41</v>
      </c>
      <c r="G4764">
        <v>-152.10659999999999</v>
      </c>
      <c r="H4764">
        <v>1.032826</v>
      </c>
      <c r="I4764">
        <v>144.68010000000001</v>
      </c>
      <c r="J4764">
        <v>-152.4111</v>
      </c>
      <c r="K4764">
        <v>1.1095820000000001</v>
      </c>
      <c r="L4764">
        <v>144.7602</v>
      </c>
      <c r="M4764">
        <v>0.99019219999999997</v>
      </c>
      <c r="N4764">
        <v>0</v>
      </c>
      <c r="O4764">
        <v>-0.13853959999999901</v>
      </c>
      <c r="P4764">
        <v>0.98638669999999995</v>
      </c>
      <c r="Q4764">
        <v>4.3560130000000002E-2</v>
      </c>
      <c r="R4764">
        <v>-0.15856819999999999</v>
      </c>
      <c r="S4764">
        <v>2.9662929999999998</v>
      </c>
      <c r="T4764">
        <v>-0.31478329999999999</v>
      </c>
      <c r="U4764">
        <v>-0.5510254</v>
      </c>
      <c r="V4764">
        <v>1.9713620000000001E-2</v>
      </c>
      <c r="W4764">
        <v>6.1806189999999997E-2</v>
      </c>
      <c r="X4764">
        <v>0.99789349999999999</v>
      </c>
      <c r="Y4764">
        <v>4.5144620000000003E-2</v>
      </c>
      <c r="Z4764">
        <v>1.2089859999999999E-2</v>
      </c>
      <c r="AA4764">
        <v>0.99890730000000005</v>
      </c>
      <c r="AB4764">
        <v>33</v>
      </c>
      <c r="AC4764">
        <v>0.30450000000001798</v>
      </c>
      <c r="AD4764">
        <v>-7.6756000000000005E-2</v>
      </c>
      <c r="AE4764">
        <v>-8.0099999999987403E-2</v>
      </c>
      <c r="AF4764">
        <v>3.5052064977458899E-2</v>
      </c>
      <c r="AG4764">
        <v>-7.6756000000000005E-2</v>
      </c>
      <c r="AH4764">
        <v>0.29512293677671703</v>
      </c>
      <c r="AI4764">
        <v>104.4811276984</v>
      </c>
      <c r="AJ4764">
        <v>83.226649985594605</v>
      </c>
      <c r="AK4764">
        <v>0.30694898372025697</v>
      </c>
      <c r="AL4764">
        <v>86.456507815073095</v>
      </c>
      <c r="AM4764">
        <v>88.868255658548705</v>
      </c>
      <c r="AN4764">
        <v>1.0000000346390301</v>
      </c>
    </row>
    <row r="4765" spans="1:40" x14ac:dyDescent="0.3">
      <c r="A4765" t="str">
        <f>"20200111154016007"</f>
        <v>20200111154016007</v>
      </c>
      <c r="B4765" t="str">
        <f>"1578728415995912"</f>
        <v>1578728415995912</v>
      </c>
      <c r="C4765" t="s">
        <v>40</v>
      </c>
      <c r="D4765">
        <v>5.8321160000000001</v>
      </c>
      <c r="E4765">
        <v>0.50237010000000004</v>
      </c>
      <c r="F4765" t="s">
        <v>41</v>
      </c>
      <c r="G4765">
        <v>-151.53919999999999</v>
      </c>
      <c r="H4765">
        <v>1.0176339999999999</v>
      </c>
      <c r="I4765">
        <v>144.601</v>
      </c>
      <c r="J4765">
        <v>-151.77969999999999</v>
      </c>
      <c r="K4765">
        <v>1.1102320000000001</v>
      </c>
      <c r="L4765">
        <v>144.68549999999999</v>
      </c>
      <c r="M4765">
        <v>0.99175049999999998</v>
      </c>
      <c r="N4765">
        <v>0</v>
      </c>
      <c r="O4765">
        <v>-0.126907399999999</v>
      </c>
      <c r="P4765">
        <v>0.98656639999999995</v>
      </c>
      <c r="Q4765">
        <v>5.1007780000000003E-2</v>
      </c>
      <c r="R4765">
        <v>-0.15519430000000001</v>
      </c>
      <c r="S4765">
        <v>2.96814</v>
      </c>
      <c r="T4765">
        <v>-0.31323489999999998</v>
      </c>
      <c r="U4765">
        <v>-0.54174800000000001</v>
      </c>
      <c r="V4765">
        <v>2.7888309999999999E-2</v>
      </c>
      <c r="W4765">
        <v>6.9356319999999999E-2</v>
      </c>
      <c r="X4765">
        <v>0.99720200000000003</v>
      </c>
      <c r="Y4765">
        <v>5.3626189999999997E-2</v>
      </c>
      <c r="Z4765">
        <v>1.0385800000000001E-2</v>
      </c>
      <c r="AA4765">
        <v>0.99850709999999998</v>
      </c>
      <c r="AB4765">
        <v>33</v>
      </c>
      <c r="AC4765">
        <v>0.24049999999999699</v>
      </c>
      <c r="AD4765">
        <v>-9.2597999999999903E-2</v>
      </c>
      <c r="AE4765">
        <v>-8.4499999999991304E-2</v>
      </c>
      <c r="AF4765">
        <v>4.70782332100552E-2</v>
      </c>
      <c r="AG4765">
        <v>-9.2597999999999903E-2</v>
      </c>
      <c r="AH4765">
        <v>0.22022131570702999</v>
      </c>
      <c r="AI4765">
        <v>112.351790872104</v>
      </c>
      <c r="AJ4765">
        <v>77.933118101484098</v>
      </c>
      <c r="AK4765">
        <v>0.24349163751126099</v>
      </c>
      <c r="AL4765">
        <v>86.022982557148694</v>
      </c>
      <c r="AM4765">
        <v>88.398051675590807</v>
      </c>
      <c r="AN4765">
        <v>0.99999994288129701</v>
      </c>
    </row>
    <row r="4766" spans="1:40" x14ac:dyDescent="0.3">
      <c r="A4766" t="str">
        <f>"20200111154016040"</f>
        <v>20200111154016040</v>
      </c>
      <c r="B4766" t="str">
        <f>"1578728416035930"</f>
        <v>1578728416035930</v>
      </c>
      <c r="C4766" t="s">
        <v>40</v>
      </c>
      <c r="D4766">
        <v>6.0112629999999996</v>
      </c>
      <c r="E4766">
        <v>0.50189019999999995</v>
      </c>
      <c r="F4766" t="s">
        <v>41</v>
      </c>
      <c r="G4766">
        <v>-150.96340000000001</v>
      </c>
      <c r="H4766">
        <v>1.017714</v>
      </c>
      <c r="I4766">
        <v>144.5538</v>
      </c>
      <c r="J4766">
        <v>-151.30789999999999</v>
      </c>
      <c r="K4766">
        <v>1.1105940000000001</v>
      </c>
      <c r="L4766">
        <v>144.6354</v>
      </c>
      <c r="M4766">
        <v>0.99289430000000001</v>
      </c>
      <c r="N4766">
        <v>0</v>
      </c>
      <c r="O4766">
        <v>-0.11761870000000001</v>
      </c>
      <c r="P4766">
        <v>0.98719979999999996</v>
      </c>
      <c r="Q4766">
        <v>5.3240429999999998E-2</v>
      </c>
      <c r="R4766">
        <v>-0.1503401</v>
      </c>
      <c r="S4766">
        <v>2.9826809999999999</v>
      </c>
      <c r="T4766">
        <v>-0.338281099999999</v>
      </c>
      <c r="U4766">
        <v>-0.48097230000000002</v>
      </c>
      <c r="V4766">
        <v>3.2250630000000002E-2</v>
      </c>
      <c r="W4766">
        <v>7.1688450000000001E-2</v>
      </c>
      <c r="X4766">
        <v>0.99690559999999995</v>
      </c>
      <c r="Y4766">
        <v>4.2420649999999997E-2</v>
      </c>
      <c r="Z4766">
        <v>1.077812E-2</v>
      </c>
      <c r="AA4766">
        <v>0.99904170000000003</v>
      </c>
      <c r="AB4766">
        <v>33</v>
      </c>
      <c r="AC4766">
        <v>0.34449999999998199</v>
      </c>
      <c r="AD4766">
        <v>-9.2880000000000004E-2</v>
      </c>
      <c r="AE4766">
        <v>-8.1600000000008693E-2</v>
      </c>
      <c r="AF4766">
        <v>3.7898697448555597E-2</v>
      </c>
      <c r="AG4766">
        <v>-9.2880000000000004E-2</v>
      </c>
      <c r="AH4766">
        <v>0.32905908709784099</v>
      </c>
      <c r="AI4766">
        <v>105.66379924595201</v>
      </c>
      <c r="AJ4766">
        <v>83.430025259070305</v>
      </c>
      <c r="AK4766">
        <v>0.34401001216528798</v>
      </c>
      <c r="AL4766">
        <v>85.889028257808405</v>
      </c>
      <c r="AM4766">
        <v>88.147085577631401</v>
      </c>
      <c r="AN4766">
        <v>1.0000000561550699</v>
      </c>
    </row>
    <row r="4767" spans="1:40" x14ac:dyDescent="0.3">
      <c r="A4767" t="str">
        <f>"20200111154016063"</f>
        <v>20200111154016063</v>
      </c>
      <c r="B4767" t="str">
        <f>"1578728416056425"</f>
        <v>1578728416056425</v>
      </c>
      <c r="C4767" t="s">
        <v>40</v>
      </c>
      <c r="D4767">
        <v>6.3077899999999998</v>
      </c>
      <c r="E4767">
        <v>0.50134990000000001</v>
      </c>
      <c r="F4767" t="s">
        <v>41</v>
      </c>
      <c r="G4767">
        <v>-150.39599999999999</v>
      </c>
      <c r="H4767">
        <v>1.0126360000000001</v>
      </c>
      <c r="I4767">
        <v>144.494</v>
      </c>
      <c r="J4767">
        <v>-150.98220000000001</v>
      </c>
      <c r="K4767">
        <v>1.110787</v>
      </c>
      <c r="L4767">
        <v>144.60380000000001</v>
      </c>
      <c r="M4767">
        <v>0.99366120000000002</v>
      </c>
      <c r="N4767">
        <v>0</v>
      </c>
      <c r="O4767">
        <v>-0.1109492</v>
      </c>
      <c r="P4767">
        <v>0.98758420000000002</v>
      </c>
      <c r="Q4767">
        <v>5.3928169999999997E-2</v>
      </c>
      <c r="R4767">
        <v>-0.147544799999999</v>
      </c>
      <c r="S4767">
        <v>2.9857640000000001</v>
      </c>
      <c r="T4767">
        <v>-0.32091530000000001</v>
      </c>
      <c r="U4767">
        <v>-0.4625244</v>
      </c>
      <c r="V4767">
        <v>3.6090259999999999E-2</v>
      </c>
      <c r="W4767">
        <v>7.2471759999999996E-2</v>
      </c>
      <c r="X4767">
        <v>0.99671730000000003</v>
      </c>
      <c r="Y4767">
        <v>4.2858760000000003E-2</v>
      </c>
      <c r="Z4767">
        <v>9.4962250000000005E-3</v>
      </c>
      <c r="AA4767">
        <v>0.99903600000000004</v>
      </c>
      <c r="AB4767">
        <v>32</v>
      </c>
      <c r="AC4767">
        <v>0.58619999999999095</v>
      </c>
      <c r="AD4767">
        <v>-9.8151000000000099E-2</v>
      </c>
      <c r="AE4767">
        <v>-0.109800000000006</v>
      </c>
      <c r="AF4767">
        <v>4.2910585354581497E-2</v>
      </c>
      <c r="AG4767">
        <v>-9.8151000000000099E-2</v>
      </c>
      <c r="AH4767">
        <v>0.579079744579446</v>
      </c>
      <c r="AI4767">
        <v>99.5940960002537</v>
      </c>
      <c r="AJ4767">
        <v>85.762051475734395</v>
      </c>
      <c r="AK4767">
        <v>0.58890431117344499</v>
      </c>
      <c r="AL4767">
        <v>85.844030704322094</v>
      </c>
      <c r="AM4767">
        <v>87.926276002983698</v>
      </c>
      <c r="AN4767">
        <v>1.0000000194918199</v>
      </c>
    </row>
    <row r="4768" spans="1:40" x14ac:dyDescent="0.3">
      <c r="A4768" t="str">
        <f>"20200111154016086"</f>
        <v>20200111154016086</v>
      </c>
      <c r="B4768" t="str">
        <f>"1578728416075945"</f>
        <v>1578728416075945</v>
      </c>
      <c r="C4768" t="s">
        <v>40</v>
      </c>
      <c r="D4768">
        <v>5.9821519999999904</v>
      </c>
      <c r="E4768">
        <v>0.50066999999999995</v>
      </c>
      <c r="F4768" t="s">
        <v>41</v>
      </c>
      <c r="G4768">
        <v>-150.10910000000001</v>
      </c>
      <c r="H4768">
        <v>1.017423</v>
      </c>
      <c r="I4768">
        <v>144.47219999999999</v>
      </c>
      <c r="J4768">
        <v>-150.64689999999999</v>
      </c>
      <c r="K4768">
        <v>1.1109370000000001</v>
      </c>
      <c r="L4768">
        <v>144.5737</v>
      </c>
      <c r="M4768">
        <v>0.99441840000000004</v>
      </c>
      <c r="N4768">
        <v>0</v>
      </c>
      <c r="O4768">
        <v>-0.1039351</v>
      </c>
      <c r="P4768">
        <v>0.98814219999999997</v>
      </c>
      <c r="Q4768">
        <v>5.4988919999999997E-2</v>
      </c>
      <c r="R4768">
        <v>-0.14335880000000001</v>
      </c>
      <c r="S4768">
        <v>2.9879150000000001</v>
      </c>
      <c r="T4768">
        <v>-0.31969900000000001</v>
      </c>
      <c r="U4768">
        <v>-0.45019530000000002</v>
      </c>
      <c r="V4768">
        <v>3.8869420000000002E-2</v>
      </c>
      <c r="W4768">
        <v>7.3627849999999995E-2</v>
      </c>
      <c r="X4768">
        <v>0.99652799999999997</v>
      </c>
      <c r="Y4768">
        <v>4.5713450000000003E-2</v>
      </c>
      <c r="Z4768">
        <v>8.5678079999999997E-3</v>
      </c>
      <c r="AA4768">
        <v>0.99891790000000003</v>
      </c>
      <c r="AB4768">
        <v>32</v>
      </c>
      <c r="AC4768">
        <v>0.53779999999997496</v>
      </c>
      <c r="AD4768">
        <v>-9.3514000000000097E-2</v>
      </c>
      <c r="AE4768">
        <v>-0.10150000000001499</v>
      </c>
      <c r="AF4768">
        <v>4.3766812865799497E-2</v>
      </c>
      <c r="AG4768">
        <v>-9.3514000000000097E-2</v>
      </c>
      <c r="AH4768">
        <v>0.529965074500508</v>
      </c>
      <c r="AI4768">
        <v>99.973741762609293</v>
      </c>
      <c r="AJ4768">
        <v>85.278979466358805</v>
      </c>
      <c r="AK4768">
        <v>0.53992905301970795</v>
      </c>
      <c r="AL4768">
        <v>85.777613983905098</v>
      </c>
      <c r="AM4768">
        <v>87.766319309480593</v>
      </c>
      <c r="AN4768">
        <v>0.99999997344537905</v>
      </c>
    </row>
    <row r="4769" spans="1:40" x14ac:dyDescent="0.3">
      <c r="A4769" t="str">
        <f>"20200111154016118"</f>
        <v>20200111154016118</v>
      </c>
      <c r="B4769" t="str">
        <f>"1578728416106200"</f>
        <v>1578728416106200</v>
      </c>
      <c r="C4769" t="s">
        <v>40</v>
      </c>
      <c r="D4769">
        <v>6.2922890000000002</v>
      </c>
      <c r="E4769">
        <v>0.50003140000000001</v>
      </c>
      <c r="F4769" t="s">
        <v>41</v>
      </c>
      <c r="G4769">
        <v>-149.82230000000001</v>
      </c>
      <c r="H4769">
        <v>1.0232520000000001</v>
      </c>
      <c r="I4769">
        <v>144.45429999999999</v>
      </c>
      <c r="J4769">
        <v>-150.1892</v>
      </c>
      <c r="K4769">
        <v>1.111049</v>
      </c>
      <c r="L4769">
        <v>144.5367</v>
      </c>
      <c r="M4769">
        <v>0.99538360000000004</v>
      </c>
      <c r="N4769">
        <v>0</v>
      </c>
      <c r="O4769">
        <v>-9.4227050000000007E-2</v>
      </c>
      <c r="P4769">
        <v>0.98883189999999999</v>
      </c>
      <c r="Q4769">
        <v>5.5745719999999999E-2</v>
      </c>
      <c r="R4769">
        <v>-0.1382168</v>
      </c>
      <c r="S4769">
        <v>2.9909059999999998</v>
      </c>
      <c r="T4769">
        <v>-0.3181369</v>
      </c>
      <c r="U4769">
        <v>-0.43299870000000001</v>
      </c>
      <c r="V4769">
        <v>4.3385939999999998E-2</v>
      </c>
      <c r="W4769">
        <v>7.4537060000000002E-2</v>
      </c>
      <c r="X4769">
        <v>0.99627399999999999</v>
      </c>
      <c r="Y4769">
        <v>4.9614610000000003E-2</v>
      </c>
      <c r="Z4769">
        <v>7.2991769999999996E-3</v>
      </c>
      <c r="AA4769">
        <v>0.99874169999999995</v>
      </c>
      <c r="AB4769">
        <v>32</v>
      </c>
      <c r="AC4769">
        <v>0.36689999999998602</v>
      </c>
      <c r="AD4769">
        <v>-8.7796999999999903E-2</v>
      </c>
      <c r="AE4769">
        <v>-8.2400000000006898E-2</v>
      </c>
      <c r="AF4769">
        <v>4.5002420632876503E-2</v>
      </c>
      <c r="AG4769">
        <v>-8.7796999999999903E-2</v>
      </c>
      <c r="AH4769">
        <v>0.35374899606827898</v>
      </c>
      <c r="AI4769">
        <v>103.83145886150299</v>
      </c>
      <c r="AJ4769">
        <v>82.750021629922202</v>
      </c>
      <c r="AK4769">
        <v>0.36724907527607697</v>
      </c>
      <c r="AL4769">
        <v>85.725376648283898</v>
      </c>
      <c r="AM4769">
        <v>87.506447399886298</v>
      </c>
      <c r="AN4769">
        <v>0.99999999808956297</v>
      </c>
    </row>
    <row r="4770" spans="1:40" x14ac:dyDescent="0.3">
      <c r="A4770" t="str">
        <f>"20200111154016163"</f>
        <v>20200111154016163</v>
      </c>
      <c r="B4770" t="str">
        <f>"1578728416155979"</f>
        <v>1578728416155979</v>
      </c>
      <c r="C4770" t="s">
        <v>40</v>
      </c>
      <c r="D4770">
        <v>6.0010680000000001</v>
      </c>
      <c r="E4770">
        <v>0.49676419999999999</v>
      </c>
      <c r="F4770" t="s">
        <v>41</v>
      </c>
      <c r="G4770">
        <v>-149.26519999999999</v>
      </c>
      <c r="H4770">
        <v>1.0098290000000001</v>
      </c>
      <c r="I4770">
        <v>144.40940000000001</v>
      </c>
      <c r="J4770">
        <v>-149.5635</v>
      </c>
      <c r="K4770">
        <v>1.111043</v>
      </c>
      <c r="L4770">
        <v>144.49369999999999</v>
      </c>
      <c r="M4770">
        <v>0.99654989999999999</v>
      </c>
      <c r="N4770">
        <v>0</v>
      </c>
      <c r="O4770">
        <v>-8.093902E-2</v>
      </c>
      <c r="P4770">
        <v>0.99031690000000006</v>
      </c>
      <c r="Q4770">
        <v>5.7111750000000003E-2</v>
      </c>
      <c r="R4770">
        <v>-0.1265326</v>
      </c>
      <c r="S4770">
        <v>2.9947509999999999</v>
      </c>
      <c r="T4770">
        <v>-0.32817669999999999</v>
      </c>
      <c r="U4770">
        <v>-0.41224670000000002</v>
      </c>
      <c r="V4770">
        <v>4.4901089999999998E-2</v>
      </c>
      <c r="W4770">
        <v>7.6042440000000003E-2</v>
      </c>
      <c r="X4770">
        <v>0.99609309999999995</v>
      </c>
      <c r="Y4770">
        <v>5.5872610000000003E-2</v>
      </c>
      <c r="Z4770">
        <v>5.7460710000000002E-3</v>
      </c>
      <c r="AA4770">
        <v>0.99842140000000001</v>
      </c>
      <c r="AB4770">
        <v>32</v>
      </c>
      <c r="AC4770">
        <v>0.298300000000011</v>
      </c>
      <c r="AD4770">
        <v>-0.101213999999999</v>
      </c>
      <c r="AE4770">
        <v>-8.4299999999984707E-2</v>
      </c>
      <c r="AF4770">
        <v>5.4106720247695597E-2</v>
      </c>
      <c r="AG4770">
        <v>-0.101213999999999</v>
      </c>
      <c r="AH4770">
        <v>0.27484366159164197</v>
      </c>
      <c r="AI4770">
        <v>109.866064450368</v>
      </c>
      <c r="AJ4770">
        <v>78.862960609322897</v>
      </c>
      <c r="AK4770">
        <v>0.29784366585352001</v>
      </c>
      <c r="AL4770">
        <v>85.638879275176805</v>
      </c>
      <c r="AM4770">
        <v>87.419013768537496</v>
      </c>
      <c r="AN4770">
        <v>1.00000001221597</v>
      </c>
    </row>
    <row r="4771" spans="1:40" x14ac:dyDescent="0.3">
      <c r="A4771" t="str">
        <f>"20200111154016196"</f>
        <v>20200111154016196</v>
      </c>
      <c r="B4771" t="str">
        <f>"1578728416186232"</f>
        <v>1578728416186232</v>
      </c>
      <c r="C4771" t="s">
        <v>40</v>
      </c>
      <c r="D4771">
        <v>6.331893</v>
      </c>
      <c r="E4771">
        <v>0.49665219999999999</v>
      </c>
      <c r="F4771" t="s">
        <v>41</v>
      </c>
      <c r="G4771">
        <v>-148.7022</v>
      </c>
      <c r="H4771">
        <v>1.0105120000000001</v>
      </c>
      <c r="I4771">
        <v>144.3931</v>
      </c>
      <c r="J4771">
        <v>-149.1037</v>
      </c>
      <c r="K4771">
        <v>1.1109450000000001</v>
      </c>
      <c r="L4771">
        <v>144.46719999999999</v>
      </c>
      <c r="M4771">
        <v>0.99728070000000002</v>
      </c>
      <c r="N4771">
        <v>0</v>
      </c>
      <c r="O4771">
        <v>-7.1353139999999995E-2</v>
      </c>
      <c r="P4771">
        <v>0.99143519999999896</v>
      </c>
      <c r="Q4771">
        <v>5.8222139999999999E-2</v>
      </c>
      <c r="R4771">
        <v>-0.11690399999999999</v>
      </c>
      <c r="S4771">
        <v>3.0047609999999998</v>
      </c>
      <c r="T4771">
        <v>-0.35091319999999998</v>
      </c>
      <c r="U4771">
        <v>-0.35057070000000001</v>
      </c>
      <c r="V4771">
        <v>4.4805749999999998E-2</v>
      </c>
      <c r="W4771">
        <v>7.7215329999999999E-2</v>
      </c>
      <c r="X4771">
        <v>0.99600710000000003</v>
      </c>
      <c r="Y4771">
        <v>4.488234E-2</v>
      </c>
      <c r="Z4771">
        <v>5.6613940000000001E-3</v>
      </c>
      <c r="AA4771">
        <v>0.99897619999999998</v>
      </c>
      <c r="AB4771">
        <v>32</v>
      </c>
      <c r="AC4771">
        <v>0.40149999999999803</v>
      </c>
      <c r="AD4771">
        <v>-0.10043299999999999</v>
      </c>
      <c r="AE4771">
        <v>-7.4099999999987107E-2</v>
      </c>
      <c r="AF4771">
        <v>4.2675560278517703E-2</v>
      </c>
      <c r="AG4771">
        <v>-0.10043299999999999</v>
      </c>
      <c r="AH4771">
        <v>0.382612143426313</v>
      </c>
      <c r="AI4771">
        <v>104.621180031752</v>
      </c>
      <c r="AJ4771">
        <v>83.635683194554602</v>
      </c>
      <c r="AK4771">
        <v>0.39786937961014701</v>
      </c>
      <c r="AL4771">
        <v>85.571479184961206</v>
      </c>
      <c r="AM4771">
        <v>87.424264593901199</v>
      </c>
      <c r="AN4771">
        <v>0.99999995283523901</v>
      </c>
    </row>
    <row r="4772" spans="1:40" x14ac:dyDescent="0.3">
      <c r="A4772" t="str">
        <f>"20200111154016230"</f>
        <v>20200111154016230</v>
      </c>
      <c r="B4772" t="str">
        <f>"1578728416226248"</f>
        <v>1578728416226248</v>
      </c>
      <c r="C4772" t="s">
        <v>40</v>
      </c>
      <c r="D4772">
        <v>6.2622540000000004</v>
      </c>
      <c r="E4772">
        <v>0.49751109999999998</v>
      </c>
      <c r="F4772" t="s">
        <v>41</v>
      </c>
      <c r="G4772">
        <v>-148.15100000000001</v>
      </c>
      <c r="H4772">
        <v>0.99739109999999997</v>
      </c>
      <c r="I4772">
        <v>144.3657</v>
      </c>
      <c r="J4772">
        <v>-148.6326</v>
      </c>
      <c r="K4772">
        <v>1.110703</v>
      </c>
      <c r="L4772">
        <v>144.44460000000001</v>
      </c>
      <c r="M4772">
        <v>0.99790559999999995</v>
      </c>
      <c r="N4772">
        <v>0</v>
      </c>
      <c r="O4772">
        <v>-6.1986359999999997E-2</v>
      </c>
      <c r="P4772">
        <v>0.99243159999999997</v>
      </c>
      <c r="Q4772">
        <v>6.1078149999999998E-2</v>
      </c>
      <c r="R4772">
        <v>-0.10653360000000001</v>
      </c>
      <c r="S4772">
        <v>3.009201</v>
      </c>
      <c r="T4772">
        <v>-0.35874529999999999</v>
      </c>
      <c r="U4772">
        <v>-0.32041930000000002</v>
      </c>
      <c r="V4772">
        <v>4.3761290000000001E-2</v>
      </c>
      <c r="W4772">
        <v>8.0087469999999994E-2</v>
      </c>
      <c r="X4772">
        <v>0.99582680000000001</v>
      </c>
      <c r="Y4772">
        <v>4.4153489999999997E-2</v>
      </c>
      <c r="Z4772">
        <v>4.7195580000000004E-3</v>
      </c>
      <c r="AA4772">
        <v>0.99901359999999995</v>
      </c>
      <c r="AB4772">
        <v>31</v>
      </c>
      <c r="AC4772">
        <v>0.48159999999998598</v>
      </c>
      <c r="AD4772">
        <v>-0.11331189999999999</v>
      </c>
      <c r="AE4772">
        <v>-7.8900000000004397E-2</v>
      </c>
      <c r="AF4772">
        <v>4.6389587128707999E-2</v>
      </c>
      <c r="AG4772">
        <v>-0.11331189999999999</v>
      </c>
      <c r="AH4772">
        <v>0.46072698891056901</v>
      </c>
      <c r="AI4772">
        <v>103.750313738553</v>
      </c>
      <c r="AJ4772">
        <v>84.250391640434302</v>
      </c>
      <c r="AK4772">
        <v>0.47671893059346998</v>
      </c>
      <c r="AL4772">
        <v>85.406406628667398</v>
      </c>
      <c r="AM4772">
        <v>87.483774198032293</v>
      </c>
      <c r="AN4772">
        <v>1.00000003447585</v>
      </c>
    </row>
    <row r="4773" spans="1:40" x14ac:dyDescent="0.3">
      <c r="A4773" t="str">
        <f>"20200111154016261"</f>
        <v>20200111154016261</v>
      </c>
      <c r="B4773" t="str">
        <f>"1578728416255529"</f>
        <v>1578728416255529</v>
      </c>
      <c r="C4773" t="s">
        <v>40</v>
      </c>
      <c r="D4773">
        <v>6.0698679999999996</v>
      </c>
      <c r="E4773">
        <v>0.49793779999999999</v>
      </c>
      <c r="F4773" t="s">
        <v>41</v>
      </c>
      <c r="G4773">
        <v>-147.86179999999999</v>
      </c>
      <c r="H4773">
        <v>1.0183879999999901</v>
      </c>
      <c r="I4773">
        <v>144.3689</v>
      </c>
      <c r="J4773">
        <v>-148.20609999999999</v>
      </c>
      <c r="K4773">
        <v>1.1103799999999999</v>
      </c>
      <c r="L4773">
        <v>144.4273</v>
      </c>
      <c r="M4773">
        <v>0.99836469999999999</v>
      </c>
      <c r="N4773">
        <v>0</v>
      </c>
      <c r="O4773">
        <v>-5.4079410000000001E-2</v>
      </c>
      <c r="P4773">
        <v>0.99324829999999997</v>
      </c>
      <c r="Q4773">
        <v>6.3673900000000005E-2</v>
      </c>
      <c r="R4773">
        <v>-9.6973169999999997E-2</v>
      </c>
      <c r="S4773">
        <v>3.0133510000000001</v>
      </c>
      <c r="T4773">
        <v>-0.36106919999999998</v>
      </c>
      <c r="U4773">
        <v>-0.29557800000000001</v>
      </c>
      <c r="V4773">
        <v>4.2100600000000002E-2</v>
      </c>
      <c r="W4773">
        <v>8.2660479999999995E-2</v>
      </c>
      <c r="X4773">
        <v>0.99568809999999996</v>
      </c>
      <c r="Y4773">
        <v>4.3720790000000002E-2</v>
      </c>
      <c r="Z4773">
        <v>3.8322080000000001E-3</v>
      </c>
      <c r="AA4773">
        <v>0.99903640000000005</v>
      </c>
      <c r="AB4773">
        <v>31</v>
      </c>
      <c r="AC4773">
        <v>0.34430000000000399</v>
      </c>
      <c r="AD4773">
        <v>-9.1992000000000004E-2</v>
      </c>
      <c r="AE4773">
        <v>-5.8400000000005899E-2</v>
      </c>
      <c r="AF4773">
        <v>3.7116215299737E-2</v>
      </c>
      <c r="AG4773">
        <v>-9.1992000000000004E-2</v>
      </c>
      <c r="AH4773">
        <v>0.32444124530102603</v>
      </c>
      <c r="AI4773">
        <v>105.732655032472</v>
      </c>
      <c r="AJ4773">
        <v>83.473710812942997</v>
      </c>
      <c r="AK4773">
        <v>0.33926724444699402</v>
      </c>
      <c r="AL4773">
        <v>85.258493299926997</v>
      </c>
      <c r="AM4773">
        <v>87.578809371952602</v>
      </c>
      <c r="AN4773">
        <v>1.0000000039779</v>
      </c>
    </row>
    <row r="4774" spans="1:40" x14ac:dyDescent="0.3">
      <c r="A4774" t="str">
        <f>"20200111154016286"</f>
        <v>20200111154016286</v>
      </c>
      <c r="B4774" t="str">
        <f>"1578728416276025"</f>
        <v>1578728416276025</v>
      </c>
      <c r="C4774" t="s">
        <v>40</v>
      </c>
      <c r="D4774">
        <v>6.0311899999999996</v>
      </c>
      <c r="E4774">
        <v>0.50510379999999999</v>
      </c>
      <c r="F4774" t="s">
        <v>41</v>
      </c>
      <c r="G4774">
        <v>-147.3158</v>
      </c>
      <c r="H4774">
        <v>1.0047219999999999</v>
      </c>
      <c r="I4774">
        <v>144.3476</v>
      </c>
      <c r="J4774">
        <v>-147.86009999999999</v>
      </c>
      <c r="K4774">
        <v>1.1100509999999999</v>
      </c>
      <c r="L4774">
        <v>144.4152</v>
      </c>
      <c r="M4774">
        <v>0.99866440000000001</v>
      </c>
      <c r="N4774">
        <v>0</v>
      </c>
      <c r="O4774">
        <v>-4.8227659999999999E-2</v>
      </c>
      <c r="P4774">
        <v>0.99369609999999997</v>
      </c>
      <c r="Q4774">
        <v>6.6456119999999994E-2</v>
      </c>
      <c r="R4774">
        <v>-9.0287539999999999E-2</v>
      </c>
      <c r="S4774">
        <v>3.0170140000000001</v>
      </c>
      <c r="T4774">
        <v>-0.3582438</v>
      </c>
      <c r="U4774">
        <v>-0.26972960000000001</v>
      </c>
      <c r="V4774">
        <v>4.128503E-2</v>
      </c>
      <c r="W4774">
        <v>8.5395940000000004E-2</v>
      </c>
      <c r="X4774">
        <v>0.99549140000000003</v>
      </c>
      <c r="Y4774">
        <v>4.0950229999999997E-2</v>
      </c>
      <c r="Z4774">
        <v>3.2736319999999998E-3</v>
      </c>
      <c r="AA4774">
        <v>0.99915580000000004</v>
      </c>
      <c r="AB4774">
        <v>31</v>
      </c>
      <c r="AC4774">
        <v>0.54429999999999201</v>
      </c>
      <c r="AD4774">
        <v>-0.10532900000000001</v>
      </c>
      <c r="AE4774">
        <v>-6.7599999999998703E-2</v>
      </c>
      <c r="AF4774">
        <v>3.9798773165528198E-2</v>
      </c>
      <c r="AG4774">
        <v>-0.10532900000000001</v>
      </c>
      <c r="AH4774">
        <v>0.52747476677295602</v>
      </c>
      <c r="AI4774">
        <v>101.26141012619</v>
      </c>
      <c r="AJ4774">
        <v>85.685122027564603</v>
      </c>
      <c r="AK4774">
        <v>0.53935866561006096</v>
      </c>
      <c r="AL4774">
        <v>85.101206771321202</v>
      </c>
      <c r="AM4774">
        <v>87.625189695306503</v>
      </c>
      <c r="AN4774">
        <v>1.0000000238722699</v>
      </c>
    </row>
    <row r="4775" spans="1:40" x14ac:dyDescent="0.3">
      <c r="A4775" t="str">
        <f>"20200111154016320"</f>
        <v>20200111154016320</v>
      </c>
      <c r="B4775" t="str">
        <f>"1578728416316040"</f>
        <v>1578728416316040</v>
      </c>
      <c r="C4775" t="s">
        <v>40</v>
      </c>
      <c r="D4775">
        <v>6.2933139999999996</v>
      </c>
      <c r="E4775">
        <v>0.51213500000000001</v>
      </c>
      <c r="F4775" t="s">
        <v>41</v>
      </c>
      <c r="G4775">
        <v>-147.04480000000001</v>
      </c>
      <c r="H4775">
        <v>0.99644670000000002</v>
      </c>
      <c r="I4775">
        <v>144.33250000000001</v>
      </c>
      <c r="J4775">
        <v>-147.40369999999999</v>
      </c>
      <c r="K4775">
        <v>1.1095360000000001</v>
      </c>
      <c r="L4775">
        <v>144.4015</v>
      </c>
      <c r="M4775">
        <v>0.99897320000000001</v>
      </c>
      <c r="N4775">
        <v>0</v>
      </c>
      <c r="O4775">
        <v>-4.135788E-2</v>
      </c>
      <c r="P4775">
        <v>0.99386819999999998</v>
      </c>
      <c r="Q4775">
        <v>7.0250469999999995E-2</v>
      </c>
      <c r="R4775">
        <v>-8.5388530000000004E-2</v>
      </c>
      <c r="S4775">
        <v>3.0194239999999999</v>
      </c>
      <c r="T4775">
        <v>-0.42107869999999997</v>
      </c>
      <c r="U4775">
        <v>-0.30557250000000002</v>
      </c>
      <c r="V4775">
        <v>4.3315190000000003E-2</v>
      </c>
      <c r="W4775">
        <v>8.9108209999999993E-2</v>
      </c>
      <c r="X4775">
        <v>0.99507959999999995</v>
      </c>
      <c r="Y4775">
        <v>5.927545E-2</v>
      </c>
      <c r="Z4775">
        <v>1.6192750000000001E-3</v>
      </c>
      <c r="AA4775">
        <v>0.99824040000000003</v>
      </c>
      <c r="AB4775">
        <v>31</v>
      </c>
      <c r="AC4775">
        <v>0.35889999999997702</v>
      </c>
      <c r="AD4775">
        <v>-0.1130893</v>
      </c>
      <c r="AE4775">
        <v>-6.8999999999988404E-2</v>
      </c>
      <c r="AF4775">
        <v>4.9368121362402699E-2</v>
      </c>
      <c r="AG4775">
        <v>-0.1130893</v>
      </c>
      <c r="AH4775">
        <v>0.32986300763711701</v>
      </c>
      <c r="AI4775">
        <v>108.72978894088899</v>
      </c>
      <c r="AJ4775">
        <v>81.488147308580906</v>
      </c>
      <c r="AK4775">
        <v>0.352187457171245</v>
      </c>
      <c r="AL4775">
        <v>84.887694563209195</v>
      </c>
      <c r="AM4775">
        <v>87.507524162291006</v>
      </c>
      <c r="AN4775">
        <v>0.99999994455514796</v>
      </c>
    </row>
    <row r="4776" spans="1:40" x14ac:dyDescent="0.3">
      <c r="A4776" t="str">
        <f>"20200111154016353"</f>
        <v>20200111154016353</v>
      </c>
      <c r="B4776" t="str">
        <f>"1578728416346299"</f>
        <v>1578728416346299</v>
      </c>
      <c r="C4776" t="s">
        <v>40</v>
      </c>
      <c r="D4776">
        <v>5.9901249999999999</v>
      </c>
      <c r="E4776">
        <v>0.51539829999999998</v>
      </c>
      <c r="F4776" t="s">
        <v>41</v>
      </c>
      <c r="G4776">
        <v>-146.46680000000001</v>
      </c>
      <c r="H4776">
        <v>1.050808</v>
      </c>
      <c r="I4776">
        <v>144.29249999999999</v>
      </c>
      <c r="J4776">
        <v>-146.9384</v>
      </c>
      <c r="K4776">
        <v>1.1089169999999999</v>
      </c>
      <c r="L4776">
        <v>144.38939999999999</v>
      </c>
      <c r="M4776">
        <v>0.99919919999999995</v>
      </c>
      <c r="N4776">
        <v>0</v>
      </c>
      <c r="O4776">
        <v>-3.5515739999999997E-2</v>
      </c>
      <c r="P4776">
        <v>0.99421380000000004</v>
      </c>
      <c r="Q4776">
        <v>7.1792620000000001E-2</v>
      </c>
      <c r="R4776">
        <v>-7.9905790000000004E-2</v>
      </c>
      <c r="S4776">
        <v>3.001862</v>
      </c>
      <c r="T4776">
        <v>-0.1883813</v>
      </c>
      <c r="U4776">
        <v>-0.34867859999999901</v>
      </c>
      <c r="V4776">
        <v>4.3774390000000003E-2</v>
      </c>
      <c r="W4776">
        <v>9.0516780000000005E-2</v>
      </c>
      <c r="X4776">
        <v>0.99493240000000005</v>
      </c>
      <c r="Y4776">
        <v>7.9934899999999906E-2</v>
      </c>
      <c r="Z4776">
        <v>-2.7927129999999998E-4</v>
      </c>
      <c r="AA4776">
        <v>0.99680009999999997</v>
      </c>
      <c r="AB4776">
        <v>31</v>
      </c>
      <c r="AC4776">
        <v>0.47159999999999502</v>
      </c>
      <c r="AD4776">
        <v>-5.8108999999999897E-2</v>
      </c>
      <c r="AE4776">
        <v>-9.6900000000005093E-2</v>
      </c>
      <c r="AF4776">
        <v>7.8936877913239195E-2</v>
      </c>
      <c r="AG4776">
        <v>-5.8108999999999897E-2</v>
      </c>
      <c r="AH4776">
        <v>0.46792796391113101</v>
      </c>
      <c r="AI4776">
        <v>96.981311833579198</v>
      </c>
      <c r="AJ4776">
        <v>80.424668501774093</v>
      </c>
      <c r="AK4776">
        <v>0.47808395286362299</v>
      </c>
      <c r="AL4776">
        <v>84.806662156181702</v>
      </c>
      <c r="AM4776">
        <v>87.480762193443297</v>
      </c>
      <c r="AN4776">
        <v>0.99999998262559997</v>
      </c>
    </row>
    <row r="4777" spans="1:40" x14ac:dyDescent="0.3">
      <c r="A4777" t="str">
        <f>"20200111154016387"</f>
        <v>20200111154016387</v>
      </c>
      <c r="B4777" t="str">
        <f>"1578728416375576"</f>
        <v>1578728416375576</v>
      </c>
      <c r="C4777" t="s">
        <v>40</v>
      </c>
      <c r="D4777">
        <v>6.0507999999999997</v>
      </c>
      <c r="E4777">
        <v>0.51543939999999999</v>
      </c>
      <c r="F4777" t="s">
        <v>41</v>
      </c>
      <c r="G4777">
        <v>-146.19130000000001</v>
      </c>
      <c r="H4777">
        <v>1.052327</v>
      </c>
      <c r="I4777">
        <v>144.30000000000001</v>
      </c>
      <c r="J4777">
        <v>-146.49039999999999</v>
      </c>
      <c r="K4777">
        <v>1.1082590000000001</v>
      </c>
      <c r="L4777">
        <v>144.3792</v>
      </c>
      <c r="M4777">
        <v>0.99934690000000004</v>
      </c>
      <c r="N4777">
        <v>0</v>
      </c>
      <c r="O4777">
        <v>-3.1147950000000001E-2</v>
      </c>
      <c r="P4777">
        <v>0.99454520000000002</v>
      </c>
      <c r="Q4777">
        <v>7.0339490000000005E-2</v>
      </c>
      <c r="R4777">
        <v>-7.7023869999999994E-2</v>
      </c>
      <c r="S4777">
        <v>3.00502</v>
      </c>
      <c r="T4777">
        <v>-0.22769349999999999</v>
      </c>
      <c r="U4777">
        <v>-0.35955809999999999</v>
      </c>
      <c r="V4777">
        <v>4.5392000000000002E-2</v>
      </c>
      <c r="W4777">
        <v>8.8902560000000005E-2</v>
      </c>
      <c r="X4777">
        <v>0.99500549999999999</v>
      </c>
      <c r="Y4777">
        <v>8.7655300000000005E-2</v>
      </c>
      <c r="Z4777">
        <v>-9.5696370000000004E-4</v>
      </c>
      <c r="AA4777">
        <v>0.99615039999999999</v>
      </c>
      <c r="AB4777">
        <v>31</v>
      </c>
      <c r="AC4777">
        <v>0.29909999999998099</v>
      </c>
      <c r="AD4777">
        <v>-5.5932000000000003E-2</v>
      </c>
      <c r="AE4777">
        <v>-7.9199999999985907E-2</v>
      </c>
      <c r="AF4777">
        <v>6.7633507157492098E-2</v>
      </c>
      <c r="AG4777">
        <v>-5.5932000000000003E-2</v>
      </c>
      <c r="AH4777">
        <v>0.291883938388033</v>
      </c>
      <c r="AI4777">
        <v>100.57415870201299</v>
      </c>
      <c r="AJ4777">
        <v>76.954015889900006</v>
      </c>
      <c r="AK4777">
        <v>0.30479323057333702</v>
      </c>
      <c r="AL4777">
        <v>84.899524787539406</v>
      </c>
      <c r="AM4777">
        <v>87.387986239367606</v>
      </c>
      <c r="AN4777">
        <v>1.0000000219344001</v>
      </c>
    </row>
    <row r="4778" spans="1:40" x14ac:dyDescent="0.3">
      <c r="A4778" t="str">
        <f>"20200111154016419"</f>
        <v>20200111154016419</v>
      </c>
      <c r="B4778" t="str">
        <f>"1578728416415592"</f>
        <v>1578728416415592</v>
      </c>
      <c r="C4778" t="s">
        <v>40</v>
      </c>
      <c r="D4778">
        <v>5.5474550000000002</v>
      </c>
      <c r="E4778">
        <v>0.51418900000000001</v>
      </c>
      <c r="F4778" t="s">
        <v>42</v>
      </c>
      <c r="G4778">
        <v>-128.15469999999999</v>
      </c>
      <c r="H4778" s="1">
        <v>-1.468322E-6</v>
      </c>
      <c r="I4778">
        <v>142.226</v>
      </c>
      <c r="J4778">
        <v>-146.04079999999999</v>
      </c>
      <c r="K4778">
        <v>1.1075379999999999</v>
      </c>
      <c r="L4778">
        <v>144.36949999999999</v>
      </c>
      <c r="M4778">
        <v>0.99944390000000005</v>
      </c>
      <c r="N4778">
        <v>0</v>
      </c>
      <c r="O4778">
        <v>-2.7954110000000001E-2</v>
      </c>
      <c r="P4778">
        <v>0.99467019999999995</v>
      </c>
      <c r="Q4778">
        <v>7.0102339999999999E-2</v>
      </c>
      <c r="R4778">
        <v>-7.5609990000000002E-2</v>
      </c>
      <c r="S4778">
        <v>3.0019680000000002</v>
      </c>
      <c r="T4778">
        <v>-0.18144669999999999</v>
      </c>
      <c r="U4778">
        <v>-0.3525238</v>
      </c>
      <c r="V4778">
        <v>4.7311649999999997E-2</v>
      </c>
      <c r="W4778">
        <v>8.8456090000000001E-2</v>
      </c>
      <c r="X4778">
        <v>0.99495579999999995</v>
      </c>
      <c r="Y4778">
        <v>8.8706679999999996E-2</v>
      </c>
      <c r="Z4778">
        <v>-9.8750019999999995E-4</v>
      </c>
      <c r="AA4778">
        <v>0.99605730000000003</v>
      </c>
      <c r="AB4778">
        <v>31</v>
      </c>
      <c r="AC4778">
        <v>17.886099999999999</v>
      </c>
      <c r="AD4778">
        <v>-1.1075394683219999</v>
      </c>
      <c r="AE4778">
        <v>-2.14349999999998</v>
      </c>
      <c r="AF4778">
        <v>1.63640377950128</v>
      </c>
      <c r="AG4778">
        <v>-1.1075394683219999</v>
      </c>
      <c r="AH4778">
        <v>17.871482904855299</v>
      </c>
      <c r="AI4778">
        <v>93.531488487256695</v>
      </c>
      <c r="AJ4778">
        <v>84.768295917049599</v>
      </c>
      <c r="AK4778">
        <v>17.9803882667197</v>
      </c>
      <c r="AL4778">
        <v>84.925206490002395</v>
      </c>
      <c r="AM4778">
        <v>87.277549922891794</v>
      </c>
      <c r="AN4778">
        <v>0.99999995801872399</v>
      </c>
    </row>
    <row r="4779" spans="1:40" x14ac:dyDescent="0.3">
      <c r="A4779" t="str">
        <f>"20200111154016453"</f>
        <v>20200111154016453</v>
      </c>
      <c r="B4779" t="str">
        <f>"1578728416445851"</f>
        <v>1578728416445851</v>
      </c>
      <c r="C4779" t="s">
        <v>40</v>
      </c>
      <c r="D4779">
        <v>6.0090879999999904</v>
      </c>
      <c r="E4779">
        <v>0.5135035</v>
      </c>
      <c r="F4779" t="s">
        <v>41</v>
      </c>
      <c r="G4779">
        <v>-145.11340000000001</v>
      </c>
      <c r="H4779">
        <v>1.0403789999999999</v>
      </c>
      <c r="I4779">
        <v>144.26490000000001</v>
      </c>
      <c r="J4779">
        <v>-145.57740000000001</v>
      </c>
      <c r="K4779">
        <v>1.1068530000000001</v>
      </c>
      <c r="L4779">
        <v>144.3596</v>
      </c>
      <c r="M4779">
        <v>0.99950470000000002</v>
      </c>
      <c r="N4779">
        <v>0</v>
      </c>
      <c r="O4779">
        <v>-2.5792969999999998E-2</v>
      </c>
      <c r="P4779">
        <v>0.99499530000000003</v>
      </c>
      <c r="Q4779">
        <v>6.8319130000000006E-2</v>
      </c>
      <c r="R4779">
        <v>-7.2919810000000002E-2</v>
      </c>
      <c r="S4779">
        <v>3.005646</v>
      </c>
      <c r="T4779">
        <v>-0.2176998</v>
      </c>
      <c r="U4779">
        <v>-0.3389587</v>
      </c>
      <c r="V4779">
        <v>4.6918979999999999E-2</v>
      </c>
      <c r="W4779">
        <v>8.6452039999999994E-2</v>
      </c>
      <c r="X4779">
        <v>0.9951506</v>
      </c>
      <c r="Y4779">
        <v>8.623546E-2</v>
      </c>
      <c r="Z4779">
        <v>-1.249778E-3</v>
      </c>
      <c r="AA4779">
        <v>0.99627399999999999</v>
      </c>
      <c r="AB4779">
        <v>30</v>
      </c>
      <c r="AC4779">
        <v>0.46399999999999803</v>
      </c>
      <c r="AD4779">
        <v>-6.6473999999999894E-2</v>
      </c>
      <c r="AE4779">
        <v>-9.4699999999988904E-2</v>
      </c>
      <c r="AF4779">
        <v>8.1100631655901395E-2</v>
      </c>
      <c r="AG4779">
        <v>-6.6473999999999894E-2</v>
      </c>
      <c r="AH4779">
        <v>0.45727857224444401</v>
      </c>
      <c r="AI4779">
        <v>98.145703777344707</v>
      </c>
      <c r="AJ4779">
        <v>79.942886137673099</v>
      </c>
      <c r="AK4779">
        <v>0.469147948695189</v>
      </c>
      <c r="AL4779">
        <v>85.040472118637496</v>
      </c>
      <c r="AM4779">
        <v>87.300639444166293</v>
      </c>
      <c r="AN4779">
        <v>1.00000003129238</v>
      </c>
    </row>
    <row r="4780" spans="1:40" x14ac:dyDescent="0.3">
      <c r="A4780" t="str">
        <f>"20200111154016486"</f>
        <v>20200111154016486</v>
      </c>
      <c r="B4780" t="str">
        <f>"1578728416476105"</f>
        <v>1578728416476105</v>
      </c>
      <c r="C4780" t="s">
        <v>40</v>
      </c>
      <c r="D4780">
        <v>6.0792270000000004</v>
      </c>
      <c r="E4780">
        <v>0.5130112</v>
      </c>
      <c r="F4780" t="s">
        <v>41</v>
      </c>
      <c r="G4780">
        <v>-144.8416</v>
      </c>
      <c r="H4780">
        <v>1.042416</v>
      </c>
      <c r="I4780">
        <v>144.27969999999999</v>
      </c>
      <c r="J4780">
        <v>-145.13470000000001</v>
      </c>
      <c r="K4780">
        <v>1.1063050000000001</v>
      </c>
      <c r="L4780">
        <v>144.3501</v>
      </c>
      <c r="M4780">
        <v>0.99953369999999997</v>
      </c>
      <c r="N4780">
        <v>0</v>
      </c>
      <c r="O4780">
        <v>-2.473612E-2</v>
      </c>
      <c r="P4780">
        <v>0.994923</v>
      </c>
      <c r="Q4780">
        <v>6.6760440000000004E-2</v>
      </c>
      <c r="R4780">
        <v>-7.5308490000000006E-2</v>
      </c>
      <c r="S4780">
        <v>3.009293</v>
      </c>
      <c r="T4780">
        <v>-0.2637178</v>
      </c>
      <c r="U4780">
        <v>-0.32618709999999901</v>
      </c>
      <c r="V4780">
        <v>5.047894E-2</v>
      </c>
      <c r="W4780">
        <v>8.4707969999999994E-2</v>
      </c>
      <c r="X4780">
        <v>0.99512639999999997</v>
      </c>
      <c r="Y4780">
        <v>8.2912840000000002E-2</v>
      </c>
      <c r="Z4780">
        <v>-1.4587650000000001E-3</v>
      </c>
      <c r="AA4780">
        <v>0.99655570000000004</v>
      </c>
      <c r="AB4780">
        <v>30</v>
      </c>
      <c r="AC4780">
        <v>0.29310000000000902</v>
      </c>
      <c r="AD4780">
        <v>-6.3888999999999793E-2</v>
      </c>
      <c r="AE4780">
        <v>-7.0400000000006402E-2</v>
      </c>
      <c r="AF4780">
        <v>6.0413234866621701E-2</v>
      </c>
      <c r="AG4780">
        <v>-6.3888999999999793E-2</v>
      </c>
      <c r="AH4780">
        <v>0.28208030905067999</v>
      </c>
      <c r="AI4780">
        <v>102.487724158025</v>
      </c>
      <c r="AJ4780">
        <v>77.911563477903996</v>
      </c>
      <c r="AK4780">
        <v>0.29546719618627199</v>
      </c>
      <c r="AL4780">
        <v>85.140768062765503</v>
      </c>
      <c r="AM4780">
        <v>87.0960941929726</v>
      </c>
      <c r="AN4780">
        <v>1.000000057771</v>
      </c>
    </row>
    <row r="4781" spans="1:40" x14ac:dyDescent="0.3">
      <c r="A4781" t="str">
        <f>"20200111154016532"</f>
        <v>20200111154016532</v>
      </c>
      <c r="B4781" t="str">
        <f>"1578728416525884"</f>
        <v>1578728416525884</v>
      </c>
      <c r="C4781" t="s">
        <v>40</v>
      </c>
      <c r="D4781">
        <v>6.3254070000000002</v>
      </c>
      <c r="E4781">
        <v>0.51232849999999996</v>
      </c>
      <c r="F4781" t="s">
        <v>41</v>
      </c>
      <c r="G4781">
        <v>-144.3117</v>
      </c>
      <c r="H4781">
        <v>1.025253</v>
      </c>
      <c r="I4781">
        <v>144.2603</v>
      </c>
      <c r="J4781">
        <v>-144.52670000000001</v>
      </c>
      <c r="K4781">
        <v>1.1057360000000001</v>
      </c>
      <c r="L4781">
        <v>144.33619999999999</v>
      </c>
      <c r="M4781">
        <v>0.9995463</v>
      </c>
      <c r="N4781">
        <v>0</v>
      </c>
      <c r="O4781">
        <v>-2.4339880000000001E-2</v>
      </c>
      <c r="P4781">
        <v>0.99446590000000001</v>
      </c>
      <c r="Q4781">
        <v>6.7609089999999997E-2</v>
      </c>
      <c r="R4781">
        <v>-8.0415730000000005E-2</v>
      </c>
      <c r="S4781">
        <v>3.0103610000000001</v>
      </c>
      <c r="T4781">
        <v>-0.29654930000000002</v>
      </c>
      <c r="U4781">
        <v>-0.32821660000000002</v>
      </c>
      <c r="V4781">
        <v>5.6107919999999999E-2</v>
      </c>
      <c r="W4781">
        <v>8.532563E-2</v>
      </c>
      <c r="X4781">
        <v>0.99477210000000005</v>
      </c>
      <c r="Y4781">
        <v>8.3869659999999999E-2</v>
      </c>
      <c r="Z4781">
        <v>-1.724604E-3</v>
      </c>
      <c r="AA4781">
        <v>0.99647520000000001</v>
      </c>
      <c r="AB4781">
        <v>30</v>
      </c>
      <c r="AC4781">
        <v>0.21500000000000299</v>
      </c>
      <c r="AD4781">
        <v>-8.0482999999999999E-2</v>
      </c>
      <c r="AE4781">
        <v>-7.5899999999990003E-2</v>
      </c>
      <c r="AF4781">
        <v>6.2816566403440605E-2</v>
      </c>
      <c r="AG4781">
        <v>-8.0482999999999999E-2</v>
      </c>
      <c r="AH4781">
        <v>0.192765134553327</v>
      </c>
      <c r="AI4781">
        <v>111.65171695758499</v>
      </c>
      <c r="AJ4781">
        <v>71.950713135172293</v>
      </c>
      <c r="AK4781">
        <v>0.21813260050501401</v>
      </c>
      <c r="AL4781">
        <v>85.105250105253106</v>
      </c>
      <c r="AM4781">
        <v>86.771778673822396</v>
      </c>
      <c r="AN4781">
        <v>1.0000000463800101</v>
      </c>
    </row>
    <row r="4782" spans="1:40" x14ac:dyDescent="0.3">
      <c r="A4782" t="str">
        <f>"20200111154016565"</f>
        <v>20200111154016565</v>
      </c>
      <c r="B4782" t="str">
        <f>"1578728416556139"</f>
        <v>1578728416556139</v>
      </c>
      <c r="C4782" t="s">
        <v>40</v>
      </c>
      <c r="D4782">
        <v>5.850708</v>
      </c>
      <c r="E4782">
        <v>0.51268389999999997</v>
      </c>
      <c r="F4782" t="s">
        <v>41</v>
      </c>
      <c r="G4782">
        <v>-143.7748</v>
      </c>
      <c r="H4782">
        <v>1.0270239999999999</v>
      </c>
      <c r="I4782">
        <v>144.2518</v>
      </c>
      <c r="J4782">
        <v>-144.08349999999999</v>
      </c>
      <c r="K4782">
        <v>1.1054870000000001</v>
      </c>
      <c r="L4782">
        <v>144.32570000000001</v>
      </c>
      <c r="M4782">
        <v>0.99954520000000002</v>
      </c>
      <c r="N4782">
        <v>0</v>
      </c>
      <c r="O4782">
        <v>-2.445601E-2</v>
      </c>
      <c r="P4782">
        <v>0.99443440000000005</v>
      </c>
      <c r="Q4782">
        <v>6.5512959999999995E-2</v>
      </c>
      <c r="R4782">
        <v>-8.2514050000000005E-2</v>
      </c>
      <c r="S4782">
        <v>3.0108489999999999</v>
      </c>
      <c r="T4782">
        <v>-0.31533800000000001</v>
      </c>
      <c r="U4782">
        <v>-0.337387099999999</v>
      </c>
      <c r="V4782">
        <v>5.8140259999999999E-2</v>
      </c>
      <c r="W4782">
        <v>8.3099099999999995E-2</v>
      </c>
      <c r="X4782">
        <v>0.99484379999999994</v>
      </c>
      <c r="Y4782">
        <v>8.668323E-2</v>
      </c>
      <c r="Z4782">
        <v>-1.9671250000000001E-3</v>
      </c>
      <c r="AA4782">
        <v>0.99623399999999995</v>
      </c>
      <c r="AB4782">
        <v>30</v>
      </c>
      <c r="AC4782">
        <v>0.30869999999998698</v>
      </c>
      <c r="AD4782">
        <v>-7.8463000000000102E-2</v>
      </c>
      <c r="AE4782">
        <v>-7.3900000000008903E-2</v>
      </c>
      <c r="AF4782">
        <v>6.2507796673642702E-2</v>
      </c>
      <c r="AG4782">
        <v>-7.8463000000000102E-2</v>
      </c>
      <c r="AH4782">
        <v>0.29254043288232401</v>
      </c>
      <c r="AI4782">
        <v>104.697140328872</v>
      </c>
      <c r="AJ4782">
        <v>77.938848408832101</v>
      </c>
      <c r="AK4782">
        <v>0.30926294942163801</v>
      </c>
      <c r="AL4782">
        <v>85.233275294019506</v>
      </c>
      <c r="AM4782">
        <v>86.655347505131701</v>
      </c>
      <c r="AN4782">
        <v>0.99999996832605798</v>
      </c>
    </row>
    <row r="4783" spans="1:40" x14ac:dyDescent="0.3">
      <c r="A4783" t="str">
        <f>"20200111154016599"</f>
        <v>20200111154016599</v>
      </c>
      <c r="B4783" t="str">
        <f>"1578728416585417"</f>
        <v>1578728416585417</v>
      </c>
      <c r="C4783" t="s">
        <v>40</v>
      </c>
      <c r="D4783">
        <v>5.9884969999999997</v>
      </c>
      <c r="E4783">
        <v>0.51253709999999997</v>
      </c>
      <c r="F4783" t="s">
        <v>41</v>
      </c>
      <c r="G4783">
        <v>-143.24809999999999</v>
      </c>
      <c r="H4783">
        <v>1.015107</v>
      </c>
      <c r="I4783">
        <v>144.2294</v>
      </c>
      <c r="J4783">
        <v>-143.6464</v>
      </c>
      <c r="K4783">
        <v>1.1053500000000001</v>
      </c>
      <c r="L4783">
        <v>144.315</v>
      </c>
      <c r="M4783">
        <v>0.99954149999999997</v>
      </c>
      <c r="N4783">
        <v>0</v>
      </c>
      <c r="O4783">
        <v>-2.466194E-2</v>
      </c>
      <c r="P4783">
        <v>0.99475060000000004</v>
      </c>
      <c r="Q4783">
        <v>6.249743E-2</v>
      </c>
      <c r="R4783">
        <v>-8.1028249999999996E-2</v>
      </c>
      <c r="S4783">
        <v>3.009506</v>
      </c>
      <c r="T4783">
        <v>-0.32569510000000002</v>
      </c>
      <c r="U4783">
        <v>-0.34638980000000003</v>
      </c>
      <c r="V4783">
        <v>5.6466769999999999E-2</v>
      </c>
      <c r="W4783">
        <v>8.0000950000000001E-2</v>
      </c>
      <c r="X4783">
        <v>0.99519409999999997</v>
      </c>
      <c r="Y4783">
        <v>8.9431899999999995E-2</v>
      </c>
      <c r="Z4783">
        <v>-2.1576389999999998E-3</v>
      </c>
      <c r="AA4783">
        <v>0.99599059999999995</v>
      </c>
      <c r="AB4783">
        <v>30</v>
      </c>
      <c r="AC4783">
        <v>0.39830000000000598</v>
      </c>
      <c r="AD4783">
        <v>-9.0243000000000004E-2</v>
      </c>
      <c r="AE4783">
        <v>-8.5599999999999399E-2</v>
      </c>
      <c r="AF4783">
        <v>7.2206570633189998E-2</v>
      </c>
      <c r="AG4783">
        <v>-9.0243000000000004E-2</v>
      </c>
      <c r="AH4783">
        <v>0.38156751882071199</v>
      </c>
      <c r="AI4783">
        <v>103.082303385785</v>
      </c>
      <c r="AJ4783">
        <v>79.284249978387606</v>
      </c>
      <c r="AK4783">
        <v>0.39868704432248703</v>
      </c>
      <c r="AL4783">
        <v>85.411379531261304</v>
      </c>
      <c r="AM4783">
        <v>86.752550667948398</v>
      </c>
      <c r="AN4783">
        <v>0.99999997239497196</v>
      </c>
    </row>
    <row r="4784" spans="1:40" x14ac:dyDescent="0.3">
      <c r="A4784" t="str">
        <f>"20200111154016632"</f>
        <v>20200111154016632</v>
      </c>
      <c r="B4784" t="str">
        <f>"1578728416625432"</f>
        <v>1578728416625432</v>
      </c>
      <c r="C4784" t="s">
        <v>40</v>
      </c>
      <c r="D4784">
        <v>5.8738089999999996</v>
      </c>
      <c r="E4784">
        <v>0.51207389999999997</v>
      </c>
      <c r="F4784" t="s">
        <v>41</v>
      </c>
      <c r="G4784">
        <v>-142.7261</v>
      </c>
      <c r="H4784">
        <v>0.99983739999999999</v>
      </c>
      <c r="I4784">
        <v>144.21039999999999</v>
      </c>
      <c r="J4784">
        <v>-143.1936</v>
      </c>
      <c r="K4784">
        <v>1.105302</v>
      </c>
      <c r="L4784">
        <v>144.3038</v>
      </c>
      <c r="M4784">
        <v>0.99953740000000002</v>
      </c>
      <c r="N4784">
        <v>0</v>
      </c>
      <c r="O4784">
        <v>-2.4855329999999998E-2</v>
      </c>
      <c r="P4784">
        <v>0.9951506</v>
      </c>
      <c r="Q4784">
        <v>6.0445390000000002E-2</v>
      </c>
      <c r="R4784">
        <v>-7.7602470000000007E-2</v>
      </c>
      <c r="S4784">
        <v>3.0097049999999999</v>
      </c>
      <c r="T4784">
        <v>-0.345151599999999</v>
      </c>
      <c r="U4784">
        <v>-0.34155269999999999</v>
      </c>
      <c r="V4784">
        <v>5.2848770000000003E-2</v>
      </c>
      <c r="W4784">
        <v>7.7912759999999998E-2</v>
      </c>
      <c r="X4784">
        <v>0.99555839999999995</v>
      </c>
      <c r="Y4784">
        <v>8.7618719999999997E-2</v>
      </c>
      <c r="Z4784">
        <v>-2.1604520000000002E-3</v>
      </c>
      <c r="AA4784">
        <v>0.99615169999999997</v>
      </c>
      <c r="AB4784">
        <v>30</v>
      </c>
      <c r="AC4784">
        <v>0.46750000000000103</v>
      </c>
      <c r="AD4784">
        <v>-0.10546460000000001</v>
      </c>
      <c r="AE4784">
        <v>-9.3400000000002606E-2</v>
      </c>
      <c r="AF4784">
        <v>7.7935424482544993E-2</v>
      </c>
      <c r="AG4784">
        <v>-0.10546460000000001</v>
      </c>
      <c r="AH4784">
        <v>0.44776435767225498</v>
      </c>
      <c r="AI4784">
        <v>103.064119140212</v>
      </c>
      <c r="AJ4784">
        <v>80.126323456305698</v>
      </c>
      <c r="AK4784">
        <v>0.46657221546517502</v>
      </c>
      <c r="AL4784">
        <v>85.531398667594701</v>
      </c>
      <c r="AM4784">
        <v>86.961331458257803</v>
      </c>
      <c r="AN4784">
        <v>0.99999995923594398</v>
      </c>
    </row>
    <row r="4785" spans="1:40" x14ac:dyDescent="0.3">
      <c r="A4785" t="str">
        <f>"20200111154016665"</f>
        <v>20200111154016665</v>
      </c>
      <c r="B4785" t="str">
        <f>"1578728416655688"</f>
        <v>1578728416655688</v>
      </c>
      <c r="C4785" t="s">
        <v>40</v>
      </c>
      <c r="D4785">
        <v>5.972099</v>
      </c>
      <c r="E4785">
        <v>0.51200429999999997</v>
      </c>
      <c r="F4785" t="s">
        <v>41</v>
      </c>
      <c r="G4785">
        <v>-142.45410000000001</v>
      </c>
      <c r="H4785">
        <v>1.0158450000000001</v>
      </c>
      <c r="I4785">
        <v>144.22290000000001</v>
      </c>
      <c r="J4785">
        <v>-142.761</v>
      </c>
      <c r="K4785">
        <v>1.105283</v>
      </c>
      <c r="L4785">
        <v>144.29300000000001</v>
      </c>
      <c r="M4785">
        <v>0.99953420000000004</v>
      </c>
      <c r="N4785">
        <v>0</v>
      </c>
      <c r="O4785">
        <v>-2.4977309999999999E-2</v>
      </c>
      <c r="P4785">
        <v>0.99546760000000001</v>
      </c>
      <c r="Q4785">
        <v>5.8955390000000003E-2</v>
      </c>
      <c r="R4785">
        <v>-7.4622910000000001E-2</v>
      </c>
      <c r="S4785">
        <v>3.011139</v>
      </c>
      <c r="T4785">
        <v>-0.36433209999999999</v>
      </c>
      <c r="U4785">
        <v>-0.32862849999999999</v>
      </c>
      <c r="V4785">
        <v>4.9742830000000002E-2</v>
      </c>
      <c r="W4785">
        <v>7.642707E-2</v>
      </c>
      <c r="X4785">
        <v>0.99583359999999999</v>
      </c>
      <c r="Y4785">
        <v>8.3206429999999998E-2</v>
      </c>
      <c r="Z4785">
        <v>-1.9992590000000002E-3</v>
      </c>
      <c r="AA4785">
        <v>0.99653040000000004</v>
      </c>
      <c r="AB4785">
        <v>30</v>
      </c>
      <c r="AC4785">
        <v>0.30689999999998402</v>
      </c>
      <c r="AD4785">
        <v>-8.9437999999999906E-2</v>
      </c>
      <c r="AE4785">
        <v>-7.0099999999996498E-2</v>
      </c>
      <c r="AF4785">
        <v>5.7750017130307502E-2</v>
      </c>
      <c r="AG4785">
        <v>-8.9437999999999906E-2</v>
      </c>
      <c r="AH4785">
        <v>0.28550997847235698</v>
      </c>
      <c r="AI4785">
        <v>107.068529081492</v>
      </c>
      <c r="AJ4785">
        <v>78.565079857917098</v>
      </c>
      <c r="AK4785">
        <v>0.30471325558602902</v>
      </c>
      <c r="AL4785">
        <v>85.616777237995606</v>
      </c>
      <c r="AM4785">
        <v>87.1403983806958</v>
      </c>
      <c r="AN4785">
        <v>1.0000000025270701</v>
      </c>
    </row>
    <row r="4786" spans="1:40" x14ac:dyDescent="0.3">
      <c r="A4786" t="str">
        <f>"20200111154016699"</f>
        <v>20200111154016699</v>
      </c>
      <c r="B4786" t="str">
        <f>"1578728416695705"</f>
        <v>1578728416695705</v>
      </c>
      <c r="C4786" t="s">
        <v>40</v>
      </c>
      <c r="D4786">
        <v>6.2720880000000001</v>
      </c>
      <c r="E4786">
        <v>0.51172359999999995</v>
      </c>
      <c r="F4786" t="s">
        <v>41</v>
      </c>
      <c r="G4786">
        <v>-141.9365</v>
      </c>
      <c r="H4786">
        <v>1.001844</v>
      </c>
      <c r="I4786">
        <v>144.20519999999999</v>
      </c>
      <c r="J4786">
        <v>-142.32399999999899</v>
      </c>
      <c r="K4786">
        <v>1.1053200000000001</v>
      </c>
      <c r="L4786">
        <v>144.28190000000001</v>
      </c>
      <c r="M4786">
        <v>0.99953150000000002</v>
      </c>
      <c r="N4786">
        <v>0</v>
      </c>
      <c r="O4786">
        <v>-2.5057389999999999E-2</v>
      </c>
      <c r="P4786">
        <v>0.99540680000000004</v>
      </c>
      <c r="Q4786">
        <v>6.0251409999999998E-2</v>
      </c>
      <c r="R4786">
        <v>-7.4400079999999993E-2</v>
      </c>
      <c r="S4786">
        <v>3.012054</v>
      </c>
      <c r="T4786">
        <v>-0.37792690000000001</v>
      </c>
      <c r="U4786">
        <v>-0.31997680000000001</v>
      </c>
      <c r="V4786">
        <v>4.9441659999999998E-2</v>
      </c>
      <c r="W4786">
        <v>7.7765849999999997E-2</v>
      </c>
      <c r="X4786">
        <v>0.99574490000000004</v>
      </c>
      <c r="Y4786">
        <v>8.0255750000000001E-2</v>
      </c>
      <c r="Z4786">
        <v>-1.8791039999999999E-3</v>
      </c>
      <c r="AA4786">
        <v>0.99677249999999995</v>
      </c>
      <c r="AB4786">
        <v>29</v>
      </c>
      <c r="AC4786">
        <v>0.38749999999998802</v>
      </c>
      <c r="AD4786">
        <v>-0.103476</v>
      </c>
      <c r="AE4786">
        <v>-7.6700000000016602E-2</v>
      </c>
      <c r="AF4786">
        <v>6.2664670936900702E-2</v>
      </c>
      <c r="AG4786">
        <v>-0.103476</v>
      </c>
      <c r="AH4786">
        <v>0.36430235193826799</v>
      </c>
      <c r="AI4786">
        <v>105.63840367146</v>
      </c>
      <c r="AJ4786">
        <v>80.239905911743307</v>
      </c>
      <c r="AK4786">
        <v>0.38386240658259801</v>
      </c>
      <c r="AL4786">
        <v>85.539841590889495</v>
      </c>
      <c r="AM4786">
        <v>87.157430702858704</v>
      </c>
      <c r="AN4786">
        <v>0.999999955522893</v>
      </c>
    </row>
    <row r="4787" spans="1:40" x14ac:dyDescent="0.3">
      <c r="A4787" t="str">
        <f>"20200111154016733"</f>
        <v>20200111154016733</v>
      </c>
      <c r="B4787" t="str">
        <f>"1578728416725963"</f>
        <v>1578728416725963</v>
      </c>
      <c r="C4787" t="s">
        <v>40</v>
      </c>
      <c r="D4787">
        <v>6.2717580000000002</v>
      </c>
      <c r="E4787">
        <v>0.51201409999999903</v>
      </c>
      <c r="F4787" t="s">
        <v>41</v>
      </c>
      <c r="G4787">
        <v>-141.4203</v>
      </c>
      <c r="H4787">
        <v>0.99207849999999997</v>
      </c>
      <c r="I4787">
        <v>144.18700000000001</v>
      </c>
      <c r="J4787">
        <v>-141.87970000000001</v>
      </c>
      <c r="K4787">
        <v>1.105362</v>
      </c>
      <c r="L4787">
        <v>144.27070000000001</v>
      </c>
      <c r="M4787">
        <v>0.9995288</v>
      </c>
      <c r="N4787">
        <v>0</v>
      </c>
      <c r="O4787">
        <v>-2.511526E-2</v>
      </c>
      <c r="P4787">
        <v>0.99526899999999996</v>
      </c>
      <c r="Q4787">
        <v>6.20659E-2</v>
      </c>
      <c r="R4787">
        <v>-7.4749460000000004E-2</v>
      </c>
      <c r="S4787">
        <v>3.0130620000000001</v>
      </c>
      <c r="T4787">
        <v>-0.3776234</v>
      </c>
      <c r="U4787">
        <v>-0.31633</v>
      </c>
      <c r="V4787">
        <v>4.9735420000000002E-2</v>
      </c>
      <c r="W4787">
        <v>7.9643519999999995E-2</v>
      </c>
      <c r="X4787">
        <v>0.99558190000000002</v>
      </c>
      <c r="Y4787">
        <v>7.8981029999999994E-2</v>
      </c>
      <c r="Z4787">
        <v>-1.790537E-3</v>
      </c>
      <c r="AA4787">
        <v>0.9968745</v>
      </c>
      <c r="AB4787">
        <v>29</v>
      </c>
      <c r="AC4787">
        <v>0.45940000000001602</v>
      </c>
      <c r="AD4787">
        <v>-0.1132835</v>
      </c>
      <c r="AE4787">
        <v>-8.3699999999993197E-2</v>
      </c>
      <c r="AF4787">
        <v>6.8124505646168995E-2</v>
      </c>
      <c r="AG4787">
        <v>-0.1132835</v>
      </c>
      <c r="AH4787">
        <v>0.43571438587209999</v>
      </c>
      <c r="AI4787">
        <v>104.40632745596101</v>
      </c>
      <c r="AJ4787">
        <v>81.113675841826606</v>
      </c>
      <c r="AK4787">
        <v>0.45532529657123899</v>
      </c>
      <c r="AL4787">
        <v>85.431924494945903</v>
      </c>
      <c r="AM4787">
        <v>87.140102009353399</v>
      </c>
      <c r="AN4787">
        <v>1.0000000109440801</v>
      </c>
    </row>
    <row r="4788" spans="1:40" x14ac:dyDescent="0.3">
      <c r="A4788" t="str">
        <f>"20200111154016766"</f>
        <v>20200111154016766</v>
      </c>
      <c r="B4788" t="str">
        <f>"1578728416756216"</f>
        <v>1578728416756216</v>
      </c>
      <c r="C4788" t="s">
        <v>40</v>
      </c>
      <c r="D4788">
        <v>6.0505250000000004</v>
      </c>
      <c r="E4788">
        <v>0.51216479999999998</v>
      </c>
      <c r="F4788" t="s">
        <v>41</v>
      </c>
      <c r="G4788">
        <v>-141.14930000000001</v>
      </c>
      <c r="H4788">
        <v>1.0149109999999999</v>
      </c>
      <c r="I4788">
        <v>144.19319999999999</v>
      </c>
      <c r="J4788">
        <v>-141.45609999999999</v>
      </c>
      <c r="K4788">
        <v>1.10538</v>
      </c>
      <c r="L4788">
        <v>144.25989999999999</v>
      </c>
      <c r="M4788">
        <v>0.99952629999999998</v>
      </c>
      <c r="N4788">
        <v>0</v>
      </c>
      <c r="O4788">
        <v>-2.5163899999999999E-2</v>
      </c>
      <c r="P4788">
        <v>0.99529909999999999</v>
      </c>
      <c r="Q4788">
        <v>5.9834110000000003E-2</v>
      </c>
      <c r="R4788">
        <v>-7.6155799999999996E-2</v>
      </c>
      <c r="S4788">
        <v>3.013611</v>
      </c>
      <c r="T4788">
        <v>-0.37329790000000002</v>
      </c>
      <c r="U4788">
        <v>-0.31883240000000002</v>
      </c>
      <c r="V4788">
        <v>5.1090610000000002E-2</v>
      </c>
      <c r="W4788">
        <v>7.7483469999999999E-2</v>
      </c>
      <c r="X4788">
        <v>0.99568369999999995</v>
      </c>
      <c r="Y4788">
        <v>7.9736580000000001E-2</v>
      </c>
      <c r="Z4788">
        <v>-1.8102999999999999E-3</v>
      </c>
      <c r="AA4788">
        <v>0.99681430000000004</v>
      </c>
      <c r="AB4788">
        <v>29</v>
      </c>
      <c r="AC4788">
        <v>0.30679999999998098</v>
      </c>
      <c r="AD4788">
        <v>-9.0468999999999897E-2</v>
      </c>
      <c r="AE4788">
        <v>-6.6699999999997303E-2</v>
      </c>
      <c r="AF4788">
        <v>5.4437462189962399E-2</v>
      </c>
      <c r="AG4788">
        <v>-9.0468999999999897E-2</v>
      </c>
      <c r="AH4788">
        <v>0.28473972731000002</v>
      </c>
      <c r="AI4788">
        <v>107.331740219034</v>
      </c>
      <c r="AJ4788">
        <v>79.176614869692699</v>
      </c>
      <c r="AK4788">
        <v>0.30368534630313798</v>
      </c>
      <c r="AL4788">
        <v>85.5560698688586</v>
      </c>
      <c r="AM4788">
        <v>87.062610072112506</v>
      </c>
      <c r="AN4788">
        <v>0.99999998449955096</v>
      </c>
    </row>
    <row r="4789" spans="1:40" x14ac:dyDescent="0.3">
      <c r="A4789" t="str">
        <f>"20200111154016801"</f>
        <v>20200111154016801</v>
      </c>
      <c r="B4789" t="str">
        <f>"1578728416796233"</f>
        <v>1578728416796233</v>
      </c>
      <c r="C4789" t="s">
        <v>40</v>
      </c>
      <c r="D4789">
        <v>6.2674899999999996</v>
      </c>
      <c r="E4789">
        <v>0.51235399999999998</v>
      </c>
      <c r="F4789" t="s">
        <v>41</v>
      </c>
      <c r="G4789">
        <v>-140.6403</v>
      </c>
      <c r="H4789">
        <v>1.0021070000000001</v>
      </c>
      <c r="I4789">
        <v>144.1722</v>
      </c>
      <c r="J4789">
        <v>-141.02209999999999</v>
      </c>
      <c r="K4789">
        <v>1.105405</v>
      </c>
      <c r="L4789">
        <v>144.24889999999999</v>
      </c>
      <c r="M4789">
        <v>0.99952300000000005</v>
      </c>
      <c r="N4789">
        <v>0</v>
      </c>
      <c r="O4789">
        <v>-2.52135E-2</v>
      </c>
      <c r="P4789">
        <v>0.99519780000000002</v>
      </c>
      <c r="Q4789">
        <v>5.8435630000000002E-2</v>
      </c>
      <c r="R4789">
        <v>-7.8531260000000006E-2</v>
      </c>
      <c r="S4789">
        <v>3.0123440000000001</v>
      </c>
      <c r="T4789">
        <v>-0.38139149999999999</v>
      </c>
      <c r="U4789">
        <v>-0.32356259999999998</v>
      </c>
      <c r="V4789">
        <v>5.3417569999999998E-2</v>
      </c>
      <c r="W4789">
        <v>7.6202660000000005E-2</v>
      </c>
      <c r="X4789">
        <v>0.9956604</v>
      </c>
      <c r="Y4789">
        <v>8.1248719999999996E-2</v>
      </c>
      <c r="Z4789">
        <v>-1.9387110000000001E-3</v>
      </c>
      <c r="AA4789">
        <v>0.99669189999999996</v>
      </c>
      <c r="AB4789">
        <v>29</v>
      </c>
      <c r="AC4789">
        <v>0.38179999999999797</v>
      </c>
      <c r="AD4789">
        <v>-0.103297999999999</v>
      </c>
      <c r="AE4789">
        <v>-7.6699999999988194E-2</v>
      </c>
      <c r="AF4789">
        <v>6.2640162991858706E-2</v>
      </c>
      <c r="AG4789">
        <v>-0.103297999999999</v>
      </c>
      <c r="AH4789">
        <v>0.35839581837138901</v>
      </c>
      <c r="AI4789">
        <v>105.850267466627</v>
      </c>
      <c r="AJ4789">
        <v>80.086025507466005</v>
      </c>
      <c r="AK4789">
        <v>0.37820871149372598</v>
      </c>
      <c r="AL4789">
        <v>85.629672391012505</v>
      </c>
      <c r="AM4789">
        <v>86.929003237304002</v>
      </c>
      <c r="AN4789">
        <v>0.99999995715196899</v>
      </c>
    </row>
    <row r="4790" spans="1:40" x14ac:dyDescent="0.3">
      <c r="A4790" t="str">
        <f>"20200111154016934"</f>
        <v>20200111154016934</v>
      </c>
      <c r="B4790" t="str">
        <f>"1578728416926040"</f>
        <v>1578728416926040</v>
      </c>
      <c r="C4790" t="s">
        <v>40</v>
      </c>
      <c r="D4790">
        <v>5.9611539999999996</v>
      </c>
      <c r="E4790">
        <v>0.50613339999999996</v>
      </c>
      <c r="F4790" t="s">
        <v>41</v>
      </c>
      <c r="G4790">
        <v>-138.92230000000001</v>
      </c>
      <c r="H4790">
        <v>0.88972269999999898</v>
      </c>
      <c r="I4790">
        <v>144.1362</v>
      </c>
      <c r="J4790">
        <v>-139.327</v>
      </c>
      <c r="K4790">
        <v>1.105488</v>
      </c>
      <c r="L4790">
        <v>144.20570000000001</v>
      </c>
      <c r="M4790">
        <v>0.99950260000000002</v>
      </c>
      <c r="N4790">
        <v>0</v>
      </c>
      <c r="O4790">
        <v>-2.5433359999999999E-2</v>
      </c>
      <c r="P4790">
        <v>0.99546880000000004</v>
      </c>
      <c r="Q4790">
        <v>4.9122939999999997E-2</v>
      </c>
      <c r="R4790">
        <v>-8.1418309999999994E-2</v>
      </c>
      <c r="S4790">
        <v>3.030411</v>
      </c>
      <c r="T4790">
        <v>-0.79251019999999905</v>
      </c>
      <c r="U4790">
        <v>-0.29437259999999998</v>
      </c>
      <c r="V4790">
        <v>5.6076880000000003E-2</v>
      </c>
      <c r="W4790">
        <v>6.7706559999999999E-2</v>
      </c>
      <c r="X4790">
        <v>0.99612809999999896</v>
      </c>
      <c r="Y4790">
        <v>6.9855239999999999E-2</v>
      </c>
      <c r="Z4790">
        <v>-2.4377919999999998E-3</v>
      </c>
      <c r="AA4790">
        <v>0.99755419999999995</v>
      </c>
      <c r="AB4790">
        <v>28</v>
      </c>
      <c r="AC4790">
        <v>0.40469999999999101</v>
      </c>
      <c r="AD4790">
        <v>-0.21576529999999999</v>
      </c>
      <c r="AE4790">
        <v>-6.9500000000005002E-2</v>
      </c>
      <c r="AF4790">
        <v>4.6377729219752299E-2</v>
      </c>
      <c r="AG4790">
        <v>-0.21576529999999999</v>
      </c>
      <c r="AH4790">
        <v>0.31841976463203497</v>
      </c>
      <c r="AI4790">
        <v>123.843345468694</v>
      </c>
      <c r="AJ4790">
        <v>81.713160074235006</v>
      </c>
      <c r="AK4790">
        <v>0.38742316007176297</v>
      </c>
      <c r="AL4790">
        <v>86.117729808639993</v>
      </c>
      <c r="AM4790">
        <v>86.777943611945602</v>
      </c>
      <c r="AN4790">
        <v>0.99999999317358801</v>
      </c>
    </row>
    <row r="4791" spans="1:40" x14ac:dyDescent="0.3">
      <c r="A4791" t="str">
        <f>"20200111154016968"</f>
        <v>20200111154016968</v>
      </c>
      <c r="B4791" t="str">
        <f>"1578728416956296"</f>
        <v>1578728416956296</v>
      </c>
      <c r="C4791" t="s">
        <v>40</v>
      </c>
      <c r="D4791">
        <v>5.7104330000000001</v>
      </c>
      <c r="E4791">
        <v>0.50609020000000005</v>
      </c>
      <c r="F4791" t="s">
        <v>41</v>
      </c>
      <c r="G4791">
        <v>-138.65039999999999</v>
      </c>
      <c r="H4791">
        <v>0.93826390000000004</v>
      </c>
      <c r="I4791">
        <v>144.1404</v>
      </c>
      <c r="J4791">
        <v>-138.91130000000001</v>
      </c>
      <c r="K4791">
        <v>1.1055200000000001</v>
      </c>
      <c r="L4791">
        <v>144.1951</v>
      </c>
      <c r="M4791">
        <v>0.99949509999999997</v>
      </c>
      <c r="N4791">
        <v>0</v>
      </c>
      <c r="O4791">
        <v>-2.54898E-2</v>
      </c>
      <c r="P4791">
        <v>0.99568179999999995</v>
      </c>
      <c r="Q4791">
        <v>4.6960519999999999E-2</v>
      </c>
      <c r="R4791">
        <v>-8.0076990000000001E-2</v>
      </c>
      <c r="S4791">
        <v>3.0267330000000001</v>
      </c>
      <c r="T4791">
        <v>-0.74811759999999905</v>
      </c>
      <c r="U4791">
        <v>-0.29124450000000002</v>
      </c>
      <c r="V4791">
        <v>5.4673859999999998E-2</v>
      </c>
      <c r="W4791">
        <v>6.5862450000000003E-2</v>
      </c>
      <c r="X4791">
        <v>0.99632969999999998</v>
      </c>
      <c r="Y4791">
        <v>6.9074389999999999E-2</v>
      </c>
      <c r="Z4791">
        <v>-2.1995029999999998E-3</v>
      </c>
      <c r="AA4791">
        <v>0.99760910000000003</v>
      </c>
      <c r="AB4791">
        <v>28</v>
      </c>
      <c r="AC4791">
        <v>0.26090000000002</v>
      </c>
      <c r="AD4791">
        <v>-0.16725609999999899</v>
      </c>
      <c r="AE4791">
        <v>-5.46999999999968E-2</v>
      </c>
      <c r="AF4791">
        <v>3.4463471737973803E-2</v>
      </c>
      <c r="AG4791">
        <v>-0.16725609999999899</v>
      </c>
      <c r="AH4791">
        <v>0.188143238048505</v>
      </c>
      <c r="AI4791">
        <v>131.16753895394501</v>
      </c>
      <c r="AJ4791">
        <v>79.619820819775498</v>
      </c>
      <c r="AK4791">
        <v>0.25408701638379799</v>
      </c>
      <c r="AL4791">
        <v>86.223625924394796</v>
      </c>
      <c r="AM4791">
        <v>86.859028973072597</v>
      </c>
      <c r="AN4791">
        <v>0.99999998219469599</v>
      </c>
    </row>
    <row r="4792" spans="1:40" x14ac:dyDescent="0.3">
      <c r="A4792" t="str">
        <f>"20200111154017002"</f>
        <v>20200111154017002</v>
      </c>
      <c r="B4792" t="str">
        <f>"1578728416996313"</f>
        <v>1578728416996313</v>
      </c>
      <c r="C4792" t="s">
        <v>40</v>
      </c>
      <c r="D4792">
        <v>5.9038959999999996</v>
      </c>
      <c r="E4792">
        <v>0.50620379999999998</v>
      </c>
      <c r="F4792" t="s">
        <v>41</v>
      </c>
      <c r="G4792">
        <v>-138.16390000000001</v>
      </c>
      <c r="H4792">
        <v>0.92513120000000004</v>
      </c>
      <c r="I4792">
        <v>144.12379999999999</v>
      </c>
      <c r="J4792">
        <v>-138.51089999999999</v>
      </c>
      <c r="K4792">
        <v>1.1055619999999999</v>
      </c>
      <c r="L4792">
        <v>144.1848</v>
      </c>
      <c r="M4792">
        <v>0.9994864</v>
      </c>
      <c r="N4792">
        <v>0</v>
      </c>
      <c r="O4792">
        <v>-2.5544540000000001E-2</v>
      </c>
      <c r="P4792">
        <v>0.99584139999999999</v>
      </c>
      <c r="Q4792">
        <v>4.4817299999999997E-2</v>
      </c>
      <c r="R4792">
        <v>-7.9319230000000004E-2</v>
      </c>
      <c r="S4792">
        <v>3.024292</v>
      </c>
      <c r="T4792">
        <v>-0.72992690000000005</v>
      </c>
      <c r="U4792">
        <v>-0.28773500000000002</v>
      </c>
      <c r="V4792">
        <v>5.3857120000000001E-2</v>
      </c>
      <c r="W4792">
        <v>6.4105690000000007E-2</v>
      </c>
      <c r="X4792">
        <v>0.99648870000000001</v>
      </c>
      <c r="Y4792">
        <v>6.8039550000000004E-2</v>
      </c>
      <c r="Z4792">
        <v>-2.0134110000000001E-3</v>
      </c>
      <c r="AA4792">
        <v>0.99768060000000003</v>
      </c>
      <c r="AB4792">
        <v>28</v>
      </c>
      <c r="AC4792">
        <v>0.34699999999997899</v>
      </c>
      <c r="AD4792">
        <v>-0.1804308</v>
      </c>
      <c r="AE4792">
        <v>-6.1000000000007E-2</v>
      </c>
      <c r="AF4792">
        <v>4.1286390691187898E-2</v>
      </c>
      <c r="AG4792">
        <v>-0.1804308</v>
      </c>
      <c r="AH4792">
        <v>0.27604704660921597</v>
      </c>
      <c r="AI4792">
        <v>122.879973078882</v>
      </c>
      <c r="AJ4792">
        <v>81.493730100020898</v>
      </c>
      <c r="AK4792">
        <v>0.33235795700812698</v>
      </c>
      <c r="AL4792">
        <v>86.324493882228793</v>
      </c>
      <c r="AM4792">
        <v>86.906350937711593</v>
      </c>
      <c r="AN4792">
        <v>0.99999992904637702</v>
      </c>
    </row>
    <row r="4793" spans="1:40" x14ac:dyDescent="0.3">
      <c r="A4793" t="str">
        <f>"20200111154017035"</f>
        <v>20200111154017035</v>
      </c>
      <c r="B4793" t="str">
        <f>"1578728417025446"</f>
        <v>1578728417025446</v>
      </c>
      <c r="C4793" t="s">
        <v>40</v>
      </c>
      <c r="D4793">
        <v>6.2825879999999996</v>
      </c>
      <c r="E4793">
        <v>0.51519789999999999</v>
      </c>
      <c r="F4793" t="s">
        <v>41</v>
      </c>
      <c r="G4793">
        <v>-137.685</v>
      </c>
      <c r="H4793">
        <v>0.90799529999999995</v>
      </c>
      <c r="I4793">
        <v>144.1062</v>
      </c>
      <c r="J4793">
        <v>-138.10390000000001</v>
      </c>
      <c r="K4793">
        <v>1.1056319999999999</v>
      </c>
      <c r="L4793">
        <v>144.17429999999999</v>
      </c>
      <c r="M4793">
        <v>0.99947629999999998</v>
      </c>
      <c r="N4793">
        <v>0</v>
      </c>
      <c r="O4793">
        <v>-2.5599489999999999E-2</v>
      </c>
      <c r="P4793">
        <v>0.99584950000000005</v>
      </c>
      <c r="Q4793">
        <v>4.4211229999999997E-2</v>
      </c>
      <c r="R4793">
        <v>-7.9556580000000002E-2</v>
      </c>
      <c r="S4793">
        <v>3.0222169999999999</v>
      </c>
      <c r="T4793">
        <v>-0.72299829999999998</v>
      </c>
      <c r="U4793">
        <v>-0.2870026</v>
      </c>
      <c r="V4793">
        <v>5.4039219999999999E-2</v>
      </c>
      <c r="W4793">
        <v>6.3946279999999994E-2</v>
      </c>
      <c r="X4793">
        <v>0.99648919999999996</v>
      </c>
      <c r="Y4793">
        <v>6.7837540000000002E-2</v>
      </c>
      <c r="Z4793">
        <v>-1.9594109999999999E-3</v>
      </c>
      <c r="AA4793">
        <v>0.99769439999999998</v>
      </c>
      <c r="AB4793">
        <v>27</v>
      </c>
      <c r="AC4793">
        <v>0.41890000000000699</v>
      </c>
      <c r="AD4793">
        <v>-0.197636699999999</v>
      </c>
      <c r="AE4793">
        <v>-6.8099999999986893E-2</v>
      </c>
      <c r="AF4793">
        <v>4.7130974683495697E-2</v>
      </c>
      <c r="AG4793">
        <v>-0.197636699999999</v>
      </c>
      <c r="AH4793">
        <v>0.345565838524793</v>
      </c>
      <c r="AI4793">
        <v>119.539174898224</v>
      </c>
      <c r="AJ4793">
        <v>82.233473123722305</v>
      </c>
      <c r="AK4793">
        <v>0.40087073068116302</v>
      </c>
      <c r="AL4793">
        <v>86.333646606730795</v>
      </c>
      <c r="AM4793">
        <v>86.895912764640599</v>
      </c>
      <c r="AN4793">
        <v>1.0000000448703401</v>
      </c>
    </row>
    <row r="4794" spans="1:40" x14ac:dyDescent="0.3">
      <c r="A4794" t="str">
        <f>"20200111154017068"</f>
        <v>20200111154017068</v>
      </c>
      <c r="B4794" t="str">
        <f>"1578728417055702"</f>
        <v>1578728417055702</v>
      </c>
      <c r="C4794" t="s">
        <v>40</v>
      </c>
      <c r="D4794">
        <v>5.9172370000000001</v>
      </c>
      <c r="E4794">
        <v>0.51367450000000003</v>
      </c>
      <c r="F4794" t="s">
        <v>41</v>
      </c>
      <c r="G4794">
        <v>-137.43629999999999</v>
      </c>
      <c r="H4794">
        <v>0.9242013</v>
      </c>
      <c r="I4794">
        <v>144.0949</v>
      </c>
      <c r="J4794">
        <v>-137.70699999999999</v>
      </c>
      <c r="K4794">
        <v>1.1056900000000001</v>
      </c>
      <c r="L4794">
        <v>144.16409999999999</v>
      </c>
      <c r="M4794">
        <v>0.99946539999999995</v>
      </c>
      <c r="N4794">
        <v>0</v>
      </c>
      <c r="O4794">
        <v>-2.565276E-2</v>
      </c>
      <c r="P4794">
        <v>0.99589680000000003</v>
      </c>
      <c r="Q4794">
        <v>4.4452709999999999E-2</v>
      </c>
      <c r="R4794">
        <v>-7.8828129999999996E-2</v>
      </c>
      <c r="S4794">
        <v>3.0202179999999998</v>
      </c>
      <c r="T4794">
        <v>-0.82069380000000003</v>
      </c>
      <c r="U4794">
        <v>-0.35948180000000002</v>
      </c>
      <c r="V4794">
        <v>5.3256289999999998E-2</v>
      </c>
      <c r="W4794">
        <v>6.466007E-2</v>
      </c>
      <c r="X4794">
        <v>0.99648519999999896</v>
      </c>
      <c r="Y4794">
        <v>9.0361339999999998E-2</v>
      </c>
      <c r="Z4794">
        <v>-5.1962240000000002E-3</v>
      </c>
      <c r="AA4794">
        <v>0.99589550000000004</v>
      </c>
      <c r="AB4794">
        <v>27</v>
      </c>
      <c r="AC4794">
        <v>0.27070000000000499</v>
      </c>
      <c r="AD4794">
        <v>-0.181488699999999</v>
      </c>
      <c r="AE4794">
        <v>-6.9199999999995002E-2</v>
      </c>
      <c r="AF4794">
        <v>4.3765860593732997E-2</v>
      </c>
      <c r="AG4794">
        <v>-0.181488699999999</v>
      </c>
      <c r="AH4794">
        <v>0.191562293700898</v>
      </c>
      <c r="AI4794">
        <v>132.72602632145001</v>
      </c>
      <c r="AJ4794">
        <v>77.130628514313599</v>
      </c>
      <c r="AK4794">
        <v>0.26748777756964698</v>
      </c>
      <c r="AL4794">
        <v>86.2926643053449</v>
      </c>
      <c r="AM4794">
        <v>86.940787035764899</v>
      </c>
      <c r="AN4794">
        <v>0.99999995544800302</v>
      </c>
    </row>
    <row r="4795" spans="1:40" x14ac:dyDescent="0.3">
      <c r="A4795" t="str">
        <f>"20200111154017167"</f>
        <v>20200111154017167</v>
      </c>
      <c r="B4795" t="str">
        <f>"1578728417156230"</f>
        <v>1578728417156230</v>
      </c>
      <c r="C4795" t="s">
        <v>40</v>
      </c>
      <c r="D4795">
        <v>5.9682240000000002</v>
      </c>
      <c r="E4795">
        <v>0.53431619999999902</v>
      </c>
      <c r="F4795" t="s">
        <v>41</v>
      </c>
      <c r="G4795">
        <v>-136.0505</v>
      </c>
      <c r="H4795">
        <v>0.86776819999999899</v>
      </c>
      <c r="I4795">
        <v>144.04509999999999</v>
      </c>
      <c r="J4795">
        <v>-136.53659999999999</v>
      </c>
      <c r="K4795">
        <v>1.105901</v>
      </c>
      <c r="L4795">
        <v>144.13380000000001</v>
      </c>
      <c r="M4795">
        <v>0.99942580000000003</v>
      </c>
      <c r="N4795">
        <v>0</v>
      </c>
      <c r="O4795">
        <v>-2.5810159999999999E-2</v>
      </c>
      <c r="P4795">
        <v>0.99619590000000002</v>
      </c>
      <c r="Q4795">
        <v>3.9566919999999998E-2</v>
      </c>
      <c r="R4795">
        <v>-7.7642600000000006E-2</v>
      </c>
      <c r="S4795">
        <v>3.0195919999999998</v>
      </c>
      <c r="T4795">
        <v>-0.83112779999999997</v>
      </c>
      <c r="U4795">
        <v>-0.34349059999999998</v>
      </c>
      <c r="V4795">
        <v>5.1905010000000001E-2</v>
      </c>
      <c r="W4795">
        <v>6.1459239999999998E-2</v>
      </c>
      <c r="X4795">
        <v>0.99675910000000001</v>
      </c>
      <c r="Y4795">
        <v>8.5158730000000002E-2</v>
      </c>
      <c r="Z4795">
        <v>-4.5190009999999999E-3</v>
      </c>
      <c r="AA4795">
        <v>0.9963571</v>
      </c>
      <c r="AB4795">
        <v>26</v>
      </c>
      <c r="AC4795">
        <v>0.48609999999999298</v>
      </c>
      <c r="AD4795">
        <v>-0.23813280000000001</v>
      </c>
      <c r="AE4795">
        <v>-8.8700000000017099E-2</v>
      </c>
      <c r="AF4795">
        <v>6.1773889678670403E-2</v>
      </c>
      <c r="AG4795">
        <v>-0.23813280000000001</v>
      </c>
      <c r="AH4795">
        <v>0.39620734337282199</v>
      </c>
      <c r="AI4795">
        <v>120.704217395285</v>
      </c>
      <c r="AJ4795">
        <v>81.138188328832797</v>
      </c>
      <c r="AK4795">
        <v>0.466372708061291</v>
      </c>
      <c r="AL4795">
        <v>86.476424452987004</v>
      </c>
      <c r="AM4795">
        <v>87.019084899420804</v>
      </c>
      <c r="AN4795">
        <v>1.0000000358386401</v>
      </c>
    </row>
    <row r="4796" spans="1:40" x14ac:dyDescent="0.3">
      <c r="A4796" t="str">
        <f>"20200111154017192"</f>
        <v>20200111154017192</v>
      </c>
      <c r="B4796" t="str">
        <f>"1578728417185509"</f>
        <v>1578728417185509</v>
      </c>
      <c r="C4796" t="s">
        <v>40</v>
      </c>
      <c r="D4796">
        <v>5.891534</v>
      </c>
      <c r="E4796">
        <v>0.53633839999999999</v>
      </c>
      <c r="F4796" t="s">
        <v>41</v>
      </c>
      <c r="G4796">
        <v>-135.8168</v>
      </c>
      <c r="H4796">
        <v>0.88058380000000003</v>
      </c>
      <c r="I4796">
        <v>144.01159999999999</v>
      </c>
      <c r="J4796">
        <v>-136.26939999999999</v>
      </c>
      <c r="K4796">
        <v>1.1059460000000001</v>
      </c>
      <c r="L4796">
        <v>144.12690000000001</v>
      </c>
      <c r="M4796">
        <v>0.99941579999999997</v>
      </c>
      <c r="N4796">
        <v>0</v>
      </c>
      <c r="O4796">
        <v>-2.584581E-2</v>
      </c>
      <c r="P4796">
        <v>0.99638599999999999</v>
      </c>
      <c r="Q4796">
        <v>3.6878080000000001E-2</v>
      </c>
      <c r="R4796">
        <v>-7.6517909999999995E-2</v>
      </c>
      <c r="S4796">
        <v>3.0090940000000002</v>
      </c>
      <c r="T4796">
        <v>-0.94188870000000002</v>
      </c>
      <c r="U4796">
        <v>-0.51039120000000004</v>
      </c>
      <c r="V4796">
        <v>5.0739729999999997E-2</v>
      </c>
      <c r="W4796">
        <v>5.9181730000000002E-2</v>
      </c>
      <c r="X4796">
        <v>0.99695690000000003</v>
      </c>
      <c r="Y4796">
        <v>0.136538299999999</v>
      </c>
      <c r="Z4796">
        <v>-1.288593E-2</v>
      </c>
      <c r="AA4796">
        <v>0.99055099999999996</v>
      </c>
      <c r="AB4796">
        <v>26</v>
      </c>
      <c r="AC4796">
        <v>0.45259999999998901</v>
      </c>
      <c r="AD4796">
        <v>-0.22536219999999901</v>
      </c>
      <c r="AE4796">
        <v>-0.115300000000019</v>
      </c>
      <c r="AF4796">
        <v>8.40029407127975E-2</v>
      </c>
      <c r="AG4796">
        <v>-0.22536219999999901</v>
      </c>
      <c r="AH4796">
        <v>0.36942013746979602</v>
      </c>
      <c r="AI4796">
        <v>120.746628067758</v>
      </c>
      <c r="AJ4796">
        <v>77.189271790901103</v>
      </c>
      <c r="AK4796">
        <v>0.440812718969678</v>
      </c>
      <c r="AL4796">
        <v>86.607154215061101</v>
      </c>
      <c r="AM4796">
        <v>87.086467665020507</v>
      </c>
      <c r="AN4796">
        <v>1.00000002891193</v>
      </c>
    </row>
    <row r="4797" spans="1:40" x14ac:dyDescent="0.3">
      <c r="A4797" t="str">
        <f>"20200111154017215"</f>
        <v>20200111154017215</v>
      </c>
      <c r="B4797" t="str">
        <f>"1578728417205536"</f>
        <v>1578728417205536</v>
      </c>
      <c r="C4797" t="s">
        <v>40</v>
      </c>
      <c r="D4797">
        <v>6.102303</v>
      </c>
      <c r="E4797">
        <v>0.53590979999999999</v>
      </c>
      <c r="F4797" t="s">
        <v>41</v>
      </c>
      <c r="G4797">
        <v>-135.5856</v>
      </c>
      <c r="H4797">
        <v>0.89140200000000003</v>
      </c>
      <c r="I4797">
        <v>144.0076</v>
      </c>
      <c r="J4797">
        <v>-136.00890000000001</v>
      </c>
      <c r="K4797">
        <v>1.105969</v>
      </c>
      <c r="L4797">
        <v>144.12020000000001</v>
      </c>
      <c r="M4797">
        <v>0.99940649999999998</v>
      </c>
      <c r="N4797">
        <v>0</v>
      </c>
      <c r="O4797">
        <v>-2.588093E-2</v>
      </c>
      <c r="P4797">
        <v>0.99662740000000005</v>
      </c>
      <c r="Q4797">
        <v>3.4244400000000001E-2</v>
      </c>
      <c r="R4797">
        <v>-7.4575849999999999E-2</v>
      </c>
      <c r="S4797">
        <v>3.0055390000000002</v>
      </c>
      <c r="T4797">
        <v>-0.94306469999999998</v>
      </c>
      <c r="U4797">
        <v>-0.52412409999999998</v>
      </c>
      <c r="V4797">
        <v>4.8756220000000003E-2</v>
      </c>
      <c r="W4797">
        <v>5.6927709999999999E-2</v>
      </c>
      <c r="X4797">
        <v>0.99718709999999999</v>
      </c>
      <c r="Y4797">
        <v>0.1408711</v>
      </c>
      <c r="Z4797">
        <v>-1.355959E-2</v>
      </c>
      <c r="AA4797">
        <v>0.98993509999999996</v>
      </c>
      <c r="AB4797">
        <v>26</v>
      </c>
      <c r="AC4797">
        <v>0.423300000000011</v>
      </c>
      <c r="AD4797">
        <v>-0.21456699999999901</v>
      </c>
      <c r="AE4797">
        <v>-0.11260000000001399</v>
      </c>
      <c r="AF4797">
        <v>8.1941422598828098E-2</v>
      </c>
      <c r="AG4797">
        <v>-0.21456699999999901</v>
      </c>
      <c r="AH4797">
        <v>0.34361858706373799</v>
      </c>
      <c r="AI4797">
        <v>121.274583431065</v>
      </c>
      <c r="AJ4797">
        <v>76.587389028238107</v>
      </c>
      <c r="AK4797">
        <v>0.413312385009449</v>
      </c>
      <c r="AL4797">
        <v>86.736518237008895</v>
      </c>
      <c r="AM4797">
        <v>87.200823444342703</v>
      </c>
      <c r="AN4797">
        <v>1.00000002278047</v>
      </c>
    </row>
    <row r="4798" spans="1:40" x14ac:dyDescent="0.3">
      <c r="A4798" t="str">
        <f>"20200111154017246"</f>
        <v>20200111154017246</v>
      </c>
      <c r="B4798" t="str">
        <f>"1578728417235792"</f>
        <v>1578728417235792</v>
      </c>
      <c r="C4798" t="s">
        <v>40</v>
      </c>
      <c r="D4798">
        <v>5.8575330000000001</v>
      </c>
      <c r="E4798">
        <v>0.53636700000000004</v>
      </c>
      <c r="F4798" t="s">
        <v>41</v>
      </c>
      <c r="G4798">
        <v>-135.16130000000001</v>
      </c>
      <c r="H4798">
        <v>0.83850190000000002</v>
      </c>
      <c r="I4798">
        <v>143.9742</v>
      </c>
      <c r="J4798">
        <v>-135.6574</v>
      </c>
      <c r="K4798">
        <v>1.1059870000000001</v>
      </c>
      <c r="L4798">
        <v>144.11109999999999</v>
      </c>
      <c r="M4798">
        <v>0.99939500000000003</v>
      </c>
      <c r="N4798">
        <v>0</v>
      </c>
      <c r="O4798">
        <v>-2.5928400000000001E-2</v>
      </c>
      <c r="P4798">
        <v>0.99701949999999995</v>
      </c>
      <c r="Q4798">
        <v>2.9975950000000001E-2</v>
      </c>
      <c r="R4798">
        <v>-7.108855E-2</v>
      </c>
      <c r="S4798">
        <v>3.0040589999999998</v>
      </c>
      <c r="T4798">
        <v>-0.9479185</v>
      </c>
      <c r="U4798">
        <v>-0.51690670000000005</v>
      </c>
      <c r="V4798">
        <v>4.5211960000000002E-2</v>
      </c>
      <c r="W4798">
        <v>5.3117360000000002E-2</v>
      </c>
      <c r="X4798">
        <v>0.99756429999999996</v>
      </c>
      <c r="Y4798">
        <v>0.1386424</v>
      </c>
      <c r="Z4798">
        <v>-1.327951E-2</v>
      </c>
      <c r="AA4798">
        <v>0.99025339999999995</v>
      </c>
      <c r="AB4798">
        <v>25</v>
      </c>
      <c r="AC4798">
        <v>0.496099999999984</v>
      </c>
      <c r="AD4798">
        <v>-0.26748509999999998</v>
      </c>
      <c r="AE4798">
        <v>-0.136899999999997</v>
      </c>
      <c r="AF4798">
        <v>9.7617164840979001E-2</v>
      </c>
      <c r="AG4798">
        <v>-0.26748509999999998</v>
      </c>
      <c r="AH4798">
        <v>0.39325104835487101</v>
      </c>
      <c r="AI4798">
        <v>123.430966997892</v>
      </c>
      <c r="AJ4798">
        <v>76.059181505516406</v>
      </c>
      <c r="AK4798">
        <v>0.48551393041374802</v>
      </c>
      <c r="AL4798">
        <v>86.955166661692999</v>
      </c>
      <c r="AM4798">
        <v>87.404996372951103</v>
      </c>
      <c r="AN4798">
        <v>1.0000000539474401</v>
      </c>
    </row>
    <row r="4799" spans="1:40" x14ac:dyDescent="0.3">
      <c r="A4799" t="str">
        <f>"20200111154017280"</f>
        <v>20200111154017280</v>
      </c>
      <c r="B4799" t="str">
        <f>"1578728417275808"</f>
        <v>1578728417275808</v>
      </c>
      <c r="C4799" t="s">
        <v>40</v>
      </c>
      <c r="D4799">
        <v>5.8615820000000003</v>
      </c>
      <c r="E4799">
        <v>0.53701519999999903</v>
      </c>
      <c r="F4799" t="s">
        <v>41</v>
      </c>
      <c r="G4799">
        <v>-134.92330000000001</v>
      </c>
      <c r="H4799">
        <v>0.88007190000000002</v>
      </c>
      <c r="I4799">
        <v>143.9853</v>
      </c>
      <c r="J4799">
        <v>-135.2869</v>
      </c>
      <c r="K4799">
        <v>1.105999</v>
      </c>
      <c r="L4799">
        <v>144.10140000000001</v>
      </c>
      <c r="M4799">
        <v>0.99938400000000005</v>
      </c>
      <c r="N4799">
        <v>0</v>
      </c>
      <c r="O4799">
        <v>-2.59788E-2</v>
      </c>
      <c r="P4799">
        <v>0.99727140000000003</v>
      </c>
      <c r="Q4799">
        <v>2.587944E-2</v>
      </c>
      <c r="R4799">
        <v>-6.9140750000000001E-2</v>
      </c>
      <c r="S4799">
        <v>3.0001069999999999</v>
      </c>
      <c r="T4799">
        <v>-0.92318639999999996</v>
      </c>
      <c r="U4799">
        <v>-0.51324459999999905</v>
      </c>
      <c r="V4799">
        <v>4.320711E-2</v>
      </c>
      <c r="W4799">
        <v>4.9442939999999998E-2</v>
      </c>
      <c r="X4799">
        <v>0.99784200000000001</v>
      </c>
      <c r="Y4799">
        <v>0.13792460000000001</v>
      </c>
      <c r="Z4799">
        <v>-1.2843179999999999E-2</v>
      </c>
      <c r="AA4799">
        <v>0.99035949999999995</v>
      </c>
      <c r="AB4799">
        <v>25</v>
      </c>
      <c r="AC4799">
        <v>0.36359999999999099</v>
      </c>
      <c r="AD4799">
        <v>-0.22592709999999899</v>
      </c>
      <c r="AE4799">
        <v>-0.116100000000017</v>
      </c>
      <c r="AF4799">
        <v>7.8950538415677798E-2</v>
      </c>
      <c r="AG4799">
        <v>-0.22592709999999899</v>
      </c>
      <c r="AH4799">
        <v>0.27140322066797201</v>
      </c>
      <c r="AI4799">
        <v>128.63562965723099</v>
      </c>
      <c r="AJ4799">
        <v>73.780414700389898</v>
      </c>
      <c r="AK4799">
        <v>0.36185072919573202</v>
      </c>
      <c r="AL4799">
        <v>87.165972895274194</v>
      </c>
      <c r="AM4799">
        <v>87.520609879332397</v>
      </c>
      <c r="AN4799">
        <v>1.0000000578171899</v>
      </c>
    </row>
    <row r="4800" spans="1:40" x14ac:dyDescent="0.3">
      <c r="A4800" t="str">
        <f>"20200111154017303"</f>
        <v>20200111154017303</v>
      </c>
      <c r="B4800" t="str">
        <f>"1578728417296304"</f>
        <v>1578728417296304</v>
      </c>
      <c r="C4800" t="s">
        <v>40</v>
      </c>
      <c r="D4800">
        <v>5.8696250000000001</v>
      </c>
      <c r="E4800">
        <v>0.53719709999999998</v>
      </c>
      <c r="F4800" t="s">
        <v>41</v>
      </c>
      <c r="G4800">
        <v>-134.49590000000001</v>
      </c>
      <c r="H4800">
        <v>0.86293819999999999</v>
      </c>
      <c r="I4800">
        <v>143.96539999999999</v>
      </c>
      <c r="J4800">
        <v>-135.0532</v>
      </c>
      <c r="K4800">
        <v>1.1059859999999999</v>
      </c>
      <c r="L4800">
        <v>144.09540000000001</v>
      </c>
      <c r="M4800">
        <v>0.99937750000000003</v>
      </c>
      <c r="N4800">
        <v>0</v>
      </c>
      <c r="O4800">
        <v>-2.6010510000000001E-2</v>
      </c>
      <c r="P4800">
        <v>0.99751380000000001</v>
      </c>
      <c r="Q4800">
        <v>2.0972830000000001E-2</v>
      </c>
      <c r="R4800">
        <v>-6.7278530000000003E-2</v>
      </c>
      <c r="S4800">
        <v>2.996445</v>
      </c>
      <c r="T4800">
        <v>-0.92072310000000002</v>
      </c>
      <c r="U4800">
        <v>-0.51457209999999998</v>
      </c>
      <c r="V4800">
        <v>4.130694E-2</v>
      </c>
      <c r="W4800">
        <v>4.4769879999999998E-2</v>
      </c>
      <c r="X4800">
        <v>0.998143</v>
      </c>
      <c r="Y4800">
        <v>0.13851050000000001</v>
      </c>
      <c r="Z4800">
        <v>-1.290262E-2</v>
      </c>
      <c r="AA4800">
        <v>0.99027690000000002</v>
      </c>
      <c r="AB4800">
        <v>24</v>
      </c>
      <c r="AC4800">
        <v>0.55729999999999702</v>
      </c>
      <c r="AD4800">
        <v>-0.24304780000000001</v>
      </c>
      <c r="AE4800">
        <v>-0.13000000000002301</v>
      </c>
      <c r="AF4800">
        <v>9.7812549929125997E-2</v>
      </c>
      <c r="AG4800">
        <v>-0.24304780000000001</v>
      </c>
      <c r="AH4800">
        <v>0.47484073972723001</v>
      </c>
      <c r="AI4800">
        <v>116.625778802366</v>
      </c>
      <c r="AJ4800">
        <v>78.360436944176698</v>
      </c>
      <c r="AK4800">
        <v>0.54232209627967498</v>
      </c>
      <c r="AL4800">
        <v>87.434017223995298</v>
      </c>
      <c r="AM4800">
        <v>87.6302357264845</v>
      </c>
      <c r="AN4800">
        <v>1.0000000269481799</v>
      </c>
    </row>
    <row r="4801" spans="1:40" x14ac:dyDescent="0.3">
      <c r="A4801" t="str">
        <f>"20200111154017324"</f>
        <v>20200111154017324</v>
      </c>
      <c r="B4801" t="str">
        <f>"1578728417315824"</f>
        <v>1578728417315824</v>
      </c>
      <c r="C4801" t="s">
        <v>40</v>
      </c>
      <c r="D4801">
        <v>5.8642620000000001</v>
      </c>
      <c r="E4801">
        <v>0.53734709999999997</v>
      </c>
      <c r="F4801" t="s">
        <v>41</v>
      </c>
      <c r="G4801">
        <v>-134.28</v>
      </c>
      <c r="H4801">
        <v>0.86663480000000004</v>
      </c>
      <c r="I4801">
        <v>143.96270000000001</v>
      </c>
      <c r="J4801">
        <v>-134.81610000000001</v>
      </c>
      <c r="K4801">
        <v>1.1059699999999999</v>
      </c>
      <c r="L4801">
        <v>144.08920000000001</v>
      </c>
      <c r="M4801">
        <v>0.99937180000000003</v>
      </c>
      <c r="N4801">
        <v>0</v>
      </c>
      <c r="O4801">
        <v>-2.6042929999999999E-2</v>
      </c>
      <c r="P4801">
        <v>0.99772799999999995</v>
      </c>
      <c r="Q4801">
        <v>1.6713760000000001E-2</v>
      </c>
      <c r="R4801">
        <v>-6.5266210000000005E-2</v>
      </c>
      <c r="S4801">
        <v>2.9923250000000001</v>
      </c>
      <c r="T4801">
        <v>-0.92638589999999998</v>
      </c>
      <c r="U4801">
        <v>-0.51336669999999995</v>
      </c>
      <c r="V4801">
        <v>3.925667E-2</v>
      </c>
      <c r="W4801">
        <v>4.0720949999999999E-2</v>
      </c>
      <c r="X4801">
        <v>0.99839909999999998</v>
      </c>
      <c r="Y4801">
        <v>0.1382565</v>
      </c>
      <c r="Z4801">
        <v>-1.294785E-2</v>
      </c>
      <c r="AA4801">
        <v>0.99031179999999996</v>
      </c>
      <c r="AB4801">
        <v>24</v>
      </c>
      <c r="AC4801">
        <v>0.53610000000000402</v>
      </c>
      <c r="AD4801">
        <v>-0.2393352</v>
      </c>
      <c r="AE4801">
        <v>-0.12649999999999201</v>
      </c>
      <c r="AF4801">
        <v>9.4626449193444095E-2</v>
      </c>
      <c r="AG4801">
        <v>-0.2393352</v>
      </c>
      <c r="AH4801">
        <v>0.45357996074239099</v>
      </c>
      <c r="AI4801">
        <v>117.31804309887499</v>
      </c>
      <c r="AJ4801">
        <v>78.215898044722707</v>
      </c>
      <c r="AK4801">
        <v>0.52150770237175703</v>
      </c>
      <c r="AL4801">
        <v>87.666216197827296</v>
      </c>
      <c r="AM4801">
        <v>87.748311822924407</v>
      </c>
      <c r="AN4801">
        <v>1.0000000223946</v>
      </c>
    </row>
    <row r="4802" spans="1:40" x14ac:dyDescent="0.3">
      <c r="A4802" t="str">
        <f>"20200111154017358"</f>
        <v>20200111154017358</v>
      </c>
      <c r="B4802" t="str">
        <f>"1578728417355840"</f>
        <v>1578728417355840</v>
      </c>
      <c r="C4802" t="s">
        <v>40</v>
      </c>
      <c r="D4802">
        <v>5.8548559999999998</v>
      </c>
      <c r="E4802">
        <v>0.53765050000000003</v>
      </c>
      <c r="F4802" t="s">
        <v>41</v>
      </c>
      <c r="G4802">
        <v>-134.06540000000001</v>
      </c>
      <c r="H4802">
        <v>0.87201269999999997</v>
      </c>
      <c r="I4802">
        <v>143.96039999999999</v>
      </c>
      <c r="J4802">
        <v>-134.4571</v>
      </c>
      <c r="K4802">
        <v>1.1059589999999999</v>
      </c>
      <c r="L4802">
        <v>144.07980000000001</v>
      </c>
      <c r="M4802">
        <v>0.99936530000000001</v>
      </c>
      <c r="N4802">
        <v>0</v>
      </c>
      <c r="O4802">
        <v>-2.6092339999999999E-2</v>
      </c>
      <c r="P4802">
        <v>0.99804749999999998</v>
      </c>
      <c r="Q4802">
        <v>9.8684500000000008E-3</v>
      </c>
      <c r="R4802">
        <v>-6.167508E-2</v>
      </c>
      <c r="S4802">
        <v>2.988953</v>
      </c>
      <c r="T4802">
        <v>-0.93154979999999998</v>
      </c>
      <c r="U4802">
        <v>-0.51203920000000003</v>
      </c>
      <c r="V4802">
        <v>3.5608250000000001E-2</v>
      </c>
      <c r="W4802">
        <v>3.4102809999999997E-2</v>
      </c>
      <c r="X4802">
        <v>0.9987838</v>
      </c>
      <c r="Y4802">
        <v>0.13791679999999901</v>
      </c>
      <c r="Z4802">
        <v>-1.296479E-2</v>
      </c>
      <c r="AA4802">
        <v>0.99035890000000004</v>
      </c>
      <c r="AB4802">
        <v>24</v>
      </c>
      <c r="AC4802">
        <v>0.391699999999986</v>
      </c>
      <c r="AD4802">
        <v>-0.233946299999999</v>
      </c>
      <c r="AE4802">
        <v>-0.119400000000013</v>
      </c>
      <c r="AF4802">
        <v>8.2280405939484796E-2</v>
      </c>
      <c r="AG4802">
        <v>-0.233946299999999</v>
      </c>
      <c r="AH4802">
        <v>0.29756162040078699</v>
      </c>
      <c r="AI4802">
        <v>127.153931223911</v>
      </c>
      <c r="AJ4802">
        <v>74.543052262118096</v>
      </c>
      <c r="AK4802">
        <v>0.38735494629706002</v>
      </c>
      <c r="AL4802">
        <v>88.045674006124202</v>
      </c>
      <c r="AM4802">
        <v>87.9581780277706</v>
      </c>
      <c r="AN4802">
        <v>1.0000000141301899</v>
      </c>
    </row>
    <row r="4803" spans="1:40" x14ac:dyDescent="0.3">
      <c r="A4803" t="str">
        <f>"20200111154017404"</f>
        <v>20200111154017404</v>
      </c>
      <c r="B4803" t="str">
        <f>"1578728417395859"</f>
        <v>1578728417395859</v>
      </c>
      <c r="C4803" t="s">
        <v>40</v>
      </c>
      <c r="D4803">
        <v>5.8108370000000003</v>
      </c>
      <c r="E4803">
        <v>0.53770439999999997</v>
      </c>
      <c r="F4803" t="s">
        <v>41</v>
      </c>
      <c r="G4803">
        <v>-133.65450000000001</v>
      </c>
      <c r="H4803">
        <v>0.85299709999999995</v>
      </c>
      <c r="I4803">
        <v>143.94239999999999</v>
      </c>
      <c r="J4803">
        <v>-133.9854</v>
      </c>
      <c r="K4803">
        <v>1.1059330000000001</v>
      </c>
      <c r="L4803">
        <v>144.0675</v>
      </c>
      <c r="M4803">
        <v>0.9993609</v>
      </c>
      <c r="N4803">
        <v>0</v>
      </c>
      <c r="O4803">
        <v>-2.615746E-2</v>
      </c>
      <c r="P4803">
        <v>0.9982396</v>
      </c>
      <c r="Q4803">
        <v>6.8820309999999899E-3</v>
      </c>
      <c r="R4803">
        <v>-5.8913229999999997E-2</v>
      </c>
      <c r="S4803">
        <v>2.9836269999999998</v>
      </c>
      <c r="T4803">
        <v>-0.94036889999999995</v>
      </c>
      <c r="U4803">
        <v>-0.51062010000000002</v>
      </c>
      <c r="V4803">
        <v>3.2776680000000002E-2</v>
      </c>
      <c r="W4803">
        <v>3.1235209999999999E-2</v>
      </c>
      <c r="X4803">
        <v>0.99897449999999999</v>
      </c>
      <c r="Y4803">
        <v>0.13759289999999999</v>
      </c>
      <c r="Z4803">
        <v>-1.3035059999999999E-2</v>
      </c>
      <c r="AA4803">
        <v>0.99040309999999998</v>
      </c>
      <c r="AB4803">
        <v>24</v>
      </c>
      <c r="AC4803">
        <v>0.33089999999998498</v>
      </c>
      <c r="AD4803">
        <v>-0.25293589999999999</v>
      </c>
      <c r="AE4803">
        <v>-0.12510000000000299</v>
      </c>
      <c r="AF4803">
        <v>7.7023249368876806E-2</v>
      </c>
      <c r="AG4803">
        <v>-0.25293589999999999</v>
      </c>
      <c r="AH4803">
        <v>0.22105313526388901</v>
      </c>
      <c r="AI4803">
        <v>137.216281358282</v>
      </c>
      <c r="AJ4803">
        <v>70.789736317920898</v>
      </c>
      <c r="AK4803">
        <v>0.344635516251801</v>
      </c>
      <c r="AL4803">
        <v>88.210063159796704</v>
      </c>
      <c r="AM4803">
        <v>88.120780882993898</v>
      </c>
      <c r="AN4803">
        <v>1.0000000003728999</v>
      </c>
    </row>
    <row r="4804" spans="1:40" x14ac:dyDescent="0.3">
      <c r="A4804" t="str">
        <f>"20200111154017436"</f>
        <v>20200111154017436</v>
      </c>
      <c r="B4804" t="str">
        <f>"1578728417425645"</f>
        <v>1578728417425645</v>
      </c>
      <c r="C4804" t="s">
        <v>40</v>
      </c>
      <c r="D4804">
        <v>5.837008</v>
      </c>
      <c r="E4804">
        <v>0.538022</v>
      </c>
      <c r="F4804" t="s">
        <v>41</v>
      </c>
      <c r="G4804">
        <v>-133.23660000000001</v>
      </c>
      <c r="H4804">
        <v>0.86819469999999999</v>
      </c>
      <c r="I4804">
        <v>143.93979999999999</v>
      </c>
      <c r="J4804">
        <v>-133.65649999999999</v>
      </c>
      <c r="K4804">
        <v>1.105915</v>
      </c>
      <c r="L4804">
        <v>144.05889999999999</v>
      </c>
      <c r="M4804">
        <v>0.99935949999999996</v>
      </c>
      <c r="N4804">
        <v>0</v>
      </c>
      <c r="O4804">
        <v>-2.620289E-2</v>
      </c>
      <c r="P4804">
        <v>0.99830160000000001</v>
      </c>
      <c r="Q4804">
        <v>7.7478460000000001E-3</v>
      </c>
      <c r="R4804">
        <v>-5.7743370000000002E-2</v>
      </c>
      <c r="S4804">
        <v>2.9818730000000002</v>
      </c>
      <c r="T4804">
        <v>-0.94672679999999998</v>
      </c>
      <c r="U4804">
        <v>-0.50775150000000002</v>
      </c>
      <c r="V4804">
        <v>3.1560070000000003E-2</v>
      </c>
      <c r="W4804">
        <v>3.2105479999999999E-2</v>
      </c>
      <c r="X4804">
        <v>0.99898609999999999</v>
      </c>
      <c r="Y4804">
        <v>0.1366877</v>
      </c>
      <c r="Z4804">
        <v>-1.2974100000000001E-2</v>
      </c>
      <c r="AA4804">
        <v>0.9905292</v>
      </c>
      <c r="AB4804">
        <v>23</v>
      </c>
      <c r="AC4804">
        <v>0.41989999999998401</v>
      </c>
      <c r="AD4804">
        <v>-0.2377203</v>
      </c>
      <c r="AE4804">
        <v>-0.119100000000003</v>
      </c>
      <c r="AF4804">
        <v>8.3332983082940404E-2</v>
      </c>
      <c r="AG4804">
        <v>-0.2377203</v>
      </c>
      <c r="AH4804">
        <v>0.32613223376985001</v>
      </c>
      <c r="AI4804">
        <v>125.23041687152001</v>
      </c>
      <c r="AJ4804">
        <v>75.666530536029697</v>
      </c>
      <c r="AK4804">
        <v>0.41208926339484298</v>
      </c>
      <c r="AL4804">
        <v>88.160175359858599</v>
      </c>
      <c r="AM4804">
        <v>88.190507767809606</v>
      </c>
      <c r="AN4804">
        <v>1.0000000139288201</v>
      </c>
    </row>
    <row r="4805" spans="1:40" x14ac:dyDescent="0.3">
      <c r="A4805" t="str">
        <f>"20200111154017460"</f>
        <v>20200111154017460</v>
      </c>
      <c r="B4805" t="str">
        <f>"1578728417455900"</f>
        <v>1578728417455900</v>
      </c>
      <c r="C4805" t="s">
        <v>40</v>
      </c>
      <c r="D4805">
        <v>5.8553389999999998</v>
      </c>
      <c r="E4805">
        <v>0.53841749999999999</v>
      </c>
      <c r="F4805" t="s">
        <v>41</v>
      </c>
      <c r="G4805">
        <v>-132.84039999999999</v>
      </c>
      <c r="H4805">
        <v>0.84853219999999996</v>
      </c>
      <c r="I4805">
        <v>143.91970000000001</v>
      </c>
      <c r="J4805">
        <v>-133.41329999999999</v>
      </c>
      <c r="K4805">
        <v>1.1058870000000001</v>
      </c>
      <c r="L4805">
        <v>144.05250000000001</v>
      </c>
      <c r="M4805">
        <v>0.99936029999999998</v>
      </c>
      <c r="N4805">
        <v>0</v>
      </c>
      <c r="O4805">
        <v>-2.623696E-2</v>
      </c>
      <c r="P4805">
        <v>0.99836689999999995</v>
      </c>
      <c r="Q4805">
        <v>6.5720359999999999E-3</v>
      </c>
      <c r="R4805">
        <v>-5.674912E-2</v>
      </c>
      <c r="S4805">
        <v>2.9830169999999998</v>
      </c>
      <c r="T4805">
        <v>-0.94079109999999999</v>
      </c>
      <c r="U4805">
        <v>-0.50810239999999995</v>
      </c>
      <c r="V4805">
        <v>3.053055E-2</v>
      </c>
      <c r="W4805">
        <v>3.086059E-2</v>
      </c>
      <c r="X4805">
        <v>0.99905730000000004</v>
      </c>
      <c r="Y4805">
        <v>0.13677049999999999</v>
      </c>
      <c r="Z4805">
        <v>-1.2893959999999999E-2</v>
      </c>
      <c r="AA4805">
        <v>0.99051880000000003</v>
      </c>
      <c r="AB4805">
        <v>23</v>
      </c>
      <c r="AC4805">
        <v>0.57290000000000396</v>
      </c>
      <c r="AD4805">
        <v>-0.25735479999999999</v>
      </c>
      <c r="AE4805">
        <v>-0.132800000000003</v>
      </c>
      <c r="AF4805">
        <v>9.8798428340962599E-2</v>
      </c>
      <c r="AG4805">
        <v>-0.25735479999999999</v>
      </c>
      <c r="AH4805">
        <v>0.48358063367890503</v>
      </c>
      <c r="AI4805">
        <v>117.538211175469</v>
      </c>
      <c r="AJ4805">
        <v>78.453038207157206</v>
      </c>
      <c r="AK4805">
        <v>0.55663529513944299</v>
      </c>
      <c r="AL4805">
        <v>88.231537638666197</v>
      </c>
      <c r="AM4805">
        <v>88.249622486322096</v>
      </c>
      <c r="AN4805">
        <v>0.99999998959087</v>
      </c>
    </row>
    <row r="4806" spans="1:40" x14ac:dyDescent="0.3">
      <c r="A4806" t="str">
        <f>"20200111154017482"</f>
        <v>20200111154017482</v>
      </c>
      <c r="B4806" t="str">
        <f>"1578728417475420"</f>
        <v>1578728417475420</v>
      </c>
      <c r="C4806" t="s">
        <v>40</v>
      </c>
      <c r="D4806">
        <v>5.8602150000000002</v>
      </c>
      <c r="E4806">
        <v>0.53869040000000001</v>
      </c>
      <c r="F4806" t="s">
        <v>41</v>
      </c>
      <c r="G4806">
        <v>-132.63570000000001</v>
      </c>
      <c r="H4806">
        <v>0.860261099999999</v>
      </c>
      <c r="I4806">
        <v>143.91980000000001</v>
      </c>
      <c r="J4806">
        <v>-133.19990000000001</v>
      </c>
      <c r="K4806">
        <v>1.105845</v>
      </c>
      <c r="L4806">
        <v>144.04689999999999</v>
      </c>
      <c r="M4806">
        <v>0.99936219999999998</v>
      </c>
      <c r="N4806">
        <v>0</v>
      </c>
      <c r="O4806">
        <v>-2.6266609999999999E-2</v>
      </c>
      <c r="P4806">
        <v>0.99850240000000001</v>
      </c>
      <c r="Q4806">
        <v>3.0193120000000001E-3</v>
      </c>
      <c r="R4806">
        <v>-5.4623579999999998E-2</v>
      </c>
      <c r="S4806">
        <v>2.9821930000000001</v>
      </c>
      <c r="T4806">
        <v>-0.94205280000000002</v>
      </c>
      <c r="U4806">
        <v>-0.50863649999999905</v>
      </c>
      <c r="V4806">
        <v>2.837216E-2</v>
      </c>
      <c r="W4806">
        <v>2.7198130000000001E-2</v>
      </c>
      <c r="X4806">
        <v>0.99922730000000004</v>
      </c>
      <c r="Y4806">
        <v>0.13693620000000001</v>
      </c>
      <c r="Z4806">
        <v>-1.2929980000000001E-2</v>
      </c>
      <c r="AA4806">
        <v>0.99049549999999997</v>
      </c>
      <c r="AB4806">
        <v>23</v>
      </c>
      <c r="AC4806">
        <v>0.56419999999999904</v>
      </c>
      <c r="AD4806">
        <v>-0.24558389999999999</v>
      </c>
      <c r="AE4806">
        <v>-0.127099999999984</v>
      </c>
      <c r="AF4806">
        <v>9.5086520895496296E-2</v>
      </c>
      <c r="AG4806">
        <v>-0.24558389999999999</v>
      </c>
      <c r="AH4806">
        <v>0.48067177505224101</v>
      </c>
      <c r="AI4806">
        <v>116.620276382811</v>
      </c>
      <c r="AJ4806">
        <v>78.810215007509399</v>
      </c>
      <c r="AK4806">
        <v>0.54808599117938805</v>
      </c>
      <c r="AL4806">
        <v>88.441469682909698</v>
      </c>
      <c r="AM4806">
        <v>88.373574894205206</v>
      </c>
      <c r="AN4806">
        <v>0.99999995740192504</v>
      </c>
    </row>
    <row r="4807" spans="1:40" x14ac:dyDescent="0.3">
      <c r="A4807" t="str">
        <f>"20200111154017514"</f>
        <v>20200111154017514</v>
      </c>
      <c r="B4807" t="str">
        <f>"1578728417506186"</f>
        <v>1578728417506186</v>
      </c>
      <c r="C4807" t="s">
        <v>40</v>
      </c>
      <c r="D4807">
        <v>5.8621169999999996</v>
      </c>
      <c r="E4807">
        <v>0.53902329999999998</v>
      </c>
      <c r="F4807" t="s">
        <v>41</v>
      </c>
      <c r="G4807">
        <v>-132.4365</v>
      </c>
      <c r="H4807">
        <v>0.86264050000000003</v>
      </c>
      <c r="I4807">
        <v>143.91659999999999</v>
      </c>
      <c r="J4807">
        <v>-132.8777</v>
      </c>
      <c r="K4807">
        <v>1.10578</v>
      </c>
      <c r="L4807">
        <v>144.0384</v>
      </c>
      <c r="M4807">
        <v>0.99936650000000005</v>
      </c>
      <c r="N4807">
        <v>0</v>
      </c>
      <c r="O4807">
        <v>-2.6311620000000001E-2</v>
      </c>
      <c r="P4807">
        <v>0.99863219999999997</v>
      </c>
      <c r="Q4807">
        <v>-1.715386E-3</v>
      </c>
      <c r="R4807">
        <v>-5.2259020000000003E-2</v>
      </c>
      <c r="S4807">
        <v>2.9796140000000002</v>
      </c>
      <c r="T4807">
        <v>-0.94933219999999996</v>
      </c>
      <c r="U4807">
        <v>-0.50773619999999997</v>
      </c>
      <c r="V4807">
        <v>2.595954E-2</v>
      </c>
      <c r="W4807">
        <v>2.224197E-2</v>
      </c>
      <c r="X4807">
        <v>0.99941550000000001</v>
      </c>
      <c r="Y4807">
        <v>0.1366695</v>
      </c>
      <c r="Z4807">
        <v>-1.298116E-2</v>
      </c>
      <c r="AA4807">
        <v>0.99053159999999896</v>
      </c>
      <c r="AB4807">
        <v>22</v>
      </c>
      <c r="AC4807">
        <v>0.44120000000000897</v>
      </c>
      <c r="AD4807">
        <v>-0.24313949999999901</v>
      </c>
      <c r="AE4807">
        <v>-0.121800000000007</v>
      </c>
      <c r="AF4807">
        <v>8.5904393344031701E-2</v>
      </c>
      <c r="AG4807">
        <v>-0.24313949999999901</v>
      </c>
      <c r="AH4807">
        <v>0.346479626690192</v>
      </c>
      <c r="AI4807">
        <v>124.259558246927</v>
      </c>
      <c r="AJ4807">
        <v>76.0751716819086</v>
      </c>
      <c r="AK4807">
        <v>0.43190799132156699</v>
      </c>
      <c r="AL4807">
        <v>88.725523859227707</v>
      </c>
      <c r="AM4807">
        <v>88.512092605817699</v>
      </c>
      <c r="AN4807">
        <v>0.99999997229337001</v>
      </c>
    </row>
    <row r="4808" spans="1:40" x14ac:dyDescent="0.3">
      <c r="A4808" t="str">
        <f>"20200111154017550"</f>
        <v>20200111154017550</v>
      </c>
      <c r="B4808" t="str">
        <f>"1578728417546199"</f>
        <v>1578728417546199</v>
      </c>
      <c r="C4808" t="s">
        <v>40</v>
      </c>
      <c r="D4808">
        <v>5.8829149999999997</v>
      </c>
      <c r="E4808">
        <v>0.53940639999999995</v>
      </c>
      <c r="F4808" t="s">
        <v>41</v>
      </c>
      <c r="G4808">
        <v>-132.22569999999999</v>
      </c>
      <c r="H4808">
        <v>0.89593919999999905</v>
      </c>
      <c r="I4808">
        <v>143.92670000000001</v>
      </c>
      <c r="J4808">
        <v>-132.54220000000001</v>
      </c>
      <c r="K4808">
        <v>1.1057140000000001</v>
      </c>
      <c r="L4808">
        <v>144.02950000000001</v>
      </c>
      <c r="M4808">
        <v>0.99937390000000004</v>
      </c>
      <c r="N4808">
        <v>0</v>
      </c>
      <c r="O4808">
        <v>-2.6359130000000001E-2</v>
      </c>
      <c r="P4808">
        <v>0.99864889999999995</v>
      </c>
      <c r="Q4808">
        <v>-2.9273720000000001E-3</v>
      </c>
      <c r="R4808">
        <v>-5.188624E-2</v>
      </c>
      <c r="S4808">
        <v>2.9758</v>
      </c>
      <c r="T4808">
        <v>-0.9576654</v>
      </c>
      <c r="U4808">
        <v>-0.50933839999999997</v>
      </c>
      <c r="V4808">
        <v>2.553909E-2</v>
      </c>
      <c r="W4808">
        <v>2.0669719999999999E-2</v>
      </c>
      <c r="X4808">
        <v>0.99946009999999996</v>
      </c>
      <c r="Y4808">
        <v>0.13722219999999999</v>
      </c>
      <c r="Z4808">
        <v>-1.3176449999999999E-2</v>
      </c>
      <c r="AA4808">
        <v>0.99045260000000002</v>
      </c>
      <c r="AB4808">
        <v>22</v>
      </c>
      <c r="AC4808">
        <v>0.31650000000001899</v>
      </c>
      <c r="AD4808">
        <v>-0.20977480000000001</v>
      </c>
      <c r="AE4808">
        <v>-0.102800000000001</v>
      </c>
      <c r="AF4808">
        <v>6.7568975100811404E-2</v>
      </c>
      <c r="AG4808">
        <v>-0.20977480000000001</v>
      </c>
      <c r="AH4808">
        <v>0.22835687333549501</v>
      </c>
      <c r="AI4808">
        <v>131.37601307140901</v>
      </c>
      <c r="AJ4808">
        <v>73.516935194615797</v>
      </c>
      <c r="AK4808">
        <v>0.31736082730982601</v>
      </c>
      <c r="AL4808">
        <v>88.815627919975498</v>
      </c>
      <c r="AM4808">
        <v>88.536246008235196</v>
      </c>
      <c r="AN4808">
        <v>0.99999998696745795</v>
      </c>
    </row>
    <row r="4809" spans="1:40" x14ac:dyDescent="0.3">
      <c r="A4809" t="str">
        <f>"20200111154017572"</f>
        <v>20200111154017572</v>
      </c>
      <c r="B4809" t="str">
        <f>"1578728417565719"</f>
        <v>1578728417565719</v>
      </c>
      <c r="C4809" t="s">
        <v>40</v>
      </c>
      <c r="D4809">
        <v>5.8902760000000001</v>
      </c>
      <c r="E4809">
        <v>0.53953209999999996</v>
      </c>
      <c r="F4809" t="s">
        <v>41</v>
      </c>
      <c r="G4809">
        <v>-131.84309999999999</v>
      </c>
      <c r="H4809">
        <v>0.88082780000000005</v>
      </c>
      <c r="I4809">
        <v>143.90880000000001</v>
      </c>
      <c r="J4809">
        <v>-132.32320000000001</v>
      </c>
      <c r="K4809">
        <v>1.1056629999999901</v>
      </c>
      <c r="L4809">
        <v>144.02379999999999</v>
      </c>
      <c r="M4809">
        <v>0.99937989999999999</v>
      </c>
      <c r="N4809">
        <v>0</v>
      </c>
      <c r="O4809">
        <v>-2.6390130000000001E-2</v>
      </c>
      <c r="P4809">
        <v>0.99867539999999999</v>
      </c>
      <c r="Q4809">
        <v>-4.1323059999999997E-3</v>
      </c>
      <c r="R4809">
        <v>-5.128775E-2</v>
      </c>
      <c r="S4809">
        <v>2.9745789999999999</v>
      </c>
      <c r="T4809">
        <v>-0.95681439999999995</v>
      </c>
      <c r="U4809">
        <v>-0.51332089999999997</v>
      </c>
      <c r="V4809">
        <v>2.4909150000000001E-2</v>
      </c>
      <c r="W4809">
        <v>1.9175129999999999E-2</v>
      </c>
      <c r="X4809">
        <v>0.9995058</v>
      </c>
      <c r="Y4809">
        <v>0.13849310000000001</v>
      </c>
      <c r="Z4809">
        <v>-1.335744E-2</v>
      </c>
      <c r="AA4809">
        <v>0.99027330000000002</v>
      </c>
      <c r="AB4809">
        <v>22</v>
      </c>
      <c r="AC4809">
        <v>0.48010000000002101</v>
      </c>
      <c r="AD4809">
        <v>-0.22483519999999901</v>
      </c>
      <c r="AE4809">
        <v>-0.11499999999997999</v>
      </c>
      <c r="AF4809">
        <v>8.4715498651840193E-2</v>
      </c>
      <c r="AG4809">
        <v>-0.22483519999999901</v>
      </c>
      <c r="AH4809">
        <v>0.40000269427787599</v>
      </c>
      <c r="AI4809">
        <v>118.805831553939</v>
      </c>
      <c r="AJ4809">
        <v>78.042175674469902</v>
      </c>
      <c r="AK4809">
        <v>0.466615192959284</v>
      </c>
      <c r="AL4809">
        <v>88.901278639278701</v>
      </c>
      <c r="AM4809">
        <v>88.572400670063899</v>
      </c>
      <c r="AN4809">
        <v>0.999999997798939</v>
      </c>
    </row>
    <row r="4810" spans="1:40" x14ac:dyDescent="0.3">
      <c r="A4810" t="str">
        <f>"20200111154017594"</f>
        <v>20200111154017594</v>
      </c>
      <c r="B4810" t="str">
        <f>"1578728417586215"</f>
        <v>1578728417586215</v>
      </c>
      <c r="C4810" t="s">
        <v>40</v>
      </c>
      <c r="D4810">
        <v>5.8689559999999998</v>
      </c>
      <c r="E4810">
        <v>0.53971429999999998</v>
      </c>
      <c r="F4810" t="s">
        <v>41</v>
      </c>
      <c r="G4810">
        <v>-131.6473</v>
      </c>
      <c r="H4810">
        <v>0.88803109999999996</v>
      </c>
      <c r="I4810">
        <v>143.9067</v>
      </c>
      <c r="J4810">
        <v>-132.11449999999999</v>
      </c>
      <c r="K4810">
        <v>1.1056269999999999</v>
      </c>
      <c r="L4810">
        <v>144.01820000000001</v>
      </c>
      <c r="M4810">
        <v>0.99938559999999999</v>
      </c>
      <c r="N4810">
        <v>0</v>
      </c>
      <c r="O4810">
        <v>-2.6419660000000001E-2</v>
      </c>
      <c r="P4810">
        <v>0.99871779999999999</v>
      </c>
      <c r="Q4810">
        <v>-4.9520249999999997E-3</v>
      </c>
      <c r="R4810">
        <v>-5.0382129999999997E-2</v>
      </c>
      <c r="S4810">
        <v>2.9735870000000002</v>
      </c>
      <c r="T4810">
        <v>-0.95748449999999996</v>
      </c>
      <c r="U4810">
        <v>-0.51455689999999998</v>
      </c>
      <c r="V4810">
        <v>2.3973149999999999E-2</v>
      </c>
      <c r="W4810">
        <v>1.8070969999999999E-2</v>
      </c>
      <c r="X4810">
        <v>0.99954929999999997</v>
      </c>
      <c r="Y4810">
        <v>0.1388905</v>
      </c>
      <c r="Z4810">
        <v>-1.342294E-2</v>
      </c>
      <c r="AA4810">
        <v>0.99021680000000001</v>
      </c>
      <c r="AB4810">
        <v>22</v>
      </c>
      <c r="AC4810">
        <v>0.46719999999999101</v>
      </c>
      <c r="AD4810">
        <v>-0.21759590000000001</v>
      </c>
      <c r="AE4810">
        <v>-0.111500000000006</v>
      </c>
      <c r="AF4810">
        <v>8.2237088894825103E-2</v>
      </c>
      <c r="AG4810">
        <v>-0.21759590000000001</v>
      </c>
      <c r="AH4810">
        <v>0.38995363652471998</v>
      </c>
      <c r="AI4810">
        <v>118.63432958128701</v>
      </c>
      <c r="AJ4810">
        <v>78.091423055630898</v>
      </c>
      <c r="AK4810">
        <v>0.45406470147497502</v>
      </c>
      <c r="AL4810">
        <v>88.964553365011398</v>
      </c>
      <c r="AM4810">
        <v>88.626083739623894</v>
      </c>
      <c r="AN4810">
        <v>1.0000000375040701</v>
      </c>
    </row>
    <row r="4811" spans="1:40" x14ac:dyDescent="0.3">
      <c r="A4811" t="str">
        <f>"20200111154017616"</f>
        <v>20200111154017616</v>
      </c>
      <c r="B4811" t="str">
        <f>"1578728417606021"</f>
        <v>1578728417606021</v>
      </c>
      <c r="C4811" t="s">
        <v>40</v>
      </c>
      <c r="D4811">
        <v>5.890714</v>
      </c>
      <c r="E4811">
        <v>0.53979149999999998</v>
      </c>
      <c r="F4811" t="s">
        <v>41</v>
      </c>
      <c r="G4811">
        <v>-131.4538</v>
      </c>
      <c r="H4811">
        <v>0.892941599999999</v>
      </c>
      <c r="I4811">
        <v>143.90379999999999</v>
      </c>
      <c r="J4811">
        <v>-131.90010000000001</v>
      </c>
      <c r="K4811">
        <v>1.105585</v>
      </c>
      <c r="L4811">
        <v>144.01259999999999</v>
      </c>
      <c r="M4811">
        <v>0.99939250000000002</v>
      </c>
      <c r="N4811">
        <v>0</v>
      </c>
      <c r="O4811">
        <v>-2.645024E-2</v>
      </c>
      <c r="P4811">
        <v>0.99878730000000004</v>
      </c>
      <c r="Q4811">
        <v>-5.7630429999999998E-3</v>
      </c>
      <c r="R4811">
        <v>-4.889781E-2</v>
      </c>
      <c r="S4811">
        <v>2.9731290000000001</v>
      </c>
      <c r="T4811">
        <v>-0.95719779999999999</v>
      </c>
      <c r="U4811">
        <v>-0.5148163</v>
      </c>
      <c r="V4811">
        <v>2.2457080000000001E-2</v>
      </c>
      <c r="W4811">
        <v>1.6927210000000002E-2</v>
      </c>
      <c r="X4811">
        <v>0.99960450000000001</v>
      </c>
      <c r="Y4811">
        <v>0.13896919999999999</v>
      </c>
      <c r="Z4811">
        <v>-1.342377E-2</v>
      </c>
      <c r="AA4811">
        <v>0.99020569999999997</v>
      </c>
      <c r="AB4811">
        <v>22</v>
      </c>
      <c r="AC4811">
        <v>0.44630000000000702</v>
      </c>
      <c r="AD4811">
        <v>-0.21264340000000001</v>
      </c>
      <c r="AE4811">
        <v>-0.10880000000000201</v>
      </c>
      <c r="AF4811">
        <v>7.9845076871854201E-2</v>
      </c>
      <c r="AG4811">
        <v>-0.21264340000000001</v>
      </c>
      <c r="AH4811">
        <v>0.36978537714521298</v>
      </c>
      <c r="AI4811">
        <v>119.339976073076</v>
      </c>
      <c r="AJ4811">
        <v>77.815595468821101</v>
      </c>
      <c r="AK4811">
        <v>0.433974281512925</v>
      </c>
      <c r="AL4811">
        <v>89.030095990011304</v>
      </c>
      <c r="AM4811">
        <v>88.713011499874895</v>
      </c>
      <c r="AN4811">
        <v>1.00000000365038</v>
      </c>
    </row>
    <row r="4812" spans="1:40" x14ac:dyDescent="0.3">
      <c r="A4812" t="str">
        <f>"20200111154017648"</f>
        <v>20200111154017648</v>
      </c>
      <c r="B4812" t="str">
        <f>"1578728417636276"</f>
        <v>1578728417636276</v>
      </c>
      <c r="C4812" t="s">
        <v>40</v>
      </c>
      <c r="D4812">
        <v>5.8999889999999997</v>
      </c>
      <c r="E4812">
        <v>0.54297550000000006</v>
      </c>
      <c r="F4812" t="s">
        <v>41</v>
      </c>
      <c r="G4812">
        <v>-131.0941</v>
      </c>
      <c r="H4812">
        <v>0.84617589999999998</v>
      </c>
      <c r="I4812">
        <v>143.8733</v>
      </c>
      <c r="J4812">
        <v>-131.59309999999999</v>
      </c>
      <c r="K4812">
        <v>1.1054999999999999</v>
      </c>
      <c r="L4812">
        <v>144.0044</v>
      </c>
      <c r="M4812">
        <v>0.99940739999999995</v>
      </c>
      <c r="N4812">
        <v>0</v>
      </c>
      <c r="O4812">
        <v>-2.6494360000000002E-2</v>
      </c>
      <c r="P4812">
        <v>0.99889950000000005</v>
      </c>
      <c r="Q4812">
        <v>-4.0687880000000003E-3</v>
      </c>
      <c r="R4812">
        <v>-4.6728859999999997E-2</v>
      </c>
      <c r="S4812">
        <v>2.9729920000000001</v>
      </c>
      <c r="T4812">
        <v>-0.9567542</v>
      </c>
      <c r="U4812">
        <v>-0.51336669999999995</v>
      </c>
      <c r="V4812">
        <v>2.0242280000000001E-2</v>
      </c>
      <c r="W4812">
        <v>1.790506E-2</v>
      </c>
      <c r="X4812">
        <v>0.99963469999999999</v>
      </c>
      <c r="Y4812">
        <v>0.13849420000000001</v>
      </c>
      <c r="Z4812">
        <v>-1.3331290000000001E-2</v>
      </c>
      <c r="AA4812">
        <v>0.99027350000000003</v>
      </c>
      <c r="AB4812">
        <v>21</v>
      </c>
      <c r="AC4812">
        <v>0.498999999999995</v>
      </c>
      <c r="AD4812">
        <v>-0.259324099999999</v>
      </c>
      <c r="AE4812">
        <v>-0.13110000000000299</v>
      </c>
      <c r="AF4812">
        <v>9.4065622018841596E-2</v>
      </c>
      <c r="AG4812">
        <v>-0.259324099999999</v>
      </c>
      <c r="AH4812">
        <v>0.40099326486896603</v>
      </c>
      <c r="AI4812">
        <v>122.195052678232</v>
      </c>
      <c r="AJ4812">
        <v>76.798171539028601</v>
      </c>
      <c r="AK4812">
        <v>0.486716476561945</v>
      </c>
      <c r="AL4812">
        <v>88.974060742874002</v>
      </c>
      <c r="AM4812">
        <v>88.8399375031848</v>
      </c>
      <c r="AN4812">
        <v>0.999999937258644</v>
      </c>
    </row>
    <row r="4813" spans="1:40" x14ac:dyDescent="0.3">
      <c r="A4813" t="str">
        <f>"20200111154017681"</f>
        <v>20200111154017681</v>
      </c>
      <c r="B4813" t="str">
        <f>"1578728417676293"</f>
        <v>1578728417676293</v>
      </c>
      <c r="C4813" t="s">
        <v>40</v>
      </c>
      <c r="D4813">
        <v>5.8680719999999997</v>
      </c>
      <c r="E4813">
        <v>0.54381610000000002</v>
      </c>
      <c r="F4813" t="s">
        <v>41</v>
      </c>
      <c r="G4813">
        <v>-130.8862</v>
      </c>
      <c r="H4813">
        <v>0.89075199999999999</v>
      </c>
      <c r="I4813">
        <v>143.87790000000001</v>
      </c>
      <c r="J4813">
        <v>-131.297</v>
      </c>
      <c r="K4813">
        <v>1.105413</v>
      </c>
      <c r="L4813">
        <v>143.9965</v>
      </c>
      <c r="M4813">
        <v>0.99942229999999999</v>
      </c>
      <c r="N4813">
        <v>0</v>
      </c>
      <c r="O4813">
        <v>-2.6536810000000001E-2</v>
      </c>
      <c r="P4813">
        <v>0.99892510000000001</v>
      </c>
      <c r="Q4813">
        <v>-3.5845859999999998E-3</v>
      </c>
      <c r="R4813">
        <v>-4.6220049999999999E-2</v>
      </c>
      <c r="S4813">
        <v>2.9747469999999998</v>
      </c>
      <c r="T4813">
        <v>-0.9037018</v>
      </c>
      <c r="U4813">
        <v>-0.53164669999999903</v>
      </c>
      <c r="V4813">
        <v>1.969079E-2</v>
      </c>
      <c r="W4813">
        <v>1.7648560000000001E-2</v>
      </c>
      <c r="X4813">
        <v>0.99965040000000005</v>
      </c>
      <c r="Y4813">
        <v>0.144582399999999</v>
      </c>
      <c r="Z4813">
        <v>-1.349643E-2</v>
      </c>
      <c r="AA4813">
        <v>0.98940070000000002</v>
      </c>
      <c r="AB4813">
        <v>21</v>
      </c>
      <c r="AC4813">
        <v>0.410799999999994</v>
      </c>
      <c r="AD4813">
        <v>-0.21466099999999999</v>
      </c>
      <c r="AE4813">
        <v>-0.11859999999998599</v>
      </c>
      <c r="AF4813">
        <v>8.5982946383836495E-2</v>
      </c>
      <c r="AG4813">
        <v>-0.21466099999999999</v>
      </c>
      <c r="AH4813">
        <v>0.33050214810334</v>
      </c>
      <c r="AI4813">
        <v>122.152483753482</v>
      </c>
      <c r="AJ4813">
        <v>75.417277245053498</v>
      </c>
      <c r="AK4813">
        <v>0.40336594041982299</v>
      </c>
      <c r="AL4813">
        <v>88.988759558659197</v>
      </c>
      <c r="AM4813">
        <v>88.871552211591805</v>
      </c>
      <c r="AN4813">
        <v>1.0000000605505199</v>
      </c>
    </row>
    <row r="4814" spans="1:40" x14ac:dyDescent="0.3">
      <c r="A4814" t="str">
        <f>"20200111154017702"</f>
        <v>20200111154017702</v>
      </c>
      <c r="B4814" t="str">
        <f>"1578728417695812"</f>
        <v>1578728417695812</v>
      </c>
      <c r="C4814" t="s">
        <v>40</v>
      </c>
      <c r="D4814">
        <v>5.9082249999999998</v>
      </c>
      <c r="E4814">
        <v>0.54402309999999998</v>
      </c>
      <c r="F4814" t="s">
        <v>41</v>
      </c>
      <c r="G4814">
        <v>-130.52019999999999</v>
      </c>
      <c r="H4814">
        <v>0.86953719999999901</v>
      </c>
      <c r="I4814">
        <v>143.8563</v>
      </c>
      <c r="J4814">
        <v>-131.0857</v>
      </c>
      <c r="K4814">
        <v>1.1053710000000001</v>
      </c>
      <c r="L4814">
        <v>143.99090000000001</v>
      </c>
      <c r="M4814">
        <v>0.99943139999999997</v>
      </c>
      <c r="N4814">
        <v>0</v>
      </c>
      <c r="O4814">
        <v>-2.656698E-2</v>
      </c>
      <c r="P4814">
        <v>0.99895639999999997</v>
      </c>
      <c r="Q4814">
        <v>-4.9791109999999996E-3</v>
      </c>
      <c r="R4814">
        <v>-4.5405300000000003E-2</v>
      </c>
      <c r="S4814">
        <v>2.9751590000000001</v>
      </c>
      <c r="T4814">
        <v>-0.9034238</v>
      </c>
      <c r="U4814">
        <v>-0.53665160000000001</v>
      </c>
      <c r="V4814">
        <v>1.8845420000000002E-2</v>
      </c>
      <c r="W4814">
        <v>1.5781050000000001E-2</v>
      </c>
      <c r="X4814">
        <v>0.99969790000000003</v>
      </c>
      <c r="Y4814">
        <v>0.14608350000000001</v>
      </c>
      <c r="Z4814">
        <v>-1.370126E-2</v>
      </c>
      <c r="AA4814">
        <v>0.98917739999999998</v>
      </c>
      <c r="AB4814">
        <v>21</v>
      </c>
      <c r="AC4814">
        <v>0.56550000000001399</v>
      </c>
      <c r="AD4814">
        <v>-0.23583380000000001</v>
      </c>
      <c r="AE4814">
        <v>-0.13460000000000599</v>
      </c>
      <c r="AF4814">
        <v>0.102632839630413</v>
      </c>
      <c r="AG4814">
        <v>-0.23583380000000001</v>
      </c>
      <c r="AH4814">
        <v>0.48847660915928098</v>
      </c>
      <c r="AI4814">
        <v>115.28971423302001</v>
      </c>
      <c r="AJ4814">
        <v>78.134294849032301</v>
      </c>
      <c r="AK4814">
        <v>0.55205115586219999</v>
      </c>
      <c r="AL4814">
        <v>89.095774941838897</v>
      </c>
      <c r="AM4814">
        <v>88.920038590404104</v>
      </c>
      <c r="AN4814">
        <v>1.00000004132924</v>
      </c>
    </row>
    <row r="4815" spans="1:40" x14ac:dyDescent="0.3">
      <c r="A4815" t="str">
        <f>"20200111154017738"</f>
        <v>20200111154017738</v>
      </c>
      <c r="B4815" t="str">
        <f>"1578728417725407"</f>
        <v>1578728417725407</v>
      </c>
      <c r="C4815" t="s">
        <v>40</v>
      </c>
      <c r="D4815">
        <v>5.8859240000000002</v>
      </c>
      <c r="E4815">
        <v>0.54414249999999997</v>
      </c>
      <c r="F4815" t="s">
        <v>41</v>
      </c>
      <c r="G4815">
        <v>-130.33189999999999</v>
      </c>
      <c r="H4815">
        <v>0.87452479999999999</v>
      </c>
      <c r="I4815">
        <v>143.85489999999999</v>
      </c>
      <c r="J4815">
        <v>-130.7594</v>
      </c>
      <c r="K4815">
        <v>1.1053249999999999</v>
      </c>
      <c r="L4815">
        <v>143.98220000000001</v>
      </c>
      <c r="M4815">
        <v>0.99944429999999995</v>
      </c>
      <c r="N4815">
        <v>0</v>
      </c>
      <c r="O4815">
        <v>-2.6614039999999999E-2</v>
      </c>
      <c r="P4815">
        <v>0.99890939999999995</v>
      </c>
      <c r="Q4815">
        <v>-4.5326129999999996E-3</v>
      </c>
      <c r="R4815">
        <v>-4.6471320000000003E-2</v>
      </c>
      <c r="S4815">
        <v>2.974243</v>
      </c>
      <c r="T4815">
        <v>-0.91080340000000004</v>
      </c>
      <c r="U4815">
        <v>-0.53625489999999998</v>
      </c>
      <c r="V4815">
        <v>1.98657E-2</v>
      </c>
      <c r="W4815">
        <v>1.553265E-2</v>
      </c>
      <c r="X4815">
        <v>0.99968199999999996</v>
      </c>
      <c r="Y4815">
        <v>0.1458865</v>
      </c>
      <c r="Z4815">
        <v>-1.3769440000000001E-2</v>
      </c>
      <c r="AA4815">
        <v>0.98920549999999996</v>
      </c>
      <c r="AB4815">
        <v>21</v>
      </c>
      <c r="AC4815">
        <v>0.42750000000000898</v>
      </c>
      <c r="AD4815">
        <v>-0.23080019999999901</v>
      </c>
      <c r="AE4815">
        <v>-0.12730000000001901</v>
      </c>
      <c r="AF4815">
        <v>9.1403332867882103E-2</v>
      </c>
      <c r="AG4815">
        <v>-0.23080019999999901</v>
      </c>
      <c r="AH4815">
        <v>0.339769402624641</v>
      </c>
      <c r="AI4815">
        <v>123.26341348996201</v>
      </c>
      <c r="AJ4815">
        <v>74.942997595963206</v>
      </c>
      <c r="AK4815">
        <v>0.4207927619854</v>
      </c>
      <c r="AL4815">
        <v>89.110008925499002</v>
      </c>
      <c r="AM4815">
        <v>88.861567002456795</v>
      </c>
      <c r="AN4815">
        <v>1.0000000051882501</v>
      </c>
    </row>
    <row r="4816" spans="1:40" x14ac:dyDescent="0.3">
      <c r="A4816" t="str">
        <f>"20200111154017773"</f>
        <v>20200111154017773</v>
      </c>
      <c r="B4816" t="str">
        <f>"1578728417765424"</f>
        <v>1578728417765424</v>
      </c>
      <c r="C4816" t="s">
        <v>40</v>
      </c>
      <c r="D4816">
        <v>5.8815920000000004</v>
      </c>
      <c r="E4816">
        <v>0.54435279999999997</v>
      </c>
      <c r="F4816" t="s">
        <v>41</v>
      </c>
      <c r="G4816">
        <v>-129.9665</v>
      </c>
      <c r="H4816">
        <v>0.86258279999999998</v>
      </c>
      <c r="I4816">
        <v>143.83850000000001</v>
      </c>
      <c r="J4816">
        <v>-130.4409</v>
      </c>
      <c r="K4816">
        <v>1.105294</v>
      </c>
      <c r="L4816">
        <v>143.9736</v>
      </c>
      <c r="M4816">
        <v>0.99945620000000002</v>
      </c>
      <c r="N4816">
        <v>0</v>
      </c>
      <c r="O4816">
        <v>-2.6659349999999998E-2</v>
      </c>
      <c r="P4816">
        <v>0.99890319999999999</v>
      </c>
      <c r="Q4816">
        <v>1.8426590000000001E-4</v>
      </c>
      <c r="R4816">
        <v>-4.6823610000000002E-2</v>
      </c>
      <c r="S4816">
        <v>2.9740600000000001</v>
      </c>
      <c r="T4816">
        <v>-0.91047719999999999</v>
      </c>
      <c r="U4816">
        <v>-0.53884889999999996</v>
      </c>
      <c r="V4816">
        <v>2.0173199999999999E-2</v>
      </c>
      <c r="W4816">
        <v>1.958418E-2</v>
      </c>
      <c r="X4816">
        <v>0.99960470000000001</v>
      </c>
      <c r="Y4816">
        <v>0.14665989999999901</v>
      </c>
      <c r="Z4816">
        <v>-1.3866079999999999E-2</v>
      </c>
      <c r="AA4816">
        <v>0.98908980000000002</v>
      </c>
      <c r="AB4816">
        <v>21</v>
      </c>
      <c r="AC4816">
        <v>0.47440000000000199</v>
      </c>
      <c r="AD4816">
        <v>-0.24271119999999899</v>
      </c>
      <c r="AE4816">
        <v>-0.135099999999994</v>
      </c>
      <c r="AF4816">
        <v>9.8543403463721896E-2</v>
      </c>
      <c r="AG4816">
        <v>-0.24271119999999899</v>
      </c>
      <c r="AH4816">
        <v>0.384693129497236</v>
      </c>
      <c r="AI4816">
        <v>121.432755089079</v>
      </c>
      <c r="AJ4816">
        <v>75.632002797874094</v>
      </c>
      <c r="AK4816">
        <v>0.46541200334115901</v>
      </c>
      <c r="AL4816">
        <v>88.877837431092999</v>
      </c>
      <c r="AM4816">
        <v>88.843860637207797</v>
      </c>
      <c r="AN4816">
        <v>1.0000000271833001</v>
      </c>
    </row>
    <row r="4817" spans="1:40" x14ac:dyDescent="0.3">
      <c r="A4817" t="str">
        <f>"20200111154017795"</f>
        <v>20200111154017795</v>
      </c>
      <c r="B4817" t="str">
        <f>"1578728417785919"</f>
        <v>1578728417785919</v>
      </c>
      <c r="C4817" t="s">
        <v>40</v>
      </c>
      <c r="D4817">
        <v>5.9082429999999997</v>
      </c>
      <c r="E4817">
        <v>0.54437679999999999</v>
      </c>
      <c r="F4817" t="s">
        <v>41</v>
      </c>
      <c r="G4817">
        <v>-129.76509999999999</v>
      </c>
      <c r="H4817">
        <v>0.90236099999999997</v>
      </c>
      <c r="I4817">
        <v>143.85</v>
      </c>
      <c r="J4817">
        <v>-130.2321</v>
      </c>
      <c r="K4817">
        <v>1.1052770000000001</v>
      </c>
      <c r="L4817">
        <v>143.96799999999999</v>
      </c>
      <c r="M4817">
        <v>0.9994634</v>
      </c>
      <c r="N4817">
        <v>0</v>
      </c>
      <c r="O4817">
        <v>-2.6689040000000001E-2</v>
      </c>
      <c r="P4817">
        <v>0.99890599999999996</v>
      </c>
      <c r="Q4817">
        <v>2.9002429999999998E-3</v>
      </c>
      <c r="R4817">
        <v>-4.6677049999999998E-2</v>
      </c>
      <c r="S4817">
        <v>2.9779659999999999</v>
      </c>
      <c r="T4817">
        <v>-0.89426679999999903</v>
      </c>
      <c r="U4817">
        <v>-0.5437012</v>
      </c>
      <c r="V4817">
        <v>1.999737E-2</v>
      </c>
      <c r="W4817">
        <v>2.1894440000000001E-2</v>
      </c>
      <c r="X4817">
        <v>0.99956029999999996</v>
      </c>
      <c r="Y4817">
        <v>0.1481015</v>
      </c>
      <c r="Z4817">
        <v>-1.3812410000000001E-2</v>
      </c>
      <c r="AA4817">
        <v>0.98887570000000002</v>
      </c>
      <c r="AB4817">
        <v>21</v>
      </c>
      <c r="AC4817">
        <v>0.46700000000001302</v>
      </c>
      <c r="AD4817">
        <v>-0.20291600000000001</v>
      </c>
      <c r="AE4817">
        <v>-0.117999999999994</v>
      </c>
      <c r="AF4817">
        <v>8.9592170739524399E-2</v>
      </c>
      <c r="AG4817">
        <v>-0.20291600000000001</v>
      </c>
      <c r="AH4817">
        <v>0.39914751612170501</v>
      </c>
      <c r="AI4817">
        <v>116.38286103738101</v>
      </c>
      <c r="AJ4817">
        <v>77.349134479932601</v>
      </c>
      <c r="AK4817">
        <v>0.45664033958898798</v>
      </c>
      <c r="AL4817">
        <v>88.745440781584094</v>
      </c>
      <c r="AM4817">
        <v>88.853883976599903</v>
      </c>
      <c r="AN4817">
        <v>1.0000000273229599</v>
      </c>
    </row>
    <row r="4818" spans="1:40" x14ac:dyDescent="0.3">
      <c r="A4818" t="str">
        <f>"20200111154017827"</f>
        <v>20200111154017827</v>
      </c>
      <c r="B4818" t="str">
        <f>"1578728417815709"</f>
        <v>1578728417815709</v>
      </c>
      <c r="C4818" t="s">
        <v>40</v>
      </c>
      <c r="D4818">
        <v>5.8870529999999999</v>
      </c>
      <c r="E4818">
        <v>0.54434719999999903</v>
      </c>
      <c r="F4818" t="s">
        <v>41</v>
      </c>
      <c r="G4818">
        <v>-129.4153</v>
      </c>
      <c r="H4818">
        <v>0.86277630000000005</v>
      </c>
      <c r="I4818">
        <v>143.8186</v>
      </c>
      <c r="J4818">
        <v>-129.93899999999999</v>
      </c>
      <c r="K4818">
        <v>1.1052550000000001</v>
      </c>
      <c r="L4818">
        <v>143.96010000000001</v>
      </c>
      <c r="M4818">
        <v>0.99947140000000001</v>
      </c>
      <c r="N4818">
        <v>0</v>
      </c>
      <c r="O4818">
        <v>-2.6731000000000001E-2</v>
      </c>
      <c r="P4818">
        <v>0.99886909999999896</v>
      </c>
      <c r="Q4818">
        <v>4.9025079999999999E-3</v>
      </c>
      <c r="R4818">
        <v>-4.7293540000000002E-2</v>
      </c>
      <c r="S4818">
        <v>2.9803920000000002</v>
      </c>
      <c r="T4818">
        <v>-0.88487629999999995</v>
      </c>
      <c r="U4818">
        <v>-0.54475399999999996</v>
      </c>
      <c r="V4818">
        <v>2.0572980000000001E-2</v>
      </c>
      <c r="W4818">
        <v>2.3402289999999999E-2</v>
      </c>
      <c r="X4818">
        <v>0.99951440000000003</v>
      </c>
      <c r="Y4818">
        <v>0.1483614</v>
      </c>
      <c r="Z4818">
        <v>-1.368781E-2</v>
      </c>
      <c r="AA4818">
        <v>0.98883849999999995</v>
      </c>
      <c r="AB4818">
        <v>21</v>
      </c>
      <c r="AC4818">
        <v>0.52369999999999095</v>
      </c>
      <c r="AD4818">
        <v>-0.24247869999999899</v>
      </c>
      <c r="AE4818">
        <v>-0.14150000000000701</v>
      </c>
      <c r="AF4818">
        <v>0.10622497391873</v>
      </c>
      <c r="AG4818">
        <v>-0.24247869999999899</v>
      </c>
      <c r="AH4818">
        <v>0.43948898676095499</v>
      </c>
      <c r="AI4818">
        <v>118.204049408621</v>
      </c>
      <c r="AJ4818">
        <v>76.412144492836902</v>
      </c>
      <c r="AK4818">
        <v>0.51305967929851604</v>
      </c>
      <c r="AL4818">
        <v>88.659025098538507</v>
      </c>
      <c r="AM4818">
        <v>88.820848897828597</v>
      </c>
      <c r="AN4818">
        <v>0.99999997524534201</v>
      </c>
    </row>
    <row r="4819" spans="1:40" x14ac:dyDescent="0.3">
      <c r="A4819" t="str">
        <f>"20200111154017862"</f>
        <v>20200111154017862</v>
      </c>
      <c r="B4819" t="str">
        <f>"1578728417855726"</f>
        <v>1578728417855726</v>
      </c>
      <c r="C4819" t="s">
        <v>40</v>
      </c>
      <c r="D4819">
        <v>5.8884740000000004</v>
      </c>
      <c r="E4819">
        <v>0.54483309999999996</v>
      </c>
      <c r="F4819" t="s">
        <v>41</v>
      </c>
      <c r="G4819">
        <v>-129.22020000000001</v>
      </c>
      <c r="H4819">
        <v>0.89280509999999902</v>
      </c>
      <c r="I4819">
        <v>143.8289</v>
      </c>
      <c r="J4819">
        <v>-129.62860000000001</v>
      </c>
      <c r="K4819">
        <v>1.1052439999999999</v>
      </c>
      <c r="L4819">
        <v>143.95179999999999</v>
      </c>
      <c r="M4819">
        <v>0.99947839999999999</v>
      </c>
      <c r="N4819">
        <v>0</v>
      </c>
      <c r="O4819">
        <v>-2.6776109999999999E-2</v>
      </c>
      <c r="P4819">
        <v>0.99893589999999999</v>
      </c>
      <c r="Q4819">
        <v>5.5511390000000001E-3</v>
      </c>
      <c r="R4819">
        <v>-4.5786840000000002E-2</v>
      </c>
      <c r="S4819">
        <v>2.9819490000000002</v>
      </c>
      <c r="T4819">
        <v>-0.88142960000000004</v>
      </c>
      <c r="U4819">
        <v>-0.54434199999999999</v>
      </c>
      <c r="V4819">
        <v>1.9020169999999999E-2</v>
      </c>
      <c r="W4819">
        <v>2.360632E-2</v>
      </c>
      <c r="X4819">
        <v>0.9995404</v>
      </c>
      <c r="Y4819">
        <v>0.1481478</v>
      </c>
      <c r="Z4819">
        <v>-1.358652E-2</v>
      </c>
      <c r="AA4819">
        <v>0.98887190000000003</v>
      </c>
      <c r="AB4819">
        <v>20</v>
      </c>
      <c r="AC4819">
        <v>0.40839999999999999</v>
      </c>
      <c r="AD4819">
        <v>-0.21243890000000001</v>
      </c>
      <c r="AE4819">
        <v>-0.12289999999998701</v>
      </c>
      <c r="AF4819">
        <v>8.9670473079162094E-2</v>
      </c>
      <c r="AG4819">
        <v>-0.21243890000000001</v>
      </c>
      <c r="AH4819">
        <v>0.32973396061406401</v>
      </c>
      <c r="AI4819">
        <v>121.868998813123</v>
      </c>
      <c r="AJ4819">
        <v>74.786450382311202</v>
      </c>
      <c r="AK4819">
        <v>0.402362479311488</v>
      </c>
      <c r="AL4819">
        <v>88.647331868039203</v>
      </c>
      <c r="AM4819">
        <v>88.909855009936393</v>
      </c>
      <c r="AN4819">
        <v>1.0000000182214599</v>
      </c>
    </row>
    <row r="4820" spans="1:40" x14ac:dyDescent="0.3">
      <c r="A4820" t="str">
        <f>"20200111154017885"</f>
        <v>20200111154017885</v>
      </c>
      <c r="B4820" t="str">
        <f>"1578728417876221"</f>
        <v>1578728417876221</v>
      </c>
      <c r="C4820" t="s">
        <v>40</v>
      </c>
      <c r="D4820">
        <v>7.1771839999999996</v>
      </c>
      <c r="E4820">
        <v>0.57264799999999905</v>
      </c>
      <c r="F4820" t="s">
        <v>41</v>
      </c>
      <c r="G4820">
        <v>-128.863</v>
      </c>
      <c r="H4820">
        <v>0.87997729999999996</v>
      </c>
      <c r="I4820">
        <v>143.81180000000001</v>
      </c>
      <c r="J4820">
        <v>-129.41309999999999</v>
      </c>
      <c r="K4820">
        <v>1.1052420000000001</v>
      </c>
      <c r="L4820">
        <v>143.94589999999999</v>
      </c>
      <c r="M4820">
        <v>0.99948239999999999</v>
      </c>
      <c r="N4820">
        <v>0</v>
      </c>
      <c r="O4820">
        <v>-2.680716E-2</v>
      </c>
      <c r="P4820">
        <v>0.9989519</v>
      </c>
      <c r="Q4820">
        <v>6.4504719999999996E-3</v>
      </c>
      <c r="R4820">
        <v>-4.532183E-2</v>
      </c>
      <c r="S4820">
        <v>2.9831089999999998</v>
      </c>
      <c r="T4820">
        <v>-0.87778899999999904</v>
      </c>
      <c r="U4820">
        <v>-0.54490660000000002</v>
      </c>
      <c r="V4820">
        <v>1.8523899999999999E-2</v>
      </c>
      <c r="W4820">
        <v>2.4238900000000001E-2</v>
      </c>
      <c r="X4820">
        <v>0.99953449999999999</v>
      </c>
      <c r="Y4820">
        <v>0.14827109999999999</v>
      </c>
      <c r="Z4820">
        <v>-1.353626E-2</v>
      </c>
      <c r="AA4820">
        <v>0.98885409999999996</v>
      </c>
      <c r="AB4820">
        <v>20</v>
      </c>
      <c r="AC4820">
        <v>0.55009999999998604</v>
      </c>
      <c r="AD4820">
        <v>-0.22526470000000001</v>
      </c>
      <c r="AE4820">
        <v>-0.13409999999998901</v>
      </c>
      <c r="AF4820">
        <v>0.102999791729378</v>
      </c>
      <c r="AG4820">
        <v>-0.22526470000000001</v>
      </c>
      <c r="AH4820">
        <v>0.477860733245285</v>
      </c>
      <c r="AI4820">
        <v>114.74116355136501</v>
      </c>
      <c r="AJ4820">
        <v>77.836356837307704</v>
      </c>
      <c r="AK4820">
        <v>0.53824160238698304</v>
      </c>
      <c r="AL4820">
        <v>88.611077216768905</v>
      </c>
      <c r="AM4820">
        <v>88.938285964460206</v>
      </c>
      <c r="AN4820">
        <v>0.99999993791733299</v>
      </c>
    </row>
    <row r="4821" spans="1:40" x14ac:dyDescent="0.3">
      <c r="A4821" t="str">
        <f>"20200111154017917"</f>
        <v>20200111154017917</v>
      </c>
      <c r="B4821" t="str">
        <f>"1578728417905501"</f>
        <v>1578728417905501</v>
      </c>
      <c r="C4821" t="s">
        <v>40</v>
      </c>
      <c r="D4821">
        <v>8.2684390000000008</v>
      </c>
      <c r="E4821">
        <v>0.62977019999999995</v>
      </c>
      <c r="F4821" t="s">
        <v>41</v>
      </c>
      <c r="G4821">
        <v>-128.70240000000001</v>
      </c>
      <c r="H4821">
        <v>0.83185569999999898</v>
      </c>
      <c r="I4821">
        <v>143.75989999999999</v>
      </c>
      <c r="J4821">
        <v>-129.13239999999999</v>
      </c>
      <c r="K4821">
        <v>1.1053059999999999</v>
      </c>
      <c r="L4821">
        <v>143.9383</v>
      </c>
      <c r="M4821">
        <v>0.99948510000000002</v>
      </c>
      <c r="N4821">
        <v>0</v>
      </c>
      <c r="O4821">
        <v>-2.6846439999999999E-2</v>
      </c>
      <c r="P4821">
        <v>0.99887649999999994</v>
      </c>
      <c r="Q4821">
        <v>1.269023E-2</v>
      </c>
      <c r="R4821">
        <v>-4.5663189999999999E-2</v>
      </c>
      <c r="S4821">
        <v>2.9752350000000001</v>
      </c>
      <c r="T4821">
        <v>-1.144334</v>
      </c>
      <c r="U4821">
        <v>-0.77812190000000003</v>
      </c>
      <c r="V4821">
        <v>1.8828379999999999E-2</v>
      </c>
      <c r="W4821">
        <v>3.0262919999999999E-2</v>
      </c>
      <c r="X4821">
        <v>0.99936460000000005</v>
      </c>
      <c r="Y4821">
        <v>0.21441270000000001</v>
      </c>
      <c r="Z4821">
        <v>-2.9403559999999999E-2</v>
      </c>
      <c r="AA4821">
        <v>0.97630050000000002</v>
      </c>
      <c r="AB4821">
        <v>20</v>
      </c>
      <c r="AC4821">
        <v>0.42999999999997801</v>
      </c>
      <c r="AD4821">
        <v>-0.27345029999999998</v>
      </c>
      <c r="AE4821">
        <v>-0.17840000000001</v>
      </c>
      <c r="AF4821">
        <v>0.12400550765068299</v>
      </c>
      <c r="AG4821">
        <v>-0.27345029999999998</v>
      </c>
      <c r="AH4821">
        <v>0.32314390036378099</v>
      </c>
      <c r="AI4821">
        <v>128.31028142879299</v>
      </c>
      <c r="AJ4821">
        <v>69.005843834788706</v>
      </c>
      <c r="AK4821">
        <v>0.441105897534947</v>
      </c>
      <c r="AL4821">
        <v>88.265797591431294</v>
      </c>
      <c r="AM4821">
        <v>88.920655089621107</v>
      </c>
      <c r="AN4821">
        <v>0.99999997797675499</v>
      </c>
    </row>
    <row r="4822" spans="1:40" x14ac:dyDescent="0.3">
      <c r="A4822" t="str">
        <f>"20200111154017953"</f>
        <v>20200111154017953</v>
      </c>
      <c r="B4822" t="str">
        <f>"1578728417945517"</f>
        <v>1578728417945517</v>
      </c>
      <c r="C4822" t="s">
        <v>40</v>
      </c>
      <c r="D4822">
        <v>6.0668100000000003</v>
      </c>
      <c r="E4822">
        <v>0.57093519999999998</v>
      </c>
      <c r="F4822" t="s">
        <v>42</v>
      </c>
      <c r="G4822">
        <v>-127.2894</v>
      </c>
      <c r="H4822" s="1">
        <v>-2.0858579999999999E-6</v>
      </c>
      <c r="I4822">
        <v>143.15170000000001</v>
      </c>
      <c r="J4822">
        <v>-128.82159999999999</v>
      </c>
      <c r="K4822">
        <v>1.105818</v>
      </c>
      <c r="L4822">
        <v>143.9299</v>
      </c>
      <c r="M4822">
        <v>0.99945209999999995</v>
      </c>
      <c r="N4822">
        <v>0</v>
      </c>
      <c r="O4822">
        <v>-2.6885030000000001E-2</v>
      </c>
      <c r="P4822">
        <v>0.99886390000000003</v>
      </c>
      <c r="Q4822">
        <v>1.298707E-2</v>
      </c>
      <c r="R4822">
        <v>-4.5855420000000001E-2</v>
      </c>
      <c r="S4822">
        <v>2.9680939999999998</v>
      </c>
      <c r="T4822">
        <v>-1.7800419999999999</v>
      </c>
      <c r="U4822">
        <v>-1.266678</v>
      </c>
      <c r="V4822">
        <v>1.8981459999999999E-2</v>
      </c>
      <c r="W4822">
        <v>3.2294200000000002E-2</v>
      </c>
      <c r="X4822">
        <v>0.99929820000000003</v>
      </c>
      <c r="Y4822">
        <v>0.3253722</v>
      </c>
      <c r="Z4822">
        <v>-7.2679469999999996E-2</v>
      </c>
      <c r="AA4822">
        <v>0.94278879999999998</v>
      </c>
      <c r="AB4822">
        <v>20</v>
      </c>
      <c r="AC4822">
        <v>1.53219999999998</v>
      </c>
      <c r="AD4822">
        <v>-1.1058200858580001</v>
      </c>
      <c r="AE4822">
        <v>-0.778199999999998</v>
      </c>
      <c r="AF4822">
        <v>0.52099179634714199</v>
      </c>
      <c r="AG4822">
        <v>-1.1058200858580001</v>
      </c>
      <c r="AH4822">
        <v>1.09794726600944</v>
      </c>
      <c r="AI4822">
        <v>132.299863040867</v>
      </c>
      <c r="AJ4822">
        <v>64.614986746913203</v>
      </c>
      <c r="AK4822">
        <v>1.6430942496051799</v>
      </c>
      <c r="AL4822">
        <v>88.149356960777396</v>
      </c>
      <c r="AM4822">
        <v>88.911809530294605</v>
      </c>
      <c r="AN4822">
        <v>1.0000000518503001</v>
      </c>
    </row>
    <row r="4823" spans="1:40" x14ac:dyDescent="0.3">
      <c r="A4823" t="str">
        <f>"20200111154017974"</f>
        <v>20200111154017974</v>
      </c>
      <c r="B4823" t="str">
        <f>"1578728417966013"</f>
        <v>1578728417966013</v>
      </c>
      <c r="C4823" t="s">
        <v>40</v>
      </c>
      <c r="D4823">
        <v>5.8451579999999996</v>
      </c>
      <c r="E4823">
        <v>0.57054189999999905</v>
      </c>
      <c r="F4823" t="s">
        <v>41</v>
      </c>
      <c r="G4823">
        <v>-128.1662</v>
      </c>
      <c r="H4823">
        <v>0.85265659999999899</v>
      </c>
      <c r="I4823">
        <v>143.76150000000001</v>
      </c>
      <c r="J4823">
        <v>-128.6317</v>
      </c>
      <c r="K4823">
        <v>1.1061840000000001</v>
      </c>
      <c r="L4823">
        <v>143.9247</v>
      </c>
      <c r="M4823">
        <v>0.99942050000000004</v>
      </c>
      <c r="N4823">
        <v>0</v>
      </c>
      <c r="O4823">
        <v>-2.6905539999999999E-2</v>
      </c>
      <c r="P4823">
        <v>0.99881699999999995</v>
      </c>
      <c r="Q4823">
        <v>1.250158E-2</v>
      </c>
      <c r="R4823">
        <v>-4.6993229999999997E-2</v>
      </c>
      <c r="S4823">
        <v>2.9832459999999998</v>
      </c>
      <c r="T4823">
        <v>-1.152426</v>
      </c>
      <c r="U4823">
        <v>-0.76615909999999998</v>
      </c>
      <c r="V4823">
        <v>2.0098789999999998E-2</v>
      </c>
      <c r="W4823">
        <v>3.3343640000000001E-2</v>
      </c>
      <c r="X4823">
        <v>0.99924179999999996</v>
      </c>
      <c r="Y4823">
        <v>0.21020459999999999</v>
      </c>
      <c r="Z4823">
        <v>-2.8743580000000001E-2</v>
      </c>
      <c r="AA4823">
        <v>0.97723479999999996</v>
      </c>
      <c r="AB4823">
        <v>20</v>
      </c>
      <c r="AC4823">
        <v>0.46549999999999098</v>
      </c>
      <c r="AD4823">
        <v>-0.25352740000000001</v>
      </c>
      <c r="AE4823">
        <v>-0.16319999999998899</v>
      </c>
      <c r="AF4823">
        <v>0.119141456019349</v>
      </c>
      <c r="AG4823">
        <v>-0.25352740000000001</v>
      </c>
      <c r="AH4823">
        <v>0.37157008599945401</v>
      </c>
      <c r="AI4823">
        <v>123.013019677182</v>
      </c>
      <c r="AJ4823">
        <v>72.221900310436595</v>
      </c>
      <c r="AK4823">
        <v>0.46533338361094601</v>
      </c>
      <c r="AL4823">
        <v>88.089195908793201</v>
      </c>
      <c r="AM4823">
        <v>88.847705751948297</v>
      </c>
      <c r="AN4823">
        <v>0.99999996727757601</v>
      </c>
    </row>
    <row r="4824" spans="1:40" x14ac:dyDescent="0.3">
      <c r="A4824" t="str">
        <f>"20200111154017997"</f>
        <v>20200111154017997</v>
      </c>
      <c r="B4824" t="str">
        <f>"1578728417985533"</f>
        <v>1578728417985533</v>
      </c>
      <c r="C4824" t="s">
        <v>40</v>
      </c>
      <c r="D4824">
        <v>5.9099130000000004</v>
      </c>
      <c r="E4824">
        <v>0.56566209999999995</v>
      </c>
      <c r="F4824" t="s">
        <v>41</v>
      </c>
      <c r="G4824">
        <v>-127.991</v>
      </c>
      <c r="H4824">
        <v>0.86838950000000004</v>
      </c>
      <c r="I4824">
        <v>143.7604</v>
      </c>
      <c r="J4824">
        <v>-128.44929999999999</v>
      </c>
      <c r="K4824">
        <v>1.106454</v>
      </c>
      <c r="L4824">
        <v>143.91980000000001</v>
      </c>
      <c r="M4824">
        <v>0.99938919999999998</v>
      </c>
      <c r="N4824">
        <v>0</v>
      </c>
      <c r="O4824">
        <v>-2.69257E-2</v>
      </c>
      <c r="P4824">
        <v>0.99870789999999998</v>
      </c>
      <c r="Q4824">
        <v>1.1430070000000001E-2</v>
      </c>
      <c r="R4824">
        <v>-4.9516919999999999E-2</v>
      </c>
      <c r="S4824">
        <v>2.9814759999999998</v>
      </c>
      <c r="T4824">
        <v>-1.106535</v>
      </c>
      <c r="U4824">
        <v>-0.76383970000000001</v>
      </c>
      <c r="V4824">
        <v>2.2603499999999999E-2</v>
      </c>
      <c r="W4824">
        <v>3.3699149999999997E-2</v>
      </c>
      <c r="X4824">
        <v>0.99917639999999996</v>
      </c>
      <c r="Y4824">
        <v>0.2105157</v>
      </c>
      <c r="Z4824">
        <v>-2.773372E-2</v>
      </c>
      <c r="AA4824">
        <v>0.97719699999999998</v>
      </c>
      <c r="AB4824">
        <v>19</v>
      </c>
      <c r="AC4824">
        <v>0.45829999999999399</v>
      </c>
      <c r="AD4824">
        <v>-0.23806449999999901</v>
      </c>
      <c r="AE4824">
        <v>-0.15940000000000501</v>
      </c>
      <c r="AF4824">
        <v>0.118479715396989</v>
      </c>
      <c r="AG4824">
        <v>-0.23806449999999901</v>
      </c>
      <c r="AH4824">
        <v>0.372711159439235</v>
      </c>
      <c r="AI4824">
        <v>121.32975962716399</v>
      </c>
      <c r="AJ4824">
        <v>72.365260266963006</v>
      </c>
      <c r="AK4824">
        <v>0.45784905535704701</v>
      </c>
      <c r="AL4824">
        <v>88.068815322966799</v>
      </c>
      <c r="AM4824">
        <v>88.704068375299101</v>
      </c>
      <c r="AN4824">
        <v>1.0000000146199599</v>
      </c>
    </row>
    <row r="4825" spans="1:40" x14ac:dyDescent="0.3">
      <c r="A4825" t="str">
        <f>"20200111154018028"</f>
        <v>20200111154018028</v>
      </c>
      <c r="B4825" t="str">
        <f>"1578728418026525"</f>
        <v>1578728418026525</v>
      </c>
      <c r="C4825" t="s">
        <v>40</v>
      </c>
      <c r="D4825">
        <v>5.8984620000000003</v>
      </c>
      <c r="E4825">
        <v>0.56025119999999995</v>
      </c>
      <c r="F4825" t="s">
        <v>41</v>
      </c>
      <c r="G4825">
        <v>-127.67270000000001</v>
      </c>
      <c r="H4825">
        <v>0.84153770000000006</v>
      </c>
      <c r="I4825">
        <v>143.72989999999999</v>
      </c>
      <c r="J4825">
        <v>-128.18969999999999</v>
      </c>
      <c r="K4825">
        <v>1.106214</v>
      </c>
      <c r="L4825">
        <v>143.9127</v>
      </c>
      <c r="M4825">
        <v>0.99938919999999998</v>
      </c>
      <c r="N4825">
        <v>0</v>
      </c>
      <c r="O4825">
        <v>-2.6965030000000001E-2</v>
      </c>
      <c r="P4825">
        <v>0.99844409999999895</v>
      </c>
      <c r="Q4825">
        <v>9.6181410000000002E-3</v>
      </c>
      <c r="R4825">
        <v>-5.4926620000000002E-2</v>
      </c>
      <c r="S4825">
        <v>2.9794160000000001</v>
      </c>
      <c r="T4825">
        <v>-1.0162880000000001</v>
      </c>
      <c r="U4825">
        <v>-0.72785949999999999</v>
      </c>
      <c r="V4825">
        <v>2.7979090000000002E-2</v>
      </c>
      <c r="W4825">
        <v>3.1833819999999999E-2</v>
      </c>
      <c r="X4825">
        <v>0.99910149999999998</v>
      </c>
      <c r="Y4825">
        <v>0.2017022</v>
      </c>
      <c r="Z4825">
        <v>-2.418731E-2</v>
      </c>
      <c r="AA4825">
        <v>0.97914820000000002</v>
      </c>
      <c r="AB4825">
        <v>18</v>
      </c>
      <c r="AC4825">
        <v>0.51699999999998103</v>
      </c>
      <c r="AD4825">
        <v>-0.26467629999999998</v>
      </c>
      <c r="AE4825">
        <v>-0.18280000000001401</v>
      </c>
      <c r="AF4825">
        <v>0.13689699501070099</v>
      </c>
      <c r="AG4825">
        <v>-0.26467629999999998</v>
      </c>
      <c r="AH4825">
        <v>0.42316088782488998</v>
      </c>
      <c r="AI4825">
        <v>120.757193289687</v>
      </c>
      <c r="AJ4825">
        <v>72.073060571345493</v>
      </c>
      <c r="AK4825">
        <v>0.51755141581237996</v>
      </c>
      <c r="AL4825">
        <v>88.175748292338795</v>
      </c>
      <c r="AM4825">
        <v>88.395893808359503</v>
      </c>
      <c r="AN4825">
        <v>1.00000001443763</v>
      </c>
    </row>
    <row r="4826" spans="1:40" x14ac:dyDescent="0.3">
      <c r="A4826" t="str">
        <f>"20200111154018061"</f>
        <v>20200111154018061</v>
      </c>
      <c r="B4826" t="str">
        <f>"1578728418055805"</f>
        <v>1578728418055805</v>
      </c>
      <c r="C4826" t="s">
        <v>40</v>
      </c>
      <c r="D4826">
        <v>5.8955699999999904</v>
      </c>
      <c r="E4826">
        <v>0.55712609999999996</v>
      </c>
      <c r="F4826" t="s">
        <v>41</v>
      </c>
      <c r="G4826">
        <v>-127.48739999999999</v>
      </c>
      <c r="H4826">
        <v>0.88439489999999998</v>
      </c>
      <c r="I4826">
        <v>143.74870000000001</v>
      </c>
      <c r="J4826">
        <v>-127.91540000000001</v>
      </c>
      <c r="K4826">
        <v>1.105734</v>
      </c>
      <c r="L4826">
        <v>143.90520000000001</v>
      </c>
      <c r="M4826">
        <v>0.99941679999999999</v>
      </c>
      <c r="N4826">
        <v>0</v>
      </c>
      <c r="O4826">
        <v>-2.7002350000000001E-2</v>
      </c>
      <c r="P4826">
        <v>0.99823700000000004</v>
      </c>
      <c r="Q4826">
        <v>9.6101669999999993E-3</v>
      </c>
      <c r="R4826">
        <v>-5.8571930000000001E-2</v>
      </c>
      <c r="S4826">
        <v>2.9755099999999999</v>
      </c>
      <c r="T4826">
        <v>-0.93970609999999999</v>
      </c>
      <c r="U4826">
        <v>-0.69467159999999994</v>
      </c>
      <c r="V4826">
        <v>3.1592530000000001E-2</v>
      </c>
      <c r="W4826">
        <v>3.050218E-2</v>
      </c>
      <c r="X4826">
        <v>0.99903529999999996</v>
      </c>
      <c r="Y4826">
        <v>0.1932915</v>
      </c>
      <c r="Z4826">
        <v>-2.121112E-2</v>
      </c>
      <c r="AA4826">
        <v>0.98091209999999995</v>
      </c>
      <c r="AB4826">
        <v>18</v>
      </c>
      <c r="AC4826">
        <v>0.42800000000001098</v>
      </c>
      <c r="AD4826">
        <v>-0.22133909999999901</v>
      </c>
      <c r="AE4826">
        <v>-0.15649999999999401</v>
      </c>
      <c r="AF4826">
        <v>0.11722896930538799</v>
      </c>
      <c r="AG4826">
        <v>-0.22133909999999901</v>
      </c>
      <c r="AH4826">
        <v>0.34959978605443998</v>
      </c>
      <c r="AI4826">
        <v>120.975229260489</v>
      </c>
      <c r="AJ4826">
        <v>71.462495224123003</v>
      </c>
      <c r="AK4826">
        <v>0.43006236622439298</v>
      </c>
      <c r="AL4826">
        <v>88.252082711201993</v>
      </c>
      <c r="AM4826">
        <v>88.188737062531402</v>
      </c>
      <c r="AN4826">
        <v>1.0000000007913199</v>
      </c>
    </row>
    <row r="4827" spans="1:40" x14ac:dyDescent="0.3">
      <c r="A4827" t="str">
        <f>"20200111154018084"</f>
        <v>20200111154018084</v>
      </c>
      <c r="B4827" t="str">
        <f>"1578728418076301"</f>
        <v>1578728418076301</v>
      </c>
      <c r="C4827" t="s">
        <v>40</v>
      </c>
      <c r="D4827">
        <v>5.8625970000000001</v>
      </c>
      <c r="E4827">
        <v>0.55573419999999996</v>
      </c>
      <c r="F4827" t="s">
        <v>41</v>
      </c>
      <c r="G4827">
        <v>-127.1615</v>
      </c>
      <c r="H4827">
        <v>0.87032030000000005</v>
      </c>
      <c r="I4827">
        <v>143.733</v>
      </c>
      <c r="J4827">
        <v>-127.7266</v>
      </c>
      <c r="K4827">
        <v>1.1056950000000001</v>
      </c>
      <c r="L4827">
        <v>143.9</v>
      </c>
      <c r="M4827">
        <v>0.9994191</v>
      </c>
      <c r="N4827">
        <v>0</v>
      </c>
      <c r="O4827">
        <v>-2.7026169999999999E-2</v>
      </c>
      <c r="P4827">
        <v>0.99803229999999998</v>
      </c>
      <c r="Q4827">
        <v>9.1115720000000001E-3</v>
      </c>
      <c r="R4827">
        <v>-6.2037509999999997E-2</v>
      </c>
      <c r="S4827">
        <v>2.974396</v>
      </c>
      <c r="T4827">
        <v>-0.92872790000000005</v>
      </c>
      <c r="U4827">
        <v>-0.67875669999999899</v>
      </c>
      <c r="V4827">
        <v>3.5038399999999997E-2</v>
      </c>
      <c r="W4827">
        <v>2.9859699999999999E-2</v>
      </c>
      <c r="X4827">
        <v>0.99893980000000004</v>
      </c>
      <c r="Y4827">
        <v>0.1887298</v>
      </c>
      <c r="Z4827">
        <v>-2.0298569999999998E-2</v>
      </c>
      <c r="AA4827">
        <v>0.98181929999999995</v>
      </c>
      <c r="AB4827">
        <v>19</v>
      </c>
      <c r="AC4827">
        <v>0.56510000000000005</v>
      </c>
      <c r="AD4827">
        <v>-0.23537469999999899</v>
      </c>
      <c r="AE4827">
        <v>-0.16700000000000101</v>
      </c>
      <c r="AF4827">
        <v>0.13079448682464201</v>
      </c>
      <c r="AG4827">
        <v>-0.23537469999999899</v>
      </c>
      <c r="AH4827">
        <v>0.49105788414052998</v>
      </c>
      <c r="AI4827">
        <v>114.852325994594</v>
      </c>
      <c r="AJ4827">
        <v>75.085390411108506</v>
      </c>
      <c r="AK4827">
        <v>0.560041331296527</v>
      </c>
      <c r="AL4827">
        <v>88.288910892880196</v>
      </c>
      <c r="AM4827">
        <v>87.991140454136698</v>
      </c>
      <c r="AN4827">
        <v>1.00000000759134</v>
      </c>
    </row>
    <row r="4828" spans="1:40" x14ac:dyDescent="0.3">
      <c r="A4828" t="str">
        <f>"20200111154018109"</f>
        <v>20200111154018109</v>
      </c>
      <c r="B4828" t="str">
        <f>"1578728418105581"</f>
        <v>1578728418105581</v>
      </c>
      <c r="C4828" t="s">
        <v>40</v>
      </c>
      <c r="D4828">
        <v>5.8925669999999997</v>
      </c>
      <c r="E4828">
        <v>0.55406169999999899</v>
      </c>
      <c r="F4828" t="s">
        <v>41</v>
      </c>
      <c r="G4828">
        <v>-126.9958</v>
      </c>
      <c r="H4828">
        <v>0.87808449999999905</v>
      </c>
      <c r="I4828">
        <v>143.7336</v>
      </c>
      <c r="J4828">
        <v>-127.5247</v>
      </c>
      <c r="K4828">
        <v>1.1057330000000001</v>
      </c>
      <c r="L4828">
        <v>143.89449999999999</v>
      </c>
      <c r="M4828">
        <v>0.99941579999999997</v>
      </c>
      <c r="N4828">
        <v>0</v>
      </c>
      <c r="O4828">
        <v>-2.705581E-2</v>
      </c>
      <c r="P4828">
        <v>0.99782519999999997</v>
      </c>
      <c r="Q4828">
        <v>7.6116269999999897E-3</v>
      </c>
      <c r="R4828">
        <v>-6.5476210000000007E-2</v>
      </c>
      <c r="S4828">
        <v>2.972305</v>
      </c>
      <c r="T4828">
        <v>-0.92578090000000002</v>
      </c>
      <c r="U4828">
        <v>-0.67648319999999995</v>
      </c>
      <c r="V4828">
        <v>3.8451520000000003E-2</v>
      </c>
      <c r="W4828">
        <v>2.847794E-2</v>
      </c>
      <c r="X4828">
        <v>0.99885460000000004</v>
      </c>
      <c r="Y4828">
        <v>0.18819610000000001</v>
      </c>
      <c r="Z4828">
        <v>-2.0162670000000001E-2</v>
      </c>
      <c r="AA4828">
        <v>0.98192449999999998</v>
      </c>
      <c r="AB4828">
        <v>18</v>
      </c>
      <c r="AC4828">
        <v>0.52889999999999304</v>
      </c>
      <c r="AD4828">
        <v>-0.2276485</v>
      </c>
      <c r="AE4828">
        <v>-0.16089999999999799</v>
      </c>
      <c r="AF4828">
        <v>0.125284055163808</v>
      </c>
      <c r="AG4828">
        <v>-0.2276485</v>
      </c>
      <c r="AH4828">
        <v>0.45577584801667897</v>
      </c>
      <c r="AI4828">
        <v>115.71597107715399</v>
      </c>
      <c r="AJ4828">
        <v>74.630095448884902</v>
      </c>
      <c r="AK4828">
        <v>0.52464422008239198</v>
      </c>
      <c r="AL4828">
        <v>88.368113623222101</v>
      </c>
      <c r="AM4828">
        <v>87.795452404487506</v>
      </c>
      <c r="AN4828">
        <v>1.00000001219905</v>
      </c>
    </row>
    <row r="4829" spans="1:40" x14ac:dyDescent="0.3">
      <c r="A4829" t="str">
        <f>"20200111154018140"</f>
        <v>20200111154018140</v>
      </c>
      <c r="B4829" t="str">
        <f>"1578728418135837"</f>
        <v>1578728418135837</v>
      </c>
      <c r="C4829" t="s">
        <v>40</v>
      </c>
      <c r="D4829">
        <v>5.8751369999999996</v>
      </c>
      <c r="E4829">
        <v>0.55264559999999996</v>
      </c>
      <c r="F4829" t="s">
        <v>41</v>
      </c>
      <c r="G4829">
        <v>-126.82989999999999</v>
      </c>
      <c r="H4829">
        <v>0.88929749999999996</v>
      </c>
      <c r="I4829">
        <v>143.7372</v>
      </c>
      <c r="J4829">
        <v>-127.2766</v>
      </c>
      <c r="K4829">
        <v>1.105612</v>
      </c>
      <c r="L4829">
        <v>143.8877</v>
      </c>
      <c r="M4829">
        <v>0.99942240000000004</v>
      </c>
      <c r="N4829">
        <v>0</v>
      </c>
      <c r="O4829">
        <v>-2.7098919999999999E-2</v>
      </c>
      <c r="P4829">
        <v>0.99732010000000004</v>
      </c>
      <c r="Q4829">
        <v>2.4828430000000002E-3</v>
      </c>
      <c r="R4829">
        <v>-7.3121099999999994E-2</v>
      </c>
      <c r="S4829">
        <v>2.9694980000000002</v>
      </c>
      <c r="T4829">
        <v>-0.92499739999999997</v>
      </c>
      <c r="U4829">
        <v>-0.67207340000000004</v>
      </c>
      <c r="V4829">
        <v>4.6063649999999998E-2</v>
      </c>
      <c r="W4829">
        <v>2.2968479999999999E-2</v>
      </c>
      <c r="X4829">
        <v>0.99867439999999996</v>
      </c>
      <c r="Y4829">
        <v>0.18701909999999999</v>
      </c>
      <c r="Z4829">
        <v>-1.997728E-2</v>
      </c>
      <c r="AA4829">
        <v>0.9821531</v>
      </c>
      <c r="AB4829">
        <v>18</v>
      </c>
      <c r="AC4829">
        <v>0.44670000000000698</v>
      </c>
      <c r="AD4829">
        <v>-0.21631449999999999</v>
      </c>
      <c r="AE4829">
        <v>-0.150499999999993</v>
      </c>
      <c r="AF4829">
        <v>0.114272129523421</v>
      </c>
      <c r="AG4829">
        <v>-0.21631449999999999</v>
      </c>
      <c r="AH4829">
        <v>0.37222668659241498</v>
      </c>
      <c r="AI4829">
        <v>119.054213758711</v>
      </c>
      <c r="AJ4829">
        <v>72.933719623844993</v>
      </c>
      <c r="AK4829">
        <v>0.44542427943213297</v>
      </c>
      <c r="AL4829">
        <v>88.683887276453603</v>
      </c>
      <c r="AM4829">
        <v>87.359115791383402</v>
      </c>
      <c r="AN4829">
        <v>0.99999998407009605</v>
      </c>
    </row>
    <row r="4830" spans="1:40" x14ac:dyDescent="0.3">
      <c r="A4830" t="str">
        <f>"20200111154018185"</f>
        <v>20200111154018185</v>
      </c>
      <c r="B4830" t="str">
        <f>"1578728418175856"</f>
        <v>1578728418175856</v>
      </c>
      <c r="C4830" t="s">
        <v>40</v>
      </c>
      <c r="D4830">
        <v>5.9091969999999998</v>
      </c>
      <c r="E4830">
        <v>0.55109919999999901</v>
      </c>
      <c r="F4830" t="s">
        <v>41</v>
      </c>
      <c r="G4830">
        <v>-126.5183</v>
      </c>
      <c r="H4830">
        <v>0.86562249999999996</v>
      </c>
      <c r="I4830">
        <v>143.71299999999999</v>
      </c>
      <c r="J4830">
        <v>-126.91970000000001</v>
      </c>
      <c r="K4830">
        <v>1.1054980000000001</v>
      </c>
      <c r="L4830">
        <v>143.87790000000001</v>
      </c>
      <c r="M4830">
        <v>0.99943539999999997</v>
      </c>
      <c r="N4830">
        <v>0</v>
      </c>
      <c r="O4830">
        <v>-2.715221E-2</v>
      </c>
      <c r="P4830">
        <v>0.99676419999999999</v>
      </c>
      <c r="Q4830">
        <v>5.3169860000000001E-3</v>
      </c>
      <c r="R4830">
        <v>-8.0205869999999999E-2</v>
      </c>
      <c r="S4830">
        <v>2.9604339999999998</v>
      </c>
      <c r="T4830">
        <v>-0.93695470000000003</v>
      </c>
      <c r="U4830">
        <v>-0.68148799999999998</v>
      </c>
      <c r="V4830">
        <v>5.3108379999999997E-2</v>
      </c>
      <c r="W4830">
        <v>2.5079299999999999E-2</v>
      </c>
      <c r="X4830">
        <v>0.99827379999999999</v>
      </c>
      <c r="Y4830">
        <v>0.19021589999999999</v>
      </c>
      <c r="Z4830">
        <v>-2.074695E-2</v>
      </c>
      <c r="AA4830">
        <v>0.98152300000000003</v>
      </c>
      <c r="AB4830">
        <v>18</v>
      </c>
      <c r="AC4830">
        <v>0.40140000000000903</v>
      </c>
      <c r="AD4830">
        <v>-0.23987549999999899</v>
      </c>
      <c r="AE4830">
        <v>-0.16490000000001701</v>
      </c>
      <c r="AF4830">
        <v>0.117910129915337</v>
      </c>
      <c r="AG4830">
        <v>-0.23987549999999899</v>
      </c>
      <c r="AH4830">
        <v>0.31077224548433302</v>
      </c>
      <c r="AI4830">
        <v>125.816923108098</v>
      </c>
      <c r="AJ4830">
        <v>69.222748642668506</v>
      </c>
      <c r="AK4830">
        <v>0.40990540713715401</v>
      </c>
      <c r="AL4830">
        <v>88.5629113187901</v>
      </c>
      <c r="AM4830">
        <v>86.954723069450907</v>
      </c>
      <c r="AN4830">
        <v>1.0000000255405701</v>
      </c>
    </row>
    <row r="4831" spans="1:40" x14ac:dyDescent="0.3">
      <c r="A4831" t="str">
        <f>"20200111154018217"</f>
        <v>20200111154018217</v>
      </c>
      <c r="B4831" t="str">
        <f>"1578728418206109"</f>
        <v>1578728418206109</v>
      </c>
      <c r="C4831" t="s">
        <v>40</v>
      </c>
      <c r="D4831">
        <v>5.9658150000000001</v>
      </c>
      <c r="E4831">
        <v>0.55040049999999996</v>
      </c>
      <c r="F4831" t="s">
        <v>41</v>
      </c>
      <c r="G4831">
        <v>-126.1944</v>
      </c>
      <c r="H4831">
        <v>0.87926579999999999</v>
      </c>
      <c r="I4831">
        <v>143.7089</v>
      </c>
      <c r="J4831">
        <v>-126.66289999999999</v>
      </c>
      <c r="K4831">
        <v>1.105515</v>
      </c>
      <c r="L4831">
        <v>143.87090000000001</v>
      </c>
      <c r="M4831">
        <v>0.99943879999999996</v>
      </c>
      <c r="N4831">
        <v>0</v>
      </c>
      <c r="O4831">
        <v>-2.7185939999999999E-2</v>
      </c>
      <c r="P4831">
        <v>0.99656299999999998</v>
      </c>
      <c r="Q4831">
        <v>9.2126389999999999E-3</v>
      </c>
      <c r="R4831">
        <v>-8.2328009999999993E-2</v>
      </c>
      <c r="S4831">
        <v>2.9592130000000001</v>
      </c>
      <c r="T4831">
        <v>-0.92311500000000002</v>
      </c>
      <c r="U4831">
        <v>-0.6892395</v>
      </c>
      <c r="V4831">
        <v>5.5201970000000003E-2</v>
      </c>
      <c r="W4831">
        <v>2.8758200000000001E-2</v>
      </c>
      <c r="X4831">
        <v>0.99806099999999998</v>
      </c>
      <c r="Y4831">
        <v>0.19281209999999999</v>
      </c>
      <c r="Z4831">
        <v>-2.083693E-2</v>
      </c>
      <c r="AA4831">
        <v>0.98101439999999995</v>
      </c>
      <c r="AB4831">
        <v>18</v>
      </c>
      <c r="AC4831">
        <v>0.46849999999999098</v>
      </c>
      <c r="AD4831">
        <v>-0.22624920000000001</v>
      </c>
      <c r="AE4831">
        <v>-0.162000000000006</v>
      </c>
      <c r="AF4831">
        <v>0.123479370838061</v>
      </c>
      <c r="AG4831">
        <v>-0.22624920000000001</v>
      </c>
      <c r="AH4831">
        <v>0.39123463570573802</v>
      </c>
      <c r="AI4831">
        <v>118.87586460884199</v>
      </c>
      <c r="AJ4831">
        <v>72.483541999695703</v>
      </c>
      <c r="AK4831">
        <v>0.46850869330142098</v>
      </c>
      <c r="AL4831">
        <v>88.352049350727896</v>
      </c>
      <c r="AM4831">
        <v>86.834240942181907</v>
      </c>
      <c r="AN4831">
        <v>1.0000000256400601</v>
      </c>
    </row>
    <row r="4832" spans="1:40" x14ac:dyDescent="0.3">
      <c r="A4832" t="str">
        <f>"20200111154018244"</f>
        <v>20200111154018244</v>
      </c>
      <c r="B4832" t="str">
        <f>"1578728418236365"</f>
        <v>1578728418236365</v>
      </c>
      <c r="C4832" t="s">
        <v>40</v>
      </c>
      <c r="D4832">
        <v>5.9755250000000002</v>
      </c>
      <c r="E4832">
        <v>0.5499906</v>
      </c>
      <c r="F4832" t="s">
        <v>41</v>
      </c>
      <c r="G4832">
        <v>-125.8858</v>
      </c>
      <c r="H4832">
        <v>0.86692990000000003</v>
      </c>
      <c r="I4832">
        <v>143.68969999999999</v>
      </c>
      <c r="J4832">
        <v>-126.45399999999999</v>
      </c>
      <c r="K4832">
        <v>1.1055029999999999</v>
      </c>
      <c r="L4832">
        <v>143.86510000000001</v>
      </c>
      <c r="M4832">
        <v>0.99944200000000005</v>
      </c>
      <c r="N4832">
        <v>0</v>
      </c>
      <c r="O4832">
        <v>-2.7215799999999998E-2</v>
      </c>
      <c r="P4832">
        <v>0.99633459999999996</v>
      </c>
      <c r="Q4832">
        <v>1.1366579999999999E-2</v>
      </c>
      <c r="R4832">
        <v>-8.4785440000000004E-2</v>
      </c>
      <c r="S4832">
        <v>2.9617610000000001</v>
      </c>
      <c r="T4832">
        <v>-0.90932270000000004</v>
      </c>
      <c r="U4832">
        <v>-0.68997189999999997</v>
      </c>
      <c r="V4832">
        <v>5.7634930000000001E-2</v>
      </c>
      <c r="W4832">
        <v>3.0691400000000001E-2</v>
      </c>
      <c r="X4832">
        <v>0.99786589999999997</v>
      </c>
      <c r="Y4832">
        <v>0.19304660000000001</v>
      </c>
      <c r="Z4832">
        <v>-2.0547860000000001E-2</v>
      </c>
      <c r="AA4832">
        <v>0.98097440000000002</v>
      </c>
      <c r="AB4832">
        <v>18</v>
      </c>
      <c r="AC4832">
        <v>0.56819999999999005</v>
      </c>
      <c r="AD4832">
        <v>-0.23857310000000001</v>
      </c>
      <c r="AE4832">
        <v>-0.17540000000002401</v>
      </c>
      <c r="AF4832">
        <v>0.137703680421318</v>
      </c>
      <c r="AG4832">
        <v>-0.23857310000000001</v>
      </c>
      <c r="AH4832">
        <v>0.49335494034009297</v>
      </c>
      <c r="AI4832">
        <v>114.97469084726001</v>
      </c>
      <c r="AJ4832">
        <v>74.404685989475993</v>
      </c>
      <c r="AK4832">
        <v>0.56504736509708897</v>
      </c>
      <c r="AL4832">
        <v>88.241236213474195</v>
      </c>
      <c r="AM4832">
        <v>86.694371983613294</v>
      </c>
      <c r="AN4832">
        <v>1.00000005078643</v>
      </c>
    </row>
    <row r="4833" spans="1:40" x14ac:dyDescent="0.3">
      <c r="A4833" t="str">
        <f>"20200111154018265"</f>
        <v>20200111154018265</v>
      </c>
      <c r="B4833" t="str">
        <f>"1578728418255885"</f>
        <v>1578728418255885</v>
      </c>
      <c r="C4833" t="s">
        <v>40</v>
      </c>
      <c r="D4833">
        <v>5.9377459999999997</v>
      </c>
      <c r="E4833">
        <v>0.54922040000000005</v>
      </c>
      <c r="F4833" t="s">
        <v>41</v>
      </c>
      <c r="G4833">
        <v>-125.7234</v>
      </c>
      <c r="H4833">
        <v>0.88298929999999998</v>
      </c>
      <c r="I4833">
        <v>143.69399999999999</v>
      </c>
      <c r="J4833">
        <v>-126.28879999999999</v>
      </c>
      <c r="K4833">
        <v>1.1054820000000001</v>
      </c>
      <c r="L4833">
        <v>143.86060000000001</v>
      </c>
      <c r="M4833">
        <v>0.99944509999999998</v>
      </c>
      <c r="N4833">
        <v>0</v>
      </c>
      <c r="O4833">
        <v>-2.7240480000000001E-2</v>
      </c>
      <c r="P4833">
        <v>0.99618359999999995</v>
      </c>
      <c r="Q4833">
        <v>9.4919310000000003E-3</v>
      </c>
      <c r="R4833">
        <v>-8.6766430000000005E-2</v>
      </c>
      <c r="S4833">
        <v>2.9623409999999999</v>
      </c>
      <c r="T4833">
        <v>-0.90211609999999998</v>
      </c>
      <c r="U4833">
        <v>-0.69320680000000001</v>
      </c>
      <c r="V4833">
        <v>5.9594510000000003E-2</v>
      </c>
      <c r="W4833">
        <v>2.8627130000000001E-2</v>
      </c>
      <c r="X4833">
        <v>0.99781209999999998</v>
      </c>
      <c r="Y4833">
        <v>0.19406970000000001</v>
      </c>
      <c r="Z4833">
        <v>-2.0529019999999999E-2</v>
      </c>
      <c r="AA4833">
        <v>0.98077289999999995</v>
      </c>
      <c r="AB4833">
        <v>18</v>
      </c>
      <c r="AC4833">
        <v>0.56539999999999602</v>
      </c>
      <c r="AD4833">
        <v>-0.22249269999999999</v>
      </c>
      <c r="AE4833">
        <v>-0.16660000000001601</v>
      </c>
      <c r="AF4833">
        <v>0.13228525297926999</v>
      </c>
      <c r="AG4833">
        <v>-0.22249269999999999</v>
      </c>
      <c r="AH4833">
        <v>0.49867662950906599</v>
      </c>
      <c r="AI4833">
        <v>113.328157907734</v>
      </c>
      <c r="AJ4833">
        <v>75.143179217577099</v>
      </c>
      <c r="AK4833">
        <v>0.56185475928179396</v>
      </c>
      <c r="AL4833">
        <v>88.359562163659106</v>
      </c>
      <c r="AM4833">
        <v>86.582059283003005</v>
      </c>
      <c r="AN4833">
        <v>1.00000000255029</v>
      </c>
    </row>
    <row r="4834" spans="1:40" x14ac:dyDescent="0.3">
      <c r="A4834" t="str">
        <f>"20200111154018288"</f>
        <v>20200111154018288</v>
      </c>
      <c r="B4834" t="str">
        <f>"1578728418276381"</f>
        <v>1578728418276381</v>
      </c>
      <c r="C4834" t="s">
        <v>40</v>
      </c>
      <c r="D4834">
        <v>5.9674620000000003</v>
      </c>
      <c r="E4834">
        <v>0.54844530000000002</v>
      </c>
      <c r="F4834" t="s">
        <v>41</v>
      </c>
      <c r="G4834">
        <v>-125.5682</v>
      </c>
      <c r="H4834">
        <v>0.88411830000000002</v>
      </c>
      <c r="I4834">
        <v>143.6926</v>
      </c>
      <c r="J4834">
        <v>-126.117</v>
      </c>
      <c r="K4834">
        <v>1.105459</v>
      </c>
      <c r="L4834">
        <v>143.85589999999999</v>
      </c>
      <c r="M4834">
        <v>0.99944750000000004</v>
      </c>
      <c r="N4834">
        <v>0</v>
      </c>
      <c r="O4834">
        <v>-2.726582E-2</v>
      </c>
      <c r="P4834">
        <v>0.99616680000000002</v>
      </c>
      <c r="Q4834">
        <v>6.1856510000000003E-3</v>
      </c>
      <c r="R4834">
        <v>-8.7255719999999995E-2</v>
      </c>
      <c r="S4834">
        <v>2.9600680000000001</v>
      </c>
      <c r="T4834">
        <v>-0.90928509999999996</v>
      </c>
      <c r="U4834">
        <v>-0.68971249999999995</v>
      </c>
      <c r="V4834">
        <v>6.0058689999999998E-2</v>
      </c>
      <c r="W4834">
        <v>2.5150809999999999E-2</v>
      </c>
      <c r="X4834">
        <v>0.99787800000000004</v>
      </c>
      <c r="Y4834">
        <v>0.1930355</v>
      </c>
      <c r="Z4834">
        <v>-2.0541810000000001E-2</v>
      </c>
      <c r="AA4834">
        <v>0.98097670000000003</v>
      </c>
      <c r="AB4834">
        <v>17</v>
      </c>
      <c r="AC4834">
        <v>0.54879999999999995</v>
      </c>
      <c r="AD4834">
        <v>-0.221340699999999</v>
      </c>
      <c r="AE4834">
        <v>-0.16329999999999201</v>
      </c>
      <c r="AF4834">
        <v>0.12899659598788499</v>
      </c>
      <c r="AG4834">
        <v>-0.221340699999999</v>
      </c>
      <c r="AH4834">
        <v>0.48114913845407897</v>
      </c>
      <c r="AI4834">
        <v>113.957170533132</v>
      </c>
      <c r="AJ4834">
        <v>74.991881602185103</v>
      </c>
      <c r="AK4834">
        <v>0.54510211950427601</v>
      </c>
      <c r="AL4834">
        <v>88.558812849070705</v>
      </c>
      <c r="AM4834">
        <v>86.555727815811395</v>
      </c>
      <c r="AN4834">
        <v>1.00000005618608</v>
      </c>
    </row>
    <row r="4835" spans="1:40" x14ac:dyDescent="0.3">
      <c r="A4835" t="str">
        <f>"20200111154018319"</f>
        <v>20200111154018319</v>
      </c>
      <c r="B4835" t="str">
        <f>"1578728418316397"</f>
        <v>1578728418316397</v>
      </c>
      <c r="C4835" t="s">
        <v>40</v>
      </c>
      <c r="D4835">
        <v>5.9970980000000003</v>
      </c>
      <c r="E4835">
        <v>0.54710890000000001</v>
      </c>
      <c r="F4835" t="s">
        <v>41</v>
      </c>
      <c r="G4835">
        <v>-125.4132</v>
      </c>
      <c r="H4835">
        <v>0.88677299999999903</v>
      </c>
      <c r="I4835">
        <v>143.69290000000001</v>
      </c>
      <c r="J4835">
        <v>-125.8784</v>
      </c>
      <c r="K4835">
        <v>1.1054269999999999</v>
      </c>
      <c r="L4835">
        <v>143.8493</v>
      </c>
      <c r="M4835">
        <v>0.99945070000000003</v>
      </c>
      <c r="N4835">
        <v>0</v>
      </c>
      <c r="O4835">
        <v>-2.7299690000000001E-2</v>
      </c>
      <c r="P4835">
        <v>0.99627169999999998</v>
      </c>
      <c r="Q4835">
        <v>1.9659870000000002E-3</v>
      </c>
      <c r="R4835">
        <v>-8.6250160000000006E-2</v>
      </c>
      <c r="S4835">
        <v>2.9572750000000001</v>
      </c>
      <c r="T4835">
        <v>-0.9189273</v>
      </c>
      <c r="U4835">
        <v>-0.68470759999999997</v>
      </c>
      <c r="V4835">
        <v>5.9016560000000003E-2</v>
      </c>
      <c r="W4835">
        <v>2.0716439999999999E-2</v>
      </c>
      <c r="X4835">
        <v>0.99804199999999998</v>
      </c>
      <c r="Y4835">
        <v>0.1915326</v>
      </c>
      <c r="Z4835">
        <v>-2.0536700000000001E-2</v>
      </c>
      <c r="AA4835">
        <v>0.98127140000000002</v>
      </c>
      <c r="AB4835">
        <v>17</v>
      </c>
      <c r="AC4835">
        <v>0.46519999999999501</v>
      </c>
      <c r="AD4835">
        <v>-0.21865399999999999</v>
      </c>
      <c r="AE4835">
        <v>-0.15639999999998999</v>
      </c>
      <c r="AF4835">
        <v>0.119850965144901</v>
      </c>
      <c r="AG4835">
        <v>-0.21865399999999999</v>
      </c>
      <c r="AH4835">
        <v>0.39157505554348099</v>
      </c>
      <c r="AI4835">
        <v>118.09979151586001</v>
      </c>
      <c r="AJ4835">
        <v>72.982009610300096</v>
      </c>
      <c r="AK4835">
        <v>0.46422499898868502</v>
      </c>
      <c r="AL4835">
        <v>88.812950478954306</v>
      </c>
      <c r="AM4835">
        <v>86.6159070609894</v>
      </c>
      <c r="AN4835">
        <v>0.99999997950225294</v>
      </c>
    </row>
    <row r="4836" spans="1:40" x14ac:dyDescent="0.3">
      <c r="A4836" t="str">
        <f>"20200111154018352"</f>
        <v>20200111154018352</v>
      </c>
      <c r="B4836" t="str">
        <f>"1578728418345678"</f>
        <v>1578728418345678</v>
      </c>
      <c r="C4836" t="s">
        <v>40</v>
      </c>
      <c r="D4836">
        <v>6.0149220000000003</v>
      </c>
      <c r="E4836">
        <v>0.54639349999999998</v>
      </c>
      <c r="F4836" t="s">
        <v>41</v>
      </c>
      <c r="G4836">
        <v>-125.11709999999999</v>
      </c>
      <c r="H4836">
        <v>0.8654963</v>
      </c>
      <c r="I4836">
        <v>143.67609999999999</v>
      </c>
      <c r="J4836">
        <v>-125.627</v>
      </c>
      <c r="K4836">
        <v>1.105394</v>
      </c>
      <c r="L4836">
        <v>143.8424</v>
      </c>
      <c r="M4836">
        <v>0.99945479999999998</v>
      </c>
      <c r="N4836">
        <v>0</v>
      </c>
      <c r="O4836">
        <v>-2.7335539999999998E-2</v>
      </c>
      <c r="P4836">
        <v>0.99643329999999997</v>
      </c>
      <c r="Q4836">
        <v>3.5773699999999999E-3</v>
      </c>
      <c r="R4836">
        <v>-8.4311659999999997E-2</v>
      </c>
      <c r="S4836">
        <v>2.9548800000000002</v>
      </c>
      <c r="T4836">
        <v>-0.93117490000000003</v>
      </c>
      <c r="U4836">
        <v>-0.67185969999999995</v>
      </c>
      <c r="V4836">
        <v>5.7038779999999997E-2</v>
      </c>
      <c r="W4836">
        <v>2.2065580000000001E-2</v>
      </c>
      <c r="X4836">
        <v>0.99812809999999996</v>
      </c>
      <c r="Y4836">
        <v>0.1875877</v>
      </c>
      <c r="Z4836">
        <v>-2.0212649999999999E-2</v>
      </c>
      <c r="AA4836">
        <v>0.98203989999999997</v>
      </c>
      <c r="AB4836">
        <v>17</v>
      </c>
      <c r="AC4836">
        <v>0.50990000000001601</v>
      </c>
      <c r="AD4836">
        <v>-0.23989769999999999</v>
      </c>
      <c r="AE4836">
        <v>-0.166300000000006</v>
      </c>
      <c r="AF4836">
        <v>0.126906796443185</v>
      </c>
      <c r="AG4836">
        <v>-0.23989769999999999</v>
      </c>
      <c r="AH4836">
        <v>0.42852169155645098</v>
      </c>
      <c r="AI4836">
        <v>118.226090449804</v>
      </c>
      <c r="AJ4836">
        <v>73.503332609711606</v>
      </c>
      <c r="AK4836">
        <v>0.50723474011858105</v>
      </c>
      <c r="AL4836">
        <v>88.735632788356398</v>
      </c>
      <c r="AM4836">
        <v>86.729346803175105</v>
      </c>
      <c r="AN4836">
        <v>1.0000000081271101</v>
      </c>
    </row>
    <row r="4837" spans="1:40" x14ac:dyDescent="0.3">
      <c r="A4837" t="str">
        <f>"20200111154018378"</f>
        <v>20200111154018378</v>
      </c>
      <c r="B4837" t="str">
        <f>"1578728418375933"</f>
        <v>1578728418375933</v>
      </c>
      <c r="C4837" t="s">
        <v>40</v>
      </c>
      <c r="D4837">
        <v>5.9947629999999998</v>
      </c>
      <c r="E4837">
        <v>0.54555959999999903</v>
      </c>
      <c r="F4837" t="s">
        <v>41</v>
      </c>
      <c r="G4837">
        <v>-124.9534</v>
      </c>
      <c r="H4837">
        <v>0.89452019999999899</v>
      </c>
      <c r="I4837">
        <v>143.69139999999999</v>
      </c>
      <c r="J4837">
        <v>-125.4294</v>
      </c>
      <c r="K4837">
        <v>1.10537</v>
      </c>
      <c r="L4837">
        <v>143.83699999999999</v>
      </c>
      <c r="M4837">
        <v>0.99945799999999996</v>
      </c>
      <c r="N4837">
        <v>0</v>
      </c>
      <c r="O4837">
        <v>-2.736427E-2</v>
      </c>
      <c r="P4837">
        <v>0.99671949999999998</v>
      </c>
      <c r="Q4837">
        <v>4.1752200000000003E-3</v>
      </c>
      <c r="R4837">
        <v>-8.0828759999999999E-2</v>
      </c>
      <c r="S4837">
        <v>2.9579620000000002</v>
      </c>
      <c r="T4837">
        <v>-0.92597529999999995</v>
      </c>
      <c r="U4837">
        <v>-0.66299439999999998</v>
      </c>
      <c r="V4837">
        <v>5.3520810000000002E-2</v>
      </c>
      <c r="W4837">
        <v>2.245602E-2</v>
      </c>
      <c r="X4837">
        <v>0.99831420000000004</v>
      </c>
      <c r="Y4837">
        <v>0.18475610000000001</v>
      </c>
      <c r="Z4837">
        <v>-1.9654729999999999E-2</v>
      </c>
      <c r="AA4837">
        <v>0.98258789999999996</v>
      </c>
      <c r="AB4837">
        <v>17</v>
      </c>
      <c r="AC4837">
        <v>0.47599999999999898</v>
      </c>
      <c r="AD4837">
        <v>-0.2108498</v>
      </c>
      <c r="AE4837">
        <v>-0.14560000000003001</v>
      </c>
      <c r="AF4837">
        <v>0.11235783342007</v>
      </c>
      <c r="AG4837">
        <v>-0.2108498</v>
      </c>
      <c r="AH4837">
        <v>0.40681323804116298</v>
      </c>
      <c r="AI4837">
        <v>116.546336130567</v>
      </c>
      <c r="AJ4837">
        <v>74.5603686648018</v>
      </c>
      <c r="AK4837">
        <v>0.47178271644521702</v>
      </c>
      <c r="AL4837">
        <v>88.7132566636934</v>
      </c>
      <c r="AM4837">
        <v>86.931242990138898</v>
      </c>
      <c r="AN4837">
        <v>0.99999999592946798</v>
      </c>
    </row>
    <row r="4838" spans="1:40" x14ac:dyDescent="0.3">
      <c r="A4838" t="str">
        <f>"20200111154018408"</f>
        <v>20200111154018408</v>
      </c>
      <c r="B4838" t="str">
        <f>"1578728418396429"</f>
        <v>1578728418396429</v>
      </c>
      <c r="C4838" t="s">
        <v>40</v>
      </c>
      <c r="D4838">
        <v>5.9773480000000001</v>
      </c>
      <c r="E4838">
        <v>0.54504209999999997</v>
      </c>
      <c r="F4838" t="s">
        <v>41</v>
      </c>
      <c r="G4838">
        <v>-124.6644</v>
      </c>
      <c r="H4838">
        <v>0.86674499999999999</v>
      </c>
      <c r="I4838">
        <v>143.66929999999999</v>
      </c>
      <c r="J4838">
        <v>-125.2039</v>
      </c>
      <c r="K4838">
        <v>1.1053569999999999</v>
      </c>
      <c r="L4838">
        <v>143.83070000000001</v>
      </c>
      <c r="M4838">
        <v>0.99946109999999999</v>
      </c>
      <c r="N4838">
        <v>0</v>
      </c>
      <c r="O4838">
        <v>-2.7397000000000001E-2</v>
      </c>
      <c r="P4838">
        <v>0.99687490000000001</v>
      </c>
      <c r="Q4838">
        <v>4.6019629999999997E-3</v>
      </c>
      <c r="R4838">
        <v>-7.8863080000000002E-2</v>
      </c>
      <c r="S4838">
        <v>2.9611360000000002</v>
      </c>
      <c r="T4838">
        <v>-0.92360719999999996</v>
      </c>
      <c r="U4838">
        <v>-0.64877320000000005</v>
      </c>
      <c r="V4838">
        <v>5.1519049999999997E-2</v>
      </c>
      <c r="W4838">
        <v>2.265242E-2</v>
      </c>
      <c r="X4838">
        <v>0.9984151</v>
      </c>
      <c r="Y4838">
        <v>0.18024589999999999</v>
      </c>
      <c r="Z4838">
        <v>-1.890698E-2</v>
      </c>
      <c r="AA4838">
        <v>0.98343990000000003</v>
      </c>
      <c r="AB4838">
        <v>17</v>
      </c>
      <c r="AC4838">
        <v>0.53950000000000298</v>
      </c>
      <c r="AD4838">
        <v>-0.23861199999999899</v>
      </c>
      <c r="AE4838">
        <v>-0.161400000000014</v>
      </c>
      <c r="AF4838">
        <v>0.12424811701932099</v>
      </c>
      <c r="AG4838">
        <v>-0.23861199999999899</v>
      </c>
      <c r="AH4838">
        <v>0.460957256169091</v>
      </c>
      <c r="AI4838">
        <v>116.55617782877999</v>
      </c>
      <c r="AJ4838">
        <v>74.914796188050204</v>
      </c>
      <c r="AK4838">
        <v>0.53371797153720002</v>
      </c>
      <c r="AL4838">
        <v>88.702000951301599</v>
      </c>
      <c r="AM4838">
        <v>87.046109960048398</v>
      </c>
      <c r="AN4838">
        <v>1.0000000282763799</v>
      </c>
    </row>
    <row r="4839" spans="1:40" x14ac:dyDescent="0.3">
      <c r="A4839" t="str">
        <f>"20200111154018454"</f>
        <v>20200111154018454</v>
      </c>
      <c r="B4839" t="str">
        <f>"1578728418446205"</f>
        <v>1578728418446205</v>
      </c>
      <c r="C4839" t="s">
        <v>40</v>
      </c>
      <c r="D4839">
        <v>5.982742</v>
      </c>
      <c r="E4839">
        <v>0.54436589999999996</v>
      </c>
      <c r="F4839" t="s">
        <v>41</v>
      </c>
      <c r="G4839">
        <v>-124.50620000000001</v>
      </c>
      <c r="H4839">
        <v>0.88783349999999905</v>
      </c>
      <c r="I4839">
        <v>143.68129999999999</v>
      </c>
      <c r="J4839">
        <v>-124.8686</v>
      </c>
      <c r="K4839">
        <v>1.105356</v>
      </c>
      <c r="L4839">
        <v>143.82149999999999</v>
      </c>
      <c r="M4839">
        <v>0.99946679999999999</v>
      </c>
      <c r="N4839">
        <v>0</v>
      </c>
      <c r="O4839">
        <v>-2.7445150000000001E-2</v>
      </c>
      <c r="P4839">
        <v>0.99653769999999997</v>
      </c>
      <c r="Q4839">
        <v>7.6335589999999998E-3</v>
      </c>
      <c r="R4839">
        <v>-8.2791409999999996E-2</v>
      </c>
      <c r="S4839">
        <v>2.96347</v>
      </c>
      <c r="T4839">
        <v>-0.9239349</v>
      </c>
      <c r="U4839">
        <v>-0.63442989999999999</v>
      </c>
      <c r="V4839">
        <v>5.5407360000000003E-2</v>
      </c>
      <c r="W4839">
        <v>2.5296200000000001E-2</v>
      </c>
      <c r="X4839">
        <v>0.99814329999999996</v>
      </c>
      <c r="Y4839">
        <v>0.17569360000000001</v>
      </c>
      <c r="Z4839">
        <v>-1.8207910000000001E-2</v>
      </c>
      <c r="AA4839">
        <v>0.9842765</v>
      </c>
      <c r="AB4839">
        <v>17</v>
      </c>
      <c r="AC4839">
        <v>0.36239999999999301</v>
      </c>
      <c r="AD4839">
        <v>-0.21752250000000001</v>
      </c>
      <c r="AE4839">
        <v>-0.140199999999993</v>
      </c>
      <c r="AF4839">
        <v>9.9133719917825797E-2</v>
      </c>
      <c r="AG4839">
        <v>-0.21752250000000001</v>
      </c>
      <c r="AH4839">
        <v>0.27875707877359102</v>
      </c>
      <c r="AI4839">
        <v>126.32412982523201</v>
      </c>
      <c r="AJ4839">
        <v>70.423208040096995</v>
      </c>
      <c r="AK4839">
        <v>0.36721797531899403</v>
      </c>
      <c r="AL4839">
        <v>88.550479825920902</v>
      </c>
      <c r="AM4839">
        <v>86.822747651639602</v>
      </c>
      <c r="AN4839">
        <v>0.999999960305748</v>
      </c>
    </row>
    <row r="4840" spans="1:40" x14ac:dyDescent="0.3">
      <c r="A4840" t="str">
        <f>"20200111154018497"</f>
        <v>20200111154018497</v>
      </c>
      <c r="B4840" t="str">
        <f>"1578728418486221"</f>
        <v>1578728418486221</v>
      </c>
      <c r="C4840" t="s">
        <v>40</v>
      </c>
      <c r="D4840">
        <v>5.9867889999999999</v>
      </c>
      <c r="E4840">
        <v>0.5438849</v>
      </c>
      <c r="F4840" t="s">
        <v>41</v>
      </c>
      <c r="G4840">
        <v>-124.2042</v>
      </c>
      <c r="H4840">
        <v>0.90012549999999902</v>
      </c>
      <c r="I4840">
        <v>143.67840000000001</v>
      </c>
      <c r="J4840">
        <v>-124.5458</v>
      </c>
      <c r="K4840">
        <v>1.105318</v>
      </c>
      <c r="L4840">
        <v>143.8125</v>
      </c>
      <c r="M4840">
        <v>0.99947249999999999</v>
      </c>
      <c r="N4840">
        <v>0</v>
      </c>
      <c r="O4840">
        <v>-2.7491560000000002E-2</v>
      </c>
      <c r="P4840">
        <v>0.99649469999999996</v>
      </c>
      <c r="Q4840">
        <v>1.103264E-2</v>
      </c>
      <c r="R4840">
        <v>-8.2927749999999995E-2</v>
      </c>
      <c r="S4840">
        <v>2.964493</v>
      </c>
      <c r="T4840">
        <v>-0.91561709999999996</v>
      </c>
      <c r="U4840">
        <v>-0.63754270000000002</v>
      </c>
      <c r="V4840">
        <v>5.5499010000000001E-2</v>
      </c>
      <c r="W4840">
        <v>2.8295379999999998E-2</v>
      </c>
      <c r="X4840">
        <v>0.99805770000000005</v>
      </c>
      <c r="Y4840">
        <v>0.17665020000000001</v>
      </c>
      <c r="Z4840">
        <v>-1.8172520000000001E-2</v>
      </c>
      <c r="AA4840">
        <v>0.98410589999999998</v>
      </c>
      <c r="AB4840">
        <v>17</v>
      </c>
      <c r="AC4840">
        <v>0.34159999999999902</v>
      </c>
      <c r="AD4840">
        <v>-0.2051925</v>
      </c>
      <c r="AE4840">
        <v>-0.13409999999998901</v>
      </c>
      <c r="AF4840">
        <v>9.4966635810539601E-2</v>
      </c>
      <c r="AG4840">
        <v>-0.2051925</v>
      </c>
      <c r="AH4840">
        <v>0.26294996615536498</v>
      </c>
      <c r="AI4840">
        <v>126.276743783409</v>
      </c>
      <c r="AJ4840">
        <v>70.142379759291899</v>
      </c>
      <c r="AK4840">
        <v>0.34679289017298098</v>
      </c>
      <c r="AL4840">
        <v>88.378577689986798</v>
      </c>
      <c r="AM4840">
        <v>86.817230522645701</v>
      </c>
      <c r="AN4840">
        <v>0.99999997058480605</v>
      </c>
    </row>
    <row r="4841" spans="1:40" x14ac:dyDescent="0.3">
      <c r="A4841" t="str">
        <f>"20200111154018532"</f>
        <v>20200111154018532</v>
      </c>
      <c r="B4841" t="str">
        <f>"1578728418526237"</f>
        <v>1578728418526237</v>
      </c>
      <c r="C4841" t="s">
        <v>40</v>
      </c>
      <c r="D4841">
        <v>6.0129669999999997</v>
      </c>
      <c r="E4841">
        <v>0.54330279999999997</v>
      </c>
      <c r="F4841" t="s">
        <v>41</v>
      </c>
      <c r="G4841">
        <v>-123.7756</v>
      </c>
      <c r="H4841">
        <v>0.87070689999999995</v>
      </c>
      <c r="I4841">
        <v>143.6472</v>
      </c>
      <c r="J4841">
        <v>-124.29300000000001</v>
      </c>
      <c r="K4841">
        <v>1.1052729999999999</v>
      </c>
      <c r="L4841">
        <v>143.8056</v>
      </c>
      <c r="M4841">
        <v>0.99947680000000005</v>
      </c>
      <c r="N4841">
        <v>0</v>
      </c>
      <c r="O4841">
        <v>-2.7528299999999999E-2</v>
      </c>
      <c r="P4841">
        <v>0.99663840000000004</v>
      </c>
      <c r="Q4841">
        <v>1.018122E-2</v>
      </c>
      <c r="R4841">
        <v>-8.1292379999999997E-2</v>
      </c>
      <c r="S4841">
        <v>2.967606</v>
      </c>
      <c r="T4841">
        <v>-0.90397810000000001</v>
      </c>
      <c r="U4841">
        <v>-0.63667299999999905</v>
      </c>
      <c r="V4841">
        <v>5.3823759999999998E-2</v>
      </c>
      <c r="W4841">
        <v>2.7137109999999999E-2</v>
      </c>
      <c r="X4841">
        <v>0.9981816</v>
      </c>
      <c r="Y4841">
        <v>0.176318899999999</v>
      </c>
      <c r="Z4841">
        <v>-1.7874589999999999E-2</v>
      </c>
      <c r="AA4841">
        <v>0.98417080000000001</v>
      </c>
      <c r="AB4841">
        <v>16</v>
      </c>
      <c r="AC4841">
        <v>0.51739999999999498</v>
      </c>
      <c r="AD4841">
        <v>-0.2345661</v>
      </c>
      <c r="AE4841">
        <v>-0.15840000000000001</v>
      </c>
      <c r="AF4841">
        <v>0.12130021351773</v>
      </c>
      <c r="AG4841">
        <v>-0.2345661</v>
      </c>
      <c r="AH4841">
        <v>0.43905790871751399</v>
      </c>
      <c r="AI4841">
        <v>117.24653689389</v>
      </c>
      <c r="AJ4841">
        <v>74.555916800873604</v>
      </c>
      <c r="AK4841">
        <v>0.51235421758394195</v>
      </c>
      <c r="AL4841">
        <v>88.444967171536305</v>
      </c>
      <c r="AM4841">
        <v>86.913496865452203</v>
      </c>
      <c r="AN4841">
        <v>0.99999996322912399</v>
      </c>
    </row>
    <row r="4842" spans="1:40" x14ac:dyDescent="0.3">
      <c r="A4842" t="str">
        <f>"20200111154018554"</f>
        <v>20200111154018554</v>
      </c>
      <c r="B4842" t="str">
        <f>"1578728418545757"</f>
        <v>1578728418545757</v>
      </c>
      <c r="C4842" t="s">
        <v>40</v>
      </c>
      <c r="D4842">
        <v>6.0153569999999998</v>
      </c>
      <c r="E4842">
        <v>0.54302600000000001</v>
      </c>
      <c r="F4842" t="s">
        <v>41</v>
      </c>
      <c r="G4842">
        <v>-123.6178</v>
      </c>
      <c r="H4842">
        <v>0.89912800000000004</v>
      </c>
      <c r="I4842">
        <v>143.66239999999999</v>
      </c>
      <c r="J4842">
        <v>-124.1313</v>
      </c>
      <c r="K4842">
        <v>1.1052299999999999</v>
      </c>
      <c r="L4842">
        <v>143.80109999999999</v>
      </c>
      <c r="M4842">
        <v>0.99947920000000001</v>
      </c>
      <c r="N4842">
        <v>0</v>
      </c>
      <c r="O4842">
        <v>-2.7550390000000001E-2</v>
      </c>
      <c r="P4842">
        <v>0.99687250000000005</v>
      </c>
      <c r="Q4842">
        <v>9.4003530000000002E-3</v>
      </c>
      <c r="R4842">
        <v>-7.8467930000000005E-2</v>
      </c>
      <c r="S4842">
        <v>2.9680629999999999</v>
      </c>
      <c r="T4842">
        <v>-0.90612969999999904</v>
      </c>
      <c r="U4842">
        <v>-0.62905880000000003</v>
      </c>
      <c r="V4842">
        <v>5.0971570000000001E-2</v>
      </c>
      <c r="W4842">
        <v>2.6177579999999999E-2</v>
      </c>
      <c r="X4842">
        <v>0.99835689999999999</v>
      </c>
      <c r="Y4842">
        <v>0.17392349999999901</v>
      </c>
      <c r="Z4842">
        <v>-1.75567999999999E-2</v>
      </c>
      <c r="AA4842">
        <v>0.98460259999999999</v>
      </c>
      <c r="AB4842">
        <v>16</v>
      </c>
      <c r="AC4842">
        <v>0.51349999999999296</v>
      </c>
      <c r="AD4842">
        <v>-0.20610199999999901</v>
      </c>
      <c r="AE4842">
        <v>-0.13869999999999999</v>
      </c>
      <c r="AF4842">
        <v>0.108245994358801</v>
      </c>
      <c r="AG4842">
        <v>-0.20610199999999901</v>
      </c>
      <c r="AH4842">
        <v>0.44962014749317503</v>
      </c>
      <c r="AI4842">
        <v>114.020525707134</v>
      </c>
      <c r="AJ4842">
        <v>76.463648941072705</v>
      </c>
      <c r="AK4842">
        <v>0.50631364462209605</v>
      </c>
      <c r="AL4842">
        <v>88.499963694090098</v>
      </c>
      <c r="AM4842">
        <v>87.077275418804703</v>
      </c>
      <c r="AN4842">
        <v>0.99999993321026304</v>
      </c>
    </row>
    <row r="4843" spans="1:40" x14ac:dyDescent="0.3">
      <c r="A4843" t="str">
        <f>"20200111154018587"</f>
        <v>20200111154018587</v>
      </c>
      <c r="B4843" t="str">
        <f>"1578728418576013"</f>
        <v>1578728418576013</v>
      </c>
      <c r="C4843" t="s">
        <v>40</v>
      </c>
      <c r="D4843">
        <v>5.9980909999999996</v>
      </c>
      <c r="E4843">
        <v>0.54266479999999995</v>
      </c>
      <c r="F4843" t="s">
        <v>41</v>
      </c>
      <c r="G4843">
        <v>-123.4709</v>
      </c>
      <c r="H4843">
        <v>0.90299399999999996</v>
      </c>
      <c r="I4843">
        <v>143.66370000000001</v>
      </c>
      <c r="J4843">
        <v>-123.8912</v>
      </c>
      <c r="K4843">
        <v>1.1051500000000001</v>
      </c>
      <c r="L4843">
        <v>143.7945</v>
      </c>
      <c r="M4843">
        <v>0.99948269999999995</v>
      </c>
      <c r="N4843">
        <v>0</v>
      </c>
      <c r="O4843">
        <v>-2.7579699999999999E-2</v>
      </c>
      <c r="P4843">
        <v>0.99756599999999995</v>
      </c>
      <c r="Q4843">
        <v>5.642233E-3</v>
      </c>
      <c r="R4843">
        <v>-6.9499290000000005E-2</v>
      </c>
      <c r="S4843">
        <v>2.9694060000000002</v>
      </c>
      <c r="T4843">
        <v>-0.90935109999999997</v>
      </c>
      <c r="U4843">
        <v>-0.61738590000000004</v>
      </c>
      <c r="V4843">
        <v>4.1957889999999998E-2</v>
      </c>
      <c r="W4843">
        <v>2.216808E-2</v>
      </c>
      <c r="X4843">
        <v>0.99887340000000002</v>
      </c>
      <c r="Y4843">
        <v>0.1702147</v>
      </c>
      <c r="Z4843">
        <v>-1.7057280000000001E-2</v>
      </c>
      <c r="AA4843">
        <v>0.98525940000000001</v>
      </c>
      <c r="AB4843">
        <v>16</v>
      </c>
      <c r="AC4843">
        <v>0.42029999999999701</v>
      </c>
      <c r="AD4843">
        <v>-0.202156</v>
      </c>
      <c r="AE4843">
        <v>-0.13079999999999301</v>
      </c>
      <c r="AF4843">
        <v>9.8402360634744696E-2</v>
      </c>
      <c r="AG4843">
        <v>-0.202156</v>
      </c>
      <c r="AH4843">
        <v>0.34994032504865502</v>
      </c>
      <c r="AI4843">
        <v>119.079249785133</v>
      </c>
      <c r="AJ4843">
        <v>74.294147299397494</v>
      </c>
      <c r="AK4843">
        <v>0.41594266913800598</v>
      </c>
      <c r="AL4843">
        <v>88.729758496815805</v>
      </c>
      <c r="AM4843">
        <v>87.594692580232007</v>
      </c>
      <c r="AN4843">
        <v>0.99999997876584901</v>
      </c>
    </row>
    <row r="4844" spans="1:40" x14ac:dyDescent="0.3">
      <c r="A4844" t="str">
        <f>"20200111154018632"</f>
        <v>20200111154018632</v>
      </c>
      <c r="B4844" t="str">
        <f>"1578728418625789"</f>
        <v>1578728418625789</v>
      </c>
      <c r="C4844" t="s">
        <v>40</v>
      </c>
      <c r="D4844">
        <v>5.9904000000000002</v>
      </c>
      <c r="E4844">
        <v>0.54233880000000001</v>
      </c>
      <c r="F4844" t="s">
        <v>41</v>
      </c>
      <c r="G4844">
        <v>-123.1884</v>
      </c>
      <c r="H4844">
        <v>0.88758239999999999</v>
      </c>
      <c r="I4844">
        <v>143.65459999999999</v>
      </c>
      <c r="J4844">
        <v>-123.56959999999999</v>
      </c>
      <c r="K4844">
        <v>1.1050519999999999</v>
      </c>
      <c r="L4844">
        <v>143.78559999999999</v>
      </c>
      <c r="M4844">
        <v>0.99948749999999997</v>
      </c>
      <c r="N4844">
        <v>0</v>
      </c>
      <c r="O4844">
        <v>-2.761481E-2</v>
      </c>
      <c r="P4844">
        <v>0.99819429999999998</v>
      </c>
      <c r="Q4844">
        <v>-1.79912E-3</v>
      </c>
      <c r="R4844">
        <v>-6.0044319999999998E-2</v>
      </c>
      <c r="S4844">
        <v>2.9713440000000002</v>
      </c>
      <c r="T4844">
        <v>-0.9198037</v>
      </c>
      <c r="U4844">
        <v>-0.59101870000000001</v>
      </c>
      <c r="V4844">
        <v>3.2453500000000003E-2</v>
      </c>
      <c r="W4844">
        <v>1.4390750000000001E-2</v>
      </c>
      <c r="X4844">
        <v>0.99936959999999997</v>
      </c>
      <c r="Y4844">
        <v>0.16187889999999999</v>
      </c>
      <c r="Z4844">
        <v>-1.5988470000000001E-2</v>
      </c>
      <c r="AA4844">
        <v>0.98668109999999998</v>
      </c>
      <c r="AB4844">
        <v>16</v>
      </c>
      <c r="AC4844">
        <v>0.38119999999999199</v>
      </c>
      <c r="AD4844">
        <v>-0.21746960000000001</v>
      </c>
      <c r="AE4844">
        <v>-0.13100000000000001</v>
      </c>
      <c r="AF4844">
        <v>9.3272223119355999E-2</v>
      </c>
      <c r="AG4844">
        <v>-0.21746960000000001</v>
      </c>
      <c r="AH4844">
        <v>0.29794641840241098</v>
      </c>
      <c r="AI4844">
        <v>124.859562312465</v>
      </c>
      <c r="AJ4844">
        <v>72.6172538410177</v>
      </c>
      <c r="AK4844">
        <v>0.38047970086275501</v>
      </c>
      <c r="AL4844">
        <v>89.175442266511894</v>
      </c>
      <c r="AM4844">
        <v>88.140032115192795</v>
      </c>
      <c r="AN4844">
        <v>0.99999996037598504</v>
      </c>
    </row>
    <row r="4845" spans="1:40" x14ac:dyDescent="0.3">
      <c r="A4845" t="str">
        <f>"20200111154018666"</f>
        <v>20200111154018666</v>
      </c>
      <c r="B4845" t="str">
        <f>"1578728418656046"</f>
        <v>1578728418656046</v>
      </c>
      <c r="C4845" t="s">
        <v>40</v>
      </c>
      <c r="D4845">
        <v>6.0239900000000004</v>
      </c>
      <c r="E4845">
        <v>0.54232119999999995</v>
      </c>
      <c r="F4845" t="s">
        <v>41</v>
      </c>
      <c r="G4845">
        <v>-122.89919999999999</v>
      </c>
      <c r="H4845">
        <v>0.89227909999999899</v>
      </c>
      <c r="I4845">
        <v>143.6593</v>
      </c>
      <c r="J4845">
        <v>-123.3244</v>
      </c>
      <c r="K4845">
        <v>1.105016</v>
      </c>
      <c r="L4845">
        <v>143.77879999999999</v>
      </c>
      <c r="M4845">
        <v>0.99949049999999995</v>
      </c>
      <c r="N4845">
        <v>0</v>
      </c>
      <c r="O4845">
        <v>-2.7638240000000001E-2</v>
      </c>
      <c r="P4845">
        <v>0.99833720000000004</v>
      </c>
      <c r="Q4845">
        <v>-4.9893200000000002E-3</v>
      </c>
      <c r="R4845">
        <v>-5.7429910000000001E-2</v>
      </c>
      <c r="S4845">
        <v>2.970062</v>
      </c>
      <c r="T4845">
        <v>-0.9426544</v>
      </c>
      <c r="U4845">
        <v>-0.55949399999999905</v>
      </c>
      <c r="V4845">
        <v>2.9812600000000002E-2</v>
      </c>
      <c r="W4845">
        <v>1.096829E-2</v>
      </c>
      <c r="X4845">
        <v>0.99949529999999998</v>
      </c>
      <c r="Y4845">
        <v>0.15198689999999901</v>
      </c>
      <c r="Z4845">
        <v>-1.4862500000000001E-2</v>
      </c>
      <c r="AA4845">
        <v>0.9882708</v>
      </c>
      <c r="AB4845">
        <v>16</v>
      </c>
      <c r="AC4845">
        <v>0.42520000000000302</v>
      </c>
      <c r="AD4845">
        <v>-0.21273690000000001</v>
      </c>
      <c r="AE4845">
        <v>-0.11949999999998701</v>
      </c>
      <c r="AF4845">
        <v>8.7419866284110095E-2</v>
      </c>
      <c r="AG4845">
        <v>-0.21273690000000001</v>
      </c>
      <c r="AH4845">
        <v>0.347679847448706</v>
      </c>
      <c r="AI4845">
        <v>120.685125101328</v>
      </c>
      <c r="AJ4845">
        <v>75.886247201483499</v>
      </c>
      <c r="AK4845">
        <v>0.41686988133552799</v>
      </c>
      <c r="AL4845">
        <v>89.371550657376304</v>
      </c>
      <c r="AM4845">
        <v>88.291507867418005</v>
      </c>
      <c r="AN4845">
        <v>0.99999997461318602</v>
      </c>
    </row>
    <row r="4846" spans="1:40" x14ac:dyDescent="0.3">
      <c r="A4846" t="str">
        <f>"20200111154018693"</f>
        <v>20200111154018693</v>
      </c>
      <c r="B4846" t="str">
        <f>"1578728418686301"</f>
        <v>1578728418686301</v>
      </c>
      <c r="C4846" t="s">
        <v>40</v>
      </c>
      <c r="D4846">
        <v>6.0448579999999996</v>
      </c>
      <c r="E4846">
        <v>0.5424736</v>
      </c>
      <c r="F4846" t="s">
        <v>41</v>
      </c>
      <c r="G4846">
        <v>-122.6194</v>
      </c>
      <c r="H4846">
        <v>0.87882850000000001</v>
      </c>
      <c r="I4846">
        <v>143.64789999999999</v>
      </c>
      <c r="J4846">
        <v>-123.1369</v>
      </c>
      <c r="K4846">
        <v>1.105016</v>
      </c>
      <c r="L4846">
        <v>143.77359999999999</v>
      </c>
      <c r="M4846">
        <v>0.99949290000000002</v>
      </c>
      <c r="N4846">
        <v>0</v>
      </c>
      <c r="O4846">
        <v>-2.7655490000000001E-2</v>
      </c>
      <c r="P4846">
        <v>0.99844580000000005</v>
      </c>
      <c r="Q4846">
        <v>-5.882371E-3</v>
      </c>
      <c r="R4846">
        <v>-5.5422800000000001E-2</v>
      </c>
      <c r="S4846">
        <v>2.9685670000000002</v>
      </c>
      <c r="T4846">
        <v>-0.95234319999999895</v>
      </c>
      <c r="U4846">
        <v>-0.55073549999999905</v>
      </c>
      <c r="V4846">
        <v>2.7786109999999999E-2</v>
      </c>
      <c r="W4846">
        <v>9.9021419999999992E-3</v>
      </c>
      <c r="X4846">
        <v>0.99956480000000003</v>
      </c>
      <c r="Y4846">
        <v>0.1492473</v>
      </c>
      <c r="Z4846">
        <v>-1.45882999999999E-2</v>
      </c>
      <c r="AA4846">
        <v>0.98869229999999997</v>
      </c>
      <c r="AB4846">
        <v>16</v>
      </c>
      <c r="AC4846">
        <v>0.51749999999999796</v>
      </c>
      <c r="AD4846">
        <v>-0.22618750000000001</v>
      </c>
      <c r="AE4846">
        <v>-0.12569999999999401</v>
      </c>
      <c r="AF4846">
        <v>9.4323138450817398E-2</v>
      </c>
      <c r="AG4846">
        <v>-0.22618750000000001</v>
      </c>
      <c r="AH4846">
        <v>0.44119082720534702</v>
      </c>
      <c r="AI4846">
        <v>116.626690064329</v>
      </c>
      <c r="AJ4846">
        <v>77.932282916719799</v>
      </c>
      <c r="AK4846">
        <v>0.50468503605080295</v>
      </c>
      <c r="AL4846">
        <v>89.432639757552806</v>
      </c>
      <c r="AM4846">
        <v>88.407690079072594</v>
      </c>
      <c r="AN4846">
        <v>0.99999995486207904</v>
      </c>
    </row>
    <row r="4847" spans="1:40" x14ac:dyDescent="0.3">
      <c r="A4847" t="str">
        <f>"20200111154018721"</f>
        <v>20200111154018721</v>
      </c>
      <c r="B4847" t="str">
        <f>"1578728418715580"</f>
        <v>1578728418715580</v>
      </c>
      <c r="C4847" t="s">
        <v>40</v>
      </c>
      <c r="D4847">
        <v>5.9942380000000002</v>
      </c>
      <c r="E4847">
        <v>0.54266890000000001</v>
      </c>
      <c r="F4847" t="s">
        <v>41</v>
      </c>
      <c r="G4847">
        <v>-122.47199999999999</v>
      </c>
      <c r="H4847">
        <v>0.89116600000000001</v>
      </c>
      <c r="I4847">
        <v>143.6516</v>
      </c>
      <c r="J4847">
        <v>-122.9345</v>
      </c>
      <c r="K4847">
        <v>1.105075</v>
      </c>
      <c r="L4847">
        <v>143.768</v>
      </c>
      <c r="M4847">
        <v>0.99949509999999997</v>
      </c>
      <c r="N4847">
        <v>0</v>
      </c>
      <c r="O4847">
        <v>-2.7674359999999999E-2</v>
      </c>
      <c r="P4847">
        <v>0.99830339999999995</v>
      </c>
      <c r="Q4847">
        <v>5.7073829999999999E-3</v>
      </c>
      <c r="R4847">
        <v>-5.7945080000000003E-2</v>
      </c>
      <c r="S4847">
        <v>2.9688110000000001</v>
      </c>
      <c r="T4847">
        <v>-0.9548297</v>
      </c>
      <c r="U4847">
        <v>-0.54452509999999998</v>
      </c>
      <c r="V4847">
        <v>3.0293400000000002E-2</v>
      </c>
      <c r="W4847">
        <v>2.1306160000000001E-2</v>
      </c>
      <c r="X4847">
        <v>0.99931400000000004</v>
      </c>
      <c r="Y4847">
        <v>0.14727860000000001</v>
      </c>
      <c r="Z4847">
        <v>-1.431372E-2</v>
      </c>
      <c r="AA4847">
        <v>0.98899139999999996</v>
      </c>
      <c r="AB4847">
        <v>16</v>
      </c>
      <c r="AC4847">
        <v>0.46249999999999097</v>
      </c>
      <c r="AD4847">
        <v>-0.21390899999999999</v>
      </c>
      <c r="AE4847">
        <v>-0.11639999999999801</v>
      </c>
      <c r="AF4847">
        <v>8.6211356640727405E-2</v>
      </c>
      <c r="AG4847">
        <v>-0.21390899999999999</v>
      </c>
      <c r="AH4847">
        <v>0.38757601439242101</v>
      </c>
      <c r="AI4847">
        <v>118.313464508446</v>
      </c>
      <c r="AJ4847">
        <v>77.459450466236703</v>
      </c>
      <c r="AK4847">
        <v>0.45100401908092702</v>
      </c>
      <c r="AL4847">
        <v>88.779154643926702</v>
      </c>
      <c r="AM4847">
        <v>88.263656277338498</v>
      </c>
      <c r="AN4847">
        <v>1.00000005656675</v>
      </c>
    </row>
    <row r="4848" spans="1:40" x14ac:dyDescent="0.3">
      <c r="A4848" t="str">
        <f>"20200111154018758"</f>
        <v>20200111154018758</v>
      </c>
      <c r="B4848" t="str">
        <f>"1578728418745838"</f>
        <v>1578728418745838</v>
      </c>
      <c r="C4848" t="s">
        <v>40</v>
      </c>
      <c r="D4848">
        <v>6.0187229999999996</v>
      </c>
      <c r="E4848">
        <v>0.54290719999999904</v>
      </c>
      <c r="F4848" t="s">
        <v>41</v>
      </c>
      <c r="G4848">
        <v>-122.1948</v>
      </c>
      <c r="H4848">
        <v>0.87651440000000003</v>
      </c>
      <c r="I4848">
        <v>143.6311</v>
      </c>
      <c r="J4848">
        <v>-122.67789999999999</v>
      </c>
      <c r="K4848">
        <v>1.1050690000000001</v>
      </c>
      <c r="L4848">
        <v>143.76089999999999</v>
      </c>
      <c r="M4848">
        <v>0.99949759999999999</v>
      </c>
      <c r="N4848">
        <v>0</v>
      </c>
      <c r="O4848">
        <v>-2.769978E-2</v>
      </c>
      <c r="P4848">
        <v>0.99825850000000005</v>
      </c>
      <c r="Q4848">
        <v>8.8834580000000003E-3</v>
      </c>
      <c r="R4848">
        <v>-5.8316560000000003E-2</v>
      </c>
      <c r="S4848">
        <v>2.9783780000000002</v>
      </c>
      <c r="T4848">
        <v>-0.92028829999999995</v>
      </c>
      <c r="U4848">
        <v>-0.55105590000000004</v>
      </c>
      <c r="V4848">
        <v>3.0640899999999999E-2</v>
      </c>
      <c r="W4848">
        <v>2.4280369999999999E-2</v>
      </c>
      <c r="X4848">
        <v>0.99923550000000005</v>
      </c>
      <c r="Y4848">
        <v>0.14914569999999999</v>
      </c>
      <c r="Z4848">
        <v>-1.404682E-2</v>
      </c>
      <c r="AA4848">
        <v>0.98871549999999997</v>
      </c>
      <c r="AB4848">
        <v>16</v>
      </c>
      <c r="AC4848">
        <v>0.48309999999999298</v>
      </c>
      <c r="AD4848">
        <v>-0.2285546</v>
      </c>
      <c r="AE4848">
        <v>-0.12979999999998801</v>
      </c>
      <c r="AF4848">
        <v>9.6270091144418396E-2</v>
      </c>
      <c r="AG4848">
        <v>-0.2285546</v>
      </c>
      <c r="AH4848">
        <v>0.40248930339861499</v>
      </c>
      <c r="AI4848">
        <v>118.910747651318</v>
      </c>
      <c r="AJ4848">
        <v>76.548335214066299</v>
      </c>
      <c r="AK4848">
        <v>0.47276080101930701</v>
      </c>
      <c r="AL4848">
        <v>88.608700537505499</v>
      </c>
      <c r="AM4848">
        <v>88.243612944258203</v>
      </c>
      <c r="AN4848">
        <v>0.99999999279019802</v>
      </c>
    </row>
    <row r="4849" spans="1:40" x14ac:dyDescent="0.3">
      <c r="A4849" t="str">
        <f>"20200111154018784"</f>
        <v>20200111154018784</v>
      </c>
      <c r="B4849" t="str">
        <f>"1578728418776094"</f>
        <v>1578728418776094</v>
      </c>
      <c r="C4849" t="s">
        <v>40</v>
      </c>
      <c r="D4849">
        <v>6.2373830000000003</v>
      </c>
      <c r="E4849">
        <v>0.54305230000000004</v>
      </c>
      <c r="F4849" t="s">
        <v>41</v>
      </c>
      <c r="G4849">
        <v>-121.9149</v>
      </c>
      <c r="H4849">
        <v>0.87232949999999998</v>
      </c>
      <c r="I4849">
        <v>143.61840000000001</v>
      </c>
      <c r="J4849">
        <v>-122.4854</v>
      </c>
      <c r="K4849">
        <v>1.1050409999999999</v>
      </c>
      <c r="L4849">
        <v>143.75550000000001</v>
      </c>
      <c r="M4849">
        <v>0.99949909999999997</v>
      </c>
      <c r="N4849">
        <v>0</v>
      </c>
      <c r="O4849">
        <v>-2.7719750000000001E-2</v>
      </c>
      <c r="P4849">
        <v>0.99826689999999996</v>
      </c>
      <c r="Q4849">
        <v>7.9235299999999998E-3</v>
      </c>
      <c r="R4849">
        <v>-5.8312509999999998E-2</v>
      </c>
      <c r="S4849">
        <v>2.9808349999999999</v>
      </c>
      <c r="T4849">
        <v>-0.9091979</v>
      </c>
      <c r="U4849">
        <v>-0.55616759999999998</v>
      </c>
      <c r="V4849">
        <v>3.0616460000000002E-2</v>
      </c>
      <c r="W4849">
        <v>2.3186809999999999E-2</v>
      </c>
      <c r="X4849">
        <v>0.99926219999999999</v>
      </c>
      <c r="Y4849">
        <v>0.15069089999999999</v>
      </c>
      <c r="Z4849">
        <v>-1.409472E-2</v>
      </c>
      <c r="AA4849">
        <v>0.98848040000000004</v>
      </c>
      <c r="AB4849">
        <v>16</v>
      </c>
      <c r="AC4849">
        <v>0.57049999999999501</v>
      </c>
      <c r="AD4849">
        <v>-0.23271149999999999</v>
      </c>
      <c r="AE4849">
        <v>-0.137100000000003</v>
      </c>
      <c r="AF4849">
        <v>0.104753208413236</v>
      </c>
      <c r="AG4849">
        <v>-0.23271149999999999</v>
      </c>
      <c r="AH4849">
        <v>0.49605062598676097</v>
      </c>
      <c r="AI4849">
        <v>114.65538608872301</v>
      </c>
      <c r="AJ4849">
        <v>78.075788364651103</v>
      </c>
      <c r="AK4849">
        <v>0.55784773948361099</v>
      </c>
      <c r="AL4849">
        <v>88.6713745376356</v>
      </c>
      <c r="AM4849">
        <v>88.245059872457304</v>
      </c>
      <c r="AN4849">
        <v>0.99999997006487296</v>
      </c>
    </row>
    <row r="4850" spans="1:40" x14ac:dyDescent="0.3">
      <c r="A4850" t="str">
        <f>"20200111154018811"</f>
        <v>20200111154018811</v>
      </c>
      <c r="B4850" t="str">
        <f>"1578728418806350"</f>
        <v>1578728418806350</v>
      </c>
      <c r="C4850" t="s">
        <v>40</v>
      </c>
      <c r="D4850">
        <v>6.0029059999999896</v>
      </c>
      <c r="E4850">
        <v>0.543261199999999</v>
      </c>
      <c r="F4850" t="s">
        <v>41</v>
      </c>
      <c r="G4850">
        <v>-121.7688</v>
      </c>
      <c r="H4850">
        <v>0.88625540000000003</v>
      </c>
      <c r="I4850">
        <v>143.6207</v>
      </c>
      <c r="J4850">
        <v>-122.3036</v>
      </c>
      <c r="K4850">
        <v>1.1049450000000001</v>
      </c>
      <c r="L4850">
        <v>143.75049999999999</v>
      </c>
      <c r="M4850">
        <v>0.99950289999999997</v>
      </c>
      <c r="N4850">
        <v>0</v>
      </c>
      <c r="O4850">
        <v>-2.7738889999999999E-2</v>
      </c>
      <c r="P4850">
        <v>0.9983225</v>
      </c>
      <c r="Q4850">
        <v>3.1734129999999999E-3</v>
      </c>
      <c r="R4850">
        <v>-5.781232E-2</v>
      </c>
      <c r="S4850">
        <v>2.9796749999999999</v>
      </c>
      <c r="T4850">
        <v>-0.90979390000000004</v>
      </c>
      <c r="U4850">
        <v>-0.56053160000000002</v>
      </c>
      <c r="V4850">
        <v>3.009554E-2</v>
      </c>
      <c r="W4850">
        <v>1.8155359999999999E-2</v>
      </c>
      <c r="X4850">
        <v>0.99938210000000005</v>
      </c>
      <c r="Y4850">
        <v>0.15207089999999901</v>
      </c>
      <c r="Z4850">
        <v>-1.4305699999999999E-2</v>
      </c>
      <c r="AA4850">
        <v>0.98826610000000004</v>
      </c>
      <c r="AB4850">
        <v>16</v>
      </c>
      <c r="AC4850">
        <v>0.53480000000000405</v>
      </c>
      <c r="AD4850">
        <v>-0.21868960000000001</v>
      </c>
      <c r="AE4850">
        <v>-0.12979999999998801</v>
      </c>
      <c r="AF4850">
        <v>9.9242083318790503E-2</v>
      </c>
      <c r="AG4850">
        <v>-0.21868960000000001</v>
      </c>
      <c r="AH4850">
        <v>0.46479783204855202</v>
      </c>
      <c r="AI4850">
        <v>114.708723215681</v>
      </c>
      <c r="AJ4850">
        <v>77.9473783094341</v>
      </c>
      <c r="AK4850">
        <v>0.52317411721782203</v>
      </c>
      <c r="AL4850">
        <v>88.959717310972096</v>
      </c>
      <c r="AM4850">
        <v>88.275107729778995</v>
      </c>
      <c r="AN4850">
        <v>0.99999997021251497</v>
      </c>
    </row>
    <row r="4851" spans="1:40" x14ac:dyDescent="0.3">
      <c r="A4851" t="str">
        <f>"20200111154018856"</f>
        <v>20200111154018856</v>
      </c>
      <c r="B4851" t="str">
        <f>"1578728418846364"</f>
        <v>1578728418846364</v>
      </c>
      <c r="C4851" t="s">
        <v>40</v>
      </c>
      <c r="D4851">
        <v>6.0141799999999996</v>
      </c>
      <c r="E4851">
        <v>0.54354209999999903</v>
      </c>
      <c r="F4851" t="s">
        <v>41</v>
      </c>
      <c r="G4851">
        <v>-121.62479999999999</v>
      </c>
      <c r="H4851">
        <v>0.89447889999999997</v>
      </c>
      <c r="I4851">
        <v>143.62180000000001</v>
      </c>
      <c r="J4851">
        <v>-121.9927</v>
      </c>
      <c r="K4851">
        <v>1.1048209999999901</v>
      </c>
      <c r="L4851">
        <v>143.74180000000001</v>
      </c>
      <c r="M4851">
        <v>0.99951100000000004</v>
      </c>
      <c r="N4851">
        <v>0</v>
      </c>
      <c r="O4851">
        <v>-2.7772229999999998E-2</v>
      </c>
      <c r="P4851">
        <v>0.99840899999999999</v>
      </c>
      <c r="Q4851">
        <v>1.127053E-3</v>
      </c>
      <c r="R4851">
        <v>-5.6376089999999997E-2</v>
      </c>
      <c r="S4851">
        <v>2.9753419999999999</v>
      </c>
      <c r="T4851">
        <v>-0.92249639999999999</v>
      </c>
      <c r="U4851">
        <v>-0.56347659999999999</v>
      </c>
      <c r="V4851">
        <v>2.8624239999999999E-2</v>
      </c>
      <c r="W4851">
        <v>1.549117E-2</v>
      </c>
      <c r="X4851">
        <v>0.99947019999999998</v>
      </c>
      <c r="Y4851">
        <v>0.15303699999999901</v>
      </c>
      <c r="Z4851">
        <v>-1.465061E-2</v>
      </c>
      <c r="AA4851">
        <v>0.98811190000000004</v>
      </c>
      <c r="AB4851">
        <v>16</v>
      </c>
      <c r="AC4851">
        <v>0.367900000000005</v>
      </c>
      <c r="AD4851">
        <v>-0.210342099999999</v>
      </c>
      <c r="AE4851">
        <v>-0.12000000000000401</v>
      </c>
      <c r="AF4851">
        <v>8.4708188283317901E-2</v>
      </c>
      <c r="AG4851">
        <v>-0.210342099999999</v>
      </c>
      <c r="AH4851">
        <v>0.286457213861254</v>
      </c>
      <c r="AI4851">
        <v>125.151152203397</v>
      </c>
      <c r="AJ4851">
        <v>73.526538434131297</v>
      </c>
      <c r="AK4851">
        <v>0.36534505822277702</v>
      </c>
      <c r="AL4851">
        <v>89.112385837641199</v>
      </c>
      <c r="AM4851">
        <v>88.359530913069406</v>
      </c>
      <c r="AN4851">
        <v>1.00000000207579</v>
      </c>
    </row>
    <row r="4852" spans="1:40" x14ac:dyDescent="0.3">
      <c r="A4852" t="str">
        <f>"20200111154018889"</f>
        <v>20200111154018889</v>
      </c>
      <c r="B4852" t="str">
        <f>"1578728418886381"</f>
        <v>1578728418886381</v>
      </c>
      <c r="C4852" t="s">
        <v>40</v>
      </c>
      <c r="D4852">
        <v>5.922822</v>
      </c>
      <c r="E4852">
        <v>0.52324229999999905</v>
      </c>
      <c r="F4852" t="s">
        <v>41</v>
      </c>
      <c r="G4852">
        <v>-121.2175</v>
      </c>
      <c r="H4852">
        <v>0.86259439999999998</v>
      </c>
      <c r="I4852">
        <v>143.59630000000001</v>
      </c>
      <c r="J4852">
        <v>-121.7546</v>
      </c>
      <c r="K4852">
        <v>1.1048249999999999</v>
      </c>
      <c r="L4852">
        <v>143.73519999999999</v>
      </c>
      <c r="M4852">
        <v>0.99951279999999998</v>
      </c>
      <c r="N4852">
        <v>0</v>
      </c>
      <c r="O4852">
        <v>-2.7798199999999999E-2</v>
      </c>
      <c r="P4852">
        <v>0.99843040000000005</v>
      </c>
      <c r="Q4852">
        <v>9.2630830000000003E-4</v>
      </c>
      <c r="R4852">
        <v>-5.6001389999999998E-2</v>
      </c>
      <c r="S4852">
        <v>2.9743040000000001</v>
      </c>
      <c r="T4852">
        <v>-0.92943430000000005</v>
      </c>
      <c r="U4852">
        <v>-0.55830380000000002</v>
      </c>
      <c r="V4852">
        <v>2.8223080000000001E-2</v>
      </c>
      <c r="W4852">
        <v>1.512023E-2</v>
      </c>
      <c r="X4852">
        <v>0.99948729999999997</v>
      </c>
      <c r="Y4852">
        <v>0.15140129999999999</v>
      </c>
      <c r="Z4852">
        <v>-1.450748E-2</v>
      </c>
      <c r="AA4852">
        <v>0.98836590000000002</v>
      </c>
      <c r="AB4852">
        <v>16</v>
      </c>
      <c r="AC4852">
        <v>0.53709999999999503</v>
      </c>
      <c r="AD4852">
        <v>-0.24223059999999999</v>
      </c>
      <c r="AE4852">
        <v>-0.13889999999997801</v>
      </c>
      <c r="AF4852">
        <v>0.10407307160129101</v>
      </c>
      <c r="AG4852">
        <v>-0.24223059999999999</v>
      </c>
      <c r="AH4852">
        <v>0.454167777629641</v>
      </c>
      <c r="AI4852">
        <v>117.46882537500299</v>
      </c>
      <c r="AJ4852">
        <v>77.093435643460197</v>
      </c>
      <c r="AK4852">
        <v>0.52514306436049896</v>
      </c>
      <c r="AL4852">
        <v>89.133641633719904</v>
      </c>
      <c r="AM4852">
        <v>88.382536946021702</v>
      </c>
      <c r="AN4852">
        <v>1.0000000132306099</v>
      </c>
    </row>
    <row r="4853" spans="1:40" x14ac:dyDescent="0.3">
      <c r="A4853" t="str">
        <f>"20200111154018922"</f>
        <v>20200111154018922</v>
      </c>
      <c r="B4853" t="str">
        <f>"1578728418915661"</f>
        <v>1578728418915661</v>
      </c>
      <c r="C4853" t="s">
        <v>40</v>
      </c>
      <c r="D4853">
        <v>5.9169559999999999</v>
      </c>
      <c r="E4853">
        <v>0.52455439999999998</v>
      </c>
      <c r="F4853" t="s">
        <v>41</v>
      </c>
      <c r="G4853">
        <v>-121.0616</v>
      </c>
      <c r="H4853">
        <v>0.90189960000000002</v>
      </c>
      <c r="I4853">
        <v>143.6437</v>
      </c>
      <c r="J4853">
        <v>-121.5234</v>
      </c>
      <c r="K4853">
        <v>1.104811</v>
      </c>
      <c r="L4853">
        <v>143.7287</v>
      </c>
      <c r="M4853">
        <v>0.99951500000000004</v>
      </c>
      <c r="N4853">
        <v>0</v>
      </c>
      <c r="O4853">
        <v>-2.782306E-2</v>
      </c>
      <c r="P4853">
        <v>0.99833939999999999</v>
      </c>
      <c r="Q4853">
        <v>3.6170909999999998E-3</v>
      </c>
      <c r="R4853">
        <v>-5.7489510000000001E-2</v>
      </c>
      <c r="S4853">
        <v>2.9834589999999999</v>
      </c>
      <c r="T4853">
        <v>-0.87363959999999996</v>
      </c>
      <c r="U4853">
        <v>-0.39324949999999997</v>
      </c>
      <c r="V4853">
        <v>2.9688699999999998E-2</v>
      </c>
      <c r="W4853">
        <v>1.7594680000000001E-2</v>
      </c>
      <c r="X4853">
        <v>0.99940430000000002</v>
      </c>
      <c r="Y4853">
        <v>0.10006180000000001</v>
      </c>
      <c r="Z4853">
        <v>-6.3471040000000001E-3</v>
      </c>
      <c r="AA4853">
        <v>0.99496099999999998</v>
      </c>
      <c r="AB4853">
        <v>16</v>
      </c>
      <c r="AC4853">
        <v>0.46179999999999599</v>
      </c>
      <c r="AD4853">
        <v>-0.20291139999999999</v>
      </c>
      <c r="AE4853">
        <v>-8.5000000000007903E-2</v>
      </c>
      <c r="AF4853">
        <v>6.0769160371710998E-2</v>
      </c>
      <c r="AG4853">
        <v>-0.20291139999999999</v>
      </c>
      <c r="AH4853">
        <v>0.39097587943955397</v>
      </c>
      <c r="AI4853">
        <v>117.150085976586</v>
      </c>
      <c r="AJ4853">
        <v>81.165240978496897</v>
      </c>
      <c r="AK4853">
        <v>0.44466624046106201</v>
      </c>
      <c r="AL4853">
        <v>88.991847046483301</v>
      </c>
      <c r="AM4853">
        <v>88.298449283655302</v>
      </c>
      <c r="AN4853">
        <v>0.99999997326524004</v>
      </c>
    </row>
    <row r="4854" spans="1:40" x14ac:dyDescent="0.3">
      <c r="A4854" t="str">
        <f>"20200111154018967"</f>
        <v>20200111154018967</v>
      </c>
      <c r="B4854" t="str">
        <f>"1578728418955677"</f>
        <v>1578728418955677</v>
      </c>
      <c r="C4854" t="s">
        <v>40</v>
      </c>
      <c r="D4854">
        <v>6.1311819999999999</v>
      </c>
      <c r="E4854">
        <v>0.52697839999999996</v>
      </c>
      <c r="F4854" t="s">
        <v>41</v>
      </c>
      <c r="G4854">
        <v>-120.7786</v>
      </c>
      <c r="H4854">
        <v>0.91158220000000001</v>
      </c>
      <c r="I4854">
        <v>143.62790000000001</v>
      </c>
      <c r="J4854">
        <v>-121.2159</v>
      </c>
      <c r="K4854">
        <v>1.1048020000000001</v>
      </c>
      <c r="L4854">
        <v>143.7201</v>
      </c>
      <c r="M4854">
        <v>0.99951829999999997</v>
      </c>
      <c r="N4854">
        <v>0</v>
      </c>
      <c r="O4854">
        <v>-2.785528E-2</v>
      </c>
      <c r="P4854">
        <v>0.99814899999999995</v>
      </c>
      <c r="Q4854">
        <v>7.4808619999999996E-3</v>
      </c>
      <c r="R4854">
        <v>-6.0358340000000003E-2</v>
      </c>
      <c r="S4854">
        <v>2.9845579999999998</v>
      </c>
      <c r="T4854">
        <v>-0.77430690000000002</v>
      </c>
      <c r="U4854">
        <v>-0.40347290000000002</v>
      </c>
      <c r="V4854">
        <v>3.2529540000000003E-2</v>
      </c>
      <c r="W4854">
        <v>2.116171E-2</v>
      </c>
      <c r="X4854">
        <v>0.99924669999999904</v>
      </c>
      <c r="Y4854">
        <v>0.10384060000000001</v>
      </c>
      <c r="Z4854">
        <v>-6.1185099999999997E-3</v>
      </c>
      <c r="AA4854">
        <v>0.99457510000000005</v>
      </c>
      <c r="AB4854">
        <v>16</v>
      </c>
      <c r="AC4854">
        <v>0.43730000000000702</v>
      </c>
      <c r="AD4854">
        <v>-0.1932198</v>
      </c>
      <c r="AE4854">
        <v>-9.2199999999991095E-2</v>
      </c>
      <c r="AF4854">
        <v>6.7386154975631496E-2</v>
      </c>
      <c r="AG4854">
        <v>-0.1932198</v>
      </c>
      <c r="AH4854">
        <v>0.37045365321243001</v>
      </c>
      <c r="AI4854">
        <v>117.164879161382</v>
      </c>
      <c r="AJ4854">
        <v>79.690520636544804</v>
      </c>
      <c r="AK4854">
        <v>0.42321471403163102</v>
      </c>
      <c r="AL4854">
        <v>88.787432790236394</v>
      </c>
      <c r="AM4854">
        <v>88.135448063002301</v>
      </c>
      <c r="AN4854">
        <v>0.99999997820181197</v>
      </c>
    </row>
    <row r="4855" spans="1:40" x14ac:dyDescent="0.3">
      <c r="A4855" t="str">
        <f>"20200111154019012"</f>
        <v>20200111154019012</v>
      </c>
      <c r="B4855" t="str">
        <f>"1578728419006428"</f>
        <v>1578728419006428</v>
      </c>
      <c r="C4855" t="s">
        <v>40</v>
      </c>
      <c r="D4855">
        <v>5.862495</v>
      </c>
      <c r="E4855">
        <v>0.52761080000000005</v>
      </c>
      <c r="F4855" t="s">
        <v>41</v>
      </c>
      <c r="G4855">
        <v>-120.49120000000001</v>
      </c>
      <c r="H4855">
        <v>0.93082509999999996</v>
      </c>
      <c r="I4855">
        <v>143.6157</v>
      </c>
      <c r="J4855">
        <v>-120.90349999999999</v>
      </c>
      <c r="K4855">
        <v>1.1048100000000001</v>
      </c>
      <c r="L4855">
        <v>143.71129999999999</v>
      </c>
      <c r="M4855">
        <v>0.99951999999999996</v>
      </c>
      <c r="N4855">
        <v>0</v>
      </c>
      <c r="O4855">
        <v>-2.7887760000000001E-2</v>
      </c>
      <c r="P4855">
        <v>0.99802219999999997</v>
      </c>
      <c r="Q4855">
        <v>1.007011E-2</v>
      </c>
      <c r="R4855">
        <v>-6.2052349999999999E-2</v>
      </c>
      <c r="S4855">
        <v>2.9849399999999999</v>
      </c>
      <c r="T4855">
        <v>-0.71660469999999998</v>
      </c>
      <c r="U4855">
        <v>-0.42964170000000002</v>
      </c>
      <c r="V4855">
        <v>3.4194210000000003E-2</v>
      </c>
      <c r="W4855">
        <v>2.3561510000000001E-2</v>
      </c>
      <c r="X4855">
        <v>0.99913750000000001</v>
      </c>
      <c r="Y4855">
        <v>0.1124546</v>
      </c>
      <c r="Z4855">
        <v>-6.6785569999999999E-3</v>
      </c>
      <c r="AA4855">
        <v>0.99363440000000003</v>
      </c>
      <c r="AB4855">
        <v>16</v>
      </c>
      <c r="AC4855">
        <v>0.41229999999998701</v>
      </c>
      <c r="AD4855">
        <v>-0.1739849</v>
      </c>
      <c r="AE4855">
        <v>-9.5599999999990304E-2</v>
      </c>
      <c r="AF4855">
        <v>7.1911529189935305E-2</v>
      </c>
      <c r="AG4855">
        <v>-0.1739849</v>
      </c>
      <c r="AH4855">
        <v>0.35484221386035197</v>
      </c>
      <c r="AI4855">
        <v>115.66649334744901</v>
      </c>
      <c r="AJ4855">
        <v>78.543720923661994</v>
      </c>
      <c r="AK4855">
        <v>0.40169019180926002</v>
      </c>
      <c r="AL4855">
        <v>88.649900071133999</v>
      </c>
      <c r="AM4855">
        <v>88.039889858030193</v>
      </c>
      <c r="AN4855">
        <v>1.0000000663286199</v>
      </c>
    </row>
    <row r="4856" spans="1:40" x14ac:dyDescent="0.3">
      <c r="A4856" t="str">
        <f>"20200111154019042"</f>
        <v>20200111154019042</v>
      </c>
      <c r="B4856" t="str">
        <f>"1578728419035709"</f>
        <v>1578728419035709</v>
      </c>
      <c r="C4856" t="s">
        <v>40</v>
      </c>
      <c r="D4856">
        <v>6.0495049999999999</v>
      </c>
      <c r="E4856">
        <v>0.52838160000000001</v>
      </c>
      <c r="F4856" t="s">
        <v>41</v>
      </c>
      <c r="G4856">
        <v>-120.2069</v>
      </c>
      <c r="H4856">
        <v>0.94487969999999999</v>
      </c>
      <c r="I4856">
        <v>143.6088</v>
      </c>
      <c r="J4856">
        <v>-120.69199999999999</v>
      </c>
      <c r="K4856">
        <v>1.1047990000000001</v>
      </c>
      <c r="L4856">
        <v>143.7054</v>
      </c>
      <c r="M4856">
        <v>0.99952090000000005</v>
      </c>
      <c r="N4856">
        <v>0</v>
      </c>
      <c r="O4856">
        <v>-2.7910000000000001E-2</v>
      </c>
      <c r="P4856">
        <v>0.99801110000000004</v>
      </c>
      <c r="Q4856">
        <v>1.03807E-2</v>
      </c>
      <c r="R4856">
        <v>-6.218129E-2</v>
      </c>
      <c r="S4856">
        <v>2.9855649999999998</v>
      </c>
      <c r="T4856">
        <v>-0.68547950000000002</v>
      </c>
      <c r="U4856">
        <v>-0.43907170000000001</v>
      </c>
      <c r="V4856">
        <v>3.4301169999999999E-2</v>
      </c>
      <c r="W4856">
        <v>2.375648E-2</v>
      </c>
      <c r="X4856">
        <v>0.99912920000000005</v>
      </c>
      <c r="Y4856">
        <v>0.11559609999999999</v>
      </c>
      <c r="Z4856">
        <v>-6.7424490000000002E-3</v>
      </c>
      <c r="AA4856">
        <v>0.99327339999999997</v>
      </c>
      <c r="AB4856">
        <v>16</v>
      </c>
      <c r="AC4856">
        <v>0.48510000000000197</v>
      </c>
      <c r="AD4856">
        <v>-0.15991929999999999</v>
      </c>
      <c r="AE4856">
        <v>-9.6599999999995106E-2</v>
      </c>
      <c r="AF4856">
        <v>7.5164858762778605E-2</v>
      </c>
      <c r="AG4856">
        <v>-0.15991929999999999</v>
      </c>
      <c r="AH4856">
        <v>0.44146048984560099</v>
      </c>
      <c r="AI4856">
        <v>109.652216330256</v>
      </c>
      <c r="AJ4856">
        <v>80.337250331152305</v>
      </c>
      <c r="AK4856">
        <v>0.47551162194002899</v>
      </c>
      <c r="AL4856">
        <v>88.6387259629699</v>
      </c>
      <c r="AM4856">
        <v>88.033747088172106</v>
      </c>
      <c r="AN4856">
        <v>1.00000004944899</v>
      </c>
    </row>
    <row r="4857" spans="1:40" x14ac:dyDescent="0.3">
      <c r="A4857" t="str">
        <f>"20200111154019078"</f>
        <v>20200111154019078</v>
      </c>
      <c r="B4857" t="str">
        <f>"1578728419065967"</f>
        <v>1578728419065967</v>
      </c>
      <c r="C4857" t="s">
        <v>40</v>
      </c>
      <c r="D4857">
        <v>5.9072899999999997</v>
      </c>
      <c r="E4857">
        <v>0.54795749999999999</v>
      </c>
      <c r="F4857" t="s">
        <v>41</v>
      </c>
      <c r="G4857">
        <v>-119.93680000000001</v>
      </c>
      <c r="H4857">
        <v>0.93143200000000004</v>
      </c>
      <c r="I4857">
        <v>143.5925</v>
      </c>
      <c r="J4857">
        <v>-120.4426</v>
      </c>
      <c r="K4857">
        <v>1.1047739999999999</v>
      </c>
      <c r="L4857">
        <v>143.6985</v>
      </c>
      <c r="M4857">
        <v>0.99952180000000002</v>
      </c>
      <c r="N4857">
        <v>0</v>
      </c>
      <c r="O4857">
        <v>-2.793578E-2</v>
      </c>
      <c r="P4857">
        <v>0.99810900000000002</v>
      </c>
      <c r="Q4857">
        <v>9.6296279999999995E-3</v>
      </c>
      <c r="R4857">
        <v>-6.071091E-2</v>
      </c>
      <c r="S4857">
        <v>2.985306</v>
      </c>
      <c r="T4857">
        <v>-0.68533290000000002</v>
      </c>
      <c r="U4857">
        <v>-0.4461212</v>
      </c>
      <c r="V4857">
        <v>3.2802789999999998E-2</v>
      </c>
      <c r="W4857">
        <v>2.2883150000000001E-2</v>
      </c>
      <c r="X4857">
        <v>0.99919990000000003</v>
      </c>
      <c r="Y4857">
        <v>0.11782330000000001</v>
      </c>
      <c r="Z4857">
        <v>-6.9857749999999996E-3</v>
      </c>
      <c r="AA4857">
        <v>0.99300999999999995</v>
      </c>
      <c r="AB4857">
        <v>15</v>
      </c>
      <c r="AC4857">
        <v>0.50579999999999303</v>
      </c>
      <c r="AD4857">
        <v>-0.173342</v>
      </c>
      <c r="AE4857">
        <v>-0.105999999999994</v>
      </c>
      <c r="AF4857">
        <v>8.2540952890138505E-2</v>
      </c>
      <c r="AG4857">
        <v>-0.173342</v>
      </c>
      <c r="AH4857">
        <v>0.45713293962902102</v>
      </c>
      <c r="AI4857">
        <v>110.463543984187</v>
      </c>
      <c r="AJ4857">
        <v>79.764825690666598</v>
      </c>
      <c r="AK4857">
        <v>0.495813455204558</v>
      </c>
      <c r="AL4857">
        <v>88.688777698339095</v>
      </c>
      <c r="AM4857">
        <v>88.119708914177806</v>
      </c>
      <c r="AN4857">
        <v>1.0000000508728499</v>
      </c>
    </row>
    <row r="4858" spans="1:40" x14ac:dyDescent="0.3">
      <c r="A4858" t="str">
        <f>"20200111154019107"</f>
        <v>20200111154019107</v>
      </c>
      <c r="B4858" t="str">
        <f>"1578728419096221"</f>
        <v>1578728419096221</v>
      </c>
      <c r="C4858" t="s">
        <v>40</v>
      </c>
      <c r="D4858">
        <v>5.8900489999999897</v>
      </c>
      <c r="E4858">
        <v>0.54553219999999902</v>
      </c>
      <c r="F4858" t="s">
        <v>41</v>
      </c>
      <c r="G4858">
        <v>-119.6854</v>
      </c>
      <c r="H4858">
        <v>0.87389729999999999</v>
      </c>
      <c r="I4858">
        <v>143.54320000000001</v>
      </c>
      <c r="J4858">
        <v>-120.2381</v>
      </c>
      <c r="K4858">
        <v>1.1047549999999999</v>
      </c>
      <c r="L4858">
        <v>143.6927</v>
      </c>
      <c r="M4858">
        <v>0.99952240000000003</v>
      </c>
      <c r="N4858">
        <v>0</v>
      </c>
      <c r="O4858">
        <v>-2.795713E-2</v>
      </c>
      <c r="P4858">
        <v>0.99820220000000004</v>
      </c>
      <c r="Q4858">
        <v>9.396583E-3</v>
      </c>
      <c r="R4858">
        <v>-5.9196360000000003E-2</v>
      </c>
      <c r="S4858">
        <v>2.977325</v>
      </c>
      <c r="T4858">
        <v>-0.9078773</v>
      </c>
      <c r="U4858">
        <v>-0.61038210000000004</v>
      </c>
      <c r="V4858">
        <v>3.1265000000000001E-2</v>
      </c>
      <c r="W4858">
        <v>2.255851E-2</v>
      </c>
      <c r="X4858">
        <v>0.99925660000000005</v>
      </c>
      <c r="Y4858">
        <v>0.16728989999999999</v>
      </c>
      <c r="Z4858">
        <v>-1.6449289999999998E-2</v>
      </c>
      <c r="AA4858">
        <v>0.98577049999999999</v>
      </c>
      <c r="AB4858">
        <v>15</v>
      </c>
      <c r="AC4858">
        <v>0.55270000000000097</v>
      </c>
      <c r="AD4858">
        <v>-0.230857699999999</v>
      </c>
      <c r="AE4858">
        <v>-0.149499999999989</v>
      </c>
      <c r="AF4858">
        <v>0.115251712810868</v>
      </c>
      <c r="AG4858">
        <v>-0.230857699999999</v>
      </c>
      <c r="AH4858">
        <v>0.47882137023569998</v>
      </c>
      <c r="AI4858">
        <v>115.114828911808</v>
      </c>
      <c r="AJ4858">
        <v>76.466416896381304</v>
      </c>
      <c r="AK4858">
        <v>0.54391923991482605</v>
      </c>
      <c r="AL4858">
        <v>88.707383026558503</v>
      </c>
      <c r="AM4858">
        <v>88.207899414131703</v>
      </c>
      <c r="AN4858">
        <v>1.0000000696209801</v>
      </c>
    </row>
    <row r="4859" spans="1:40" x14ac:dyDescent="0.3">
      <c r="A4859" t="str">
        <f>"20200111154019133"</f>
        <v>20200111154019133</v>
      </c>
      <c r="B4859" t="str">
        <f>"1578728419125501"</f>
        <v>1578728419125501</v>
      </c>
      <c r="C4859" t="s">
        <v>40</v>
      </c>
      <c r="D4859">
        <v>5.8696900000000003</v>
      </c>
      <c r="E4859">
        <v>0.54464860000000004</v>
      </c>
      <c r="F4859" t="s">
        <v>41</v>
      </c>
      <c r="G4859">
        <v>-119.542</v>
      </c>
      <c r="H4859">
        <v>0.88777909999999904</v>
      </c>
      <c r="I4859">
        <v>143.55539999999999</v>
      </c>
      <c r="J4859">
        <v>-120.0658</v>
      </c>
      <c r="K4859">
        <v>1.104981</v>
      </c>
      <c r="L4859">
        <v>143.68790000000001</v>
      </c>
      <c r="M4859">
        <v>0.99951080000000003</v>
      </c>
      <c r="N4859">
        <v>0</v>
      </c>
      <c r="O4859">
        <v>-2.7973660000000001E-2</v>
      </c>
      <c r="P4859">
        <v>0.99830730000000001</v>
      </c>
      <c r="Q4859">
        <v>7.5753519999999996E-3</v>
      </c>
      <c r="R4859">
        <v>-5.7663859999999997E-2</v>
      </c>
      <c r="S4859">
        <v>2.9793090000000002</v>
      </c>
      <c r="T4859">
        <v>-0.92870430000000004</v>
      </c>
      <c r="U4859">
        <v>-0.58755489999999999</v>
      </c>
      <c r="V4859">
        <v>2.971329E-2</v>
      </c>
      <c r="W4859">
        <v>2.156025E-2</v>
      </c>
      <c r="X4859">
        <v>0.99932589999999999</v>
      </c>
      <c r="Y4859">
        <v>0.15993669999999999</v>
      </c>
      <c r="Z4859">
        <v>-1.569661E-2</v>
      </c>
      <c r="AA4859">
        <v>0.9870025</v>
      </c>
      <c r="AB4859">
        <v>15</v>
      </c>
      <c r="AC4859">
        <v>0.52379999999999405</v>
      </c>
      <c r="AD4859">
        <v>-0.2172019</v>
      </c>
      <c r="AE4859">
        <v>-0.13250000000002099</v>
      </c>
      <c r="AF4859">
        <v>0.101406181469988</v>
      </c>
      <c r="AG4859">
        <v>-0.2172019</v>
      </c>
      <c r="AH4859">
        <v>0.45394180711092003</v>
      </c>
      <c r="AI4859">
        <v>115.031154637559</v>
      </c>
      <c r="AJ4859">
        <v>77.407433421088598</v>
      </c>
      <c r="AK4859">
        <v>0.513344955412111</v>
      </c>
      <c r="AL4859">
        <v>88.764592931791299</v>
      </c>
      <c r="AM4859">
        <v>88.296907261256493</v>
      </c>
      <c r="AN4859">
        <v>0.99999998919674804</v>
      </c>
    </row>
    <row r="4860" spans="1:40" x14ac:dyDescent="0.3">
      <c r="A4860" t="str">
        <f>"20200111154019168"</f>
        <v>20200111154019168</v>
      </c>
      <c r="B4860" t="str">
        <f>"1578728419155757"</f>
        <v>1578728419155757</v>
      </c>
      <c r="C4860" t="s">
        <v>40</v>
      </c>
      <c r="D4860">
        <v>5.8634979999999999</v>
      </c>
      <c r="E4860">
        <v>0.54437209999999903</v>
      </c>
      <c r="F4860" t="s">
        <v>41</v>
      </c>
      <c r="G4860">
        <v>-119.4037</v>
      </c>
      <c r="H4860">
        <v>0.89791489999999996</v>
      </c>
      <c r="I4860">
        <v>143.5599</v>
      </c>
      <c r="J4860">
        <v>-119.84350000000001</v>
      </c>
      <c r="K4860">
        <v>1.105515</v>
      </c>
      <c r="L4860">
        <v>143.6816</v>
      </c>
      <c r="M4860">
        <v>0.99947330000000001</v>
      </c>
      <c r="N4860">
        <v>0</v>
      </c>
      <c r="O4860">
        <v>-2.7992960000000001E-2</v>
      </c>
      <c r="P4860">
        <v>0.99843979999999999</v>
      </c>
      <c r="Q4860">
        <v>1.9560549999999999E-3</v>
      </c>
      <c r="R4860">
        <v>-5.5806700000000001E-2</v>
      </c>
      <c r="S4860">
        <v>2.9789279999999998</v>
      </c>
      <c r="T4860">
        <v>-0.93162520000000004</v>
      </c>
      <c r="U4860">
        <v>-0.57527159999999999</v>
      </c>
      <c r="V4860">
        <v>2.7832530000000001E-2</v>
      </c>
      <c r="W4860">
        <v>1.837037E-2</v>
      </c>
      <c r="X4860">
        <v>0.99944379999999999</v>
      </c>
      <c r="Y4860">
        <v>0.1561495</v>
      </c>
      <c r="Z4860">
        <v>-1.517174E-2</v>
      </c>
      <c r="AA4860">
        <v>0.98761690000000002</v>
      </c>
      <c r="AB4860">
        <v>15</v>
      </c>
      <c r="AC4860">
        <v>0.43980000000000502</v>
      </c>
      <c r="AD4860">
        <v>-0.20760010000000001</v>
      </c>
      <c r="AE4860">
        <v>-0.121700000000004</v>
      </c>
      <c r="AF4860">
        <v>9.0590143379030305E-2</v>
      </c>
      <c r="AG4860">
        <v>-0.20760010000000001</v>
      </c>
      <c r="AH4860">
        <v>0.36706449461538498</v>
      </c>
      <c r="AI4860">
        <v>118.77089876159501</v>
      </c>
      <c r="AJ4860">
        <v>76.136649583256599</v>
      </c>
      <c r="AK4860">
        <v>0.43132437770741799</v>
      </c>
      <c r="AL4860">
        <v>88.947396137021599</v>
      </c>
      <c r="AM4860">
        <v>88.404838310115807</v>
      </c>
      <c r="AN4860">
        <v>1.00000001478928</v>
      </c>
    </row>
    <row r="4861" spans="1:40" x14ac:dyDescent="0.3">
      <c r="A4861" t="str">
        <f>"20200111154019201"</f>
        <v>20200111154019201</v>
      </c>
      <c r="B4861" t="str">
        <f>"1578728419195773"</f>
        <v>1578728419195773</v>
      </c>
      <c r="C4861" t="s">
        <v>40</v>
      </c>
      <c r="D4861">
        <v>5.8139969999999996</v>
      </c>
      <c r="E4861">
        <v>0.54427829999999999</v>
      </c>
      <c r="F4861" t="s">
        <v>41</v>
      </c>
      <c r="G4861">
        <v>-119.1507</v>
      </c>
      <c r="H4861">
        <v>0.88513019999999998</v>
      </c>
      <c r="I4861">
        <v>143.54949999999999</v>
      </c>
      <c r="J4861">
        <v>-119.63720000000001</v>
      </c>
      <c r="K4861">
        <v>1.1059829999999999</v>
      </c>
      <c r="L4861">
        <v>143.67590000000001</v>
      </c>
      <c r="M4861">
        <v>0.99942660000000005</v>
      </c>
      <c r="N4861">
        <v>0</v>
      </c>
      <c r="O4861">
        <v>-2.80083E-2</v>
      </c>
      <c r="P4861">
        <v>0.99844809999999995</v>
      </c>
      <c r="Q4861">
        <v>-1.4384720000000001E-3</v>
      </c>
      <c r="R4861">
        <v>-5.567093E-2</v>
      </c>
      <c r="S4861">
        <v>2.9748540000000001</v>
      </c>
      <c r="T4861">
        <v>-0.94630630000000004</v>
      </c>
      <c r="U4861">
        <v>-0.56704709999999903</v>
      </c>
      <c r="V4861">
        <v>2.7679970000000002E-2</v>
      </c>
      <c r="W4861">
        <v>1.7581340000000001E-2</v>
      </c>
      <c r="X4861">
        <v>0.99946219999999997</v>
      </c>
      <c r="Y4861">
        <v>0.1536671</v>
      </c>
      <c r="Z4861">
        <v>-1.503613E-2</v>
      </c>
      <c r="AA4861">
        <v>0.98800829999999995</v>
      </c>
      <c r="AB4861">
        <v>15</v>
      </c>
      <c r="AC4861">
        <v>0.48650000000000598</v>
      </c>
      <c r="AD4861">
        <v>-0.22085279999999999</v>
      </c>
      <c r="AE4861">
        <v>-0.126400000000018</v>
      </c>
      <c r="AF4861">
        <v>9.44820855944596E-2</v>
      </c>
      <c r="AG4861">
        <v>-0.22085279999999999</v>
      </c>
      <c r="AH4861">
        <v>0.41058614636738799</v>
      </c>
      <c r="AI4861">
        <v>117.663371707472</v>
      </c>
      <c r="AJ4861">
        <v>77.040970449852495</v>
      </c>
      <c r="AK4861">
        <v>0.47569297593609799</v>
      </c>
      <c r="AL4861">
        <v>88.992611504025305</v>
      </c>
      <c r="AM4861">
        <v>88.413606669419494</v>
      </c>
      <c r="AN4861">
        <v>0.99999998674211799</v>
      </c>
    </row>
    <row r="4862" spans="1:40" x14ac:dyDescent="0.3">
      <c r="A4862" t="str">
        <f>"20200111154019235"</f>
        <v>20200111154019235</v>
      </c>
      <c r="B4862" t="str">
        <f>"1578728419226180"</f>
        <v>1578728419226180</v>
      </c>
      <c r="C4862" t="s">
        <v>40</v>
      </c>
      <c r="D4862">
        <v>5.8161820000000004</v>
      </c>
      <c r="E4862">
        <v>0.54405360000000003</v>
      </c>
      <c r="F4862" t="s">
        <v>41</v>
      </c>
      <c r="G4862">
        <v>-118.91070000000001</v>
      </c>
      <c r="H4862">
        <v>0.8725309</v>
      </c>
      <c r="I4862">
        <v>143.53729999999999</v>
      </c>
      <c r="J4862">
        <v>-119.43210000000001</v>
      </c>
      <c r="K4862">
        <v>1.1063430000000001</v>
      </c>
      <c r="L4862">
        <v>143.67009999999999</v>
      </c>
      <c r="M4862">
        <v>0.99937379999999998</v>
      </c>
      <c r="N4862">
        <v>0</v>
      </c>
      <c r="O4862">
        <v>-2.8023260000000001E-2</v>
      </c>
      <c r="P4862">
        <v>0.99836029999999998</v>
      </c>
      <c r="Q4862">
        <v>-2.6580060000000001E-3</v>
      </c>
      <c r="R4862">
        <v>-5.7180109999999999E-2</v>
      </c>
      <c r="S4862">
        <v>2.9717410000000002</v>
      </c>
      <c r="T4862">
        <v>-0.95491800000000004</v>
      </c>
      <c r="U4862">
        <v>-0.56594849999999997</v>
      </c>
      <c r="V4862">
        <v>2.917467E-2</v>
      </c>
      <c r="W4862">
        <v>1.8942480000000001E-2</v>
      </c>
      <c r="X4862">
        <v>0.99939480000000003</v>
      </c>
      <c r="Y4862">
        <v>0.15338370000000001</v>
      </c>
      <c r="Z4862">
        <v>-1.513282E-2</v>
      </c>
      <c r="AA4862">
        <v>0.98805080000000001</v>
      </c>
      <c r="AB4862">
        <v>14</v>
      </c>
      <c r="AC4862">
        <v>0.52139999999999898</v>
      </c>
      <c r="AD4862">
        <v>-0.23381209999999999</v>
      </c>
      <c r="AE4862">
        <v>-0.132800000000003</v>
      </c>
      <c r="AF4862">
        <v>9.9368335697092303E-2</v>
      </c>
      <c r="AG4862">
        <v>-0.23381209999999999</v>
      </c>
      <c r="AH4862">
        <v>0.44153742949432101</v>
      </c>
      <c r="AI4862">
        <v>117.321762278111</v>
      </c>
      <c r="AJ4862">
        <v>77.316848144123199</v>
      </c>
      <c r="AK4862">
        <v>0.50940893777992602</v>
      </c>
      <c r="AL4862">
        <v>88.914610896696402</v>
      </c>
      <c r="AM4862">
        <v>88.327877166489301</v>
      </c>
      <c r="AN4862">
        <v>0.99999997259259898</v>
      </c>
    </row>
    <row r="4863" spans="1:40" x14ac:dyDescent="0.3">
      <c r="A4863" t="str">
        <f>"20200111154019271"</f>
        <v>20200111154019271</v>
      </c>
      <c r="B4863" t="str">
        <f>"1578728419266193"</f>
        <v>1578728419266193</v>
      </c>
      <c r="C4863" t="s">
        <v>40</v>
      </c>
      <c r="D4863">
        <v>5.8192979999999999</v>
      </c>
      <c r="E4863">
        <v>0.54391440000000002</v>
      </c>
      <c r="F4863" t="s">
        <v>41</v>
      </c>
      <c r="G4863">
        <v>-118.6803</v>
      </c>
      <c r="H4863">
        <v>0.8637669</v>
      </c>
      <c r="I4863">
        <v>143.52600000000001</v>
      </c>
      <c r="J4863">
        <v>-119.2246</v>
      </c>
      <c r="K4863">
        <v>1.106128</v>
      </c>
      <c r="L4863">
        <v>143.66419999999999</v>
      </c>
      <c r="M4863">
        <v>0.99935909999999994</v>
      </c>
      <c r="N4863">
        <v>0</v>
      </c>
      <c r="O4863">
        <v>-2.804765E-2</v>
      </c>
      <c r="P4863">
        <v>0.9983069</v>
      </c>
      <c r="Q4863">
        <v>-3.0221549999999999E-3</v>
      </c>
      <c r="R4863">
        <v>-5.8088929999999997E-2</v>
      </c>
      <c r="S4863">
        <v>2.9698030000000002</v>
      </c>
      <c r="T4863">
        <v>-0.9581923</v>
      </c>
      <c r="U4863">
        <v>-0.56867979999999996</v>
      </c>
      <c r="V4863">
        <v>3.0060050000000001E-2</v>
      </c>
      <c r="W4863">
        <v>1.9215659999999999E-2</v>
      </c>
      <c r="X4863">
        <v>0.99936340000000001</v>
      </c>
      <c r="Y4863">
        <v>0.15426529999999899</v>
      </c>
      <c r="Z4863">
        <v>-1.5320179999999999E-2</v>
      </c>
      <c r="AA4863">
        <v>0.98791070000000003</v>
      </c>
      <c r="AB4863">
        <v>13</v>
      </c>
      <c r="AC4863">
        <v>0.54429999999999201</v>
      </c>
      <c r="AD4863">
        <v>-0.2423611</v>
      </c>
      <c r="AE4863">
        <v>-0.138199999999983</v>
      </c>
      <c r="AF4863">
        <v>0.10358236171228</v>
      </c>
      <c r="AG4863">
        <v>-0.2423611</v>
      </c>
      <c r="AH4863">
        <v>0.461925252681885</v>
      </c>
      <c r="AI4863">
        <v>117.110729219951</v>
      </c>
      <c r="AJ4863">
        <v>77.361041104271493</v>
      </c>
      <c r="AK4863">
        <v>0.53182999869913905</v>
      </c>
      <c r="AL4863">
        <v>88.898956045244702</v>
      </c>
      <c r="AM4863">
        <v>88.277108354326302</v>
      </c>
      <c r="AN4863">
        <v>1.0000000267273901</v>
      </c>
    </row>
    <row r="4864" spans="1:40" x14ac:dyDescent="0.3">
      <c r="A4864" t="str">
        <f>"20200111154019293"</f>
        <v>20200111154019293</v>
      </c>
      <c r="B4864" t="str">
        <f>"1578728419285713"</f>
        <v>1578728419285713</v>
      </c>
      <c r="C4864" t="s">
        <v>40</v>
      </c>
      <c r="D4864">
        <v>5.9619999999999997</v>
      </c>
      <c r="E4864">
        <v>0.5439176</v>
      </c>
      <c r="F4864" t="s">
        <v>41</v>
      </c>
      <c r="G4864">
        <v>-118.5515</v>
      </c>
      <c r="H4864">
        <v>0.88949059999999902</v>
      </c>
      <c r="I4864">
        <v>143.53489999999999</v>
      </c>
      <c r="J4864">
        <v>-119.0869</v>
      </c>
      <c r="K4864">
        <v>1.1056589999999999</v>
      </c>
      <c r="L4864">
        <v>143.66030000000001</v>
      </c>
      <c r="M4864">
        <v>0.99938179999999999</v>
      </c>
      <c r="N4864">
        <v>0</v>
      </c>
      <c r="O4864">
        <v>-2.8063319999999999E-2</v>
      </c>
      <c r="P4864">
        <v>0.99823309999999998</v>
      </c>
      <c r="Q4864">
        <v>-2.3128369999999999E-3</v>
      </c>
      <c r="R4864">
        <v>-5.9378479999999997E-2</v>
      </c>
      <c r="S4864">
        <v>2.9690089999999998</v>
      </c>
      <c r="T4864">
        <v>-0.95554099999999997</v>
      </c>
      <c r="U4864">
        <v>-0.57022090000000003</v>
      </c>
      <c r="V4864">
        <v>3.1335979999999999E-2</v>
      </c>
      <c r="W4864">
        <v>1.8851900000000001E-2</v>
      </c>
      <c r="X4864">
        <v>0.99933110000000003</v>
      </c>
      <c r="Y4864">
        <v>0.15479949999999901</v>
      </c>
      <c r="Z4864">
        <v>-1.5361400000000001E-2</v>
      </c>
      <c r="AA4864">
        <v>0.98782650000000005</v>
      </c>
      <c r="AB4864">
        <v>13</v>
      </c>
      <c r="AC4864">
        <v>0.53539999999999499</v>
      </c>
      <c r="AD4864">
        <v>-0.21616840000000001</v>
      </c>
      <c r="AE4864">
        <v>-0.125400000000013</v>
      </c>
      <c r="AF4864">
        <v>9.5555251232962005E-2</v>
      </c>
      <c r="AG4864">
        <v>-0.21616840000000001</v>
      </c>
      <c r="AH4864">
        <v>0.46660154882261401</v>
      </c>
      <c r="AI4864">
        <v>114.411546737734</v>
      </c>
      <c r="AJ4864">
        <v>78.426430531340898</v>
      </c>
      <c r="AK4864">
        <v>0.52304549377699106</v>
      </c>
      <c r="AL4864">
        <v>88.919801697071307</v>
      </c>
      <c r="AM4864">
        <v>88.203967339788505</v>
      </c>
      <c r="AN4864">
        <v>0.99999999260169004</v>
      </c>
    </row>
    <row r="4865" spans="1:40" x14ac:dyDescent="0.3">
      <c r="A4865" t="str">
        <f>"20200111154019315"</f>
        <v>20200111154019315</v>
      </c>
      <c r="B4865" t="str">
        <f>"1578728419306210"</f>
        <v>1578728419306210</v>
      </c>
      <c r="C4865" t="s">
        <v>40</v>
      </c>
      <c r="D4865">
        <v>5.7873109999999999</v>
      </c>
      <c r="E4865">
        <v>0.54380629999999996</v>
      </c>
      <c r="F4865" t="s">
        <v>41</v>
      </c>
      <c r="G4865">
        <v>-118.4298</v>
      </c>
      <c r="H4865">
        <v>0.89493539999999905</v>
      </c>
      <c r="I4865">
        <v>143.5333</v>
      </c>
      <c r="J4865">
        <v>-118.95780000000001</v>
      </c>
      <c r="K4865">
        <v>1.1053029999999999</v>
      </c>
      <c r="L4865">
        <v>143.6567</v>
      </c>
      <c r="M4865">
        <v>0.99940340000000005</v>
      </c>
      <c r="N4865">
        <v>0</v>
      </c>
      <c r="O4865">
        <v>-2.807658E-2</v>
      </c>
      <c r="P4865">
        <v>0.998197</v>
      </c>
      <c r="Q4865">
        <v>-1.5591029999999901E-3</v>
      </c>
      <c r="R4865">
        <v>-6.0002760000000002E-2</v>
      </c>
      <c r="S4865">
        <v>2.9690089999999998</v>
      </c>
      <c r="T4865">
        <v>-0.952071</v>
      </c>
      <c r="U4865">
        <v>-0.57327269999999997</v>
      </c>
      <c r="V4865">
        <v>3.194843E-2</v>
      </c>
      <c r="W4865">
        <v>1.85401E-2</v>
      </c>
      <c r="X4865">
        <v>0.99931749999999997</v>
      </c>
      <c r="Y4865">
        <v>0.15576509999999999</v>
      </c>
      <c r="Z4865">
        <v>-1.54527E-2</v>
      </c>
      <c r="AA4865">
        <v>0.98767329999999998</v>
      </c>
      <c r="AB4865">
        <v>13</v>
      </c>
      <c r="AC4865">
        <v>0.52800000000000502</v>
      </c>
      <c r="AD4865">
        <v>-0.21036759999999999</v>
      </c>
      <c r="AE4865">
        <v>-0.12340000000000299</v>
      </c>
      <c r="AF4865">
        <v>9.4325982161039004E-2</v>
      </c>
      <c r="AG4865">
        <v>-0.21036759999999999</v>
      </c>
      <c r="AH4865">
        <v>0.46175404328073399</v>
      </c>
      <c r="AI4865">
        <v>114.054340216409</v>
      </c>
      <c r="AJ4865">
        <v>78.454603651084</v>
      </c>
      <c r="AK4865">
        <v>0.51610920794586801</v>
      </c>
      <c r="AL4865">
        <v>88.937669600873406</v>
      </c>
      <c r="AM4865">
        <v>88.168863318877698</v>
      </c>
      <c r="AN4865">
        <v>0.99999995164686095</v>
      </c>
    </row>
    <row r="4866" spans="1:40" x14ac:dyDescent="0.3">
      <c r="A4866" t="str">
        <f>"20200111154019346"</f>
        <v>20200111154019346</v>
      </c>
      <c r="B4866" t="str">
        <f>"1578728419335489"</f>
        <v>1578728419335489</v>
      </c>
      <c r="C4866" t="s">
        <v>40</v>
      </c>
      <c r="D4866">
        <v>5.8018809999999998</v>
      </c>
      <c r="E4866">
        <v>0.54365569999999996</v>
      </c>
      <c r="F4866" t="s">
        <v>41</v>
      </c>
      <c r="G4866">
        <v>-118.205</v>
      </c>
      <c r="H4866">
        <v>0.86529310000000004</v>
      </c>
      <c r="I4866">
        <v>143.5112</v>
      </c>
      <c r="J4866">
        <v>-118.7753</v>
      </c>
      <c r="K4866">
        <v>1.1050850000000001</v>
      </c>
      <c r="L4866">
        <v>143.6515</v>
      </c>
      <c r="M4866">
        <v>0.99942019999999998</v>
      </c>
      <c r="N4866">
        <v>0</v>
      </c>
      <c r="O4866">
        <v>-2.8096010000000001E-2</v>
      </c>
      <c r="P4866">
        <v>0.9981527</v>
      </c>
      <c r="Q4866">
        <v>-6.3211660000000005E-4</v>
      </c>
      <c r="R4866">
        <v>-6.075262E-2</v>
      </c>
      <c r="S4866">
        <v>2.9694820000000002</v>
      </c>
      <c r="T4866">
        <v>-0.94672509999999999</v>
      </c>
      <c r="U4866">
        <v>-0.57331849999999995</v>
      </c>
      <c r="V4866">
        <v>3.2680529999999999E-2</v>
      </c>
      <c r="W4866">
        <v>1.8587289999999999E-2</v>
      </c>
      <c r="X4866">
        <v>0.99929299999999999</v>
      </c>
      <c r="Y4866">
        <v>0.15580039999999901</v>
      </c>
      <c r="Z4866">
        <v>-1.5367240000000001E-2</v>
      </c>
      <c r="AA4866">
        <v>0.98766900000000002</v>
      </c>
      <c r="AB4866">
        <v>13</v>
      </c>
      <c r="AC4866">
        <v>0.57030000000000303</v>
      </c>
      <c r="AD4866">
        <v>-0.2397919</v>
      </c>
      <c r="AE4866">
        <v>-0.14029999999999601</v>
      </c>
      <c r="AF4866">
        <v>0.106469681888407</v>
      </c>
      <c r="AG4866">
        <v>-0.2397919</v>
      </c>
      <c r="AH4866">
        <v>0.49199966348901902</v>
      </c>
      <c r="AI4866">
        <v>115.471076634395</v>
      </c>
      <c r="AJ4866">
        <v>77.789365700135207</v>
      </c>
      <c r="AK4866">
        <v>0.557583731237145</v>
      </c>
      <c r="AL4866">
        <v>88.934965400671103</v>
      </c>
      <c r="AM4866">
        <v>88.1268863880846</v>
      </c>
      <c r="AN4866">
        <v>1.0000000021198101</v>
      </c>
    </row>
    <row r="4867" spans="1:40" x14ac:dyDescent="0.3">
      <c r="A4867" t="str">
        <f>"20200111154019381"</f>
        <v>20200111154019381</v>
      </c>
      <c r="B4867" t="str">
        <f>"1578728419375505"</f>
        <v>1578728419375505</v>
      </c>
      <c r="C4867" t="s">
        <v>40</v>
      </c>
      <c r="D4867">
        <v>5.7721619999999998</v>
      </c>
      <c r="E4867">
        <v>0.54368939999999999</v>
      </c>
      <c r="F4867" t="s">
        <v>41</v>
      </c>
      <c r="G4867">
        <v>-118.0792</v>
      </c>
      <c r="H4867">
        <v>0.88492760000000004</v>
      </c>
      <c r="I4867">
        <v>143.51669999999999</v>
      </c>
      <c r="J4867">
        <v>-118.5729</v>
      </c>
      <c r="K4867">
        <v>1.1049500000000001</v>
      </c>
      <c r="L4867">
        <v>143.64580000000001</v>
      </c>
      <c r="M4867">
        <v>0.99943530000000003</v>
      </c>
      <c r="N4867">
        <v>0</v>
      </c>
      <c r="O4867">
        <v>-2.8120559999999999E-2</v>
      </c>
      <c r="P4867">
        <v>0.99816830000000001</v>
      </c>
      <c r="Q4867">
        <v>-9.5483660000000002E-4</v>
      </c>
      <c r="R4867">
        <v>-6.0492240000000003E-2</v>
      </c>
      <c r="S4867">
        <v>2.9699550000000001</v>
      </c>
      <c r="T4867">
        <v>-0.93931480000000001</v>
      </c>
      <c r="U4867">
        <v>-0.57513429999999999</v>
      </c>
      <c r="V4867">
        <v>3.2395210000000001E-2</v>
      </c>
      <c r="W4867">
        <v>1.7425909999999999E-2</v>
      </c>
      <c r="X4867">
        <v>0.99932319999999997</v>
      </c>
      <c r="Y4867">
        <v>0.15639810000000001</v>
      </c>
      <c r="Z4867">
        <v>-1.533348E-2</v>
      </c>
      <c r="AA4867">
        <v>0.98757510000000004</v>
      </c>
      <c r="AB4867">
        <v>13</v>
      </c>
      <c r="AC4867">
        <v>0.49370000000000303</v>
      </c>
      <c r="AD4867">
        <v>-0.22002240000000001</v>
      </c>
      <c r="AE4867">
        <v>-0.129100000000022</v>
      </c>
      <c r="AF4867">
        <v>9.7110508242002E-2</v>
      </c>
      <c r="AG4867">
        <v>-0.22002240000000001</v>
      </c>
      <c r="AH4867">
        <v>0.41920499994295302</v>
      </c>
      <c r="AI4867">
        <v>117.081391445572</v>
      </c>
      <c r="AJ4867">
        <v>76.957263045732603</v>
      </c>
      <c r="AK4867">
        <v>0.48329405054267999</v>
      </c>
      <c r="AL4867">
        <v>89.001518349967299</v>
      </c>
      <c r="AM4867">
        <v>88.143284333102898</v>
      </c>
      <c r="AN4867">
        <v>0.99999998501425602</v>
      </c>
    </row>
    <row r="4868" spans="1:40" x14ac:dyDescent="0.3">
      <c r="A4868" t="str">
        <f>"20200111154019405"</f>
        <v>20200111154019405</v>
      </c>
      <c r="B4868" t="str">
        <f>"1578728419396001"</f>
        <v>1578728419396001</v>
      </c>
      <c r="C4868" t="s">
        <v>40</v>
      </c>
      <c r="D4868">
        <v>5.7822649999999998</v>
      </c>
      <c r="E4868">
        <v>0.54372349999999903</v>
      </c>
      <c r="F4868" t="s">
        <v>41</v>
      </c>
      <c r="G4868">
        <v>-117.84820000000001</v>
      </c>
      <c r="H4868">
        <v>0.87669869999999905</v>
      </c>
      <c r="I4868">
        <v>143.50540000000001</v>
      </c>
      <c r="J4868">
        <v>-118.4241</v>
      </c>
      <c r="K4868">
        <v>1.1048450000000001</v>
      </c>
      <c r="L4868">
        <v>143.64160000000001</v>
      </c>
      <c r="M4868">
        <v>0.99944789999999994</v>
      </c>
      <c r="N4868">
        <v>0</v>
      </c>
      <c r="O4868">
        <v>-2.813889E-2</v>
      </c>
      <c r="P4868">
        <v>0.99818530000000005</v>
      </c>
      <c r="Q4868">
        <v>-1.412932E-3</v>
      </c>
      <c r="R4868">
        <v>-6.0200910000000003E-2</v>
      </c>
      <c r="S4868">
        <v>2.9697420000000001</v>
      </c>
      <c r="T4868">
        <v>-0.93534589999999995</v>
      </c>
      <c r="U4868">
        <v>-0.57550049999999997</v>
      </c>
      <c r="V4868">
        <v>3.2085549999999997E-2</v>
      </c>
      <c r="W4868">
        <v>1.6248769999999999E-2</v>
      </c>
      <c r="X4868">
        <v>0.99935309999999999</v>
      </c>
      <c r="Y4868">
        <v>0.15655369999999999</v>
      </c>
      <c r="Z4868">
        <v>-1.5290730000000001E-2</v>
      </c>
      <c r="AA4868">
        <v>0.98755110000000002</v>
      </c>
      <c r="AB4868">
        <v>13</v>
      </c>
      <c r="AC4868">
        <v>0.57589999999998998</v>
      </c>
      <c r="AD4868">
        <v>-0.2281463</v>
      </c>
      <c r="AE4868">
        <v>-0.13620000000000199</v>
      </c>
      <c r="AF4868">
        <v>0.104418900754296</v>
      </c>
      <c r="AG4868">
        <v>-0.2281463</v>
      </c>
      <c r="AH4868">
        <v>0.50451988663561398</v>
      </c>
      <c r="AI4868">
        <v>113.88472335877501</v>
      </c>
      <c r="AJ4868">
        <v>78.306767434896699</v>
      </c>
      <c r="AK4868">
        <v>0.56346637614789297</v>
      </c>
      <c r="AL4868">
        <v>89.068973142483898</v>
      </c>
      <c r="AM4868">
        <v>88.161075083138797</v>
      </c>
      <c r="AN4868">
        <v>1.00000006176246</v>
      </c>
    </row>
    <row r="4869" spans="1:40" x14ac:dyDescent="0.3">
      <c r="A4869" t="str">
        <f>"20200111154019430"</f>
        <v>20200111154019430</v>
      </c>
      <c r="B4869" t="str">
        <f>"1578728419426257"</f>
        <v>1578728419426257</v>
      </c>
      <c r="C4869" t="s">
        <v>40</v>
      </c>
      <c r="D4869">
        <v>5.7395610000000001</v>
      </c>
      <c r="E4869">
        <v>0.54372169999999997</v>
      </c>
      <c r="F4869" t="s">
        <v>41</v>
      </c>
      <c r="G4869">
        <v>-117.7272</v>
      </c>
      <c r="H4869">
        <v>0.88555720000000004</v>
      </c>
      <c r="I4869">
        <v>143.50630000000001</v>
      </c>
      <c r="J4869">
        <v>-118.28530000000001</v>
      </c>
      <c r="K4869">
        <v>1.1047880000000001</v>
      </c>
      <c r="L4869">
        <v>143.6377</v>
      </c>
      <c r="M4869">
        <v>0.99945799999999996</v>
      </c>
      <c r="N4869">
        <v>0</v>
      </c>
      <c r="O4869">
        <v>-2.8153810000000001E-2</v>
      </c>
      <c r="P4869">
        <v>0.99822730000000004</v>
      </c>
      <c r="Q4869">
        <v>-2.530273E-3</v>
      </c>
      <c r="R4869">
        <v>-5.9465820000000003E-2</v>
      </c>
      <c r="S4869">
        <v>2.9694060000000002</v>
      </c>
      <c r="T4869">
        <v>-0.93439850000000002</v>
      </c>
      <c r="U4869">
        <v>-0.57562259999999998</v>
      </c>
      <c r="V4869">
        <v>3.1334939999999999E-2</v>
      </c>
      <c r="W4869">
        <v>1.453045E-2</v>
      </c>
      <c r="X4869">
        <v>0.99940329999999999</v>
      </c>
      <c r="Y4869">
        <v>0.156608</v>
      </c>
      <c r="Z4869">
        <v>-1.5281319999999999E-2</v>
      </c>
      <c r="AA4869">
        <v>0.98754260000000005</v>
      </c>
      <c r="AB4869">
        <v>13</v>
      </c>
      <c r="AC4869">
        <v>0.55810000000001003</v>
      </c>
      <c r="AD4869">
        <v>-0.219230799999999</v>
      </c>
      <c r="AE4869">
        <v>-0.131399999999985</v>
      </c>
      <c r="AF4869">
        <v>0.10088372967612701</v>
      </c>
      <c r="AG4869">
        <v>-0.219230799999999</v>
      </c>
      <c r="AH4869">
        <v>0.48994806100542598</v>
      </c>
      <c r="AI4869">
        <v>113.666060717059</v>
      </c>
      <c r="AJ4869">
        <v>78.365011901498903</v>
      </c>
      <c r="AK4869">
        <v>0.54615819417544498</v>
      </c>
      <c r="AL4869">
        <v>89.167437228656794</v>
      </c>
      <c r="AM4869">
        <v>88.204156570428907</v>
      </c>
      <c r="AN4869">
        <v>0.99999998424644698</v>
      </c>
    </row>
    <row r="4870" spans="1:40" x14ac:dyDescent="0.3">
      <c r="A4870" t="str">
        <f>"20200111154019458"</f>
        <v>20200111154019458</v>
      </c>
      <c r="B4870" t="str">
        <f>"1578728419445777"</f>
        <v>1578728419445777</v>
      </c>
      <c r="C4870" t="s">
        <v>40</v>
      </c>
      <c r="D4870">
        <v>5.7331149999999997</v>
      </c>
      <c r="E4870">
        <v>0.54369769999999995</v>
      </c>
      <c r="F4870" t="s">
        <v>41</v>
      </c>
      <c r="G4870">
        <v>-117.6079</v>
      </c>
      <c r="H4870">
        <v>0.89131519999999997</v>
      </c>
      <c r="I4870">
        <v>143.5068</v>
      </c>
      <c r="J4870">
        <v>-118.121</v>
      </c>
      <c r="K4870">
        <v>1.104784</v>
      </c>
      <c r="L4870">
        <v>143.63299999999899</v>
      </c>
      <c r="M4870">
        <v>0.99946659999999998</v>
      </c>
      <c r="N4870">
        <v>0</v>
      </c>
      <c r="O4870">
        <v>-2.8169449999999999E-2</v>
      </c>
      <c r="P4870">
        <v>0.99828989999999995</v>
      </c>
      <c r="Q4870">
        <v>-1.0451939999999999E-3</v>
      </c>
      <c r="R4870">
        <v>-5.8451749999999997E-2</v>
      </c>
      <c r="S4870">
        <v>2.968826</v>
      </c>
      <c r="T4870">
        <v>-0.93548410000000004</v>
      </c>
      <c r="U4870">
        <v>-0.57313539999999996</v>
      </c>
      <c r="V4870">
        <v>3.0304129999999999E-2</v>
      </c>
      <c r="W4870">
        <v>1.5477339999999999E-2</v>
      </c>
      <c r="X4870">
        <v>0.99942089999999995</v>
      </c>
      <c r="Y4870">
        <v>0.1558504</v>
      </c>
      <c r="Z4870">
        <v>-1.518196E-2</v>
      </c>
      <c r="AA4870">
        <v>0.98766399999999999</v>
      </c>
      <c r="AB4870">
        <v>13</v>
      </c>
      <c r="AC4870">
        <v>0.51310000000000799</v>
      </c>
      <c r="AD4870">
        <v>-0.21346879999999999</v>
      </c>
      <c r="AE4870">
        <v>-0.12619999999998299</v>
      </c>
      <c r="AF4870">
        <v>9.60220753468536E-2</v>
      </c>
      <c r="AG4870">
        <v>-0.21346879999999999</v>
      </c>
      <c r="AH4870">
        <v>0.44398705572913799</v>
      </c>
      <c r="AI4870">
        <v>115.170469524732</v>
      </c>
      <c r="AJ4870">
        <v>77.796464708335805</v>
      </c>
      <c r="AK4870">
        <v>0.50191002498693504</v>
      </c>
      <c r="AL4870">
        <v>89.113178341952207</v>
      </c>
      <c r="AM4870">
        <v>88.263227311264799</v>
      </c>
      <c r="AN4870">
        <v>1.00000001185267</v>
      </c>
    </row>
    <row r="4871" spans="1:40" x14ac:dyDescent="0.3">
      <c r="A4871" t="str">
        <f>"20200111154019503"</f>
        <v>20200111154019503</v>
      </c>
      <c r="B4871" t="str">
        <f>"1578728419495553"</f>
        <v>1578728419495553</v>
      </c>
      <c r="C4871" t="s">
        <v>40</v>
      </c>
      <c r="D4871">
        <v>5.7292290000000001</v>
      </c>
      <c r="E4871">
        <v>0.54367929999999998</v>
      </c>
      <c r="F4871" t="s">
        <v>41</v>
      </c>
      <c r="G4871">
        <v>-117.3826</v>
      </c>
      <c r="H4871">
        <v>0.87363609999999903</v>
      </c>
      <c r="I4871">
        <v>143.4914</v>
      </c>
      <c r="J4871">
        <v>-117.86069999999999</v>
      </c>
      <c r="K4871">
        <v>1.1047979999999999</v>
      </c>
      <c r="L4871">
        <v>143.62569999999999</v>
      </c>
      <c r="M4871">
        <v>0.99947699999999995</v>
      </c>
      <c r="N4871">
        <v>0</v>
      </c>
      <c r="O4871">
        <v>-2.819547E-2</v>
      </c>
      <c r="P4871">
        <v>0.99828969999999995</v>
      </c>
      <c r="Q4871">
        <v>8.8980979999999895E-4</v>
      </c>
      <c r="R4871">
        <v>-5.8454560000000003E-2</v>
      </c>
      <c r="S4871">
        <v>2.970825</v>
      </c>
      <c r="T4871">
        <v>-0.92996939999999995</v>
      </c>
      <c r="U4871">
        <v>-0.56958009999999903</v>
      </c>
      <c r="V4871">
        <v>3.028134E-2</v>
      </c>
      <c r="W4871">
        <v>1.6720769999999999E-2</v>
      </c>
      <c r="X4871">
        <v>0.9994016</v>
      </c>
      <c r="Y4871">
        <v>0.15469059999999901</v>
      </c>
      <c r="Z4871">
        <v>-1.490489E-2</v>
      </c>
      <c r="AA4871">
        <v>0.98785049999999996</v>
      </c>
      <c r="AB4871">
        <v>13</v>
      </c>
      <c r="AC4871">
        <v>0.47809999999999703</v>
      </c>
      <c r="AD4871">
        <v>-0.2311619</v>
      </c>
      <c r="AE4871">
        <v>-0.13429999999999601</v>
      </c>
      <c r="AF4871">
        <v>9.9257842324595003E-2</v>
      </c>
      <c r="AG4871">
        <v>-0.2311619</v>
      </c>
      <c r="AH4871">
        <v>0.39591226050362999</v>
      </c>
      <c r="AI4871">
        <v>119.524799435361</v>
      </c>
      <c r="AJ4871">
        <v>75.9256556710571</v>
      </c>
      <c r="AK4871">
        <v>0.46907831040417802</v>
      </c>
      <c r="AL4871">
        <v>89.041925850290298</v>
      </c>
      <c r="AM4871">
        <v>88.264499145387703</v>
      </c>
      <c r="AN4871">
        <v>1.0000000508920699</v>
      </c>
    </row>
    <row r="4872" spans="1:40" x14ac:dyDescent="0.3">
      <c r="A4872" t="str">
        <f>"20200111154019538"</f>
        <v>20200111154019538</v>
      </c>
      <c r="B4872" t="str">
        <f>"1578728419526395"</f>
        <v>1578728419526395</v>
      </c>
      <c r="C4872" t="s">
        <v>40</v>
      </c>
      <c r="D4872">
        <v>5.7216420000000001</v>
      </c>
      <c r="E4872">
        <v>0.54369209999999901</v>
      </c>
      <c r="F4872" t="s">
        <v>41</v>
      </c>
      <c r="G4872">
        <v>-117.14660000000001</v>
      </c>
      <c r="H4872">
        <v>0.8833742</v>
      </c>
      <c r="I4872">
        <v>143.489</v>
      </c>
      <c r="J4872">
        <v>-117.6588</v>
      </c>
      <c r="K4872">
        <v>1.104803</v>
      </c>
      <c r="L4872">
        <v>143.6199</v>
      </c>
      <c r="M4872">
        <v>0.99948389999999998</v>
      </c>
      <c r="N4872">
        <v>0</v>
      </c>
      <c r="O4872">
        <v>-2.821738E-2</v>
      </c>
      <c r="P4872">
        <v>0.99826939999999997</v>
      </c>
      <c r="Q4872">
        <v>7.8198869999999998E-4</v>
      </c>
      <c r="R4872">
        <v>-5.8802260000000002E-2</v>
      </c>
      <c r="S4872">
        <v>2.9726560000000002</v>
      </c>
      <c r="T4872">
        <v>-0.92183539999999997</v>
      </c>
      <c r="U4872">
        <v>-0.56855769999999906</v>
      </c>
      <c r="V4872">
        <v>3.060767E-2</v>
      </c>
      <c r="W4872">
        <v>1.612481E-2</v>
      </c>
      <c r="X4872">
        <v>0.9994014</v>
      </c>
      <c r="Y4872">
        <v>0.15435099999999999</v>
      </c>
      <c r="Z4872">
        <v>-1.4714609999999999E-2</v>
      </c>
      <c r="AA4872">
        <v>0.98790650000000002</v>
      </c>
      <c r="AB4872">
        <v>13</v>
      </c>
      <c r="AC4872">
        <v>0.512199999999992</v>
      </c>
      <c r="AD4872">
        <v>-0.22142880000000001</v>
      </c>
      <c r="AE4872">
        <v>-0.13089999999999599</v>
      </c>
      <c r="AF4872">
        <v>9.9021550637630504E-2</v>
      </c>
      <c r="AG4872">
        <v>-0.22142880000000001</v>
      </c>
      <c r="AH4872">
        <v>0.43872343055267798</v>
      </c>
      <c r="AI4872">
        <v>116.212279204794</v>
      </c>
      <c r="AJ4872">
        <v>77.2812399540813</v>
      </c>
      <c r="AK4872">
        <v>0.50131250680192596</v>
      </c>
      <c r="AL4872">
        <v>89.076076399192203</v>
      </c>
      <c r="AM4872">
        <v>88.245807612821395</v>
      </c>
      <c r="AN4872">
        <v>0.99999999864116196</v>
      </c>
    </row>
    <row r="4873" spans="1:40" x14ac:dyDescent="0.3">
      <c r="A4873" t="str">
        <f>"20200111154019562"</f>
        <v>20200111154019562</v>
      </c>
      <c r="B4873" t="str">
        <f>"1578728419555674"</f>
        <v>1578728419555674</v>
      </c>
      <c r="C4873" t="s">
        <v>40</v>
      </c>
      <c r="D4873">
        <v>5.6725529999999997</v>
      </c>
      <c r="E4873">
        <v>0.51280590000000004</v>
      </c>
      <c r="F4873" t="s">
        <v>41</v>
      </c>
      <c r="G4873">
        <v>-116.91889999999999</v>
      </c>
      <c r="H4873">
        <v>0.87550699999999904</v>
      </c>
      <c r="I4873">
        <v>143.47810000000001</v>
      </c>
      <c r="J4873">
        <v>-117.51779999999999</v>
      </c>
      <c r="K4873">
        <v>1.1048089999999999</v>
      </c>
      <c r="L4873">
        <v>143.61600000000001</v>
      </c>
      <c r="M4873">
        <v>0.99948769999999998</v>
      </c>
      <c r="N4873">
        <v>0</v>
      </c>
      <c r="O4873">
        <v>-2.8232279999999998E-2</v>
      </c>
      <c r="P4873">
        <v>0.99825439999999999</v>
      </c>
      <c r="Q4873">
        <v>6.4718909999999998E-4</v>
      </c>
      <c r="R4873">
        <v>-5.905763E-2</v>
      </c>
      <c r="S4873">
        <v>2.9723660000000001</v>
      </c>
      <c r="T4873">
        <v>-0.92111209999999999</v>
      </c>
      <c r="U4873">
        <v>-0.56964110000000001</v>
      </c>
      <c r="V4873">
        <v>3.0848549999999999E-2</v>
      </c>
      <c r="W4873">
        <v>1.571668E-2</v>
      </c>
      <c r="X4873">
        <v>0.99940050000000002</v>
      </c>
      <c r="Y4873">
        <v>0.15469479999999999</v>
      </c>
      <c r="Z4873">
        <v>-1.475164E-2</v>
      </c>
      <c r="AA4873">
        <v>0.98785219999999896</v>
      </c>
      <c r="AB4873">
        <v>13</v>
      </c>
      <c r="AC4873">
        <v>0.59889999999999999</v>
      </c>
      <c r="AD4873">
        <v>-0.22930200000000001</v>
      </c>
      <c r="AE4873">
        <v>-0.13790000000000099</v>
      </c>
      <c r="AF4873">
        <v>0.10615667940509101</v>
      </c>
      <c r="AG4873">
        <v>-0.22930200000000001</v>
      </c>
      <c r="AH4873">
        <v>0.52892330804647802</v>
      </c>
      <c r="AI4873">
        <v>113.027899911091</v>
      </c>
      <c r="AJ4873">
        <v>78.651323789851503</v>
      </c>
      <c r="AK4873">
        <v>0.58618129753613302</v>
      </c>
      <c r="AL4873">
        <v>89.099463494167594</v>
      </c>
      <c r="AM4873">
        <v>88.232009390534003</v>
      </c>
      <c r="AN4873">
        <v>1.0000000032337799</v>
      </c>
    </row>
    <row r="4874" spans="1:40" x14ac:dyDescent="0.3">
      <c r="A4874" t="str">
        <f>"20200111154019592"</f>
        <v>20200111154019592</v>
      </c>
      <c r="B4874" t="str">
        <f>"1578728419585930"</f>
        <v>1578728419585930</v>
      </c>
      <c r="C4874" t="s">
        <v>40</v>
      </c>
      <c r="D4874">
        <v>5.8880229999999996</v>
      </c>
      <c r="E4874">
        <v>0.50937379999999999</v>
      </c>
      <c r="F4874" t="s">
        <v>41</v>
      </c>
      <c r="G4874">
        <v>-116.7908</v>
      </c>
      <c r="H4874">
        <v>0.90515959999999995</v>
      </c>
      <c r="I4874">
        <v>143.53819999999999</v>
      </c>
      <c r="J4874">
        <v>-117.34569999999999</v>
      </c>
      <c r="K4874">
        <v>1.1048249999999999</v>
      </c>
      <c r="L4874">
        <v>143.61109999999999</v>
      </c>
      <c r="M4874">
        <v>0.99949129999999997</v>
      </c>
      <c r="N4874">
        <v>0</v>
      </c>
      <c r="O4874">
        <v>-2.8249980000000001E-2</v>
      </c>
      <c r="P4874">
        <v>0.99833539999999998</v>
      </c>
      <c r="Q4874">
        <v>3.9902699999999999E-4</v>
      </c>
      <c r="R4874">
        <v>-5.76775E-2</v>
      </c>
      <c r="S4874">
        <v>2.9868929999999998</v>
      </c>
      <c r="T4874">
        <v>-0.82027600000000001</v>
      </c>
      <c r="U4874">
        <v>-0.31932070000000001</v>
      </c>
      <c r="V4874">
        <v>2.944915E-2</v>
      </c>
      <c r="W4874">
        <v>1.5198420000000001E-2</v>
      </c>
      <c r="X4874">
        <v>0.99945070000000003</v>
      </c>
      <c r="Y4874">
        <v>7.6404310000000003E-2</v>
      </c>
      <c r="Z4874">
        <v>-2.6789679999999999E-3</v>
      </c>
      <c r="AA4874">
        <v>0.99707330000000005</v>
      </c>
      <c r="AB4874">
        <v>13</v>
      </c>
      <c r="AC4874">
        <v>0.55489999999998896</v>
      </c>
      <c r="AD4874">
        <v>-0.19966539999999999</v>
      </c>
      <c r="AE4874">
        <v>-7.29000000000041E-2</v>
      </c>
      <c r="AF4874">
        <v>5.0735842578319701E-2</v>
      </c>
      <c r="AG4874">
        <v>-0.19966539999999999</v>
      </c>
      <c r="AH4874">
        <v>0.49387943272719298</v>
      </c>
      <c r="AI4874">
        <v>111.908173450268</v>
      </c>
      <c r="AJ4874">
        <v>84.134625247954105</v>
      </c>
      <c r="AK4874">
        <v>0.53512362286692805</v>
      </c>
      <c r="AL4874">
        <v>89.129161126952994</v>
      </c>
      <c r="AM4874">
        <v>88.312248970356805</v>
      </c>
      <c r="AN4874">
        <v>0.99999997306835398</v>
      </c>
    </row>
    <row r="4875" spans="1:40" x14ac:dyDescent="0.3">
      <c r="A4875" t="str">
        <f>"20200111154019637"</f>
        <v>20200111154019637</v>
      </c>
      <c r="B4875" t="str">
        <f>"1578728419625947"</f>
        <v>1578728419625947</v>
      </c>
      <c r="C4875" t="s">
        <v>40</v>
      </c>
      <c r="D4875">
        <v>5.8234769999999996</v>
      </c>
      <c r="E4875">
        <v>0.50861789999999996</v>
      </c>
      <c r="F4875" t="s">
        <v>41</v>
      </c>
      <c r="G4875">
        <v>-116.66670000000001</v>
      </c>
      <c r="H4875">
        <v>0.92371829999999999</v>
      </c>
      <c r="I4875">
        <v>143.54580000000001</v>
      </c>
      <c r="J4875">
        <v>-117.089</v>
      </c>
      <c r="K4875">
        <v>1.1048249999999999</v>
      </c>
      <c r="L4875">
        <v>143.60380000000001</v>
      </c>
      <c r="M4875">
        <v>0.99949529999999998</v>
      </c>
      <c r="N4875">
        <v>0</v>
      </c>
      <c r="O4875">
        <v>-2.8276740000000002E-2</v>
      </c>
      <c r="P4875">
        <v>0.99845620000000002</v>
      </c>
      <c r="Q4875">
        <v>9.7579510000000004E-4</v>
      </c>
      <c r="R4875">
        <v>-5.553988E-2</v>
      </c>
      <c r="S4875">
        <v>2.9887239999999999</v>
      </c>
      <c r="T4875">
        <v>-0.79718979999999995</v>
      </c>
      <c r="U4875">
        <v>-0.28721619999999998</v>
      </c>
      <c r="V4875">
        <v>2.728239E-2</v>
      </c>
      <c r="W4875">
        <v>1.5451589999999999E-2</v>
      </c>
      <c r="X4875">
        <v>0.99950830000000002</v>
      </c>
      <c r="Y4875">
        <v>6.6159239999999994E-2</v>
      </c>
      <c r="Z4875">
        <v>-1.2587659999999999E-3</v>
      </c>
      <c r="AA4875">
        <v>0.99780829999999998</v>
      </c>
      <c r="AB4875">
        <v>13</v>
      </c>
      <c r="AC4875">
        <v>0.42229999999999202</v>
      </c>
      <c r="AD4875">
        <v>-0.18110669999999901</v>
      </c>
      <c r="AE4875">
        <v>-5.7999999999992703E-2</v>
      </c>
      <c r="AF4875">
        <v>3.8995117304653701E-2</v>
      </c>
      <c r="AG4875">
        <v>-0.18110669999999901</v>
      </c>
      <c r="AH4875">
        <v>0.35897185766836298</v>
      </c>
      <c r="AI4875">
        <v>116.636711559788</v>
      </c>
      <c r="AJ4875">
        <v>83.800269098626302</v>
      </c>
      <c r="AK4875">
        <v>0.40395674342232402</v>
      </c>
      <c r="AL4875">
        <v>89.114653839771194</v>
      </c>
      <c r="AM4875">
        <v>88.436453446798197</v>
      </c>
      <c r="AN4875">
        <v>0.99999996110326395</v>
      </c>
    </row>
    <row r="4876" spans="1:40" x14ac:dyDescent="0.3">
      <c r="A4876" t="str">
        <f>"20200111154019668"</f>
        <v>20200111154019668</v>
      </c>
      <c r="B4876" t="str">
        <f>"1578728419656203"</f>
        <v>1578728419656203</v>
      </c>
      <c r="C4876" t="s">
        <v>40</v>
      </c>
      <c r="D4876">
        <v>5.883235</v>
      </c>
      <c r="E4876">
        <v>0.50866979999999995</v>
      </c>
      <c r="F4876" t="s">
        <v>41</v>
      </c>
      <c r="G4876">
        <v>-116.3318</v>
      </c>
      <c r="H4876">
        <v>0.90585729999999998</v>
      </c>
      <c r="I4876">
        <v>143.53460000000001</v>
      </c>
      <c r="J4876">
        <v>-116.9113</v>
      </c>
      <c r="K4876">
        <v>1.1048199999999999</v>
      </c>
      <c r="L4876">
        <v>143.59870000000001</v>
      </c>
      <c r="M4876">
        <v>0.99949719999999997</v>
      </c>
      <c r="N4876">
        <v>0</v>
      </c>
      <c r="O4876">
        <v>-2.8295609999999999E-2</v>
      </c>
      <c r="P4876">
        <v>0.99849750000000004</v>
      </c>
      <c r="Q4876">
        <v>7.6428059999999998E-4</v>
      </c>
      <c r="R4876">
        <v>-5.4791100000000002E-2</v>
      </c>
      <c r="S4876">
        <v>2.9902039999999999</v>
      </c>
      <c r="T4876">
        <v>-0.78566499999999995</v>
      </c>
      <c r="U4876">
        <v>-0.27322390000000002</v>
      </c>
      <c r="V4876">
        <v>2.651396E-2</v>
      </c>
      <c r="W4876">
        <v>1.5059680000000001E-2</v>
      </c>
      <c r="X4876">
        <v>0.99953499999999995</v>
      </c>
      <c r="Y4876">
        <v>6.1653989999999999E-2</v>
      </c>
      <c r="Z4876">
        <v>-6.5502849999999897E-4</v>
      </c>
      <c r="AA4876">
        <v>0.99809740000000002</v>
      </c>
      <c r="AB4876">
        <v>13</v>
      </c>
      <c r="AC4876">
        <v>0.57949999999999502</v>
      </c>
      <c r="AD4876">
        <v>-0.19896269999999999</v>
      </c>
      <c r="AE4876">
        <v>-6.4099999999996202E-2</v>
      </c>
      <c r="AF4876">
        <v>4.2702464490720703E-2</v>
      </c>
      <c r="AG4876">
        <v>-0.19896269999999999</v>
      </c>
      <c r="AH4876">
        <v>0.52047085394955295</v>
      </c>
      <c r="AI4876">
        <v>110.856552794428</v>
      </c>
      <c r="AJ4876">
        <v>85.309625694127902</v>
      </c>
      <c r="AK4876">
        <v>0.55883769224690605</v>
      </c>
      <c r="AL4876">
        <v>89.137111276873796</v>
      </c>
      <c r="AM4876">
        <v>88.480511592296594</v>
      </c>
      <c r="AN4876">
        <v>1.00000000013079</v>
      </c>
    </row>
    <row r="4877" spans="1:40" x14ac:dyDescent="0.3">
      <c r="A4877" t="str">
        <f>"20200111154019705"</f>
        <v>20200111154019705</v>
      </c>
      <c r="B4877" t="str">
        <f>"1578728419696219"</f>
        <v>1578728419696219</v>
      </c>
      <c r="C4877" t="s">
        <v>40</v>
      </c>
      <c r="D4877">
        <v>5.8785699999999999</v>
      </c>
      <c r="E4877">
        <v>0.50863720000000001</v>
      </c>
      <c r="F4877" t="s">
        <v>41</v>
      </c>
      <c r="G4877">
        <v>-116.2106</v>
      </c>
      <c r="H4877">
        <v>0.92137279999999999</v>
      </c>
      <c r="I4877">
        <v>143.5352</v>
      </c>
      <c r="J4877">
        <v>-116.7072</v>
      </c>
      <c r="K4877">
        <v>1.104822</v>
      </c>
      <c r="L4877">
        <v>143.59289999999999</v>
      </c>
      <c r="M4877">
        <v>0.99949909999999997</v>
      </c>
      <c r="N4877">
        <v>0</v>
      </c>
      <c r="O4877">
        <v>-2.831699E-2</v>
      </c>
      <c r="P4877">
        <v>0.99862930000000005</v>
      </c>
      <c r="Q4877">
        <v>2.0434890000000001E-4</v>
      </c>
      <c r="R4877">
        <v>-5.2341159999999998E-2</v>
      </c>
      <c r="S4877">
        <v>2.9902500000000001</v>
      </c>
      <c r="T4877">
        <v>-0.78288719999999901</v>
      </c>
      <c r="U4877">
        <v>-0.27090449999999999</v>
      </c>
      <c r="V4877">
        <v>2.4039680000000001E-2</v>
      </c>
      <c r="W4877">
        <v>1.433449E-2</v>
      </c>
      <c r="X4877">
        <v>0.99960819999999995</v>
      </c>
      <c r="Y4877">
        <v>6.0897239999999998E-2</v>
      </c>
      <c r="Z4877">
        <v>-5.5007679999999998E-4</v>
      </c>
      <c r="AA4877">
        <v>0.99814389999999997</v>
      </c>
      <c r="AB4877">
        <v>13</v>
      </c>
      <c r="AC4877">
        <v>0.49659999999999999</v>
      </c>
      <c r="AD4877">
        <v>-0.18344919999999901</v>
      </c>
      <c r="AE4877">
        <v>-5.7699999999982703E-2</v>
      </c>
      <c r="AF4877">
        <v>3.8437736970052198E-2</v>
      </c>
      <c r="AG4877">
        <v>-0.18344919999999901</v>
      </c>
      <c r="AH4877">
        <v>0.43893403337595899</v>
      </c>
      <c r="AI4877">
        <v>112.60436282345999</v>
      </c>
      <c r="AJ4877">
        <v>84.995338449303802</v>
      </c>
      <c r="AK4877">
        <v>0.47727785854751997</v>
      </c>
      <c r="AL4877">
        <v>89.178666066529004</v>
      </c>
      <c r="AM4877">
        <v>88.622353479827893</v>
      </c>
      <c r="AN4877">
        <v>0.99999996866264995</v>
      </c>
    </row>
    <row r="4878" spans="1:40" x14ac:dyDescent="0.3">
      <c r="A4878" t="str">
        <f>"20200111154019748"</f>
        <v>20200111154019748</v>
      </c>
      <c r="B4878" t="str">
        <f>"1578728419736065"</f>
        <v>1578728419736065</v>
      </c>
      <c r="C4878" t="s">
        <v>40</v>
      </c>
      <c r="D4878">
        <v>5.6151559999999998</v>
      </c>
      <c r="E4878">
        <v>0.50895049999999997</v>
      </c>
      <c r="F4878" t="s">
        <v>41</v>
      </c>
      <c r="G4878">
        <v>-115.9858</v>
      </c>
      <c r="H4878">
        <v>0.91632950000000002</v>
      </c>
      <c r="I4878">
        <v>143.52930000000001</v>
      </c>
      <c r="J4878">
        <v>-116.4575</v>
      </c>
      <c r="K4878">
        <v>1.1048249999999999</v>
      </c>
      <c r="L4878">
        <v>143.58580000000001</v>
      </c>
      <c r="M4878">
        <v>0.99950059999999996</v>
      </c>
      <c r="N4878">
        <v>0</v>
      </c>
      <c r="O4878">
        <v>-2.834308E-2</v>
      </c>
      <c r="P4878">
        <v>0.99867550000000005</v>
      </c>
      <c r="Q4878">
        <v>1.121569E-3</v>
      </c>
      <c r="R4878">
        <v>-5.1440369999999999E-2</v>
      </c>
      <c r="S4878">
        <v>2.9904480000000002</v>
      </c>
      <c r="T4878">
        <v>-0.78131099999999998</v>
      </c>
      <c r="U4878">
        <v>-0.26367190000000001</v>
      </c>
      <c r="V4878">
        <v>2.3112170000000001E-2</v>
      </c>
      <c r="W4878">
        <v>1.509258E-2</v>
      </c>
      <c r="X4878">
        <v>0.99961889999999998</v>
      </c>
      <c r="Y4878">
        <v>5.8553189999999998E-2</v>
      </c>
      <c r="Z4878">
        <v>-2.4169170000000001E-4</v>
      </c>
      <c r="AA4878">
        <v>0.99828430000000001</v>
      </c>
      <c r="AB4878">
        <v>13</v>
      </c>
      <c r="AC4878">
        <v>0.47169999999999801</v>
      </c>
      <c r="AD4878">
        <v>-0.18849549999999901</v>
      </c>
      <c r="AE4878">
        <v>-5.6499999999999703E-2</v>
      </c>
      <c r="AF4878">
        <v>3.7243386904210897E-2</v>
      </c>
      <c r="AG4878">
        <v>-0.18849549999999901</v>
      </c>
      <c r="AH4878">
        <v>0.40876128570096099</v>
      </c>
      <c r="AI4878">
        <v>114.666295123214</v>
      </c>
      <c r="AJ4878">
        <v>84.793995076387802</v>
      </c>
      <c r="AK4878">
        <v>0.45166736884155101</v>
      </c>
      <c r="AL4878">
        <v>89.135225989673501</v>
      </c>
      <c r="AM4878">
        <v>88.675501330335393</v>
      </c>
      <c r="AN4878">
        <v>0.99999995180518597</v>
      </c>
    </row>
    <row r="4879" spans="1:40" x14ac:dyDescent="0.3">
      <c r="A4879" t="str">
        <f>"20200111154019816"</f>
        <v>20200111154019816</v>
      </c>
      <c r="B4879" t="str">
        <f>"1578728419806337"</f>
        <v>1578728419806337</v>
      </c>
      <c r="C4879" t="s">
        <v>40</v>
      </c>
      <c r="D4879">
        <v>5.6603599999999998</v>
      </c>
      <c r="E4879">
        <v>0.50952730000000002</v>
      </c>
      <c r="F4879" t="s">
        <v>41</v>
      </c>
      <c r="G4879">
        <v>-115.7565</v>
      </c>
      <c r="H4879">
        <v>0.92320389999999997</v>
      </c>
      <c r="I4879">
        <v>143.52449999999999</v>
      </c>
      <c r="J4879">
        <v>-116.0778</v>
      </c>
      <c r="K4879">
        <v>1.104814</v>
      </c>
      <c r="L4879">
        <v>143.57499999999999</v>
      </c>
      <c r="M4879">
        <v>0.99950190000000005</v>
      </c>
      <c r="N4879">
        <v>0</v>
      </c>
      <c r="O4879">
        <v>-2.8383269999999999E-2</v>
      </c>
      <c r="P4879">
        <v>0.99870110000000001</v>
      </c>
      <c r="Q4879">
        <v>6.6613589999999997E-4</v>
      </c>
      <c r="R4879">
        <v>-5.0952400000000002E-2</v>
      </c>
      <c r="S4879">
        <v>2.9913639999999999</v>
      </c>
      <c r="T4879">
        <v>-0.77505780000000002</v>
      </c>
      <c r="U4879">
        <v>-0.2616272</v>
      </c>
      <c r="V4879">
        <v>2.2583269999999999E-2</v>
      </c>
      <c r="W4879">
        <v>1.446513E-2</v>
      </c>
      <c r="X4879">
        <v>0.99964030000000004</v>
      </c>
      <c r="Y4879">
        <v>5.7849879999999999E-2</v>
      </c>
      <c r="Z4879">
        <v>-1.4006580000000001E-4</v>
      </c>
      <c r="AA4879">
        <v>0.99832529999999997</v>
      </c>
      <c r="AB4879">
        <v>13</v>
      </c>
      <c r="AC4879">
        <v>0.32129999999999298</v>
      </c>
      <c r="AD4879">
        <v>-0.181610099999999</v>
      </c>
      <c r="AE4879">
        <v>-5.0499999999999497E-2</v>
      </c>
      <c r="AF4879">
        <v>3.1528888974507202E-2</v>
      </c>
      <c r="AG4879">
        <v>-0.181610099999999</v>
      </c>
      <c r="AH4879">
        <v>0.24592683245895</v>
      </c>
      <c r="AI4879">
        <v>126.22191837616</v>
      </c>
      <c r="AJ4879">
        <v>82.694284500512495</v>
      </c>
      <c r="AK4879">
        <v>0.30733744676701702</v>
      </c>
      <c r="AL4879">
        <v>89.171180184469094</v>
      </c>
      <c r="AM4879">
        <v>88.705828488041902</v>
      </c>
      <c r="AN4879">
        <v>0.99999998672694901</v>
      </c>
    </row>
    <row r="4880" spans="1:40" x14ac:dyDescent="0.3">
      <c r="A4880" t="str">
        <f>"20200111154019860"</f>
        <v>20200111154019860</v>
      </c>
      <c r="B4880" t="str">
        <f>"1578728419856113"</f>
        <v>1578728419856113</v>
      </c>
      <c r="C4880" t="s">
        <v>40</v>
      </c>
      <c r="D4880">
        <v>5.5410870000000001</v>
      </c>
      <c r="E4880">
        <v>0.50967829999999903</v>
      </c>
      <c r="F4880" t="s">
        <v>41</v>
      </c>
      <c r="G4880">
        <v>-115.31480000000001</v>
      </c>
      <c r="H4880">
        <v>0.90730500000000003</v>
      </c>
      <c r="I4880">
        <v>143.5078</v>
      </c>
      <c r="J4880">
        <v>-115.83150000000001</v>
      </c>
      <c r="K4880">
        <v>1.1047929999999999</v>
      </c>
      <c r="L4880">
        <v>143.56790000000001</v>
      </c>
      <c r="M4880">
        <v>0.99950220000000001</v>
      </c>
      <c r="N4880">
        <v>0</v>
      </c>
      <c r="O4880">
        <v>-2.8409090000000001E-2</v>
      </c>
      <c r="P4880">
        <v>0.99867450000000002</v>
      </c>
      <c r="Q4880">
        <v>8.4008279999999997E-4</v>
      </c>
      <c r="R4880">
        <v>-5.1469639999999997E-2</v>
      </c>
      <c r="S4880">
        <v>2.9909970000000001</v>
      </c>
      <c r="T4880">
        <v>-0.77431190000000005</v>
      </c>
      <c r="U4880">
        <v>-0.26329039999999998</v>
      </c>
      <c r="V4880">
        <v>2.3075399999999999E-2</v>
      </c>
      <c r="W4880">
        <v>1.456096E-2</v>
      </c>
      <c r="X4880">
        <v>0.99962770000000001</v>
      </c>
      <c r="Y4880">
        <v>5.8371069999999997E-2</v>
      </c>
      <c r="Z4880">
        <v>-1.9966020000000001E-4</v>
      </c>
      <c r="AA4880">
        <v>0.99829489999999999</v>
      </c>
      <c r="AB4880">
        <v>13</v>
      </c>
      <c r="AC4880">
        <v>0.51670000000000005</v>
      </c>
      <c r="AD4880">
        <v>-0.197488</v>
      </c>
      <c r="AE4880">
        <v>-6.0100000000005503E-2</v>
      </c>
      <c r="AF4880">
        <v>3.9676607270827599E-2</v>
      </c>
      <c r="AG4880">
        <v>-0.197488</v>
      </c>
      <c r="AH4880">
        <v>0.45291782904397898</v>
      </c>
      <c r="AI4880">
        <v>113.478748535451</v>
      </c>
      <c r="AJ4880">
        <v>84.993543183588599</v>
      </c>
      <c r="AK4880">
        <v>0.49569174208819999</v>
      </c>
      <c r="AL4880">
        <v>89.165688976870499</v>
      </c>
      <c r="AM4880">
        <v>88.6776194123224</v>
      </c>
      <c r="AN4880">
        <v>1.00000001712428</v>
      </c>
    </row>
    <row r="4881" spans="1:40" x14ac:dyDescent="0.3">
      <c r="A4881" t="str">
        <f>"20200111154019905"</f>
        <v>20200111154019905</v>
      </c>
      <c r="B4881" t="str">
        <f>"1578728419896132"</f>
        <v>1578728419896132</v>
      </c>
      <c r="C4881" t="s">
        <v>40</v>
      </c>
      <c r="D4881">
        <v>5.6614040000000001</v>
      </c>
      <c r="E4881">
        <v>0.51048640000000001</v>
      </c>
      <c r="F4881" t="s">
        <v>41</v>
      </c>
      <c r="G4881">
        <v>-115.08929999999999</v>
      </c>
      <c r="H4881">
        <v>0.91279109999999997</v>
      </c>
      <c r="I4881">
        <v>143.50139999999999</v>
      </c>
      <c r="J4881">
        <v>-115.57980000000001</v>
      </c>
      <c r="K4881">
        <v>1.104768</v>
      </c>
      <c r="L4881">
        <v>143.5608</v>
      </c>
      <c r="M4881">
        <v>0.99950240000000001</v>
      </c>
      <c r="N4881">
        <v>0</v>
      </c>
      <c r="O4881">
        <v>-2.8435510000000001E-2</v>
      </c>
      <c r="P4881">
        <v>0.9986891</v>
      </c>
      <c r="Q4881">
        <v>-1.456482E-3</v>
      </c>
      <c r="R4881">
        <v>-5.1168489999999997E-2</v>
      </c>
      <c r="S4881">
        <v>2.9908450000000002</v>
      </c>
      <c r="T4881">
        <v>-0.77379419999999899</v>
      </c>
      <c r="U4881">
        <v>-0.26779170000000002</v>
      </c>
      <c r="V4881">
        <v>2.274748E-2</v>
      </c>
      <c r="W4881">
        <v>1.220417E-2</v>
      </c>
      <c r="X4881">
        <v>0.99966679999999997</v>
      </c>
      <c r="Y4881">
        <v>5.9795550000000003E-2</v>
      </c>
      <c r="Z4881">
        <v>-3.738115E-4</v>
      </c>
      <c r="AA4881">
        <v>0.9982105</v>
      </c>
      <c r="AB4881">
        <v>12</v>
      </c>
      <c r="AC4881">
        <v>0.49050000000001098</v>
      </c>
      <c r="AD4881">
        <v>-0.19197690000000001</v>
      </c>
      <c r="AE4881">
        <v>-5.9400000000010701E-2</v>
      </c>
      <c r="AF4881">
        <v>3.9468422663045198E-2</v>
      </c>
      <c r="AG4881">
        <v>-0.19197690000000001</v>
      </c>
      <c r="AH4881">
        <v>0.42745674865444599</v>
      </c>
      <c r="AI4881">
        <v>114.09476273285399</v>
      </c>
      <c r="AJ4881">
        <v>84.7246584726945</v>
      </c>
      <c r="AK4881">
        <v>0.470246912261366</v>
      </c>
      <c r="AL4881">
        <v>89.300735242705102</v>
      </c>
      <c r="AM4881">
        <v>88.696455943144301</v>
      </c>
      <c r="AN4881">
        <v>1.0000000503169799</v>
      </c>
    </row>
    <row r="4882" spans="1:40" x14ac:dyDescent="0.3">
      <c r="A4882" t="str">
        <f>"20200111154019938"</f>
        <v>20200111154019938</v>
      </c>
      <c r="B4882" t="str">
        <f>"1578728419925807"</f>
        <v>1578728419925807</v>
      </c>
      <c r="C4882" t="s">
        <v>40</v>
      </c>
      <c r="D4882">
        <v>5.682277</v>
      </c>
      <c r="E4882">
        <v>0.51067359999999995</v>
      </c>
      <c r="F4882" t="s">
        <v>41</v>
      </c>
      <c r="G4882">
        <v>-114.86490000000001</v>
      </c>
      <c r="H4882">
        <v>0.91796520000000004</v>
      </c>
      <c r="I4882">
        <v>143.49520000000001</v>
      </c>
      <c r="J4882">
        <v>-115.3984</v>
      </c>
      <c r="K4882">
        <v>1.104754</v>
      </c>
      <c r="L4882">
        <v>143.5556</v>
      </c>
      <c r="M4882">
        <v>0.99950220000000001</v>
      </c>
      <c r="N4882">
        <v>0</v>
      </c>
      <c r="O4882">
        <v>-2.845458E-2</v>
      </c>
      <c r="P4882">
        <v>0.99874260000000004</v>
      </c>
      <c r="Q4882">
        <v>-1.535369E-3</v>
      </c>
      <c r="R4882">
        <v>-5.0113810000000002E-2</v>
      </c>
      <c r="S4882">
        <v>2.988785</v>
      </c>
      <c r="T4882">
        <v>-0.78091809999999995</v>
      </c>
      <c r="U4882">
        <v>-0.27368160000000002</v>
      </c>
      <c r="V4882">
        <v>2.167241E-2</v>
      </c>
      <c r="W4882">
        <v>1.208974E-2</v>
      </c>
      <c r="X4882">
        <v>0.99969200000000003</v>
      </c>
      <c r="Y4882">
        <v>6.1705919999999997E-2</v>
      </c>
      <c r="Z4882">
        <v>-6.1749109999999999E-4</v>
      </c>
      <c r="AA4882">
        <v>0.99809420000000004</v>
      </c>
      <c r="AB4882">
        <v>12</v>
      </c>
      <c r="AC4882">
        <v>0.53349999999998898</v>
      </c>
      <c r="AD4882">
        <v>-0.1867888</v>
      </c>
      <c r="AE4882">
        <v>-6.0399999999987103E-2</v>
      </c>
      <c r="AF4882">
        <v>4.03142774029134E-2</v>
      </c>
      <c r="AG4882">
        <v>-0.1867888</v>
      </c>
      <c r="AH4882">
        <v>0.47724112251808198</v>
      </c>
      <c r="AI4882">
        <v>111.30597796666</v>
      </c>
      <c r="AJ4882">
        <v>85.171482355817702</v>
      </c>
      <c r="AK4882">
        <v>0.51407624511377503</v>
      </c>
      <c r="AL4882">
        <v>89.307292030008199</v>
      </c>
      <c r="AM4882">
        <v>88.758074338965301</v>
      </c>
      <c r="AN4882">
        <v>0.99999997501623705</v>
      </c>
    </row>
    <row r="4883" spans="1:40" x14ac:dyDescent="0.3">
      <c r="A4883" t="str">
        <f>"20200111154019971"</f>
        <v>20200111154019971</v>
      </c>
      <c r="B4883" t="str">
        <f>"1578728419965823"</f>
        <v>1578728419965823</v>
      </c>
      <c r="C4883" t="s">
        <v>40</v>
      </c>
      <c r="D4883">
        <v>5.6372159999999996</v>
      </c>
      <c r="E4883">
        <v>0.51561499999999905</v>
      </c>
      <c r="F4883" t="s">
        <v>41</v>
      </c>
      <c r="G4883">
        <v>-114.6482</v>
      </c>
      <c r="H4883">
        <v>0.90843459999999998</v>
      </c>
      <c r="I4883">
        <v>143.48759999999999</v>
      </c>
      <c r="J4883">
        <v>-115.21169999999999</v>
      </c>
      <c r="K4883">
        <v>1.104749</v>
      </c>
      <c r="L4883">
        <v>143.55019999999999</v>
      </c>
      <c r="M4883">
        <v>0.99950209999999995</v>
      </c>
      <c r="N4883">
        <v>0</v>
      </c>
      <c r="O4883">
        <v>-2.8474050000000001E-2</v>
      </c>
      <c r="P4883">
        <v>0.99877800000000005</v>
      </c>
      <c r="Q4883">
        <v>-1.5018729999999999E-3</v>
      </c>
      <c r="R4883">
        <v>-4.9398310000000001E-2</v>
      </c>
      <c r="S4883">
        <v>2.988998</v>
      </c>
      <c r="T4883">
        <v>-0.782269199999999</v>
      </c>
      <c r="U4883">
        <v>-0.27066040000000002</v>
      </c>
      <c r="V4883">
        <v>2.093706E-2</v>
      </c>
      <c r="W4883">
        <v>1.209403E-2</v>
      </c>
      <c r="X4883">
        <v>0.99970760000000003</v>
      </c>
      <c r="Y4883">
        <v>6.0709579999999999E-2</v>
      </c>
      <c r="Z4883">
        <v>-4.8551939999999999E-4</v>
      </c>
      <c r="AA4883">
        <v>0.99815540000000003</v>
      </c>
      <c r="AB4883">
        <v>12</v>
      </c>
      <c r="AC4883">
        <v>0.56349999999999001</v>
      </c>
      <c r="AD4883">
        <v>-0.1963144</v>
      </c>
      <c r="AE4883">
        <v>-6.2600000000003306E-2</v>
      </c>
      <c r="AF4883">
        <v>4.1546873344067599E-2</v>
      </c>
      <c r="AG4883">
        <v>-0.1963144</v>
      </c>
      <c r="AH4883">
        <v>0.50456134368818994</v>
      </c>
      <c r="AI4883">
        <v>111.19464827424299</v>
      </c>
      <c r="AJ4883">
        <v>85.292738476176297</v>
      </c>
      <c r="AK4883">
        <v>0.54299874389952296</v>
      </c>
      <c r="AL4883">
        <v>89.307046199799302</v>
      </c>
      <c r="AM4883">
        <v>88.800219353637004</v>
      </c>
      <c r="AN4883">
        <v>0.999999955770421</v>
      </c>
    </row>
    <row r="4884" spans="1:40" x14ac:dyDescent="0.3">
      <c r="A4884" t="str">
        <f>"20200111154020005"</f>
        <v>20200111154020005</v>
      </c>
      <c r="B4884" t="str">
        <f>"1578728419996078"</f>
        <v>1578728419996078</v>
      </c>
      <c r="C4884" t="s">
        <v>40</v>
      </c>
      <c r="D4884">
        <v>5.6809770000000004</v>
      </c>
      <c r="E4884">
        <v>0.51605579999999995</v>
      </c>
      <c r="F4884" t="s">
        <v>41</v>
      </c>
      <c r="G4884">
        <v>-114.53789999999999</v>
      </c>
      <c r="H4884">
        <v>0.90947009999999995</v>
      </c>
      <c r="I4884">
        <v>143.4803</v>
      </c>
      <c r="J4884">
        <v>-115.0273</v>
      </c>
      <c r="K4884">
        <v>1.1047389999999999</v>
      </c>
      <c r="L4884">
        <v>143.54499999999999</v>
      </c>
      <c r="M4884">
        <v>0.99950190000000005</v>
      </c>
      <c r="N4884">
        <v>0</v>
      </c>
      <c r="O4884">
        <v>-2.84932E-2</v>
      </c>
      <c r="P4884">
        <v>0.99873469999999998</v>
      </c>
      <c r="Q4884">
        <v>-1.752932E-3</v>
      </c>
      <c r="R4884">
        <v>-5.02593E-2</v>
      </c>
      <c r="S4884">
        <v>2.9870450000000002</v>
      </c>
      <c r="T4884">
        <v>-0.86574390000000001</v>
      </c>
      <c r="U4884">
        <v>-0.30970760000000003</v>
      </c>
      <c r="V4884">
        <v>2.177979E-2</v>
      </c>
      <c r="W4884">
        <v>1.181844E-2</v>
      </c>
      <c r="X4884">
        <v>0.9996929</v>
      </c>
      <c r="Y4884">
        <v>7.2936249999999994E-2</v>
      </c>
      <c r="Z4884">
        <v>-2.2620980000000001E-3</v>
      </c>
      <c r="AA4884">
        <v>0.9973341</v>
      </c>
      <c r="AB4884">
        <v>12</v>
      </c>
      <c r="AC4884">
        <v>0.489400000000003</v>
      </c>
      <c r="AD4884">
        <v>-0.1952689</v>
      </c>
      <c r="AE4884">
        <v>-6.4699999999987698E-2</v>
      </c>
      <c r="AF4884">
        <v>4.3864648335458403E-2</v>
      </c>
      <c r="AG4884">
        <v>-0.1952689</v>
      </c>
      <c r="AH4884">
        <v>0.42460906572540202</v>
      </c>
      <c r="AI4884">
        <v>114.581478269176</v>
      </c>
      <c r="AJ4884">
        <v>84.101926607429704</v>
      </c>
      <c r="AK4884">
        <v>0.46941123695220799</v>
      </c>
      <c r="AL4884">
        <v>89.322837479098695</v>
      </c>
      <c r="AM4884">
        <v>88.751924051296101</v>
      </c>
      <c r="AN4884">
        <v>0.99999996454344298</v>
      </c>
    </row>
    <row r="4885" spans="1:40" x14ac:dyDescent="0.3">
      <c r="A4885" t="str">
        <f>"20200111154020039"</f>
        <v>20200111154020039</v>
      </c>
      <c r="B4885" t="str">
        <f>"1578728420036412"</f>
        <v>1578728420036412</v>
      </c>
      <c r="C4885" t="s">
        <v>40</v>
      </c>
      <c r="D4885">
        <v>5.7061789999999997</v>
      </c>
      <c r="E4885">
        <v>0.51638549999999905</v>
      </c>
      <c r="F4885" t="s">
        <v>41</v>
      </c>
      <c r="G4885">
        <v>-114.32080000000001</v>
      </c>
      <c r="H4885">
        <v>0.90457080000000001</v>
      </c>
      <c r="I4885">
        <v>143.47049999999999</v>
      </c>
      <c r="J4885">
        <v>-114.8447</v>
      </c>
      <c r="K4885">
        <v>1.1047209999999901</v>
      </c>
      <c r="L4885">
        <v>143.53970000000001</v>
      </c>
      <c r="M4885">
        <v>0.99950159999999999</v>
      </c>
      <c r="N4885">
        <v>0</v>
      </c>
      <c r="O4885">
        <v>-2.8512019999999999E-2</v>
      </c>
      <c r="P4885">
        <v>0.99876209999999999</v>
      </c>
      <c r="Q4885">
        <v>-2.48665E-3</v>
      </c>
      <c r="R4885">
        <v>-4.968272E-2</v>
      </c>
      <c r="S4885">
        <v>2.9864959999999998</v>
      </c>
      <c r="T4885">
        <v>-0.8460548</v>
      </c>
      <c r="U4885">
        <v>-0.31411739999999999</v>
      </c>
      <c r="V4885">
        <v>2.1183670000000002E-2</v>
      </c>
      <c r="W4885">
        <v>1.106413E-2</v>
      </c>
      <c r="X4885">
        <v>0.9997144</v>
      </c>
      <c r="Y4885">
        <v>7.4415690000000007E-2</v>
      </c>
      <c r="Z4885">
        <v>-2.4126519999999999E-3</v>
      </c>
      <c r="AA4885">
        <v>0.99722440000000001</v>
      </c>
      <c r="AB4885">
        <v>12</v>
      </c>
      <c r="AC4885">
        <v>0.52389999999999703</v>
      </c>
      <c r="AD4885">
        <v>-0.200150199999999</v>
      </c>
      <c r="AE4885">
        <v>-6.9200000000023396E-2</v>
      </c>
      <c r="AF4885">
        <v>4.7429267259301397E-2</v>
      </c>
      <c r="AG4885">
        <v>-0.200150199999999</v>
      </c>
      <c r="AH4885">
        <v>0.45971378373386601</v>
      </c>
      <c r="AI4885">
        <v>113.416529449922</v>
      </c>
      <c r="AJ4885">
        <v>84.1095610255352</v>
      </c>
      <c r="AK4885">
        <v>0.50363320075994</v>
      </c>
      <c r="AL4885">
        <v>89.366059126669896</v>
      </c>
      <c r="AM4885">
        <v>88.786100033046196</v>
      </c>
      <c r="AN4885">
        <v>1.00000002220734</v>
      </c>
    </row>
    <row r="4886" spans="1:40" x14ac:dyDescent="0.3">
      <c r="A4886" t="str">
        <f>"20200111154020073"</f>
        <v>20200111154020073</v>
      </c>
      <c r="B4886" t="str">
        <f>"1578728420065698"</f>
        <v>1578728420065698</v>
      </c>
      <c r="C4886" t="s">
        <v>40</v>
      </c>
      <c r="D4886">
        <v>5.9397260000000003</v>
      </c>
      <c r="E4886">
        <v>0.51663420000000004</v>
      </c>
      <c r="F4886" t="s">
        <v>41</v>
      </c>
      <c r="G4886">
        <v>-114.1046</v>
      </c>
      <c r="H4886">
        <v>0.89974310000000002</v>
      </c>
      <c r="I4886">
        <v>143.4615</v>
      </c>
      <c r="J4886">
        <v>-114.6593</v>
      </c>
      <c r="K4886">
        <v>1.1047129999999901</v>
      </c>
      <c r="L4886">
        <v>143.53440000000001</v>
      </c>
      <c r="M4886">
        <v>0.99950130000000004</v>
      </c>
      <c r="N4886">
        <v>0</v>
      </c>
      <c r="O4886">
        <v>-2.853145E-2</v>
      </c>
      <c r="P4886">
        <v>0.99877380000000004</v>
      </c>
      <c r="Q4886">
        <v>-4.2833159999999997E-3</v>
      </c>
      <c r="R4886">
        <v>-4.9325790000000001E-2</v>
      </c>
      <c r="S4886">
        <v>2.9859619999999998</v>
      </c>
      <c r="T4886">
        <v>-0.82694539999999905</v>
      </c>
      <c r="U4886">
        <v>-0.31555179999999999</v>
      </c>
      <c r="V4886">
        <v>2.0806999999999999E-2</v>
      </c>
      <c r="W4886">
        <v>9.2503340000000007E-3</v>
      </c>
      <c r="X4886">
        <v>0.99974070000000004</v>
      </c>
      <c r="Y4886">
        <v>7.4947399999999997E-2</v>
      </c>
      <c r="Z4886">
        <v>-2.4273189999999998E-3</v>
      </c>
      <c r="AA4886">
        <v>0.99718450000000003</v>
      </c>
      <c r="AB4886">
        <v>12</v>
      </c>
      <c r="AC4886">
        <v>0.55469999999999597</v>
      </c>
      <c r="AD4886">
        <v>-0.20496989999999901</v>
      </c>
      <c r="AE4886">
        <v>-7.29000000000041E-2</v>
      </c>
      <c r="AF4886">
        <v>5.0292115400245099E-2</v>
      </c>
      <c r="AG4886">
        <v>-0.20496989999999901</v>
      </c>
      <c r="AH4886">
        <v>0.49069212043756899</v>
      </c>
      <c r="AI4886">
        <v>112.564792782692</v>
      </c>
      <c r="AJ4886">
        <v>84.148063219561493</v>
      </c>
      <c r="AK4886">
        <v>0.53415420417418802</v>
      </c>
      <c r="AL4886">
        <v>89.469987335081299</v>
      </c>
      <c r="AM4886">
        <v>88.807709639450806</v>
      </c>
      <c r="AN4886">
        <v>0.99999998358230002</v>
      </c>
    </row>
    <row r="4887" spans="1:40" x14ac:dyDescent="0.3">
      <c r="A4887" t="str">
        <f>"20200111154020105"</f>
        <v>20200111154020105</v>
      </c>
      <c r="B4887" t="str">
        <f>"1578728420095945"</f>
        <v>1578728420095945</v>
      </c>
      <c r="C4887" t="s">
        <v>40</v>
      </c>
      <c r="D4887">
        <v>5.7150650000000001</v>
      </c>
      <c r="E4887">
        <v>0.51676820000000001</v>
      </c>
      <c r="F4887" t="s">
        <v>41</v>
      </c>
      <c r="G4887">
        <v>-113.9867</v>
      </c>
      <c r="H4887">
        <v>0.91894390000000004</v>
      </c>
      <c r="I4887">
        <v>143.46299999999999</v>
      </c>
      <c r="J4887">
        <v>-114.48180000000001</v>
      </c>
      <c r="K4887">
        <v>1.1047100000000001</v>
      </c>
      <c r="L4887">
        <v>143.52940000000001</v>
      </c>
      <c r="M4887">
        <v>0.99950090000000003</v>
      </c>
      <c r="N4887">
        <v>0</v>
      </c>
      <c r="O4887">
        <v>-2.8549829999999998E-2</v>
      </c>
      <c r="P4887">
        <v>0.99882479999999996</v>
      </c>
      <c r="Q4887">
        <v>-4.4851079999999998E-3</v>
      </c>
      <c r="R4887">
        <v>-4.8258269999999999E-2</v>
      </c>
      <c r="S4887">
        <v>2.9844819999999999</v>
      </c>
      <c r="T4887">
        <v>-0.82428219999999996</v>
      </c>
      <c r="U4887">
        <v>-0.31707760000000001</v>
      </c>
      <c r="V4887">
        <v>1.9720270000000002E-2</v>
      </c>
      <c r="W4887">
        <v>9.0338580000000005E-3</v>
      </c>
      <c r="X4887">
        <v>0.99976469999999995</v>
      </c>
      <c r="Y4887">
        <v>7.5475440000000005E-2</v>
      </c>
      <c r="Z4887">
        <v>-2.4873109999999999E-3</v>
      </c>
      <c r="AA4887">
        <v>0.99714460000000005</v>
      </c>
      <c r="AB4887">
        <v>12</v>
      </c>
      <c r="AC4887">
        <v>0.49510000000000698</v>
      </c>
      <c r="AD4887">
        <v>-0.18576609999999999</v>
      </c>
      <c r="AE4887">
        <v>-6.6400000000015696E-2</v>
      </c>
      <c r="AF4887">
        <v>4.58902453431623E-2</v>
      </c>
      <c r="AG4887">
        <v>-0.18576609999999999</v>
      </c>
      <c r="AH4887">
        <v>0.43643715774866298</v>
      </c>
      <c r="AI4887">
        <v>112.943360782081</v>
      </c>
      <c r="AJ4887">
        <v>83.997552195564595</v>
      </c>
      <c r="AK4887">
        <v>0.47654207704104901</v>
      </c>
      <c r="AL4887">
        <v>89.482391011675801</v>
      </c>
      <c r="AM4887">
        <v>88.869992369153906</v>
      </c>
      <c r="AN4887">
        <v>0.99999997750266301</v>
      </c>
    </row>
    <row r="4888" spans="1:40" x14ac:dyDescent="0.3">
      <c r="A4888" t="str">
        <f>"20200111154020139"</f>
        <v>20200111154020139</v>
      </c>
      <c r="B4888" t="str">
        <f>"1578728420135963"</f>
        <v>1578728420135963</v>
      </c>
      <c r="C4888" t="s">
        <v>40</v>
      </c>
      <c r="D4888">
        <v>5.7046929999999998</v>
      </c>
      <c r="E4888">
        <v>0.51673990000000003</v>
      </c>
      <c r="F4888" t="s">
        <v>41</v>
      </c>
      <c r="G4888">
        <v>-113.77370000000001</v>
      </c>
      <c r="H4888">
        <v>0.91019280000000002</v>
      </c>
      <c r="I4888">
        <v>143.4545</v>
      </c>
      <c r="J4888">
        <v>-114.29819999999999</v>
      </c>
      <c r="K4888">
        <v>1.104711</v>
      </c>
      <c r="L4888">
        <v>143.5241</v>
      </c>
      <c r="M4888">
        <v>0.99950070000000002</v>
      </c>
      <c r="N4888">
        <v>0</v>
      </c>
      <c r="O4888">
        <v>-2.8569049999999999E-2</v>
      </c>
      <c r="P4888">
        <v>0.99894019999999994</v>
      </c>
      <c r="Q4888">
        <v>-4.1265119999999997E-3</v>
      </c>
      <c r="R4888">
        <v>-4.5844349999999999E-2</v>
      </c>
      <c r="S4888">
        <v>2.984604</v>
      </c>
      <c r="T4888">
        <v>-0.8198763</v>
      </c>
      <c r="U4888">
        <v>-0.31524659999999999</v>
      </c>
      <c r="V4888">
        <v>1.7284750000000002E-2</v>
      </c>
      <c r="W4888">
        <v>9.3800299999999993E-3</v>
      </c>
      <c r="X4888">
        <v>0.99980659999999999</v>
      </c>
      <c r="Y4888">
        <v>7.4887419999999996E-2</v>
      </c>
      <c r="Z4888">
        <v>-2.3901999999999999E-3</v>
      </c>
      <c r="AA4888">
        <v>0.99718910000000005</v>
      </c>
      <c r="AB4888">
        <v>12</v>
      </c>
      <c r="AC4888">
        <v>0.52449999999998898</v>
      </c>
      <c r="AD4888">
        <v>-0.1945182</v>
      </c>
      <c r="AE4888">
        <v>-6.9600000000008294E-2</v>
      </c>
      <c r="AF4888">
        <v>4.80863899290968E-2</v>
      </c>
      <c r="AG4888">
        <v>-0.1945182</v>
      </c>
      <c r="AH4888">
        <v>0.46361251804283299</v>
      </c>
      <c r="AI4888">
        <v>112.65232926426999</v>
      </c>
      <c r="AJ4888">
        <v>84.078394432214907</v>
      </c>
      <c r="AK4888">
        <v>0.50506058835912904</v>
      </c>
      <c r="AL4888">
        <v>89.462555983887498</v>
      </c>
      <c r="AM4888">
        <v>89.009563871017207</v>
      </c>
      <c r="AN4888">
        <v>0.99999999247446103</v>
      </c>
    </row>
    <row r="4889" spans="1:40" x14ac:dyDescent="0.3">
      <c r="A4889" t="str">
        <f>"20200111154020173"</f>
        <v>20200111154020173</v>
      </c>
      <c r="B4889" t="str">
        <f>"1578728420166221"</f>
        <v>1578728420166221</v>
      </c>
      <c r="C4889" t="s">
        <v>40</v>
      </c>
      <c r="D4889">
        <v>5.7119229999999996</v>
      </c>
      <c r="E4889">
        <v>0.51681920000000003</v>
      </c>
      <c r="F4889" t="s">
        <v>41</v>
      </c>
      <c r="G4889">
        <v>-113.56059999999999</v>
      </c>
      <c r="H4889">
        <v>0.90355070000000004</v>
      </c>
      <c r="I4889">
        <v>143.4479</v>
      </c>
      <c r="J4889">
        <v>-114.1157</v>
      </c>
      <c r="K4889">
        <v>1.1047039999999999</v>
      </c>
      <c r="L4889">
        <v>143.5189</v>
      </c>
      <c r="M4889">
        <v>0.99950030000000001</v>
      </c>
      <c r="N4889">
        <v>0</v>
      </c>
      <c r="O4889">
        <v>-2.8587930000000001E-2</v>
      </c>
      <c r="P4889">
        <v>0.99903830000000005</v>
      </c>
      <c r="Q4889">
        <v>-3.660562E-3</v>
      </c>
      <c r="R4889">
        <v>-4.3699549999999997E-2</v>
      </c>
      <c r="S4889">
        <v>2.985687</v>
      </c>
      <c r="T4889">
        <v>-0.81426100000000001</v>
      </c>
      <c r="U4889">
        <v>-0.30842589999999998</v>
      </c>
      <c r="V4889">
        <v>1.5118960000000001E-2</v>
      </c>
      <c r="W4889">
        <v>9.8353880000000005E-3</v>
      </c>
      <c r="X4889">
        <v>0.99983730000000004</v>
      </c>
      <c r="Y4889">
        <v>7.2680919999999996E-2</v>
      </c>
      <c r="Z4889">
        <v>-2.0740020000000001E-3</v>
      </c>
      <c r="AA4889">
        <v>0.99735309999999999</v>
      </c>
      <c r="AB4889">
        <v>12</v>
      </c>
      <c r="AC4889">
        <v>0.55510000000001003</v>
      </c>
      <c r="AD4889">
        <v>-0.20115330000000001</v>
      </c>
      <c r="AE4889">
        <v>-7.0999999999997898E-2</v>
      </c>
      <c r="AF4889">
        <v>4.8795912432443099E-2</v>
      </c>
      <c r="AG4889">
        <v>-0.20115330000000001</v>
      </c>
      <c r="AH4889">
        <v>0.49318342426006101</v>
      </c>
      <c r="AI4889">
        <v>112.09151007451599</v>
      </c>
      <c r="AJ4889">
        <v>84.349505729134904</v>
      </c>
      <c r="AK4889">
        <v>0.53485846832212003</v>
      </c>
      <c r="AL4889">
        <v>89.436464676192102</v>
      </c>
      <c r="AM4889">
        <v>89.133672465834294</v>
      </c>
      <c r="AN4889">
        <v>0.99999997213993996</v>
      </c>
    </row>
    <row r="4890" spans="1:40" x14ac:dyDescent="0.3">
      <c r="A4890" t="str">
        <f>"20200111154020206"</f>
        <v>20200111154020206</v>
      </c>
      <c r="B4890" t="str">
        <f>"1578728420196474"</f>
        <v>1578728420196474</v>
      </c>
      <c r="C4890" t="s">
        <v>40</v>
      </c>
      <c r="D4890">
        <v>5.634023</v>
      </c>
      <c r="E4890">
        <v>0.51692959999999999</v>
      </c>
      <c r="F4890" t="s">
        <v>41</v>
      </c>
      <c r="G4890">
        <v>-113.444</v>
      </c>
      <c r="H4890">
        <v>0.92236149999999995</v>
      </c>
      <c r="I4890">
        <v>143.45079999999999</v>
      </c>
      <c r="J4890">
        <v>-113.9389</v>
      </c>
      <c r="K4890">
        <v>1.1046990000000001</v>
      </c>
      <c r="L4890">
        <v>143.5138</v>
      </c>
      <c r="M4890">
        <v>0.9994999</v>
      </c>
      <c r="N4890">
        <v>0</v>
      </c>
      <c r="O4890">
        <v>-2.8606220000000002E-2</v>
      </c>
      <c r="P4890">
        <v>0.9991546</v>
      </c>
      <c r="Q4890">
        <v>-3.4118239999999999E-3</v>
      </c>
      <c r="R4890">
        <v>-4.0973389999999998E-2</v>
      </c>
      <c r="S4890">
        <v>2.98671</v>
      </c>
      <c r="T4890">
        <v>-0.81083169999999904</v>
      </c>
      <c r="U4890">
        <v>-0.30215449999999999</v>
      </c>
      <c r="V4890">
        <v>1.237249E-2</v>
      </c>
      <c r="W4890">
        <v>1.0075229999999999E-2</v>
      </c>
      <c r="X4890">
        <v>0.99987269999999995</v>
      </c>
      <c r="Y4890">
        <v>7.0642469999999999E-2</v>
      </c>
      <c r="Z4890">
        <v>-1.789059E-3</v>
      </c>
      <c r="AA4890">
        <v>0.9975001</v>
      </c>
      <c r="AB4890">
        <v>12</v>
      </c>
      <c r="AC4890">
        <v>0.49490000000000101</v>
      </c>
      <c r="AD4890">
        <v>-0.18233750000000001</v>
      </c>
      <c r="AE4890">
        <v>-6.3000000000016598E-2</v>
      </c>
      <c r="AF4890">
        <v>4.3063377603656798E-2</v>
      </c>
      <c r="AG4890">
        <v>-0.18233750000000001</v>
      </c>
      <c r="AH4890">
        <v>0.43799338771208501</v>
      </c>
      <c r="AI4890">
        <v>112.50443603048301</v>
      </c>
      <c r="AJ4890">
        <v>84.3847436385403</v>
      </c>
      <c r="AK4890">
        <v>0.47638180703758398</v>
      </c>
      <c r="AL4890">
        <v>89.422722077925798</v>
      </c>
      <c r="AM4890">
        <v>89.291054470069497</v>
      </c>
      <c r="AN4890">
        <v>1.0000000024868201</v>
      </c>
    </row>
    <row r="4891" spans="1:40" x14ac:dyDescent="0.3">
      <c r="A4891" t="str">
        <f>"20200111154020240"</f>
        <v>20200111154020240</v>
      </c>
      <c r="B4891" t="str">
        <f>"1578728420236491"</f>
        <v>1578728420236491</v>
      </c>
      <c r="C4891" t="s">
        <v>40</v>
      </c>
      <c r="D4891">
        <v>5.7350789999999998</v>
      </c>
      <c r="E4891">
        <v>0.51714039999999994</v>
      </c>
      <c r="F4891" t="s">
        <v>41</v>
      </c>
      <c r="G4891">
        <v>-113.2333</v>
      </c>
      <c r="H4891">
        <v>0.91374929999999999</v>
      </c>
      <c r="I4891">
        <v>143.4444</v>
      </c>
      <c r="J4891">
        <v>-113.75830000000001</v>
      </c>
      <c r="K4891">
        <v>1.104695</v>
      </c>
      <c r="L4891">
        <v>143.5086</v>
      </c>
      <c r="M4891">
        <v>0.99949929999999998</v>
      </c>
      <c r="N4891">
        <v>0</v>
      </c>
      <c r="O4891">
        <v>-2.8624759999999999E-2</v>
      </c>
      <c r="P4891">
        <v>0.99925059999999999</v>
      </c>
      <c r="Q4891">
        <v>-3.8142470000000002E-3</v>
      </c>
      <c r="R4891">
        <v>-3.85198E-2</v>
      </c>
      <c r="S4891">
        <v>2.9877319999999998</v>
      </c>
      <c r="T4891">
        <v>-0.80854890000000001</v>
      </c>
      <c r="U4891">
        <v>-0.29374689999999998</v>
      </c>
      <c r="V4891">
        <v>9.8986219999999993E-3</v>
      </c>
      <c r="W4891">
        <v>9.6642110000000007E-3</v>
      </c>
      <c r="X4891">
        <v>0.99990429999999997</v>
      </c>
      <c r="Y4891">
        <v>6.791664E-2</v>
      </c>
      <c r="Z4891">
        <v>-1.4173650000000001E-3</v>
      </c>
      <c r="AA4891">
        <v>0.99768999999999997</v>
      </c>
      <c r="AB4891">
        <v>12</v>
      </c>
      <c r="AC4891">
        <v>0.52500000000000502</v>
      </c>
      <c r="AD4891">
        <v>-0.1909457</v>
      </c>
      <c r="AE4891">
        <v>-6.4199999999999494E-2</v>
      </c>
      <c r="AF4891">
        <v>4.34777329791671E-2</v>
      </c>
      <c r="AG4891">
        <v>-0.1909457</v>
      </c>
      <c r="AH4891">
        <v>0.46590043629898997</v>
      </c>
      <c r="AI4891">
        <v>112.198862678826</v>
      </c>
      <c r="AJ4891">
        <v>84.668610137537101</v>
      </c>
      <c r="AK4891">
        <v>0.50538479414905901</v>
      </c>
      <c r="AL4891">
        <v>89.446272874654596</v>
      </c>
      <c r="AM4891">
        <v>89.432814982863803</v>
      </c>
      <c r="AN4891">
        <v>0.99999999442512</v>
      </c>
    </row>
    <row r="4892" spans="1:40" x14ac:dyDescent="0.3">
      <c r="A4892" t="str">
        <f>"20200111154020273"</f>
        <v>20200111154020273</v>
      </c>
      <c r="B4892" t="str">
        <f>"1578728420265773"</f>
        <v>1578728420265773</v>
      </c>
      <c r="C4892" t="s">
        <v>40</v>
      </c>
      <c r="D4892">
        <v>5.7311569999999996</v>
      </c>
      <c r="E4892">
        <v>0.51723279999999905</v>
      </c>
      <c r="F4892" t="s">
        <v>41</v>
      </c>
      <c r="G4892">
        <v>-113.0232</v>
      </c>
      <c r="H4892">
        <v>0.90591690000000002</v>
      </c>
      <c r="I4892">
        <v>143.43799999999999</v>
      </c>
      <c r="J4892">
        <v>-113.57980000000001</v>
      </c>
      <c r="K4892">
        <v>1.1046899999999999</v>
      </c>
      <c r="L4892">
        <v>143.5035</v>
      </c>
      <c r="M4892">
        <v>0.99949889999999997</v>
      </c>
      <c r="N4892">
        <v>0</v>
      </c>
      <c r="O4892">
        <v>-2.86433E-2</v>
      </c>
      <c r="P4892">
        <v>0.99936429999999998</v>
      </c>
      <c r="Q4892">
        <v>-3.9943399999999999E-3</v>
      </c>
      <c r="R4892">
        <v>-3.5425989999999997E-2</v>
      </c>
      <c r="S4892">
        <v>2.9881129999999998</v>
      </c>
      <c r="T4892">
        <v>-0.80804100000000001</v>
      </c>
      <c r="U4892">
        <v>-0.28680420000000001</v>
      </c>
      <c r="V4892">
        <v>6.7841059999999998E-3</v>
      </c>
      <c r="W4892">
        <v>9.4763439999999994E-3</v>
      </c>
      <c r="X4892">
        <v>0.99993209999999999</v>
      </c>
      <c r="Y4892">
        <v>6.5671309999999997E-2</v>
      </c>
      <c r="Z4892">
        <v>-1.113927E-3</v>
      </c>
      <c r="AA4892">
        <v>0.99784070000000002</v>
      </c>
      <c r="AB4892">
        <v>12</v>
      </c>
      <c r="AC4892">
        <v>0.55660000000000298</v>
      </c>
      <c r="AD4892">
        <v>-0.19877309999999901</v>
      </c>
      <c r="AE4892">
        <v>-6.5500000000014297E-2</v>
      </c>
      <c r="AF4892">
        <v>4.3994606825507501E-2</v>
      </c>
      <c r="AG4892">
        <v>-0.19877309999999901</v>
      </c>
      <c r="AH4892">
        <v>0.49587089331944501</v>
      </c>
      <c r="AI4892">
        <v>111.766239336336</v>
      </c>
      <c r="AJ4892">
        <v>84.9298851466488</v>
      </c>
      <c r="AK4892">
        <v>0.536035645787447</v>
      </c>
      <c r="AL4892">
        <v>89.457037365029507</v>
      </c>
      <c r="AM4892">
        <v>89.611278928113293</v>
      </c>
      <c r="AN4892">
        <v>1.00000001490011</v>
      </c>
    </row>
    <row r="4893" spans="1:40" x14ac:dyDescent="0.3">
      <c r="A4893" t="str">
        <f>"20200111154020306"</f>
        <v>20200111154020306</v>
      </c>
      <c r="B4893" t="str">
        <f>"1578728420296026"</f>
        <v>1578728420296026</v>
      </c>
      <c r="C4893" t="s">
        <v>40</v>
      </c>
      <c r="D4893">
        <v>5.5277839999999996</v>
      </c>
      <c r="E4893">
        <v>0.51733109999999904</v>
      </c>
      <c r="F4893" t="s">
        <v>41</v>
      </c>
      <c r="G4893">
        <v>-112.9084</v>
      </c>
      <c r="H4893">
        <v>0.92335469999999997</v>
      </c>
      <c r="I4893">
        <v>143.441</v>
      </c>
      <c r="J4893">
        <v>-113.40349999999999</v>
      </c>
      <c r="K4893">
        <v>1.104689</v>
      </c>
      <c r="L4893">
        <v>143.4984</v>
      </c>
      <c r="M4893">
        <v>0.99949869999999996</v>
      </c>
      <c r="N4893">
        <v>0</v>
      </c>
      <c r="O4893">
        <v>-2.8661969999999998E-2</v>
      </c>
      <c r="P4893">
        <v>0.99947600000000003</v>
      </c>
      <c r="Q4893">
        <v>-3.3673330000000001E-3</v>
      </c>
      <c r="R4893">
        <v>-3.2198610000000003E-2</v>
      </c>
      <c r="S4893">
        <v>2.9888150000000002</v>
      </c>
      <c r="T4893">
        <v>-0.80736450000000004</v>
      </c>
      <c r="U4893">
        <v>-0.27796939999999998</v>
      </c>
      <c r="V4893">
        <v>3.5362760000000001E-3</v>
      </c>
      <c r="W4893">
        <v>1.009668E-2</v>
      </c>
      <c r="X4893">
        <v>0.99994280000000002</v>
      </c>
      <c r="Y4893">
        <v>6.2811149999999996E-2</v>
      </c>
      <c r="Z4893">
        <v>-7.2917710000000005E-4</v>
      </c>
      <c r="AA4893">
        <v>0.99802519999999995</v>
      </c>
      <c r="AB4893">
        <v>12</v>
      </c>
      <c r="AC4893">
        <v>0.49509999999999299</v>
      </c>
      <c r="AD4893">
        <v>-0.1813343</v>
      </c>
      <c r="AE4893">
        <v>-5.74000000000012E-2</v>
      </c>
      <c r="AF4893">
        <v>3.8136609360408601E-2</v>
      </c>
      <c r="AG4893">
        <v>-0.1813343</v>
      </c>
      <c r="AH4893">
        <v>0.43849959057245402</v>
      </c>
      <c r="AI4893">
        <v>112.390604072223</v>
      </c>
      <c r="AJ4893">
        <v>85.029453920199899</v>
      </c>
      <c r="AK4893">
        <v>0.47604455701352999</v>
      </c>
      <c r="AL4893">
        <v>89.421493034391602</v>
      </c>
      <c r="AM4893">
        <v>89.797375564557299</v>
      </c>
      <c r="AN4893">
        <v>1.0000000257334001</v>
      </c>
    </row>
    <row r="4894" spans="1:40" x14ac:dyDescent="0.3">
      <c r="A4894" t="str">
        <f>"20200111154020340"</f>
        <v>20200111154020340</v>
      </c>
      <c r="B4894" t="str">
        <f>"1578728420336042"</f>
        <v>1578728420336042</v>
      </c>
      <c r="C4894" t="s">
        <v>40</v>
      </c>
      <c r="D4894">
        <v>5.713336</v>
      </c>
      <c r="E4894">
        <v>0.51761440000000003</v>
      </c>
      <c r="F4894" t="s">
        <v>41</v>
      </c>
      <c r="G4894">
        <v>-112.6998</v>
      </c>
      <c r="H4894">
        <v>0.91549610000000003</v>
      </c>
      <c r="I4894">
        <v>143.43520000000001</v>
      </c>
      <c r="J4894">
        <v>-113.2269</v>
      </c>
      <c r="K4894">
        <v>1.104684</v>
      </c>
      <c r="L4894">
        <v>143.49340000000001</v>
      </c>
      <c r="M4894">
        <v>0.9994982</v>
      </c>
      <c r="N4894">
        <v>0</v>
      </c>
      <c r="O4894">
        <v>-2.868016E-2</v>
      </c>
      <c r="P4894">
        <v>0.99958360000000002</v>
      </c>
      <c r="Q4894">
        <v>-3.2117650000000001E-3</v>
      </c>
      <c r="R4894">
        <v>-2.8675180000000002E-2</v>
      </c>
      <c r="S4894">
        <v>2.9902190000000002</v>
      </c>
      <c r="T4894">
        <v>-0.80394540000000003</v>
      </c>
      <c r="U4894">
        <v>-0.26855469999999998</v>
      </c>
      <c r="V4894" s="1">
        <v>-6.9363160000000004E-6</v>
      </c>
      <c r="W4894">
        <v>1.024545E-2</v>
      </c>
      <c r="X4894">
        <v>0.99994749999999999</v>
      </c>
      <c r="Y4894">
        <v>5.975229E-2</v>
      </c>
      <c r="Z4894">
        <v>-3.1783149999999998E-4</v>
      </c>
      <c r="AA4894">
        <v>0.99821320000000002</v>
      </c>
      <c r="AB4894">
        <v>12</v>
      </c>
      <c r="AC4894">
        <v>0.52710000000000401</v>
      </c>
      <c r="AD4894">
        <v>-0.18918789999999999</v>
      </c>
      <c r="AE4894">
        <v>-5.8199999999999301E-2</v>
      </c>
      <c r="AF4894">
        <v>3.8196032895238298E-2</v>
      </c>
      <c r="AG4894">
        <v>-0.18918789999999999</v>
      </c>
      <c r="AH4894">
        <v>0.46887687198446998</v>
      </c>
      <c r="AI4894">
        <v>111.907991387332</v>
      </c>
      <c r="AJ4894">
        <v>85.342807982643805</v>
      </c>
      <c r="AK4894">
        <v>0.50704686126361698</v>
      </c>
      <c r="AL4894">
        <v>89.412968677239107</v>
      </c>
      <c r="AM4894">
        <v>90.0003974424978</v>
      </c>
      <c r="AN4894">
        <v>0.99999998602503204</v>
      </c>
    </row>
    <row r="4895" spans="1:40" x14ac:dyDescent="0.3">
      <c r="A4895" t="str">
        <f>"20200111154020374"</f>
        <v>20200111154020374</v>
      </c>
      <c r="B4895" t="str">
        <f>"1578728420366301"</f>
        <v>1578728420366301</v>
      </c>
      <c r="C4895" t="s">
        <v>40</v>
      </c>
      <c r="D4895">
        <v>5.7577059999999998</v>
      </c>
      <c r="E4895">
        <v>0.51759820000000001</v>
      </c>
      <c r="F4895" t="s">
        <v>41</v>
      </c>
      <c r="G4895">
        <v>-112.49209999999999</v>
      </c>
      <c r="H4895">
        <v>0.9075725</v>
      </c>
      <c r="I4895">
        <v>143.42920000000001</v>
      </c>
      <c r="J4895">
        <v>-113.04819999999999</v>
      </c>
      <c r="K4895">
        <v>1.104689</v>
      </c>
      <c r="L4895">
        <v>143.48820000000001</v>
      </c>
      <c r="M4895">
        <v>0.99949750000000004</v>
      </c>
      <c r="N4895">
        <v>0</v>
      </c>
      <c r="O4895">
        <v>-2.8698950000000001E-2</v>
      </c>
      <c r="P4895">
        <v>0.99971730000000003</v>
      </c>
      <c r="Q4895">
        <v>-1.6118829999999999E-3</v>
      </c>
      <c r="R4895">
        <v>-2.3717889999999998E-2</v>
      </c>
      <c r="S4895">
        <v>2.991196</v>
      </c>
      <c r="T4895">
        <v>-0.80244979999999999</v>
      </c>
      <c r="U4895">
        <v>-0.26063540000000002</v>
      </c>
      <c r="V4895">
        <v>-4.985265E-3</v>
      </c>
      <c r="W4895">
        <v>1.1838939999999999E-2</v>
      </c>
      <c r="X4895">
        <v>0.99991750000000001</v>
      </c>
      <c r="Y4895">
        <v>5.7177289999999999E-2</v>
      </c>
      <c r="Z4895" s="1">
        <v>2.6604159999999999E-5</v>
      </c>
      <c r="AA4895">
        <v>0.99836400000000003</v>
      </c>
      <c r="AB4895">
        <v>12</v>
      </c>
      <c r="AC4895">
        <v>0.55610000000000004</v>
      </c>
      <c r="AD4895">
        <v>-0.1971165</v>
      </c>
      <c r="AE4895">
        <v>-5.8999999999997499E-2</v>
      </c>
      <c r="AF4895">
        <v>3.8261021556714597E-2</v>
      </c>
      <c r="AG4895">
        <v>-0.1971165</v>
      </c>
      <c r="AH4895">
        <v>0.49594554164370802</v>
      </c>
      <c r="AI4895">
        <v>111.617353761679</v>
      </c>
      <c r="AJ4895">
        <v>85.588504785902501</v>
      </c>
      <c r="AK4895">
        <v>0.535052147569828</v>
      </c>
      <c r="AL4895">
        <v>89.321662864292406</v>
      </c>
      <c r="AM4895">
        <v>90.285655844226198</v>
      </c>
      <c r="AN4895">
        <v>1.00000001008684</v>
      </c>
    </row>
    <row r="4896" spans="1:40" x14ac:dyDescent="0.3">
      <c r="A4896" t="str">
        <f>"20200111154020407"</f>
        <v>20200111154020407</v>
      </c>
      <c r="B4896" t="str">
        <f>"1578728420396555"</f>
        <v>1578728420396555</v>
      </c>
      <c r="C4896" t="s">
        <v>40</v>
      </c>
      <c r="D4896">
        <v>5.1847960000000004</v>
      </c>
      <c r="E4896">
        <v>0.51647529999999997</v>
      </c>
      <c r="F4896" t="s">
        <v>41</v>
      </c>
      <c r="G4896">
        <v>-112.378</v>
      </c>
      <c r="H4896">
        <v>0.92626799999999998</v>
      </c>
      <c r="I4896">
        <v>143.4332</v>
      </c>
      <c r="J4896">
        <v>-112.87430000000001</v>
      </c>
      <c r="K4896">
        <v>1.1046899999999999</v>
      </c>
      <c r="L4896">
        <v>143.48320000000001</v>
      </c>
      <c r="M4896">
        <v>0.99949730000000003</v>
      </c>
      <c r="N4896">
        <v>0</v>
      </c>
      <c r="O4896">
        <v>-2.871715E-2</v>
      </c>
      <c r="P4896">
        <v>0.9998475</v>
      </c>
      <c r="Q4896">
        <v>-6.8804059999999999E-4</v>
      </c>
      <c r="R4896">
        <v>-1.745611E-2</v>
      </c>
      <c r="S4896">
        <v>2.993744</v>
      </c>
      <c r="T4896">
        <v>-0.79704629999999999</v>
      </c>
      <c r="U4896">
        <v>-0.24540709999999999</v>
      </c>
      <c r="V4896">
        <v>-1.1265860000000001E-2</v>
      </c>
      <c r="W4896">
        <v>1.2756780000000001E-2</v>
      </c>
      <c r="X4896">
        <v>0.99985520000000006</v>
      </c>
      <c r="Y4896">
        <v>5.2228570000000002E-2</v>
      </c>
      <c r="Z4896">
        <v>6.7775840000000001E-4</v>
      </c>
      <c r="AA4896">
        <v>0.99863489999999999</v>
      </c>
      <c r="AB4896">
        <v>12</v>
      </c>
      <c r="AC4896">
        <v>0.496300000000019</v>
      </c>
      <c r="AD4896">
        <v>-0.178421999999999</v>
      </c>
      <c r="AE4896">
        <v>-5.0000000000011299E-2</v>
      </c>
      <c r="AF4896">
        <v>3.1673330418392202E-2</v>
      </c>
      <c r="AG4896">
        <v>-0.178421999999999</v>
      </c>
      <c r="AH4896">
        <v>0.44109541404859998</v>
      </c>
      <c r="AI4896">
        <v>111.97204151815301</v>
      </c>
      <c r="AJ4896">
        <v>85.892864226128793</v>
      </c>
      <c r="AK4896">
        <v>0.47686766952530801</v>
      </c>
      <c r="AL4896">
        <v>89.269070547999405</v>
      </c>
      <c r="AM4896">
        <v>90.645552392457006</v>
      </c>
      <c r="AN4896">
        <v>1.00000003800227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Testhuanghun_on_with_headDir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</dc:creator>
  <cp:lastModifiedBy>knight</cp:lastModifiedBy>
  <dcterms:created xsi:type="dcterms:W3CDTF">2022-04-01T02:51:49Z</dcterms:created>
  <dcterms:modified xsi:type="dcterms:W3CDTF">2022-04-01T02:51:49Z</dcterms:modified>
</cp:coreProperties>
</file>